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<sst xmlns="http://schemas.openxmlformats.org/spreadsheetml/2006/main" count="47" uniqueCount="28">
  <si>
    <t>sample_id</t>
  </si>
  <si>
    <t>sample_name</t>
  </si>
  <si>
    <t>No more than 1000 samples can be entered in this worksheet.  If you need to submit metadata for &gt;1000 samples, please contact CMI directly.</t>
  </si>
  <si>
    <t>host_body_habitat</t>
  </si>
  <si>
    <t>host_body_product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</si>
  <si>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</si>
  <si>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</si>
  <si>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</si>
  <si>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</si>
  <si>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</si>
  <si>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</si>
  <si>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</si>
  <si>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</si>
  <si>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</si>
  <si>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</si>
  <si>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</si>
  <si>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</si>
  <si>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</si>
  <si>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</si>
  <si>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</si>
  <si>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string. The default value is UBERON:gastrointestinal tract.</t>
  </si>
  <si>
    <t>The value must be a string. The default value is UBERON:feces.</t>
  </si>
  <si>
    <t>The value must be a string. The default value is UBERON:colon.</t>
  </si>
  <si>
    <t>The value must be a string and must equal "rat gut metagenome". The default value is rat gut metagenome.</t>
  </si>
  <si>
    <t>The value must be a string and must equal "1436733". The default value is 1436733.</t>
  </si>
  <si>
    <t xml:space="preserve">host_body_habitat:
  default: UBERON:gastrointestinal tract
  empty: false
  is_phi: false
  required: true
  type: string
host_body_product:
  default: UBERON:feces
  empty: false
  is_phi: false
  required: true
  type: string
host_body_site:
  default: UBERON:colon
  empty: false
  is_phi: false
  required: true
  type: string
sample_name:
  empty: false
  is_phi: false
  regex: ^[a-zA-Z0-9\.]+$
  required: true
  type: string
  unique: true
scientific_name:
  allowed:
  - rat gut metagenome
  default: rat gut metagenome
  empty: false
  is_phi: false
  required: true
  type: string
taxon_id:
  allowed:
  - '1436733'
  default: '1436733'
  empty: false
  is_phi: false
  required: true
  type: string
</t>
  </si>
  <si>
    <t xml:space="preserve">0:
  categorical_default_select: rat gut metagenome
  categorical_values: rat gut metagenome
  default_value: categorical_default
  field_name: scientific_name
  field_type: categorical
1:
  categorical_default_select: '1436733'
  categorical_values: '1436733'
  default_value: categorical_default
  field_name: taxon_id
  field_type: categorical
2:
  default_value: text_default
  field_name: host_body_site
  field_type: string
  text_default: UBERON:colon
3:
  default_value: text_default
  field_name: host_body_habitat
  field_type: string
  text_default: UBERON:gastrointestinal tract
4:
  default_value: text_default
  field_name: host_body_product
  field_type: string
  text_default: UBERON:feces
</t>
  </si>
  <si>
    <t>This file was created by QIIMP v0.3 at 2018-08-24 09:36:20.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</si>
</sst>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>
        <f>IF(COUNTBLANK(B2:G2)&lt;&gt;COLUMNS(B2:G2),1,"")</f>
        <v>0</v>
      </c>
      <c r="C2" s="1">
        <f>IF(B2="", "", "UBERON:gastrointestinal tract")</f>
        <v>0</v>
      </c>
      <c r="D2" s="1">
        <f>IF(B2="", "", "UBERON:feces")</f>
        <v>0</v>
      </c>
      <c r="E2" s="1">
        <f>IF(B2="", "", "UBERON:colon")</f>
        <v>0</v>
      </c>
      <c r="F2" s="1">
        <f>IF(B2="", "", "rat gut metagenome")</f>
        <v>0</v>
      </c>
      <c r="G2" s="1">
        <f>IF(B2="", "", "1436733")</f>
        <v>0</v>
      </c>
    </row>
    <row r="3" spans="1:7">
      <c r="A3">
        <f>IF(COUNTBLANK(B3:G3)&lt;&gt;COLUMNS(B3:G3),2,"")</f>
        <v>0</v>
      </c>
      <c r="C3" s="1">
        <f>IF(B3="", "", "UBERON:gastrointestinal tract")</f>
        <v>0</v>
      </c>
      <c r="D3" s="1">
        <f>IF(B3="", "", "UBERON:feces")</f>
        <v>0</v>
      </c>
      <c r="E3" s="1">
        <f>IF(B3="", "", "UBERON:colon")</f>
        <v>0</v>
      </c>
      <c r="F3" s="1">
        <f>IF(B3="", "", "rat gut metagenome")</f>
        <v>0</v>
      </c>
      <c r="G3" s="1">
        <f>IF(B3="", "", "1436733")</f>
        <v>0</v>
      </c>
    </row>
    <row r="4" spans="1:7">
      <c r="A4">
        <f>IF(COUNTBLANK(B4:G4)&lt;&gt;COLUMNS(B4:G4),3,"")</f>
        <v>0</v>
      </c>
      <c r="C4" s="1">
        <f>IF(B4="", "", "UBERON:gastrointestinal tract")</f>
        <v>0</v>
      </c>
      <c r="D4" s="1">
        <f>IF(B4="", "", "UBERON:feces")</f>
        <v>0</v>
      </c>
      <c r="E4" s="1">
        <f>IF(B4="", "", "UBERON:colon")</f>
        <v>0</v>
      </c>
      <c r="F4" s="1">
        <f>IF(B4="", "", "rat gut metagenome")</f>
        <v>0</v>
      </c>
      <c r="G4" s="1">
        <f>IF(B4="", "", "1436733")</f>
        <v>0</v>
      </c>
    </row>
    <row r="5" spans="1:7">
      <c r="A5">
        <f>IF(COUNTBLANK(B5:G5)&lt;&gt;COLUMNS(B5:G5),4,"")</f>
        <v>0</v>
      </c>
      <c r="C5" s="1">
        <f>IF(B5="", "", "UBERON:gastrointestinal tract")</f>
        <v>0</v>
      </c>
      <c r="D5" s="1">
        <f>IF(B5="", "", "UBERON:feces")</f>
        <v>0</v>
      </c>
      <c r="E5" s="1">
        <f>IF(B5="", "", "UBERON:colon")</f>
        <v>0</v>
      </c>
      <c r="F5" s="1">
        <f>IF(B5="", "", "rat gut metagenome")</f>
        <v>0</v>
      </c>
      <c r="G5" s="1">
        <f>IF(B5="", "", "1436733")</f>
        <v>0</v>
      </c>
    </row>
    <row r="6" spans="1:7">
      <c r="A6">
        <f>IF(COUNTBLANK(B6:G6)&lt;&gt;COLUMNS(B6:G6),5,"")</f>
        <v>0</v>
      </c>
      <c r="C6" s="1">
        <f>IF(B6="", "", "UBERON:gastrointestinal tract")</f>
        <v>0</v>
      </c>
      <c r="D6" s="1">
        <f>IF(B6="", "", "UBERON:feces")</f>
        <v>0</v>
      </c>
      <c r="E6" s="1">
        <f>IF(B6="", "", "UBERON:colon")</f>
        <v>0</v>
      </c>
      <c r="F6" s="1">
        <f>IF(B6="", "", "rat gut metagenome")</f>
        <v>0</v>
      </c>
      <c r="G6" s="1">
        <f>IF(B6="", "", "1436733")</f>
        <v>0</v>
      </c>
    </row>
    <row r="7" spans="1:7">
      <c r="A7">
        <f>IF(COUNTBLANK(B7:G7)&lt;&gt;COLUMNS(B7:G7),6,"")</f>
        <v>0</v>
      </c>
      <c r="C7" s="1">
        <f>IF(B7="", "", "UBERON:gastrointestinal tract")</f>
        <v>0</v>
      </c>
      <c r="D7" s="1">
        <f>IF(B7="", "", "UBERON:feces")</f>
        <v>0</v>
      </c>
      <c r="E7" s="1">
        <f>IF(B7="", "", "UBERON:colon")</f>
        <v>0</v>
      </c>
      <c r="F7" s="1">
        <f>IF(B7="", "", "rat gut metagenome")</f>
        <v>0</v>
      </c>
      <c r="G7" s="1">
        <f>IF(B7="", "", "1436733")</f>
        <v>0</v>
      </c>
    </row>
    <row r="8" spans="1:7">
      <c r="A8">
        <f>IF(COUNTBLANK(B8:G8)&lt;&gt;COLUMNS(B8:G8),7,"")</f>
        <v>0</v>
      </c>
      <c r="C8" s="1">
        <f>IF(B8="", "", "UBERON:gastrointestinal tract")</f>
        <v>0</v>
      </c>
      <c r="D8" s="1">
        <f>IF(B8="", "", "UBERON:feces")</f>
        <v>0</v>
      </c>
      <c r="E8" s="1">
        <f>IF(B8="", "", "UBERON:colon")</f>
        <v>0</v>
      </c>
      <c r="F8" s="1">
        <f>IF(B8="", "", "rat gut metagenome")</f>
        <v>0</v>
      </c>
      <c r="G8" s="1">
        <f>IF(B8="", "", "1436733")</f>
        <v>0</v>
      </c>
    </row>
    <row r="9" spans="1:7">
      <c r="A9">
        <f>IF(COUNTBLANK(B9:G9)&lt;&gt;COLUMNS(B9:G9),8,"")</f>
        <v>0</v>
      </c>
      <c r="C9" s="1">
        <f>IF(B9="", "", "UBERON:gastrointestinal tract")</f>
        <v>0</v>
      </c>
      <c r="D9" s="1">
        <f>IF(B9="", "", "UBERON:feces")</f>
        <v>0</v>
      </c>
      <c r="E9" s="1">
        <f>IF(B9="", "", "UBERON:colon")</f>
        <v>0</v>
      </c>
      <c r="F9" s="1">
        <f>IF(B9="", "", "rat gut metagenome")</f>
        <v>0</v>
      </c>
      <c r="G9" s="1">
        <f>IF(B9="", "", "1436733")</f>
        <v>0</v>
      </c>
    </row>
    <row r="10" spans="1:7">
      <c r="A10">
        <f>IF(COUNTBLANK(B10:G10)&lt;&gt;COLUMNS(B10:G10),9,"")</f>
        <v>0</v>
      </c>
      <c r="C10" s="1">
        <f>IF(B10="", "", "UBERON:gastrointestinal tract")</f>
        <v>0</v>
      </c>
      <c r="D10" s="1">
        <f>IF(B10="", "", "UBERON:feces")</f>
        <v>0</v>
      </c>
      <c r="E10" s="1">
        <f>IF(B10="", "", "UBERON:colon")</f>
        <v>0</v>
      </c>
      <c r="F10" s="1">
        <f>IF(B10="", "", "rat gut metagenome")</f>
        <v>0</v>
      </c>
      <c r="G10" s="1">
        <f>IF(B10="", "", "1436733")</f>
        <v>0</v>
      </c>
    </row>
    <row r="11" spans="1:7">
      <c r="A11">
        <f>IF(COUNTBLANK(B11:G11)&lt;&gt;COLUMNS(B11:G11),10,"")</f>
        <v>0</v>
      </c>
      <c r="C11" s="1">
        <f>IF(B11="", "", "UBERON:gastrointestinal tract")</f>
        <v>0</v>
      </c>
      <c r="D11" s="1">
        <f>IF(B11="", "", "UBERON:feces")</f>
        <v>0</v>
      </c>
      <c r="E11" s="1">
        <f>IF(B11="", "", "UBERON:colon")</f>
        <v>0</v>
      </c>
      <c r="F11" s="1">
        <f>IF(B11="", "", "rat gut metagenome")</f>
        <v>0</v>
      </c>
      <c r="G11" s="1">
        <f>IF(B11="", "", "1436733")</f>
        <v>0</v>
      </c>
    </row>
    <row r="12" spans="1:7">
      <c r="A12">
        <f>IF(COUNTBLANK(B12:G12)&lt;&gt;COLUMNS(B12:G12),11,"")</f>
        <v>0</v>
      </c>
      <c r="C12" s="1">
        <f>IF(B12="", "", "UBERON:gastrointestinal tract")</f>
        <v>0</v>
      </c>
      <c r="D12" s="1">
        <f>IF(B12="", "", "UBERON:feces")</f>
        <v>0</v>
      </c>
      <c r="E12" s="1">
        <f>IF(B12="", "", "UBERON:colon")</f>
        <v>0</v>
      </c>
      <c r="F12" s="1">
        <f>IF(B12="", "", "rat gut metagenome")</f>
        <v>0</v>
      </c>
      <c r="G12" s="1">
        <f>IF(B12="", "", "1436733")</f>
        <v>0</v>
      </c>
    </row>
    <row r="13" spans="1:7">
      <c r="A13">
        <f>IF(COUNTBLANK(B13:G13)&lt;&gt;COLUMNS(B13:G13),12,"")</f>
        <v>0</v>
      </c>
      <c r="C13" s="1">
        <f>IF(B13="", "", "UBERON:gastrointestinal tract")</f>
        <v>0</v>
      </c>
      <c r="D13" s="1">
        <f>IF(B13="", "", "UBERON:feces")</f>
        <v>0</v>
      </c>
      <c r="E13" s="1">
        <f>IF(B13="", "", "UBERON:colon")</f>
        <v>0</v>
      </c>
      <c r="F13" s="1">
        <f>IF(B13="", "", "rat gut metagenome")</f>
        <v>0</v>
      </c>
      <c r="G13" s="1">
        <f>IF(B13="", "", "1436733")</f>
        <v>0</v>
      </c>
    </row>
    <row r="14" spans="1:7">
      <c r="A14">
        <f>IF(COUNTBLANK(B14:G14)&lt;&gt;COLUMNS(B14:G14),13,"")</f>
        <v>0</v>
      </c>
      <c r="C14" s="1">
        <f>IF(B14="", "", "UBERON:gastrointestinal tract")</f>
        <v>0</v>
      </c>
      <c r="D14" s="1">
        <f>IF(B14="", "", "UBERON:feces")</f>
        <v>0</v>
      </c>
      <c r="E14" s="1">
        <f>IF(B14="", "", "UBERON:colon")</f>
        <v>0</v>
      </c>
      <c r="F14" s="1">
        <f>IF(B14="", "", "rat gut metagenome")</f>
        <v>0</v>
      </c>
      <c r="G14" s="1">
        <f>IF(B14="", "", "1436733")</f>
        <v>0</v>
      </c>
    </row>
    <row r="15" spans="1:7">
      <c r="A15">
        <f>IF(COUNTBLANK(B15:G15)&lt;&gt;COLUMNS(B15:G15),14,"")</f>
        <v>0</v>
      </c>
      <c r="C15" s="1">
        <f>IF(B15="", "", "UBERON:gastrointestinal tract")</f>
        <v>0</v>
      </c>
      <c r="D15" s="1">
        <f>IF(B15="", "", "UBERON:feces")</f>
        <v>0</v>
      </c>
      <c r="E15" s="1">
        <f>IF(B15="", "", "UBERON:colon")</f>
        <v>0</v>
      </c>
      <c r="F15" s="1">
        <f>IF(B15="", "", "rat gut metagenome")</f>
        <v>0</v>
      </c>
      <c r="G15" s="1">
        <f>IF(B15="", "", "1436733")</f>
        <v>0</v>
      </c>
    </row>
    <row r="16" spans="1:7">
      <c r="A16">
        <f>IF(COUNTBLANK(B16:G16)&lt;&gt;COLUMNS(B16:G16),15,"")</f>
        <v>0</v>
      </c>
      <c r="C16" s="1">
        <f>IF(B16="", "", "UBERON:gastrointestinal tract")</f>
        <v>0</v>
      </c>
      <c r="D16" s="1">
        <f>IF(B16="", "", "UBERON:feces")</f>
        <v>0</v>
      </c>
      <c r="E16" s="1">
        <f>IF(B16="", "", "UBERON:colon")</f>
        <v>0</v>
      </c>
      <c r="F16" s="1">
        <f>IF(B16="", "", "rat gut metagenome")</f>
        <v>0</v>
      </c>
      <c r="G16" s="1">
        <f>IF(B16="", "", "1436733")</f>
        <v>0</v>
      </c>
    </row>
    <row r="17" spans="1:7">
      <c r="A17">
        <f>IF(COUNTBLANK(B17:G17)&lt;&gt;COLUMNS(B17:G17),16,"")</f>
        <v>0</v>
      </c>
      <c r="C17" s="1">
        <f>IF(B17="", "", "UBERON:gastrointestinal tract")</f>
        <v>0</v>
      </c>
      <c r="D17" s="1">
        <f>IF(B17="", "", "UBERON:feces")</f>
        <v>0</v>
      </c>
      <c r="E17" s="1">
        <f>IF(B17="", "", "UBERON:colon")</f>
        <v>0</v>
      </c>
      <c r="F17" s="1">
        <f>IF(B17="", "", "rat gut metagenome")</f>
        <v>0</v>
      </c>
      <c r="G17" s="1">
        <f>IF(B17="", "", "1436733")</f>
        <v>0</v>
      </c>
    </row>
    <row r="18" spans="1:7">
      <c r="A18">
        <f>IF(COUNTBLANK(B18:G18)&lt;&gt;COLUMNS(B18:G18),17,"")</f>
        <v>0</v>
      </c>
      <c r="C18" s="1">
        <f>IF(B18="", "", "UBERON:gastrointestinal tract")</f>
        <v>0</v>
      </c>
      <c r="D18" s="1">
        <f>IF(B18="", "", "UBERON:feces")</f>
        <v>0</v>
      </c>
      <c r="E18" s="1">
        <f>IF(B18="", "", "UBERON:colon")</f>
        <v>0</v>
      </c>
      <c r="F18" s="1">
        <f>IF(B18="", "", "rat gut metagenome")</f>
        <v>0</v>
      </c>
      <c r="G18" s="1">
        <f>IF(B18="", "", "1436733")</f>
        <v>0</v>
      </c>
    </row>
    <row r="19" spans="1:7">
      <c r="A19">
        <f>IF(COUNTBLANK(B19:G19)&lt;&gt;COLUMNS(B19:G19),18,"")</f>
        <v>0</v>
      </c>
      <c r="C19" s="1">
        <f>IF(B19="", "", "UBERON:gastrointestinal tract")</f>
        <v>0</v>
      </c>
      <c r="D19" s="1">
        <f>IF(B19="", "", "UBERON:feces")</f>
        <v>0</v>
      </c>
      <c r="E19" s="1">
        <f>IF(B19="", "", "UBERON:colon")</f>
        <v>0</v>
      </c>
      <c r="F19" s="1">
        <f>IF(B19="", "", "rat gut metagenome")</f>
        <v>0</v>
      </c>
      <c r="G19" s="1">
        <f>IF(B19="", "", "1436733")</f>
        <v>0</v>
      </c>
    </row>
    <row r="20" spans="1:7">
      <c r="A20">
        <f>IF(COUNTBLANK(B20:G20)&lt;&gt;COLUMNS(B20:G20),19,"")</f>
        <v>0</v>
      </c>
      <c r="C20" s="1">
        <f>IF(B20="", "", "UBERON:gastrointestinal tract")</f>
        <v>0</v>
      </c>
      <c r="D20" s="1">
        <f>IF(B20="", "", "UBERON:feces")</f>
        <v>0</v>
      </c>
      <c r="E20" s="1">
        <f>IF(B20="", "", "UBERON:colon")</f>
        <v>0</v>
      </c>
      <c r="F20" s="1">
        <f>IF(B20="", "", "rat gut metagenome")</f>
        <v>0</v>
      </c>
      <c r="G20" s="1">
        <f>IF(B20="", "", "1436733")</f>
        <v>0</v>
      </c>
    </row>
    <row r="21" spans="1:7">
      <c r="A21">
        <f>IF(COUNTBLANK(B21:G21)&lt;&gt;COLUMNS(B21:G21),20,"")</f>
        <v>0</v>
      </c>
      <c r="C21" s="1">
        <f>IF(B21="", "", "UBERON:gastrointestinal tract")</f>
        <v>0</v>
      </c>
      <c r="D21" s="1">
        <f>IF(B21="", "", "UBERON:feces")</f>
        <v>0</v>
      </c>
      <c r="E21" s="1">
        <f>IF(B21="", "", "UBERON:colon")</f>
        <v>0</v>
      </c>
      <c r="F21" s="1">
        <f>IF(B21="", "", "rat gut metagenome")</f>
        <v>0</v>
      </c>
      <c r="G21" s="1">
        <f>IF(B21="", "", "1436733")</f>
        <v>0</v>
      </c>
    </row>
    <row r="22" spans="1:7">
      <c r="A22">
        <f>IF(COUNTBLANK(B22:G22)&lt;&gt;COLUMNS(B22:G22),21,"")</f>
        <v>0</v>
      </c>
      <c r="C22" s="1">
        <f>IF(B22="", "", "UBERON:gastrointestinal tract")</f>
        <v>0</v>
      </c>
      <c r="D22" s="1">
        <f>IF(B22="", "", "UBERON:feces")</f>
        <v>0</v>
      </c>
      <c r="E22" s="1">
        <f>IF(B22="", "", "UBERON:colon")</f>
        <v>0</v>
      </c>
      <c r="F22" s="1">
        <f>IF(B22="", "", "rat gut metagenome")</f>
        <v>0</v>
      </c>
      <c r="G22" s="1">
        <f>IF(B22="", "", "1436733")</f>
        <v>0</v>
      </c>
    </row>
    <row r="23" spans="1:7">
      <c r="A23">
        <f>IF(COUNTBLANK(B23:G23)&lt;&gt;COLUMNS(B23:G23),22,"")</f>
        <v>0</v>
      </c>
      <c r="C23" s="1">
        <f>IF(B23="", "", "UBERON:gastrointestinal tract")</f>
        <v>0</v>
      </c>
      <c r="D23" s="1">
        <f>IF(B23="", "", "UBERON:feces")</f>
        <v>0</v>
      </c>
      <c r="E23" s="1">
        <f>IF(B23="", "", "UBERON:colon")</f>
        <v>0</v>
      </c>
      <c r="F23" s="1">
        <f>IF(B23="", "", "rat gut metagenome")</f>
        <v>0</v>
      </c>
      <c r="G23" s="1">
        <f>IF(B23="", "", "1436733")</f>
        <v>0</v>
      </c>
    </row>
    <row r="24" spans="1:7">
      <c r="A24">
        <f>IF(COUNTBLANK(B24:G24)&lt;&gt;COLUMNS(B24:G24),23,"")</f>
        <v>0</v>
      </c>
      <c r="C24" s="1">
        <f>IF(B24="", "", "UBERON:gastrointestinal tract")</f>
        <v>0</v>
      </c>
      <c r="D24" s="1">
        <f>IF(B24="", "", "UBERON:feces")</f>
        <v>0</v>
      </c>
      <c r="E24" s="1">
        <f>IF(B24="", "", "UBERON:colon")</f>
        <v>0</v>
      </c>
      <c r="F24" s="1">
        <f>IF(B24="", "", "rat gut metagenome")</f>
        <v>0</v>
      </c>
      <c r="G24" s="1">
        <f>IF(B24="", "", "1436733")</f>
        <v>0</v>
      </c>
    </row>
    <row r="25" spans="1:7">
      <c r="A25">
        <f>IF(COUNTBLANK(B25:G25)&lt;&gt;COLUMNS(B25:G25),24,"")</f>
        <v>0</v>
      </c>
      <c r="C25" s="1">
        <f>IF(B25="", "", "UBERON:gastrointestinal tract")</f>
        <v>0</v>
      </c>
      <c r="D25" s="1">
        <f>IF(B25="", "", "UBERON:feces")</f>
        <v>0</v>
      </c>
      <c r="E25" s="1">
        <f>IF(B25="", "", "UBERON:colon")</f>
        <v>0</v>
      </c>
      <c r="F25" s="1">
        <f>IF(B25="", "", "rat gut metagenome")</f>
        <v>0</v>
      </c>
      <c r="G25" s="1">
        <f>IF(B25="", "", "1436733")</f>
        <v>0</v>
      </c>
    </row>
    <row r="26" spans="1:7">
      <c r="A26">
        <f>IF(COUNTBLANK(B26:G26)&lt;&gt;COLUMNS(B26:G26),25,"")</f>
        <v>0</v>
      </c>
      <c r="C26" s="1">
        <f>IF(B26="", "", "UBERON:gastrointestinal tract")</f>
        <v>0</v>
      </c>
      <c r="D26" s="1">
        <f>IF(B26="", "", "UBERON:feces")</f>
        <v>0</v>
      </c>
      <c r="E26" s="1">
        <f>IF(B26="", "", "UBERON:colon")</f>
        <v>0</v>
      </c>
      <c r="F26" s="1">
        <f>IF(B26="", "", "rat gut metagenome")</f>
        <v>0</v>
      </c>
      <c r="G26" s="1">
        <f>IF(B26="", "", "1436733")</f>
        <v>0</v>
      </c>
    </row>
    <row r="27" spans="1:7">
      <c r="A27">
        <f>IF(COUNTBLANK(B27:G27)&lt;&gt;COLUMNS(B27:G27),26,"")</f>
        <v>0</v>
      </c>
      <c r="C27" s="1">
        <f>IF(B27="", "", "UBERON:gastrointestinal tract")</f>
        <v>0</v>
      </c>
      <c r="D27" s="1">
        <f>IF(B27="", "", "UBERON:feces")</f>
        <v>0</v>
      </c>
      <c r="E27" s="1">
        <f>IF(B27="", "", "UBERON:colon")</f>
        <v>0</v>
      </c>
      <c r="F27" s="1">
        <f>IF(B27="", "", "rat gut metagenome")</f>
        <v>0</v>
      </c>
      <c r="G27" s="1">
        <f>IF(B27="", "", "1436733")</f>
        <v>0</v>
      </c>
    </row>
    <row r="28" spans="1:7">
      <c r="A28">
        <f>IF(COUNTBLANK(B28:G28)&lt;&gt;COLUMNS(B28:G28),27,"")</f>
        <v>0</v>
      </c>
      <c r="C28" s="1">
        <f>IF(B28="", "", "UBERON:gastrointestinal tract")</f>
        <v>0</v>
      </c>
      <c r="D28" s="1">
        <f>IF(B28="", "", "UBERON:feces")</f>
        <v>0</v>
      </c>
      <c r="E28" s="1">
        <f>IF(B28="", "", "UBERON:colon")</f>
        <v>0</v>
      </c>
      <c r="F28" s="1">
        <f>IF(B28="", "", "rat gut metagenome")</f>
        <v>0</v>
      </c>
      <c r="G28" s="1">
        <f>IF(B28="", "", "1436733")</f>
        <v>0</v>
      </c>
    </row>
    <row r="29" spans="1:7">
      <c r="A29">
        <f>IF(COUNTBLANK(B29:G29)&lt;&gt;COLUMNS(B29:G29),28,"")</f>
        <v>0</v>
      </c>
      <c r="C29" s="1">
        <f>IF(B29="", "", "UBERON:gastrointestinal tract")</f>
        <v>0</v>
      </c>
      <c r="D29" s="1">
        <f>IF(B29="", "", "UBERON:feces")</f>
        <v>0</v>
      </c>
      <c r="E29" s="1">
        <f>IF(B29="", "", "UBERON:colon")</f>
        <v>0</v>
      </c>
      <c r="F29" s="1">
        <f>IF(B29="", "", "rat gut metagenome")</f>
        <v>0</v>
      </c>
      <c r="G29" s="1">
        <f>IF(B29="", "", "1436733")</f>
        <v>0</v>
      </c>
    </row>
    <row r="30" spans="1:7">
      <c r="A30">
        <f>IF(COUNTBLANK(B30:G30)&lt;&gt;COLUMNS(B30:G30),29,"")</f>
        <v>0</v>
      </c>
      <c r="C30" s="1">
        <f>IF(B30="", "", "UBERON:gastrointestinal tract")</f>
        <v>0</v>
      </c>
      <c r="D30" s="1">
        <f>IF(B30="", "", "UBERON:feces")</f>
        <v>0</v>
      </c>
      <c r="E30" s="1">
        <f>IF(B30="", "", "UBERON:colon")</f>
        <v>0</v>
      </c>
      <c r="F30" s="1">
        <f>IF(B30="", "", "rat gut metagenome")</f>
        <v>0</v>
      </c>
      <c r="G30" s="1">
        <f>IF(B30="", "", "1436733")</f>
        <v>0</v>
      </c>
    </row>
    <row r="31" spans="1:7">
      <c r="A31">
        <f>IF(COUNTBLANK(B31:G31)&lt;&gt;COLUMNS(B31:G31),30,"")</f>
        <v>0</v>
      </c>
      <c r="C31" s="1">
        <f>IF(B31="", "", "UBERON:gastrointestinal tract")</f>
        <v>0</v>
      </c>
      <c r="D31" s="1">
        <f>IF(B31="", "", "UBERON:feces")</f>
        <v>0</v>
      </c>
      <c r="E31" s="1">
        <f>IF(B31="", "", "UBERON:colon")</f>
        <v>0</v>
      </c>
      <c r="F31" s="1">
        <f>IF(B31="", "", "rat gut metagenome")</f>
        <v>0</v>
      </c>
      <c r="G31" s="1">
        <f>IF(B31="", "", "1436733")</f>
        <v>0</v>
      </c>
    </row>
    <row r="32" spans="1:7">
      <c r="A32">
        <f>IF(COUNTBLANK(B32:G32)&lt;&gt;COLUMNS(B32:G32),31,"")</f>
        <v>0</v>
      </c>
      <c r="C32" s="1">
        <f>IF(B32="", "", "UBERON:gastrointestinal tract")</f>
        <v>0</v>
      </c>
      <c r="D32" s="1">
        <f>IF(B32="", "", "UBERON:feces")</f>
        <v>0</v>
      </c>
      <c r="E32" s="1">
        <f>IF(B32="", "", "UBERON:colon")</f>
        <v>0</v>
      </c>
      <c r="F32" s="1">
        <f>IF(B32="", "", "rat gut metagenome")</f>
        <v>0</v>
      </c>
      <c r="G32" s="1">
        <f>IF(B32="", "", "1436733")</f>
        <v>0</v>
      </c>
    </row>
    <row r="33" spans="1:7">
      <c r="A33">
        <f>IF(COUNTBLANK(B33:G33)&lt;&gt;COLUMNS(B33:G33),32,"")</f>
        <v>0</v>
      </c>
      <c r="C33" s="1">
        <f>IF(B33="", "", "UBERON:gastrointestinal tract")</f>
        <v>0</v>
      </c>
      <c r="D33" s="1">
        <f>IF(B33="", "", "UBERON:feces")</f>
        <v>0</v>
      </c>
      <c r="E33" s="1">
        <f>IF(B33="", "", "UBERON:colon")</f>
        <v>0</v>
      </c>
      <c r="F33" s="1">
        <f>IF(B33="", "", "rat gut metagenome")</f>
        <v>0</v>
      </c>
      <c r="G33" s="1">
        <f>IF(B33="", "", "1436733")</f>
        <v>0</v>
      </c>
    </row>
    <row r="34" spans="1:7">
      <c r="A34">
        <f>IF(COUNTBLANK(B34:G34)&lt;&gt;COLUMNS(B34:G34),33,"")</f>
        <v>0</v>
      </c>
      <c r="C34" s="1">
        <f>IF(B34="", "", "UBERON:gastrointestinal tract")</f>
        <v>0</v>
      </c>
      <c r="D34" s="1">
        <f>IF(B34="", "", "UBERON:feces")</f>
        <v>0</v>
      </c>
      <c r="E34" s="1">
        <f>IF(B34="", "", "UBERON:colon")</f>
        <v>0</v>
      </c>
      <c r="F34" s="1">
        <f>IF(B34="", "", "rat gut metagenome")</f>
        <v>0</v>
      </c>
      <c r="G34" s="1">
        <f>IF(B34="", "", "1436733")</f>
        <v>0</v>
      </c>
    </row>
    <row r="35" spans="1:7">
      <c r="A35">
        <f>IF(COUNTBLANK(B35:G35)&lt;&gt;COLUMNS(B35:G35),34,"")</f>
        <v>0</v>
      </c>
      <c r="C35" s="1">
        <f>IF(B35="", "", "UBERON:gastrointestinal tract")</f>
        <v>0</v>
      </c>
      <c r="D35" s="1">
        <f>IF(B35="", "", "UBERON:feces")</f>
        <v>0</v>
      </c>
      <c r="E35" s="1">
        <f>IF(B35="", "", "UBERON:colon")</f>
        <v>0</v>
      </c>
      <c r="F35" s="1">
        <f>IF(B35="", "", "rat gut metagenome")</f>
        <v>0</v>
      </c>
      <c r="G35" s="1">
        <f>IF(B35="", "", "1436733")</f>
        <v>0</v>
      </c>
    </row>
    <row r="36" spans="1:7">
      <c r="A36">
        <f>IF(COUNTBLANK(B36:G36)&lt;&gt;COLUMNS(B36:G36),35,"")</f>
        <v>0</v>
      </c>
      <c r="C36" s="1">
        <f>IF(B36="", "", "UBERON:gastrointestinal tract")</f>
        <v>0</v>
      </c>
      <c r="D36" s="1">
        <f>IF(B36="", "", "UBERON:feces")</f>
        <v>0</v>
      </c>
      <c r="E36" s="1">
        <f>IF(B36="", "", "UBERON:colon")</f>
        <v>0</v>
      </c>
      <c r="F36" s="1">
        <f>IF(B36="", "", "rat gut metagenome")</f>
        <v>0</v>
      </c>
      <c r="G36" s="1">
        <f>IF(B36="", "", "1436733")</f>
        <v>0</v>
      </c>
    </row>
    <row r="37" spans="1:7">
      <c r="A37">
        <f>IF(COUNTBLANK(B37:G37)&lt;&gt;COLUMNS(B37:G37),36,"")</f>
        <v>0</v>
      </c>
      <c r="C37" s="1">
        <f>IF(B37="", "", "UBERON:gastrointestinal tract")</f>
        <v>0</v>
      </c>
      <c r="D37" s="1">
        <f>IF(B37="", "", "UBERON:feces")</f>
        <v>0</v>
      </c>
      <c r="E37" s="1">
        <f>IF(B37="", "", "UBERON:colon")</f>
        <v>0</v>
      </c>
      <c r="F37" s="1">
        <f>IF(B37="", "", "rat gut metagenome")</f>
        <v>0</v>
      </c>
      <c r="G37" s="1">
        <f>IF(B37="", "", "1436733")</f>
        <v>0</v>
      </c>
    </row>
    <row r="38" spans="1:7">
      <c r="A38">
        <f>IF(COUNTBLANK(B38:G38)&lt;&gt;COLUMNS(B38:G38),37,"")</f>
        <v>0</v>
      </c>
      <c r="C38" s="1">
        <f>IF(B38="", "", "UBERON:gastrointestinal tract")</f>
        <v>0</v>
      </c>
      <c r="D38" s="1">
        <f>IF(B38="", "", "UBERON:feces")</f>
        <v>0</v>
      </c>
      <c r="E38" s="1">
        <f>IF(B38="", "", "UBERON:colon")</f>
        <v>0</v>
      </c>
      <c r="F38" s="1">
        <f>IF(B38="", "", "rat gut metagenome")</f>
        <v>0</v>
      </c>
      <c r="G38" s="1">
        <f>IF(B38="", "", "1436733")</f>
        <v>0</v>
      </c>
    </row>
    <row r="39" spans="1:7">
      <c r="A39">
        <f>IF(COUNTBLANK(B39:G39)&lt;&gt;COLUMNS(B39:G39),38,"")</f>
        <v>0</v>
      </c>
      <c r="C39" s="1">
        <f>IF(B39="", "", "UBERON:gastrointestinal tract")</f>
        <v>0</v>
      </c>
      <c r="D39" s="1">
        <f>IF(B39="", "", "UBERON:feces")</f>
        <v>0</v>
      </c>
      <c r="E39" s="1">
        <f>IF(B39="", "", "UBERON:colon")</f>
        <v>0</v>
      </c>
      <c r="F39" s="1">
        <f>IF(B39="", "", "rat gut metagenome")</f>
        <v>0</v>
      </c>
      <c r="G39" s="1">
        <f>IF(B39="", "", "1436733")</f>
        <v>0</v>
      </c>
    </row>
    <row r="40" spans="1:7">
      <c r="A40">
        <f>IF(COUNTBLANK(B40:G40)&lt;&gt;COLUMNS(B40:G40),39,"")</f>
        <v>0</v>
      </c>
      <c r="C40" s="1">
        <f>IF(B40="", "", "UBERON:gastrointestinal tract")</f>
        <v>0</v>
      </c>
      <c r="D40" s="1">
        <f>IF(B40="", "", "UBERON:feces")</f>
        <v>0</v>
      </c>
      <c r="E40" s="1">
        <f>IF(B40="", "", "UBERON:colon")</f>
        <v>0</v>
      </c>
      <c r="F40" s="1">
        <f>IF(B40="", "", "rat gut metagenome")</f>
        <v>0</v>
      </c>
      <c r="G40" s="1">
        <f>IF(B40="", "", "1436733")</f>
        <v>0</v>
      </c>
    </row>
    <row r="41" spans="1:7">
      <c r="A41">
        <f>IF(COUNTBLANK(B41:G41)&lt;&gt;COLUMNS(B41:G41),40,"")</f>
        <v>0</v>
      </c>
      <c r="C41" s="1">
        <f>IF(B41="", "", "UBERON:gastrointestinal tract")</f>
        <v>0</v>
      </c>
      <c r="D41" s="1">
        <f>IF(B41="", "", "UBERON:feces")</f>
        <v>0</v>
      </c>
      <c r="E41" s="1">
        <f>IF(B41="", "", "UBERON:colon")</f>
        <v>0</v>
      </c>
      <c r="F41" s="1">
        <f>IF(B41="", "", "rat gut metagenome")</f>
        <v>0</v>
      </c>
      <c r="G41" s="1">
        <f>IF(B41="", "", "1436733")</f>
        <v>0</v>
      </c>
    </row>
    <row r="42" spans="1:7">
      <c r="A42">
        <f>IF(COUNTBLANK(B42:G42)&lt;&gt;COLUMNS(B42:G42),41,"")</f>
        <v>0</v>
      </c>
      <c r="C42" s="1">
        <f>IF(B42="", "", "UBERON:gastrointestinal tract")</f>
        <v>0</v>
      </c>
      <c r="D42" s="1">
        <f>IF(B42="", "", "UBERON:feces")</f>
        <v>0</v>
      </c>
      <c r="E42" s="1">
        <f>IF(B42="", "", "UBERON:colon")</f>
        <v>0</v>
      </c>
      <c r="F42" s="1">
        <f>IF(B42="", "", "rat gut metagenome")</f>
        <v>0</v>
      </c>
      <c r="G42" s="1">
        <f>IF(B42="", "", "1436733")</f>
        <v>0</v>
      </c>
    </row>
    <row r="43" spans="1:7">
      <c r="A43">
        <f>IF(COUNTBLANK(B43:G43)&lt;&gt;COLUMNS(B43:G43),42,"")</f>
        <v>0</v>
      </c>
      <c r="C43" s="1">
        <f>IF(B43="", "", "UBERON:gastrointestinal tract")</f>
        <v>0</v>
      </c>
      <c r="D43" s="1">
        <f>IF(B43="", "", "UBERON:feces")</f>
        <v>0</v>
      </c>
      <c r="E43" s="1">
        <f>IF(B43="", "", "UBERON:colon")</f>
        <v>0</v>
      </c>
      <c r="F43" s="1">
        <f>IF(B43="", "", "rat gut metagenome")</f>
        <v>0</v>
      </c>
      <c r="G43" s="1">
        <f>IF(B43="", "", "1436733")</f>
        <v>0</v>
      </c>
    </row>
    <row r="44" spans="1:7">
      <c r="A44">
        <f>IF(COUNTBLANK(B44:G44)&lt;&gt;COLUMNS(B44:G44),43,"")</f>
        <v>0</v>
      </c>
      <c r="C44" s="1">
        <f>IF(B44="", "", "UBERON:gastrointestinal tract")</f>
        <v>0</v>
      </c>
      <c r="D44" s="1">
        <f>IF(B44="", "", "UBERON:feces")</f>
        <v>0</v>
      </c>
      <c r="E44" s="1">
        <f>IF(B44="", "", "UBERON:colon")</f>
        <v>0</v>
      </c>
      <c r="F44" s="1">
        <f>IF(B44="", "", "rat gut metagenome")</f>
        <v>0</v>
      </c>
      <c r="G44" s="1">
        <f>IF(B44="", "", "1436733")</f>
        <v>0</v>
      </c>
    </row>
    <row r="45" spans="1:7">
      <c r="A45">
        <f>IF(COUNTBLANK(B45:G45)&lt;&gt;COLUMNS(B45:G45),44,"")</f>
        <v>0</v>
      </c>
      <c r="C45" s="1">
        <f>IF(B45="", "", "UBERON:gastrointestinal tract")</f>
        <v>0</v>
      </c>
      <c r="D45" s="1">
        <f>IF(B45="", "", "UBERON:feces")</f>
        <v>0</v>
      </c>
      <c r="E45" s="1">
        <f>IF(B45="", "", "UBERON:colon")</f>
        <v>0</v>
      </c>
      <c r="F45" s="1">
        <f>IF(B45="", "", "rat gut metagenome")</f>
        <v>0</v>
      </c>
      <c r="G45" s="1">
        <f>IF(B45="", "", "1436733")</f>
        <v>0</v>
      </c>
    </row>
    <row r="46" spans="1:7">
      <c r="A46">
        <f>IF(COUNTBLANK(B46:G46)&lt;&gt;COLUMNS(B46:G46),45,"")</f>
        <v>0</v>
      </c>
      <c r="C46" s="1">
        <f>IF(B46="", "", "UBERON:gastrointestinal tract")</f>
        <v>0</v>
      </c>
      <c r="D46" s="1">
        <f>IF(B46="", "", "UBERON:feces")</f>
        <v>0</v>
      </c>
      <c r="E46" s="1">
        <f>IF(B46="", "", "UBERON:colon")</f>
        <v>0</v>
      </c>
      <c r="F46" s="1">
        <f>IF(B46="", "", "rat gut metagenome")</f>
        <v>0</v>
      </c>
      <c r="G46" s="1">
        <f>IF(B46="", "", "1436733")</f>
        <v>0</v>
      </c>
    </row>
    <row r="47" spans="1:7">
      <c r="A47">
        <f>IF(COUNTBLANK(B47:G47)&lt;&gt;COLUMNS(B47:G47),46,"")</f>
        <v>0</v>
      </c>
      <c r="C47" s="1">
        <f>IF(B47="", "", "UBERON:gastrointestinal tract")</f>
        <v>0</v>
      </c>
      <c r="D47" s="1">
        <f>IF(B47="", "", "UBERON:feces")</f>
        <v>0</v>
      </c>
      <c r="E47" s="1">
        <f>IF(B47="", "", "UBERON:colon")</f>
        <v>0</v>
      </c>
      <c r="F47" s="1">
        <f>IF(B47="", "", "rat gut metagenome")</f>
        <v>0</v>
      </c>
      <c r="G47" s="1">
        <f>IF(B47="", "", "1436733")</f>
        <v>0</v>
      </c>
    </row>
    <row r="48" spans="1:7">
      <c r="A48">
        <f>IF(COUNTBLANK(B48:G48)&lt;&gt;COLUMNS(B48:G48),47,"")</f>
        <v>0</v>
      </c>
      <c r="C48" s="1">
        <f>IF(B48="", "", "UBERON:gastrointestinal tract")</f>
        <v>0</v>
      </c>
      <c r="D48" s="1">
        <f>IF(B48="", "", "UBERON:feces")</f>
        <v>0</v>
      </c>
      <c r="E48" s="1">
        <f>IF(B48="", "", "UBERON:colon")</f>
        <v>0</v>
      </c>
      <c r="F48" s="1">
        <f>IF(B48="", "", "rat gut metagenome")</f>
        <v>0</v>
      </c>
      <c r="G48" s="1">
        <f>IF(B48="", "", "1436733")</f>
        <v>0</v>
      </c>
    </row>
    <row r="49" spans="1:7">
      <c r="A49">
        <f>IF(COUNTBLANK(B49:G49)&lt;&gt;COLUMNS(B49:G49),48,"")</f>
        <v>0</v>
      </c>
      <c r="C49" s="1">
        <f>IF(B49="", "", "UBERON:gastrointestinal tract")</f>
        <v>0</v>
      </c>
      <c r="D49" s="1">
        <f>IF(B49="", "", "UBERON:feces")</f>
        <v>0</v>
      </c>
      <c r="E49" s="1">
        <f>IF(B49="", "", "UBERON:colon")</f>
        <v>0</v>
      </c>
      <c r="F49" s="1">
        <f>IF(B49="", "", "rat gut metagenome")</f>
        <v>0</v>
      </c>
      <c r="G49" s="1">
        <f>IF(B49="", "", "1436733")</f>
        <v>0</v>
      </c>
    </row>
    <row r="50" spans="1:7">
      <c r="A50">
        <f>IF(COUNTBLANK(B50:G50)&lt;&gt;COLUMNS(B50:G50),49,"")</f>
        <v>0</v>
      </c>
      <c r="C50" s="1">
        <f>IF(B50="", "", "UBERON:gastrointestinal tract")</f>
        <v>0</v>
      </c>
      <c r="D50" s="1">
        <f>IF(B50="", "", "UBERON:feces")</f>
        <v>0</v>
      </c>
      <c r="E50" s="1">
        <f>IF(B50="", "", "UBERON:colon")</f>
        <v>0</v>
      </c>
      <c r="F50" s="1">
        <f>IF(B50="", "", "rat gut metagenome")</f>
        <v>0</v>
      </c>
      <c r="G50" s="1">
        <f>IF(B50="", "", "1436733")</f>
        <v>0</v>
      </c>
    </row>
    <row r="51" spans="1:7">
      <c r="A51">
        <f>IF(COUNTBLANK(B51:G51)&lt;&gt;COLUMNS(B51:G51),50,"")</f>
        <v>0</v>
      </c>
      <c r="C51" s="1">
        <f>IF(B51="", "", "UBERON:gastrointestinal tract")</f>
        <v>0</v>
      </c>
      <c r="D51" s="1">
        <f>IF(B51="", "", "UBERON:feces")</f>
        <v>0</v>
      </c>
      <c r="E51" s="1">
        <f>IF(B51="", "", "UBERON:colon")</f>
        <v>0</v>
      </c>
      <c r="F51" s="1">
        <f>IF(B51="", "", "rat gut metagenome")</f>
        <v>0</v>
      </c>
      <c r="G51" s="1">
        <f>IF(B51="", "", "1436733")</f>
        <v>0</v>
      </c>
    </row>
    <row r="52" spans="1:7">
      <c r="A52">
        <f>IF(COUNTBLANK(B52:G52)&lt;&gt;COLUMNS(B52:G52),51,"")</f>
        <v>0</v>
      </c>
      <c r="C52" s="1">
        <f>IF(B52="", "", "UBERON:gastrointestinal tract")</f>
        <v>0</v>
      </c>
      <c r="D52" s="1">
        <f>IF(B52="", "", "UBERON:feces")</f>
        <v>0</v>
      </c>
      <c r="E52" s="1">
        <f>IF(B52="", "", "UBERON:colon")</f>
        <v>0</v>
      </c>
      <c r="F52" s="1">
        <f>IF(B52="", "", "rat gut metagenome")</f>
        <v>0</v>
      </c>
      <c r="G52" s="1">
        <f>IF(B52="", "", "1436733")</f>
        <v>0</v>
      </c>
    </row>
    <row r="53" spans="1:7">
      <c r="A53">
        <f>IF(COUNTBLANK(B53:G53)&lt;&gt;COLUMNS(B53:G53),52,"")</f>
        <v>0</v>
      </c>
      <c r="C53" s="1">
        <f>IF(B53="", "", "UBERON:gastrointestinal tract")</f>
        <v>0</v>
      </c>
      <c r="D53" s="1">
        <f>IF(B53="", "", "UBERON:feces")</f>
        <v>0</v>
      </c>
      <c r="E53" s="1">
        <f>IF(B53="", "", "UBERON:colon")</f>
        <v>0</v>
      </c>
      <c r="F53" s="1">
        <f>IF(B53="", "", "rat gut metagenome")</f>
        <v>0</v>
      </c>
      <c r="G53" s="1">
        <f>IF(B53="", "", "1436733")</f>
        <v>0</v>
      </c>
    </row>
    <row r="54" spans="1:7">
      <c r="A54">
        <f>IF(COUNTBLANK(B54:G54)&lt;&gt;COLUMNS(B54:G54),53,"")</f>
        <v>0</v>
      </c>
      <c r="C54" s="1">
        <f>IF(B54="", "", "UBERON:gastrointestinal tract")</f>
        <v>0</v>
      </c>
      <c r="D54" s="1">
        <f>IF(B54="", "", "UBERON:feces")</f>
        <v>0</v>
      </c>
      <c r="E54" s="1">
        <f>IF(B54="", "", "UBERON:colon")</f>
        <v>0</v>
      </c>
      <c r="F54" s="1">
        <f>IF(B54="", "", "rat gut metagenome")</f>
        <v>0</v>
      </c>
      <c r="G54" s="1">
        <f>IF(B54="", "", "1436733")</f>
        <v>0</v>
      </c>
    </row>
    <row r="55" spans="1:7">
      <c r="A55">
        <f>IF(COUNTBLANK(B55:G55)&lt;&gt;COLUMNS(B55:G55),54,"")</f>
        <v>0</v>
      </c>
      <c r="C55" s="1">
        <f>IF(B55="", "", "UBERON:gastrointestinal tract")</f>
        <v>0</v>
      </c>
      <c r="D55" s="1">
        <f>IF(B55="", "", "UBERON:feces")</f>
        <v>0</v>
      </c>
      <c r="E55" s="1">
        <f>IF(B55="", "", "UBERON:colon")</f>
        <v>0</v>
      </c>
      <c r="F55" s="1">
        <f>IF(B55="", "", "rat gut metagenome")</f>
        <v>0</v>
      </c>
      <c r="G55" s="1">
        <f>IF(B55="", "", "1436733")</f>
        <v>0</v>
      </c>
    </row>
    <row r="56" spans="1:7">
      <c r="A56">
        <f>IF(COUNTBLANK(B56:G56)&lt;&gt;COLUMNS(B56:G56),55,"")</f>
        <v>0</v>
      </c>
      <c r="C56" s="1">
        <f>IF(B56="", "", "UBERON:gastrointestinal tract")</f>
        <v>0</v>
      </c>
      <c r="D56" s="1">
        <f>IF(B56="", "", "UBERON:feces")</f>
        <v>0</v>
      </c>
      <c r="E56" s="1">
        <f>IF(B56="", "", "UBERON:colon")</f>
        <v>0</v>
      </c>
      <c r="F56" s="1">
        <f>IF(B56="", "", "rat gut metagenome")</f>
        <v>0</v>
      </c>
      <c r="G56" s="1">
        <f>IF(B56="", "", "1436733")</f>
        <v>0</v>
      </c>
    </row>
    <row r="57" spans="1:7">
      <c r="A57">
        <f>IF(COUNTBLANK(B57:G57)&lt;&gt;COLUMNS(B57:G57),56,"")</f>
        <v>0</v>
      </c>
      <c r="C57" s="1">
        <f>IF(B57="", "", "UBERON:gastrointestinal tract")</f>
        <v>0</v>
      </c>
      <c r="D57" s="1">
        <f>IF(B57="", "", "UBERON:feces")</f>
        <v>0</v>
      </c>
      <c r="E57" s="1">
        <f>IF(B57="", "", "UBERON:colon")</f>
        <v>0</v>
      </c>
      <c r="F57" s="1">
        <f>IF(B57="", "", "rat gut metagenome")</f>
        <v>0</v>
      </c>
      <c r="G57" s="1">
        <f>IF(B57="", "", "1436733")</f>
        <v>0</v>
      </c>
    </row>
    <row r="58" spans="1:7">
      <c r="A58">
        <f>IF(COUNTBLANK(B58:G58)&lt;&gt;COLUMNS(B58:G58),57,"")</f>
        <v>0</v>
      </c>
      <c r="C58" s="1">
        <f>IF(B58="", "", "UBERON:gastrointestinal tract")</f>
        <v>0</v>
      </c>
      <c r="D58" s="1">
        <f>IF(B58="", "", "UBERON:feces")</f>
        <v>0</v>
      </c>
      <c r="E58" s="1">
        <f>IF(B58="", "", "UBERON:colon")</f>
        <v>0</v>
      </c>
      <c r="F58" s="1">
        <f>IF(B58="", "", "rat gut metagenome")</f>
        <v>0</v>
      </c>
      <c r="G58" s="1">
        <f>IF(B58="", "", "1436733")</f>
        <v>0</v>
      </c>
    </row>
    <row r="59" spans="1:7">
      <c r="A59">
        <f>IF(COUNTBLANK(B59:G59)&lt;&gt;COLUMNS(B59:G59),58,"")</f>
        <v>0</v>
      </c>
      <c r="C59" s="1">
        <f>IF(B59="", "", "UBERON:gastrointestinal tract")</f>
        <v>0</v>
      </c>
      <c r="D59" s="1">
        <f>IF(B59="", "", "UBERON:feces")</f>
        <v>0</v>
      </c>
      <c r="E59" s="1">
        <f>IF(B59="", "", "UBERON:colon")</f>
        <v>0</v>
      </c>
      <c r="F59" s="1">
        <f>IF(B59="", "", "rat gut metagenome")</f>
        <v>0</v>
      </c>
      <c r="G59" s="1">
        <f>IF(B59="", "", "1436733")</f>
        <v>0</v>
      </c>
    </row>
    <row r="60" spans="1:7">
      <c r="A60">
        <f>IF(COUNTBLANK(B60:G60)&lt;&gt;COLUMNS(B60:G60),59,"")</f>
        <v>0</v>
      </c>
      <c r="C60" s="1">
        <f>IF(B60="", "", "UBERON:gastrointestinal tract")</f>
        <v>0</v>
      </c>
      <c r="D60" s="1">
        <f>IF(B60="", "", "UBERON:feces")</f>
        <v>0</v>
      </c>
      <c r="E60" s="1">
        <f>IF(B60="", "", "UBERON:colon")</f>
        <v>0</v>
      </c>
      <c r="F60" s="1">
        <f>IF(B60="", "", "rat gut metagenome")</f>
        <v>0</v>
      </c>
      <c r="G60" s="1">
        <f>IF(B60="", "", "1436733")</f>
        <v>0</v>
      </c>
    </row>
    <row r="61" spans="1:7">
      <c r="A61">
        <f>IF(COUNTBLANK(B61:G61)&lt;&gt;COLUMNS(B61:G61),60,"")</f>
        <v>0</v>
      </c>
      <c r="C61" s="1">
        <f>IF(B61="", "", "UBERON:gastrointestinal tract")</f>
        <v>0</v>
      </c>
      <c r="D61" s="1">
        <f>IF(B61="", "", "UBERON:feces")</f>
        <v>0</v>
      </c>
      <c r="E61" s="1">
        <f>IF(B61="", "", "UBERON:colon")</f>
        <v>0</v>
      </c>
      <c r="F61" s="1">
        <f>IF(B61="", "", "rat gut metagenome")</f>
        <v>0</v>
      </c>
      <c r="G61" s="1">
        <f>IF(B61="", "", "1436733")</f>
        <v>0</v>
      </c>
    </row>
    <row r="62" spans="1:7">
      <c r="A62">
        <f>IF(COUNTBLANK(B62:G62)&lt;&gt;COLUMNS(B62:G62),61,"")</f>
        <v>0</v>
      </c>
      <c r="C62" s="1">
        <f>IF(B62="", "", "UBERON:gastrointestinal tract")</f>
        <v>0</v>
      </c>
      <c r="D62" s="1">
        <f>IF(B62="", "", "UBERON:feces")</f>
        <v>0</v>
      </c>
      <c r="E62" s="1">
        <f>IF(B62="", "", "UBERON:colon")</f>
        <v>0</v>
      </c>
      <c r="F62" s="1">
        <f>IF(B62="", "", "rat gut metagenome")</f>
        <v>0</v>
      </c>
      <c r="G62" s="1">
        <f>IF(B62="", "", "1436733")</f>
        <v>0</v>
      </c>
    </row>
    <row r="63" spans="1:7">
      <c r="A63">
        <f>IF(COUNTBLANK(B63:G63)&lt;&gt;COLUMNS(B63:G63),62,"")</f>
        <v>0</v>
      </c>
      <c r="C63" s="1">
        <f>IF(B63="", "", "UBERON:gastrointestinal tract")</f>
        <v>0</v>
      </c>
      <c r="D63" s="1">
        <f>IF(B63="", "", "UBERON:feces")</f>
        <v>0</v>
      </c>
      <c r="E63" s="1">
        <f>IF(B63="", "", "UBERON:colon")</f>
        <v>0</v>
      </c>
      <c r="F63" s="1">
        <f>IF(B63="", "", "rat gut metagenome")</f>
        <v>0</v>
      </c>
      <c r="G63" s="1">
        <f>IF(B63="", "", "1436733")</f>
        <v>0</v>
      </c>
    </row>
    <row r="64" spans="1:7">
      <c r="A64">
        <f>IF(COUNTBLANK(B64:G64)&lt;&gt;COLUMNS(B64:G64),63,"")</f>
        <v>0</v>
      </c>
      <c r="C64" s="1">
        <f>IF(B64="", "", "UBERON:gastrointestinal tract")</f>
        <v>0</v>
      </c>
      <c r="D64" s="1">
        <f>IF(B64="", "", "UBERON:feces")</f>
        <v>0</v>
      </c>
      <c r="E64" s="1">
        <f>IF(B64="", "", "UBERON:colon")</f>
        <v>0</v>
      </c>
      <c r="F64" s="1">
        <f>IF(B64="", "", "rat gut metagenome")</f>
        <v>0</v>
      </c>
      <c r="G64" s="1">
        <f>IF(B64="", "", "1436733")</f>
        <v>0</v>
      </c>
    </row>
    <row r="65" spans="1:7">
      <c r="A65">
        <f>IF(COUNTBLANK(B65:G65)&lt;&gt;COLUMNS(B65:G65),64,"")</f>
        <v>0</v>
      </c>
      <c r="C65" s="1">
        <f>IF(B65="", "", "UBERON:gastrointestinal tract")</f>
        <v>0</v>
      </c>
      <c r="D65" s="1">
        <f>IF(B65="", "", "UBERON:feces")</f>
        <v>0</v>
      </c>
      <c r="E65" s="1">
        <f>IF(B65="", "", "UBERON:colon")</f>
        <v>0</v>
      </c>
      <c r="F65" s="1">
        <f>IF(B65="", "", "rat gut metagenome")</f>
        <v>0</v>
      </c>
      <c r="G65" s="1">
        <f>IF(B65="", "", "1436733")</f>
        <v>0</v>
      </c>
    </row>
    <row r="66" spans="1:7">
      <c r="A66">
        <f>IF(COUNTBLANK(B66:G66)&lt;&gt;COLUMNS(B66:G66),65,"")</f>
        <v>0</v>
      </c>
      <c r="C66" s="1">
        <f>IF(B66="", "", "UBERON:gastrointestinal tract")</f>
        <v>0</v>
      </c>
      <c r="D66" s="1">
        <f>IF(B66="", "", "UBERON:feces")</f>
        <v>0</v>
      </c>
      <c r="E66" s="1">
        <f>IF(B66="", "", "UBERON:colon")</f>
        <v>0</v>
      </c>
      <c r="F66" s="1">
        <f>IF(B66="", "", "rat gut metagenome")</f>
        <v>0</v>
      </c>
      <c r="G66" s="1">
        <f>IF(B66="", "", "1436733")</f>
        <v>0</v>
      </c>
    </row>
    <row r="67" spans="1:7">
      <c r="A67">
        <f>IF(COUNTBLANK(B67:G67)&lt;&gt;COLUMNS(B67:G67),66,"")</f>
        <v>0</v>
      </c>
      <c r="C67" s="1">
        <f>IF(B67="", "", "UBERON:gastrointestinal tract")</f>
        <v>0</v>
      </c>
      <c r="D67" s="1">
        <f>IF(B67="", "", "UBERON:feces")</f>
        <v>0</v>
      </c>
      <c r="E67" s="1">
        <f>IF(B67="", "", "UBERON:colon")</f>
        <v>0</v>
      </c>
      <c r="F67" s="1">
        <f>IF(B67="", "", "rat gut metagenome")</f>
        <v>0</v>
      </c>
      <c r="G67" s="1">
        <f>IF(B67="", "", "1436733")</f>
        <v>0</v>
      </c>
    </row>
    <row r="68" spans="1:7">
      <c r="A68">
        <f>IF(COUNTBLANK(B68:G68)&lt;&gt;COLUMNS(B68:G68),67,"")</f>
        <v>0</v>
      </c>
      <c r="C68" s="1">
        <f>IF(B68="", "", "UBERON:gastrointestinal tract")</f>
        <v>0</v>
      </c>
      <c r="D68" s="1">
        <f>IF(B68="", "", "UBERON:feces")</f>
        <v>0</v>
      </c>
      <c r="E68" s="1">
        <f>IF(B68="", "", "UBERON:colon")</f>
        <v>0</v>
      </c>
      <c r="F68" s="1">
        <f>IF(B68="", "", "rat gut metagenome")</f>
        <v>0</v>
      </c>
      <c r="G68" s="1">
        <f>IF(B68="", "", "1436733")</f>
        <v>0</v>
      </c>
    </row>
    <row r="69" spans="1:7">
      <c r="A69">
        <f>IF(COUNTBLANK(B69:G69)&lt;&gt;COLUMNS(B69:G69),68,"")</f>
        <v>0</v>
      </c>
      <c r="C69" s="1">
        <f>IF(B69="", "", "UBERON:gastrointestinal tract")</f>
        <v>0</v>
      </c>
      <c r="D69" s="1">
        <f>IF(B69="", "", "UBERON:feces")</f>
        <v>0</v>
      </c>
      <c r="E69" s="1">
        <f>IF(B69="", "", "UBERON:colon")</f>
        <v>0</v>
      </c>
      <c r="F69" s="1">
        <f>IF(B69="", "", "rat gut metagenome")</f>
        <v>0</v>
      </c>
      <c r="G69" s="1">
        <f>IF(B69="", "", "1436733")</f>
        <v>0</v>
      </c>
    </row>
    <row r="70" spans="1:7">
      <c r="A70">
        <f>IF(COUNTBLANK(B70:G70)&lt;&gt;COLUMNS(B70:G70),69,"")</f>
        <v>0</v>
      </c>
      <c r="C70" s="1">
        <f>IF(B70="", "", "UBERON:gastrointestinal tract")</f>
        <v>0</v>
      </c>
      <c r="D70" s="1">
        <f>IF(B70="", "", "UBERON:feces")</f>
        <v>0</v>
      </c>
      <c r="E70" s="1">
        <f>IF(B70="", "", "UBERON:colon")</f>
        <v>0</v>
      </c>
      <c r="F70" s="1">
        <f>IF(B70="", "", "rat gut metagenome")</f>
        <v>0</v>
      </c>
      <c r="G70" s="1">
        <f>IF(B70="", "", "1436733")</f>
        <v>0</v>
      </c>
    </row>
    <row r="71" spans="1:7">
      <c r="A71">
        <f>IF(COUNTBLANK(B71:G71)&lt;&gt;COLUMNS(B71:G71),70,"")</f>
        <v>0</v>
      </c>
      <c r="C71" s="1">
        <f>IF(B71="", "", "UBERON:gastrointestinal tract")</f>
        <v>0</v>
      </c>
      <c r="D71" s="1">
        <f>IF(B71="", "", "UBERON:feces")</f>
        <v>0</v>
      </c>
      <c r="E71" s="1">
        <f>IF(B71="", "", "UBERON:colon")</f>
        <v>0</v>
      </c>
      <c r="F71" s="1">
        <f>IF(B71="", "", "rat gut metagenome")</f>
        <v>0</v>
      </c>
      <c r="G71" s="1">
        <f>IF(B71="", "", "1436733")</f>
        <v>0</v>
      </c>
    </row>
    <row r="72" spans="1:7">
      <c r="A72">
        <f>IF(COUNTBLANK(B72:G72)&lt;&gt;COLUMNS(B72:G72),71,"")</f>
        <v>0</v>
      </c>
      <c r="C72" s="1">
        <f>IF(B72="", "", "UBERON:gastrointestinal tract")</f>
        <v>0</v>
      </c>
      <c r="D72" s="1">
        <f>IF(B72="", "", "UBERON:feces")</f>
        <v>0</v>
      </c>
      <c r="E72" s="1">
        <f>IF(B72="", "", "UBERON:colon")</f>
        <v>0</v>
      </c>
      <c r="F72" s="1">
        <f>IF(B72="", "", "rat gut metagenome")</f>
        <v>0</v>
      </c>
      <c r="G72" s="1">
        <f>IF(B72="", "", "1436733")</f>
        <v>0</v>
      </c>
    </row>
    <row r="73" spans="1:7">
      <c r="A73">
        <f>IF(COUNTBLANK(B73:G73)&lt;&gt;COLUMNS(B73:G73),72,"")</f>
        <v>0</v>
      </c>
      <c r="C73" s="1">
        <f>IF(B73="", "", "UBERON:gastrointestinal tract")</f>
        <v>0</v>
      </c>
      <c r="D73" s="1">
        <f>IF(B73="", "", "UBERON:feces")</f>
        <v>0</v>
      </c>
      <c r="E73" s="1">
        <f>IF(B73="", "", "UBERON:colon")</f>
        <v>0</v>
      </c>
      <c r="F73" s="1">
        <f>IF(B73="", "", "rat gut metagenome")</f>
        <v>0</v>
      </c>
      <c r="G73" s="1">
        <f>IF(B73="", "", "1436733")</f>
        <v>0</v>
      </c>
    </row>
    <row r="74" spans="1:7">
      <c r="A74">
        <f>IF(COUNTBLANK(B74:G74)&lt;&gt;COLUMNS(B74:G74),73,"")</f>
        <v>0</v>
      </c>
      <c r="C74" s="1">
        <f>IF(B74="", "", "UBERON:gastrointestinal tract")</f>
        <v>0</v>
      </c>
      <c r="D74" s="1">
        <f>IF(B74="", "", "UBERON:feces")</f>
        <v>0</v>
      </c>
      <c r="E74" s="1">
        <f>IF(B74="", "", "UBERON:colon")</f>
        <v>0</v>
      </c>
      <c r="F74" s="1">
        <f>IF(B74="", "", "rat gut metagenome")</f>
        <v>0</v>
      </c>
      <c r="G74" s="1">
        <f>IF(B74="", "", "1436733")</f>
        <v>0</v>
      </c>
    </row>
    <row r="75" spans="1:7">
      <c r="A75">
        <f>IF(COUNTBLANK(B75:G75)&lt;&gt;COLUMNS(B75:G75),74,"")</f>
        <v>0</v>
      </c>
      <c r="C75" s="1">
        <f>IF(B75="", "", "UBERON:gastrointestinal tract")</f>
        <v>0</v>
      </c>
      <c r="D75" s="1">
        <f>IF(B75="", "", "UBERON:feces")</f>
        <v>0</v>
      </c>
      <c r="E75" s="1">
        <f>IF(B75="", "", "UBERON:colon")</f>
        <v>0</v>
      </c>
      <c r="F75" s="1">
        <f>IF(B75="", "", "rat gut metagenome")</f>
        <v>0</v>
      </c>
      <c r="G75" s="1">
        <f>IF(B75="", "", "1436733")</f>
        <v>0</v>
      </c>
    </row>
    <row r="76" spans="1:7">
      <c r="A76">
        <f>IF(COUNTBLANK(B76:G76)&lt;&gt;COLUMNS(B76:G76),75,"")</f>
        <v>0</v>
      </c>
      <c r="C76" s="1">
        <f>IF(B76="", "", "UBERON:gastrointestinal tract")</f>
        <v>0</v>
      </c>
      <c r="D76" s="1">
        <f>IF(B76="", "", "UBERON:feces")</f>
        <v>0</v>
      </c>
      <c r="E76" s="1">
        <f>IF(B76="", "", "UBERON:colon")</f>
        <v>0</v>
      </c>
      <c r="F76" s="1">
        <f>IF(B76="", "", "rat gut metagenome")</f>
        <v>0</v>
      </c>
      <c r="G76" s="1">
        <f>IF(B76="", "", "1436733")</f>
        <v>0</v>
      </c>
    </row>
    <row r="77" spans="1:7">
      <c r="A77">
        <f>IF(COUNTBLANK(B77:G77)&lt;&gt;COLUMNS(B77:G77),76,"")</f>
        <v>0</v>
      </c>
      <c r="C77" s="1">
        <f>IF(B77="", "", "UBERON:gastrointestinal tract")</f>
        <v>0</v>
      </c>
      <c r="D77" s="1">
        <f>IF(B77="", "", "UBERON:feces")</f>
        <v>0</v>
      </c>
      <c r="E77" s="1">
        <f>IF(B77="", "", "UBERON:colon")</f>
        <v>0</v>
      </c>
      <c r="F77" s="1">
        <f>IF(B77="", "", "rat gut metagenome")</f>
        <v>0</v>
      </c>
      <c r="G77" s="1">
        <f>IF(B77="", "", "1436733")</f>
        <v>0</v>
      </c>
    </row>
    <row r="78" spans="1:7">
      <c r="A78">
        <f>IF(COUNTBLANK(B78:G78)&lt;&gt;COLUMNS(B78:G78),77,"")</f>
        <v>0</v>
      </c>
      <c r="C78" s="1">
        <f>IF(B78="", "", "UBERON:gastrointestinal tract")</f>
        <v>0</v>
      </c>
      <c r="D78" s="1">
        <f>IF(B78="", "", "UBERON:feces")</f>
        <v>0</v>
      </c>
      <c r="E78" s="1">
        <f>IF(B78="", "", "UBERON:colon")</f>
        <v>0</v>
      </c>
      <c r="F78" s="1">
        <f>IF(B78="", "", "rat gut metagenome")</f>
        <v>0</v>
      </c>
      <c r="G78" s="1">
        <f>IF(B78="", "", "1436733")</f>
        <v>0</v>
      </c>
    </row>
    <row r="79" spans="1:7">
      <c r="A79">
        <f>IF(COUNTBLANK(B79:G79)&lt;&gt;COLUMNS(B79:G79),78,"")</f>
        <v>0</v>
      </c>
      <c r="C79" s="1">
        <f>IF(B79="", "", "UBERON:gastrointestinal tract")</f>
        <v>0</v>
      </c>
      <c r="D79" s="1">
        <f>IF(B79="", "", "UBERON:feces")</f>
        <v>0</v>
      </c>
      <c r="E79" s="1">
        <f>IF(B79="", "", "UBERON:colon")</f>
        <v>0</v>
      </c>
      <c r="F79" s="1">
        <f>IF(B79="", "", "rat gut metagenome")</f>
        <v>0</v>
      </c>
      <c r="G79" s="1">
        <f>IF(B79="", "", "1436733")</f>
        <v>0</v>
      </c>
    </row>
    <row r="80" spans="1:7">
      <c r="A80">
        <f>IF(COUNTBLANK(B80:G80)&lt;&gt;COLUMNS(B80:G80),79,"")</f>
        <v>0</v>
      </c>
      <c r="C80" s="1">
        <f>IF(B80="", "", "UBERON:gastrointestinal tract")</f>
        <v>0</v>
      </c>
      <c r="D80" s="1">
        <f>IF(B80="", "", "UBERON:feces")</f>
        <v>0</v>
      </c>
      <c r="E80" s="1">
        <f>IF(B80="", "", "UBERON:colon")</f>
        <v>0</v>
      </c>
      <c r="F80" s="1">
        <f>IF(B80="", "", "rat gut metagenome")</f>
        <v>0</v>
      </c>
      <c r="G80" s="1">
        <f>IF(B80="", "", "1436733")</f>
        <v>0</v>
      </c>
    </row>
    <row r="81" spans="1:7">
      <c r="A81">
        <f>IF(COUNTBLANK(B81:G81)&lt;&gt;COLUMNS(B81:G81),80,"")</f>
        <v>0</v>
      </c>
      <c r="C81" s="1">
        <f>IF(B81="", "", "UBERON:gastrointestinal tract")</f>
        <v>0</v>
      </c>
      <c r="D81" s="1">
        <f>IF(B81="", "", "UBERON:feces")</f>
        <v>0</v>
      </c>
      <c r="E81" s="1">
        <f>IF(B81="", "", "UBERON:colon")</f>
        <v>0</v>
      </c>
      <c r="F81" s="1">
        <f>IF(B81="", "", "rat gut metagenome")</f>
        <v>0</v>
      </c>
      <c r="G81" s="1">
        <f>IF(B81="", "", "1436733")</f>
        <v>0</v>
      </c>
    </row>
    <row r="82" spans="1:7">
      <c r="A82">
        <f>IF(COUNTBLANK(B82:G82)&lt;&gt;COLUMNS(B82:G82),81,"")</f>
        <v>0</v>
      </c>
      <c r="C82" s="1">
        <f>IF(B82="", "", "UBERON:gastrointestinal tract")</f>
        <v>0</v>
      </c>
      <c r="D82" s="1">
        <f>IF(B82="", "", "UBERON:feces")</f>
        <v>0</v>
      </c>
      <c r="E82" s="1">
        <f>IF(B82="", "", "UBERON:colon")</f>
        <v>0</v>
      </c>
      <c r="F82" s="1">
        <f>IF(B82="", "", "rat gut metagenome")</f>
        <v>0</v>
      </c>
      <c r="G82" s="1">
        <f>IF(B82="", "", "1436733")</f>
        <v>0</v>
      </c>
    </row>
    <row r="83" spans="1:7">
      <c r="A83">
        <f>IF(COUNTBLANK(B83:G83)&lt;&gt;COLUMNS(B83:G83),82,"")</f>
        <v>0</v>
      </c>
      <c r="C83" s="1">
        <f>IF(B83="", "", "UBERON:gastrointestinal tract")</f>
        <v>0</v>
      </c>
      <c r="D83" s="1">
        <f>IF(B83="", "", "UBERON:feces")</f>
        <v>0</v>
      </c>
      <c r="E83" s="1">
        <f>IF(B83="", "", "UBERON:colon")</f>
        <v>0</v>
      </c>
      <c r="F83" s="1">
        <f>IF(B83="", "", "rat gut metagenome")</f>
        <v>0</v>
      </c>
      <c r="G83" s="1">
        <f>IF(B83="", "", "1436733")</f>
        <v>0</v>
      </c>
    </row>
    <row r="84" spans="1:7">
      <c r="A84">
        <f>IF(COUNTBLANK(B84:G84)&lt;&gt;COLUMNS(B84:G84),83,"")</f>
        <v>0</v>
      </c>
      <c r="C84" s="1">
        <f>IF(B84="", "", "UBERON:gastrointestinal tract")</f>
        <v>0</v>
      </c>
      <c r="D84" s="1">
        <f>IF(B84="", "", "UBERON:feces")</f>
        <v>0</v>
      </c>
      <c r="E84" s="1">
        <f>IF(B84="", "", "UBERON:colon")</f>
        <v>0</v>
      </c>
      <c r="F84" s="1">
        <f>IF(B84="", "", "rat gut metagenome")</f>
        <v>0</v>
      </c>
      <c r="G84" s="1">
        <f>IF(B84="", "", "1436733")</f>
        <v>0</v>
      </c>
    </row>
    <row r="85" spans="1:7">
      <c r="A85">
        <f>IF(COUNTBLANK(B85:G85)&lt;&gt;COLUMNS(B85:G85),84,"")</f>
        <v>0</v>
      </c>
      <c r="C85" s="1">
        <f>IF(B85="", "", "UBERON:gastrointestinal tract")</f>
        <v>0</v>
      </c>
      <c r="D85" s="1">
        <f>IF(B85="", "", "UBERON:feces")</f>
        <v>0</v>
      </c>
      <c r="E85" s="1">
        <f>IF(B85="", "", "UBERON:colon")</f>
        <v>0</v>
      </c>
      <c r="F85" s="1">
        <f>IF(B85="", "", "rat gut metagenome")</f>
        <v>0</v>
      </c>
      <c r="G85" s="1">
        <f>IF(B85="", "", "1436733")</f>
        <v>0</v>
      </c>
    </row>
    <row r="86" spans="1:7">
      <c r="A86">
        <f>IF(COUNTBLANK(B86:G86)&lt;&gt;COLUMNS(B86:G86),85,"")</f>
        <v>0</v>
      </c>
      <c r="C86" s="1">
        <f>IF(B86="", "", "UBERON:gastrointestinal tract")</f>
        <v>0</v>
      </c>
      <c r="D86" s="1">
        <f>IF(B86="", "", "UBERON:feces")</f>
        <v>0</v>
      </c>
      <c r="E86" s="1">
        <f>IF(B86="", "", "UBERON:colon")</f>
        <v>0</v>
      </c>
      <c r="F86" s="1">
        <f>IF(B86="", "", "rat gut metagenome")</f>
        <v>0</v>
      </c>
      <c r="G86" s="1">
        <f>IF(B86="", "", "1436733")</f>
        <v>0</v>
      </c>
    </row>
    <row r="87" spans="1:7">
      <c r="A87">
        <f>IF(COUNTBLANK(B87:G87)&lt;&gt;COLUMNS(B87:G87),86,"")</f>
        <v>0</v>
      </c>
      <c r="C87" s="1">
        <f>IF(B87="", "", "UBERON:gastrointestinal tract")</f>
        <v>0</v>
      </c>
      <c r="D87" s="1">
        <f>IF(B87="", "", "UBERON:feces")</f>
        <v>0</v>
      </c>
      <c r="E87" s="1">
        <f>IF(B87="", "", "UBERON:colon")</f>
        <v>0</v>
      </c>
      <c r="F87" s="1">
        <f>IF(B87="", "", "rat gut metagenome")</f>
        <v>0</v>
      </c>
      <c r="G87" s="1">
        <f>IF(B87="", "", "1436733")</f>
        <v>0</v>
      </c>
    </row>
    <row r="88" spans="1:7">
      <c r="A88">
        <f>IF(COUNTBLANK(B88:G88)&lt;&gt;COLUMNS(B88:G88),87,"")</f>
        <v>0</v>
      </c>
      <c r="C88" s="1">
        <f>IF(B88="", "", "UBERON:gastrointestinal tract")</f>
        <v>0</v>
      </c>
      <c r="D88" s="1">
        <f>IF(B88="", "", "UBERON:feces")</f>
        <v>0</v>
      </c>
      <c r="E88" s="1">
        <f>IF(B88="", "", "UBERON:colon")</f>
        <v>0</v>
      </c>
      <c r="F88" s="1">
        <f>IF(B88="", "", "rat gut metagenome")</f>
        <v>0</v>
      </c>
      <c r="G88" s="1">
        <f>IF(B88="", "", "1436733")</f>
        <v>0</v>
      </c>
    </row>
    <row r="89" spans="1:7">
      <c r="A89">
        <f>IF(COUNTBLANK(B89:G89)&lt;&gt;COLUMNS(B89:G89),88,"")</f>
        <v>0</v>
      </c>
      <c r="C89" s="1">
        <f>IF(B89="", "", "UBERON:gastrointestinal tract")</f>
        <v>0</v>
      </c>
      <c r="D89" s="1">
        <f>IF(B89="", "", "UBERON:feces")</f>
        <v>0</v>
      </c>
      <c r="E89" s="1">
        <f>IF(B89="", "", "UBERON:colon")</f>
        <v>0</v>
      </c>
      <c r="F89" s="1">
        <f>IF(B89="", "", "rat gut metagenome")</f>
        <v>0</v>
      </c>
      <c r="G89" s="1">
        <f>IF(B89="", "", "1436733")</f>
        <v>0</v>
      </c>
    </row>
    <row r="90" spans="1:7">
      <c r="A90">
        <f>IF(COUNTBLANK(B90:G90)&lt;&gt;COLUMNS(B90:G90),89,"")</f>
        <v>0</v>
      </c>
      <c r="C90" s="1">
        <f>IF(B90="", "", "UBERON:gastrointestinal tract")</f>
        <v>0</v>
      </c>
      <c r="D90" s="1">
        <f>IF(B90="", "", "UBERON:feces")</f>
        <v>0</v>
      </c>
      <c r="E90" s="1">
        <f>IF(B90="", "", "UBERON:colon")</f>
        <v>0</v>
      </c>
      <c r="F90" s="1">
        <f>IF(B90="", "", "rat gut metagenome")</f>
        <v>0</v>
      </c>
      <c r="G90" s="1">
        <f>IF(B90="", "", "1436733")</f>
        <v>0</v>
      </c>
    </row>
    <row r="91" spans="1:7">
      <c r="A91">
        <f>IF(COUNTBLANK(B91:G91)&lt;&gt;COLUMNS(B91:G91),90,"")</f>
        <v>0</v>
      </c>
      <c r="C91" s="1">
        <f>IF(B91="", "", "UBERON:gastrointestinal tract")</f>
        <v>0</v>
      </c>
      <c r="D91" s="1">
        <f>IF(B91="", "", "UBERON:feces")</f>
        <v>0</v>
      </c>
      <c r="E91" s="1">
        <f>IF(B91="", "", "UBERON:colon")</f>
        <v>0</v>
      </c>
      <c r="F91" s="1">
        <f>IF(B91="", "", "rat gut metagenome")</f>
        <v>0</v>
      </c>
      <c r="G91" s="1">
        <f>IF(B91="", "", "1436733")</f>
        <v>0</v>
      </c>
    </row>
    <row r="92" spans="1:7">
      <c r="A92">
        <f>IF(COUNTBLANK(B92:G92)&lt;&gt;COLUMNS(B92:G92),91,"")</f>
        <v>0</v>
      </c>
      <c r="C92" s="1">
        <f>IF(B92="", "", "UBERON:gastrointestinal tract")</f>
        <v>0</v>
      </c>
      <c r="D92" s="1">
        <f>IF(B92="", "", "UBERON:feces")</f>
        <v>0</v>
      </c>
      <c r="E92" s="1">
        <f>IF(B92="", "", "UBERON:colon")</f>
        <v>0</v>
      </c>
      <c r="F92" s="1">
        <f>IF(B92="", "", "rat gut metagenome")</f>
        <v>0</v>
      </c>
      <c r="G92" s="1">
        <f>IF(B92="", "", "1436733")</f>
        <v>0</v>
      </c>
    </row>
    <row r="93" spans="1:7">
      <c r="A93">
        <f>IF(COUNTBLANK(B93:G93)&lt;&gt;COLUMNS(B93:G93),92,"")</f>
        <v>0</v>
      </c>
      <c r="C93" s="1">
        <f>IF(B93="", "", "UBERON:gastrointestinal tract")</f>
        <v>0</v>
      </c>
      <c r="D93" s="1">
        <f>IF(B93="", "", "UBERON:feces")</f>
        <v>0</v>
      </c>
      <c r="E93" s="1">
        <f>IF(B93="", "", "UBERON:colon")</f>
        <v>0</v>
      </c>
      <c r="F93" s="1">
        <f>IF(B93="", "", "rat gut metagenome")</f>
        <v>0</v>
      </c>
      <c r="G93" s="1">
        <f>IF(B93="", "", "1436733")</f>
        <v>0</v>
      </c>
    </row>
    <row r="94" spans="1:7">
      <c r="A94">
        <f>IF(COUNTBLANK(B94:G94)&lt;&gt;COLUMNS(B94:G94),93,"")</f>
        <v>0</v>
      </c>
      <c r="C94" s="1">
        <f>IF(B94="", "", "UBERON:gastrointestinal tract")</f>
        <v>0</v>
      </c>
      <c r="D94" s="1">
        <f>IF(B94="", "", "UBERON:feces")</f>
        <v>0</v>
      </c>
      <c r="E94" s="1">
        <f>IF(B94="", "", "UBERON:colon")</f>
        <v>0</v>
      </c>
      <c r="F94" s="1">
        <f>IF(B94="", "", "rat gut metagenome")</f>
        <v>0</v>
      </c>
      <c r="G94" s="1">
        <f>IF(B94="", "", "1436733")</f>
        <v>0</v>
      </c>
    </row>
    <row r="95" spans="1:7">
      <c r="A95">
        <f>IF(COUNTBLANK(B95:G95)&lt;&gt;COLUMNS(B95:G95),94,"")</f>
        <v>0</v>
      </c>
      <c r="C95" s="1">
        <f>IF(B95="", "", "UBERON:gastrointestinal tract")</f>
        <v>0</v>
      </c>
      <c r="D95" s="1">
        <f>IF(B95="", "", "UBERON:feces")</f>
        <v>0</v>
      </c>
      <c r="E95" s="1">
        <f>IF(B95="", "", "UBERON:colon")</f>
        <v>0</v>
      </c>
      <c r="F95" s="1">
        <f>IF(B95="", "", "rat gut metagenome")</f>
        <v>0</v>
      </c>
      <c r="G95" s="1">
        <f>IF(B95="", "", "1436733")</f>
        <v>0</v>
      </c>
    </row>
    <row r="96" spans="1:7">
      <c r="A96">
        <f>IF(COUNTBLANK(B96:G96)&lt;&gt;COLUMNS(B96:G96),95,"")</f>
        <v>0</v>
      </c>
      <c r="C96" s="1">
        <f>IF(B96="", "", "UBERON:gastrointestinal tract")</f>
        <v>0</v>
      </c>
      <c r="D96" s="1">
        <f>IF(B96="", "", "UBERON:feces")</f>
        <v>0</v>
      </c>
      <c r="E96" s="1">
        <f>IF(B96="", "", "UBERON:colon")</f>
        <v>0</v>
      </c>
      <c r="F96" s="1">
        <f>IF(B96="", "", "rat gut metagenome")</f>
        <v>0</v>
      </c>
      <c r="G96" s="1">
        <f>IF(B96="", "", "1436733")</f>
        <v>0</v>
      </c>
    </row>
    <row r="97" spans="1:7">
      <c r="A97">
        <f>IF(COUNTBLANK(B97:G97)&lt;&gt;COLUMNS(B97:G97),96,"")</f>
        <v>0</v>
      </c>
      <c r="C97" s="1">
        <f>IF(B97="", "", "UBERON:gastrointestinal tract")</f>
        <v>0</v>
      </c>
      <c r="D97" s="1">
        <f>IF(B97="", "", "UBERON:feces")</f>
        <v>0</v>
      </c>
      <c r="E97" s="1">
        <f>IF(B97="", "", "UBERON:colon")</f>
        <v>0</v>
      </c>
      <c r="F97" s="1">
        <f>IF(B97="", "", "rat gut metagenome")</f>
        <v>0</v>
      </c>
      <c r="G97" s="1">
        <f>IF(B97="", "", "1436733")</f>
        <v>0</v>
      </c>
    </row>
    <row r="98" spans="1:7">
      <c r="A98">
        <f>IF(COUNTBLANK(B98:G98)&lt;&gt;COLUMNS(B98:G98),97,"")</f>
        <v>0</v>
      </c>
      <c r="C98" s="1">
        <f>IF(B98="", "", "UBERON:gastrointestinal tract")</f>
        <v>0</v>
      </c>
      <c r="D98" s="1">
        <f>IF(B98="", "", "UBERON:feces")</f>
        <v>0</v>
      </c>
      <c r="E98" s="1">
        <f>IF(B98="", "", "UBERON:colon")</f>
        <v>0</v>
      </c>
      <c r="F98" s="1">
        <f>IF(B98="", "", "rat gut metagenome")</f>
        <v>0</v>
      </c>
      <c r="G98" s="1">
        <f>IF(B98="", "", "1436733")</f>
        <v>0</v>
      </c>
    </row>
    <row r="99" spans="1:7">
      <c r="A99">
        <f>IF(COUNTBLANK(B99:G99)&lt;&gt;COLUMNS(B99:G99),98,"")</f>
        <v>0</v>
      </c>
      <c r="C99" s="1">
        <f>IF(B99="", "", "UBERON:gastrointestinal tract")</f>
        <v>0</v>
      </c>
      <c r="D99" s="1">
        <f>IF(B99="", "", "UBERON:feces")</f>
        <v>0</v>
      </c>
      <c r="E99" s="1">
        <f>IF(B99="", "", "UBERON:colon")</f>
        <v>0</v>
      </c>
      <c r="F99" s="1">
        <f>IF(B99="", "", "rat gut metagenome")</f>
        <v>0</v>
      </c>
      <c r="G99" s="1">
        <f>IF(B99="", "", "1436733")</f>
        <v>0</v>
      </c>
    </row>
    <row r="100" spans="1:7">
      <c r="A100">
        <f>IF(COUNTBLANK(B100:G100)&lt;&gt;COLUMNS(B100:G100),99,"")</f>
        <v>0</v>
      </c>
      <c r="C100" s="1">
        <f>IF(B100="", "", "UBERON:gastrointestinal tract")</f>
        <v>0</v>
      </c>
      <c r="D100" s="1">
        <f>IF(B100="", "", "UBERON:feces")</f>
        <v>0</v>
      </c>
      <c r="E100" s="1">
        <f>IF(B100="", "", "UBERON:colon")</f>
        <v>0</v>
      </c>
      <c r="F100" s="1">
        <f>IF(B100="", "", "rat gut metagenome")</f>
        <v>0</v>
      </c>
      <c r="G100" s="1">
        <f>IF(B100="", "", "1436733")</f>
        <v>0</v>
      </c>
    </row>
    <row r="101" spans="1:7">
      <c r="A101">
        <f>IF(COUNTBLANK(B101:G101)&lt;&gt;COLUMNS(B101:G101),100,"")</f>
        <v>0</v>
      </c>
      <c r="C101" s="1">
        <f>IF(B101="", "", "UBERON:gastrointestinal tract")</f>
        <v>0</v>
      </c>
      <c r="D101" s="1">
        <f>IF(B101="", "", "UBERON:feces")</f>
        <v>0</v>
      </c>
      <c r="E101" s="1">
        <f>IF(B101="", "", "UBERON:colon")</f>
        <v>0</v>
      </c>
      <c r="F101" s="1">
        <f>IF(B101="", "", "rat gut metagenome")</f>
        <v>0</v>
      </c>
      <c r="G101" s="1">
        <f>IF(B101="", "", "1436733")</f>
        <v>0</v>
      </c>
    </row>
    <row r="102" spans="1:7">
      <c r="A102">
        <f>IF(COUNTBLANK(B102:G102)&lt;&gt;COLUMNS(B102:G102),101,"")</f>
        <v>0</v>
      </c>
      <c r="C102" s="1">
        <f>IF(B102="", "", "UBERON:gastrointestinal tract")</f>
        <v>0</v>
      </c>
      <c r="D102" s="1">
        <f>IF(B102="", "", "UBERON:feces")</f>
        <v>0</v>
      </c>
      <c r="E102" s="1">
        <f>IF(B102="", "", "UBERON:colon")</f>
        <v>0</v>
      </c>
      <c r="F102" s="1">
        <f>IF(B102="", "", "rat gut metagenome")</f>
        <v>0</v>
      </c>
      <c r="G102" s="1">
        <f>IF(B102="", "", "1436733")</f>
        <v>0</v>
      </c>
    </row>
    <row r="103" spans="1:7">
      <c r="A103">
        <f>IF(COUNTBLANK(B103:G103)&lt;&gt;COLUMNS(B103:G103),102,"")</f>
        <v>0</v>
      </c>
      <c r="C103" s="1">
        <f>IF(B103="", "", "UBERON:gastrointestinal tract")</f>
        <v>0</v>
      </c>
      <c r="D103" s="1">
        <f>IF(B103="", "", "UBERON:feces")</f>
        <v>0</v>
      </c>
      <c r="E103" s="1">
        <f>IF(B103="", "", "UBERON:colon")</f>
        <v>0</v>
      </c>
      <c r="F103" s="1">
        <f>IF(B103="", "", "rat gut metagenome")</f>
        <v>0</v>
      </c>
      <c r="G103" s="1">
        <f>IF(B103="", "", "1436733")</f>
        <v>0</v>
      </c>
    </row>
    <row r="104" spans="1:7">
      <c r="A104">
        <f>IF(COUNTBLANK(B104:G104)&lt;&gt;COLUMNS(B104:G104),103,"")</f>
        <v>0</v>
      </c>
      <c r="C104" s="1">
        <f>IF(B104="", "", "UBERON:gastrointestinal tract")</f>
        <v>0</v>
      </c>
      <c r="D104" s="1">
        <f>IF(B104="", "", "UBERON:feces")</f>
        <v>0</v>
      </c>
      <c r="E104" s="1">
        <f>IF(B104="", "", "UBERON:colon")</f>
        <v>0</v>
      </c>
      <c r="F104" s="1">
        <f>IF(B104="", "", "rat gut metagenome")</f>
        <v>0</v>
      </c>
      <c r="G104" s="1">
        <f>IF(B104="", "", "1436733")</f>
        <v>0</v>
      </c>
    </row>
    <row r="105" spans="1:7">
      <c r="A105">
        <f>IF(COUNTBLANK(B105:G105)&lt;&gt;COLUMNS(B105:G105),104,"")</f>
        <v>0</v>
      </c>
      <c r="C105" s="1">
        <f>IF(B105="", "", "UBERON:gastrointestinal tract")</f>
        <v>0</v>
      </c>
      <c r="D105" s="1">
        <f>IF(B105="", "", "UBERON:feces")</f>
        <v>0</v>
      </c>
      <c r="E105" s="1">
        <f>IF(B105="", "", "UBERON:colon")</f>
        <v>0</v>
      </c>
      <c r="F105" s="1">
        <f>IF(B105="", "", "rat gut metagenome")</f>
        <v>0</v>
      </c>
      <c r="G105" s="1">
        <f>IF(B105="", "", "1436733")</f>
        <v>0</v>
      </c>
    </row>
    <row r="106" spans="1:7">
      <c r="A106">
        <f>IF(COUNTBLANK(B106:G106)&lt;&gt;COLUMNS(B106:G106),105,"")</f>
        <v>0</v>
      </c>
      <c r="C106" s="1">
        <f>IF(B106="", "", "UBERON:gastrointestinal tract")</f>
        <v>0</v>
      </c>
      <c r="D106" s="1">
        <f>IF(B106="", "", "UBERON:feces")</f>
        <v>0</v>
      </c>
      <c r="E106" s="1">
        <f>IF(B106="", "", "UBERON:colon")</f>
        <v>0</v>
      </c>
      <c r="F106" s="1">
        <f>IF(B106="", "", "rat gut metagenome")</f>
        <v>0</v>
      </c>
      <c r="G106" s="1">
        <f>IF(B106="", "", "1436733")</f>
        <v>0</v>
      </c>
    </row>
    <row r="107" spans="1:7">
      <c r="A107">
        <f>IF(COUNTBLANK(B107:G107)&lt;&gt;COLUMNS(B107:G107),106,"")</f>
        <v>0</v>
      </c>
      <c r="C107" s="1">
        <f>IF(B107="", "", "UBERON:gastrointestinal tract")</f>
        <v>0</v>
      </c>
      <c r="D107" s="1">
        <f>IF(B107="", "", "UBERON:feces")</f>
        <v>0</v>
      </c>
      <c r="E107" s="1">
        <f>IF(B107="", "", "UBERON:colon")</f>
        <v>0</v>
      </c>
      <c r="F107" s="1">
        <f>IF(B107="", "", "rat gut metagenome")</f>
        <v>0</v>
      </c>
      <c r="G107" s="1">
        <f>IF(B107="", "", "1436733")</f>
        <v>0</v>
      </c>
    </row>
    <row r="108" spans="1:7">
      <c r="A108">
        <f>IF(COUNTBLANK(B108:G108)&lt;&gt;COLUMNS(B108:G108),107,"")</f>
        <v>0</v>
      </c>
      <c r="C108" s="1">
        <f>IF(B108="", "", "UBERON:gastrointestinal tract")</f>
        <v>0</v>
      </c>
      <c r="D108" s="1">
        <f>IF(B108="", "", "UBERON:feces")</f>
        <v>0</v>
      </c>
      <c r="E108" s="1">
        <f>IF(B108="", "", "UBERON:colon")</f>
        <v>0</v>
      </c>
      <c r="F108" s="1">
        <f>IF(B108="", "", "rat gut metagenome")</f>
        <v>0</v>
      </c>
      <c r="G108" s="1">
        <f>IF(B108="", "", "1436733")</f>
        <v>0</v>
      </c>
    </row>
    <row r="109" spans="1:7">
      <c r="A109">
        <f>IF(COUNTBLANK(B109:G109)&lt;&gt;COLUMNS(B109:G109),108,"")</f>
        <v>0</v>
      </c>
      <c r="C109" s="1">
        <f>IF(B109="", "", "UBERON:gastrointestinal tract")</f>
        <v>0</v>
      </c>
      <c r="D109" s="1">
        <f>IF(B109="", "", "UBERON:feces")</f>
        <v>0</v>
      </c>
      <c r="E109" s="1">
        <f>IF(B109="", "", "UBERON:colon")</f>
        <v>0</v>
      </c>
      <c r="F109" s="1">
        <f>IF(B109="", "", "rat gut metagenome")</f>
        <v>0</v>
      </c>
      <c r="G109" s="1">
        <f>IF(B109="", "", "1436733")</f>
        <v>0</v>
      </c>
    </row>
    <row r="110" spans="1:7">
      <c r="A110">
        <f>IF(COUNTBLANK(B110:G110)&lt;&gt;COLUMNS(B110:G110),109,"")</f>
        <v>0</v>
      </c>
      <c r="C110" s="1">
        <f>IF(B110="", "", "UBERON:gastrointestinal tract")</f>
        <v>0</v>
      </c>
      <c r="D110" s="1">
        <f>IF(B110="", "", "UBERON:feces")</f>
        <v>0</v>
      </c>
      <c r="E110" s="1">
        <f>IF(B110="", "", "UBERON:colon")</f>
        <v>0</v>
      </c>
      <c r="F110" s="1">
        <f>IF(B110="", "", "rat gut metagenome")</f>
        <v>0</v>
      </c>
      <c r="G110" s="1">
        <f>IF(B110="", "", "1436733")</f>
        <v>0</v>
      </c>
    </row>
    <row r="111" spans="1:7">
      <c r="A111">
        <f>IF(COUNTBLANK(B111:G111)&lt;&gt;COLUMNS(B111:G111),110,"")</f>
        <v>0</v>
      </c>
      <c r="C111" s="1">
        <f>IF(B111="", "", "UBERON:gastrointestinal tract")</f>
        <v>0</v>
      </c>
      <c r="D111" s="1">
        <f>IF(B111="", "", "UBERON:feces")</f>
        <v>0</v>
      </c>
      <c r="E111" s="1">
        <f>IF(B111="", "", "UBERON:colon")</f>
        <v>0</v>
      </c>
      <c r="F111" s="1">
        <f>IF(B111="", "", "rat gut metagenome")</f>
        <v>0</v>
      </c>
      <c r="G111" s="1">
        <f>IF(B111="", "", "1436733")</f>
        <v>0</v>
      </c>
    </row>
    <row r="112" spans="1:7">
      <c r="A112">
        <f>IF(COUNTBLANK(B112:G112)&lt;&gt;COLUMNS(B112:G112),111,"")</f>
        <v>0</v>
      </c>
      <c r="C112" s="1">
        <f>IF(B112="", "", "UBERON:gastrointestinal tract")</f>
        <v>0</v>
      </c>
      <c r="D112" s="1">
        <f>IF(B112="", "", "UBERON:feces")</f>
        <v>0</v>
      </c>
      <c r="E112" s="1">
        <f>IF(B112="", "", "UBERON:colon")</f>
        <v>0</v>
      </c>
      <c r="F112" s="1">
        <f>IF(B112="", "", "rat gut metagenome")</f>
        <v>0</v>
      </c>
      <c r="G112" s="1">
        <f>IF(B112="", "", "1436733")</f>
        <v>0</v>
      </c>
    </row>
    <row r="113" spans="1:7">
      <c r="A113">
        <f>IF(COUNTBLANK(B113:G113)&lt;&gt;COLUMNS(B113:G113),112,"")</f>
        <v>0</v>
      </c>
      <c r="C113" s="1">
        <f>IF(B113="", "", "UBERON:gastrointestinal tract")</f>
        <v>0</v>
      </c>
      <c r="D113" s="1">
        <f>IF(B113="", "", "UBERON:feces")</f>
        <v>0</v>
      </c>
      <c r="E113" s="1">
        <f>IF(B113="", "", "UBERON:colon")</f>
        <v>0</v>
      </c>
      <c r="F113" s="1">
        <f>IF(B113="", "", "rat gut metagenome")</f>
        <v>0</v>
      </c>
      <c r="G113" s="1">
        <f>IF(B113="", "", "1436733")</f>
        <v>0</v>
      </c>
    </row>
    <row r="114" spans="1:7">
      <c r="A114">
        <f>IF(COUNTBLANK(B114:G114)&lt;&gt;COLUMNS(B114:G114),113,"")</f>
        <v>0</v>
      </c>
      <c r="C114" s="1">
        <f>IF(B114="", "", "UBERON:gastrointestinal tract")</f>
        <v>0</v>
      </c>
      <c r="D114" s="1">
        <f>IF(B114="", "", "UBERON:feces")</f>
        <v>0</v>
      </c>
      <c r="E114" s="1">
        <f>IF(B114="", "", "UBERON:colon")</f>
        <v>0</v>
      </c>
      <c r="F114" s="1">
        <f>IF(B114="", "", "rat gut metagenome")</f>
        <v>0</v>
      </c>
      <c r="G114" s="1">
        <f>IF(B114="", "", "1436733")</f>
        <v>0</v>
      </c>
    </row>
    <row r="115" spans="1:7">
      <c r="A115">
        <f>IF(COUNTBLANK(B115:G115)&lt;&gt;COLUMNS(B115:G115),114,"")</f>
        <v>0</v>
      </c>
      <c r="C115" s="1">
        <f>IF(B115="", "", "UBERON:gastrointestinal tract")</f>
        <v>0</v>
      </c>
      <c r="D115" s="1">
        <f>IF(B115="", "", "UBERON:feces")</f>
        <v>0</v>
      </c>
      <c r="E115" s="1">
        <f>IF(B115="", "", "UBERON:colon")</f>
        <v>0</v>
      </c>
      <c r="F115" s="1">
        <f>IF(B115="", "", "rat gut metagenome")</f>
        <v>0</v>
      </c>
      <c r="G115" s="1">
        <f>IF(B115="", "", "1436733")</f>
        <v>0</v>
      </c>
    </row>
    <row r="116" spans="1:7">
      <c r="A116">
        <f>IF(COUNTBLANK(B116:G116)&lt;&gt;COLUMNS(B116:G116),115,"")</f>
        <v>0</v>
      </c>
      <c r="C116" s="1">
        <f>IF(B116="", "", "UBERON:gastrointestinal tract")</f>
        <v>0</v>
      </c>
      <c r="D116" s="1">
        <f>IF(B116="", "", "UBERON:feces")</f>
        <v>0</v>
      </c>
      <c r="E116" s="1">
        <f>IF(B116="", "", "UBERON:colon")</f>
        <v>0</v>
      </c>
      <c r="F116" s="1">
        <f>IF(B116="", "", "rat gut metagenome")</f>
        <v>0</v>
      </c>
      <c r="G116" s="1">
        <f>IF(B116="", "", "1436733")</f>
        <v>0</v>
      </c>
    </row>
    <row r="117" spans="1:7">
      <c r="A117">
        <f>IF(COUNTBLANK(B117:G117)&lt;&gt;COLUMNS(B117:G117),116,"")</f>
        <v>0</v>
      </c>
      <c r="C117" s="1">
        <f>IF(B117="", "", "UBERON:gastrointestinal tract")</f>
        <v>0</v>
      </c>
      <c r="D117" s="1">
        <f>IF(B117="", "", "UBERON:feces")</f>
        <v>0</v>
      </c>
      <c r="E117" s="1">
        <f>IF(B117="", "", "UBERON:colon")</f>
        <v>0</v>
      </c>
      <c r="F117" s="1">
        <f>IF(B117="", "", "rat gut metagenome")</f>
        <v>0</v>
      </c>
      <c r="G117" s="1">
        <f>IF(B117="", "", "1436733")</f>
        <v>0</v>
      </c>
    </row>
    <row r="118" spans="1:7">
      <c r="A118">
        <f>IF(COUNTBLANK(B118:G118)&lt;&gt;COLUMNS(B118:G118),117,"")</f>
        <v>0</v>
      </c>
      <c r="C118" s="1">
        <f>IF(B118="", "", "UBERON:gastrointestinal tract")</f>
        <v>0</v>
      </c>
      <c r="D118" s="1">
        <f>IF(B118="", "", "UBERON:feces")</f>
        <v>0</v>
      </c>
      <c r="E118" s="1">
        <f>IF(B118="", "", "UBERON:colon")</f>
        <v>0</v>
      </c>
      <c r="F118" s="1">
        <f>IF(B118="", "", "rat gut metagenome")</f>
        <v>0</v>
      </c>
      <c r="G118" s="1">
        <f>IF(B118="", "", "1436733")</f>
        <v>0</v>
      </c>
    </row>
    <row r="119" spans="1:7">
      <c r="A119">
        <f>IF(COUNTBLANK(B119:G119)&lt;&gt;COLUMNS(B119:G119),118,"")</f>
        <v>0</v>
      </c>
      <c r="C119" s="1">
        <f>IF(B119="", "", "UBERON:gastrointestinal tract")</f>
        <v>0</v>
      </c>
      <c r="D119" s="1">
        <f>IF(B119="", "", "UBERON:feces")</f>
        <v>0</v>
      </c>
      <c r="E119" s="1">
        <f>IF(B119="", "", "UBERON:colon")</f>
        <v>0</v>
      </c>
      <c r="F119" s="1">
        <f>IF(B119="", "", "rat gut metagenome")</f>
        <v>0</v>
      </c>
      <c r="G119" s="1">
        <f>IF(B119="", "", "1436733")</f>
        <v>0</v>
      </c>
    </row>
    <row r="120" spans="1:7">
      <c r="A120">
        <f>IF(COUNTBLANK(B120:G120)&lt;&gt;COLUMNS(B120:G120),119,"")</f>
        <v>0</v>
      </c>
      <c r="C120" s="1">
        <f>IF(B120="", "", "UBERON:gastrointestinal tract")</f>
        <v>0</v>
      </c>
      <c r="D120" s="1">
        <f>IF(B120="", "", "UBERON:feces")</f>
        <v>0</v>
      </c>
      <c r="E120" s="1">
        <f>IF(B120="", "", "UBERON:colon")</f>
        <v>0</v>
      </c>
      <c r="F120" s="1">
        <f>IF(B120="", "", "rat gut metagenome")</f>
        <v>0</v>
      </c>
      <c r="G120" s="1">
        <f>IF(B120="", "", "1436733")</f>
        <v>0</v>
      </c>
    </row>
    <row r="121" spans="1:7">
      <c r="A121">
        <f>IF(COUNTBLANK(B121:G121)&lt;&gt;COLUMNS(B121:G121),120,"")</f>
        <v>0</v>
      </c>
      <c r="C121" s="1">
        <f>IF(B121="", "", "UBERON:gastrointestinal tract")</f>
        <v>0</v>
      </c>
      <c r="D121" s="1">
        <f>IF(B121="", "", "UBERON:feces")</f>
        <v>0</v>
      </c>
      <c r="E121" s="1">
        <f>IF(B121="", "", "UBERON:colon")</f>
        <v>0</v>
      </c>
      <c r="F121" s="1">
        <f>IF(B121="", "", "rat gut metagenome")</f>
        <v>0</v>
      </c>
      <c r="G121" s="1">
        <f>IF(B121="", "", "1436733")</f>
        <v>0</v>
      </c>
    </row>
    <row r="122" spans="1:7">
      <c r="A122">
        <f>IF(COUNTBLANK(B122:G122)&lt;&gt;COLUMNS(B122:G122),121,"")</f>
        <v>0</v>
      </c>
      <c r="C122" s="1">
        <f>IF(B122="", "", "UBERON:gastrointestinal tract")</f>
        <v>0</v>
      </c>
      <c r="D122" s="1">
        <f>IF(B122="", "", "UBERON:feces")</f>
        <v>0</v>
      </c>
      <c r="E122" s="1">
        <f>IF(B122="", "", "UBERON:colon")</f>
        <v>0</v>
      </c>
      <c r="F122" s="1">
        <f>IF(B122="", "", "rat gut metagenome")</f>
        <v>0</v>
      </c>
      <c r="G122" s="1">
        <f>IF(B122="", "", "1436733")</f>
        <v>0</v>
      </c>
    </row>
    <row r="123" spans="1:7">
      <c r="A123">
        <f>IF(COUNTBLANK(B123:G123)&lt;&gt;COLUMNS(B123:G123),122,"")</f>
        <v>0</v>
      </c>
      <c r="C123" s="1">
        <f>IF(B123="", "", "UBERON:gastrointestinal tract")</f>
        <v>0</v>
      </c>
      <c r="D123" s="1">
        <f>IF(B123="", "", "UBERON:feces")</f>
        <v>0</v>
      </c>
      <c r="E123" s="1">
        <f>IF(B123="", "", "UBERON:colon")</f>
        <v>0</v>
      </c>
      <c r="F123" s="1">
        <f>IF(B123="", "", "rat gut metagenome")</f>
        <v>0</v>
      </c>
      <c r="G123" s="1">
        <f>IF(B123="", "", "1436733")</f>
        <v>0</v>
      </c>
    </row>
    <row r="124" spans="1:7">
      <c r="A124">
        <f>IF(COUNTBLANK(B124:G124)&lt;&gt;COLUMNS(B124:G124),123,"")</f>
        <v>0</v>
      </c>
      <c r="C124" s="1">
        <f>IF(B124="", "", "UBERON:gastrointestinal tract")</f>
        <v>0</v>
      </c>
      <c r="D124" s="1">
        <f>IF(B124="", "", "UBERON:feces")</f>
        <v>0</v>
      </c>
      <c r="E124" s="1">
        <f>IF(B124="", "", "UBERON:colon")</f>
        <v>0</v>
      </c>
      <c r="F124" s="1">
        <f>IF(B124="", "", "rat gut metagenome")</f>
        <v>0</v>
      </c>
      <c r="G124" s="1">
        <f>IF(B124="", "", "1436733")</f>
        <v>0</v>
      </c>
    </row>
    <row r="125" spans="1:7">
      <c r="A125">
        <f>IF(COUNTBLANK(B125:G125)&lt;&gt;COLUMNS(B125:G125),124,"")</f>
        <v>0</v>
      </c>
      <c r="C125" s="1">
        <f>IF(B125="", "", "UBERON:gastrointestinal tract")</f>
        <v>0</v>
      </c>
      <c r="D125" s="1">
        <f>IF(B125="", "", "UBERON:feces")</f>
        <v>0</v>
      </c>
      <c r="E125" s="1">
        <f>IF(B125="", "", "UBERON:colon")</f>
        <v>0</v>
      </c>
      <c r="F125" s="1">
        <f>IF(B125="", "", "rat gut metagenome")</f>
        <v>0</v>
      </c>
      <c r="G125" s="1">
        <f>IF(B125="", "", "1436733")</f>
        <v>0</v>
      </c>
    </row>
    <row r="126" spans="1:7">
      <c r="A126">
        <f>IF(COUNTBLANK(B126:G126)&lt;&gt;COLUMNS(B126:G126),125,"")</f>
        <v>0</v>
      </c>
      <c r="C126" s="1">
        <f>IF(B126="", "", "UBERON:gastrointestinal tract")</f>
        <v>0</v>
      </c>
      <c r="D126" s="1">
        <f>IF(B126="", "", "UBERON:feces")</f>
        <v>0</v>
      </c>
      <c r="E126" s="1">
        <f>IF(B126="", "", "UBERON:colon")</f>
        <v>0</v>
      </c>
      <c r="F126" s="1">
        <f>IF(B126="", "", "rat gut metagenome")</f>
        <v>0</v>
      </c>
      <c r="G126" s="1">
        <f>IF(B126="", "", "1436733")</f>
        <v>0</v>
      </c>
    </row>
    <row r="127" spans="1:7">
      <c r="A127">
        <f>IF(COUNTBLANK(B127:G127)&lt;&gt;COLUMNS(B127:G127),126,"")</f>
        <v>0</v>
      </c>
      <c r="C127" s="1">
        <f>IF(B127="", "", "UBERON:gastrointestinal tract")</f>
        <v>0</v>
      </c>
      <c r="D127" s="1">
        <f>IF(B127="", "", "UBERON:feces")</f>
        <v>0</v>
      </c>
      <c r="E127" s="1">
        <f>IF(B127="", "", "UBERON:colon")</f>
        <v>0</v>
      </c>
      <c r="F127" s="1">
        <f>IF(B127="", "", "rat gut metagenome")</f>
        <v>0</v>
      </c>
      <c r="G127" s="1">
        <f>IF(B127="", "", "1436733")</f>
        <v>0</v>
      </c>
    </row>
    <row r="128" spans="1:7">
      <c r="A128">
        <f>IF(COUNTBLANK(B128:G128)&lt;&gt;COLUMNS(B128:G128),127,"")</f>
        <v>0</v>
      </c>
      <c r="C128" s="1">
        <f>IF(B128="", "", "UBERON:gastrointestinal tract")</f>
        <v>0</v>
      </c>
      <c r="D128" s="1">
        <f>IF(B128="", "", "UBERON:feces")</f>
        <v>0</v>
      </c>
      <c r="E128" s="1">
        <f>IF(B128="", "", "UBERON:colon")</f>
        <v>0</v>
      </c>
      <c r="F128" s="1">
        <f>IF(B128="", "", "rat gut metagenome")</f>
        <v>0</v>
      </c>
      <c r="G128" s="1">
        <f>IF(B128="", "", "1436733")</f>
        <v>0</v>
      </c>
    </row>
    <row r="129" spans="1:7">
      <c r="A129">
        <f>IF(COUNTBLANK(B129:G129)&lt;&gt;COLUMNS(B129:G129),128,"")</f>
        <v>0</v>
      </c>
      <c r="C129" s="1">
        <f>IF(B129="", "", "UBERON:gastrointestinal tract")</f>
        <v>0</v>
      </c>
      <c r="D129" s="1">
        <f>IF(B129="", "", "UBERON:feces")</f>
        <v>0</v>
      </c>
      <c r="E129" s="1">
        <f>IF(B129="", "", "UBERON:colon")</f>
        <v>0</v>
      </c>
      <c r="F129" s="1">
        <f>IF(B129="", "", "rat gut metagenome")</f>
        <v>0</v>
      </c>
      <c r="G129" s="1">
        <f>IF(B129="", "", "1436733")</f>
        <v>0</v>
      </c>
    </row>
    <row r="130" spans="1:7">
      <c r="A130">
        <f>IF(COUNTBLANK(B130:G130)&lt;&gt;COLUMNS(B130:G130),129,"")</f>
        <v>0</v>
      </c>
      <c r="C130" s="1">
        <f>IF(B130="", "", "UBERON:gastrointestinal tract")</f>
        <v>0</v>
      </c>
      <c r="D130" s="1">
        <f>IF(B130="", "", "UBERON:feces")</f>
        <v>0</v>
      </c>
      <c r="E130" s="1">
        <f>IF(B130="", "", "UBERON:colon")</f>
        <v>0</v>
      </c>
      <c r="F130" s="1">
        <f>IF(B130="", "", "rat gut metagenome")</f>
        <v>0</v>
      </c>
      <c r="G130" s="1">
        <f>IF(B130="", "", "1436733")</f>
        <v>0</v>
      </c>
    </row>
    <row r="131" spans="1:7">
      <c r="A131">
        <f>IF(COUNTBLANK(B131:G131)&lt;&gt;COLUMNS(B131:G131),130,"")</f>
        <v>0</v>
      </c>
      <c r="C131" s="1">
        <f>IF(B131="", "", "UBERON:gastrointestinal tract")</f>
        <v>0</v>
      </c>
      <c r="D131" s="1">
        <f>IF(B131="", "", "UBERON:feces")</f>
        <v>0</v>
      </c>
      <c r="E131" s="1">
        <f>IF(B131="", "", "UBERON:colon")</f>
        <v>0</v>
      </c>
      <c r="F131" s="1">
        <f>IF(B131="", "", "rat gut metagenome")</f>
        <v>0</v>
      </c>
      <c r="G131" s="1">
        <f>IF(B131="", "", "1436733")</f>
        <v>0</v>
      </c>
    </row>
    <row r="132" spans="1:7">
      <c r="A132">
        <f>IF(COUNTBLANK(B132:G132)&lt;&gt;COLUMNS(B132:G132),131,"")</f>
        <v>0</v>
      </c>
      <c r="C132" s="1">
        <f>IF(B132="", "", "UBERON:gastrointestinal tract")</f>
        <v>0</v>
      </c>
      <c r="D132" s="1">
        <f>IF(B132="", "", "UBERON:feces")</f>
        <v>0</v>
      </c>
      <c r="E132" s="1">
        <f>IF(B132="", "", "UBERON:colon")</f>
        <v>0</v>
      </c>
      <c r="F132" s="1">
        <f>IF(B132="", "", "rat gut metagenome")</f>
        <v>0</v>
      </c>
      <c r="G132" s="1">
        <f>IF(B132="", "", "1436733")</f>
        <v>0</v>
      </c>
    </row>
    <row r="133" spans="1:7">
      <c r="A133">
        <f>IF(COUNTBLANK(B133:G133)&lt;&gt;COLUMNS(B133:G133),132,"")</f>
        <v>0</v>
      </c>
      <c r="C133" s="1">
        <f>IF(B133="", "", "UBERON:gastrointestinal tract")</f>
        <v>0</v>
      </c>
      <c r="D133" s="1">
        <f>IF(B133="", "", "UBERON:feces")</f>
        <v>0</v>
      </c>
      <c r="E133" s="1">
        <f>IF(B133="", "", "UBERON:colon")</f>
        <v>0</v>
      </c>
      <c r="F133" s="1">
        <f>IF(B133="", "", "rat gut metagenome")</f>
        <v>0</v>
      </c>
      <c r="G133" s="1">
        <f>IF(B133="", "", "1436733")</f>
        <v>0</v>
      </c>
    </row>
    <row r="134" spans="1:7">
      <c r="A134">
        <f>IF(COUNTBLANK(B134:G134)&lt;&gt;COLUMNS(B134:G134),133,"")</f>
        <v>0</v>
      </c>
      <c r="C134" s="1">
        <f>IF(B134="", "", "UBERON:gastrointestinal tract")</f>
        <v>0</v>
      </c>
      <c r="D134" s="1">
        <f>IF(B134="", "", "UBERON:feces")</f>
        <v>0</v>
      </c>
      <c r="E134" s="1">
        <f>IF(B134="", "", "UBERON:colon")</f>
        <v>0</v>
      </c>
      <c r="F134" s="1">
        <f>IF(B134="", "", "rat gut metagenome")</f>
        <v>0</v>
      </c>
      <c r="G134" s="1">
        <f>IF(B134="", "", "1436733")</f>
        <v>0</v>
      </c>
    </row>
    <row r="135" spans="1:7">
      <c r="A135">
        <f>IF(COUNTBLANK(B135:G135)&lt;&gt;COLUMNS(B135:G135),134,"")</f>
        <v>0</v>
      </c>
      <c r="C135" s="1">
        <f>IF(B135="", "", "UBERON:gastrointestinal tract")</f>
        <v>0</v>
      </c>
      <c r="D135" s="1">
        <f>IF(B135="", "", "UBERON:feces")</f>
        <v>0</v>
      </c>
      <c r="E135" s="1">
        <f>IF(B135="", "", "UBERON:colon")</f>
        <v>0</v>
      </c>
      <c r="F135" s="1">
        <f>IF(B135="", "", "rat gut metagenome")</f>
        <v>0</v>
      </c>
      <c r="G135" s="1">
        <f>IF(B135="", "", "1436733")</f>
        <v>0</v>
      </c>
    </row>
    <row r="136" spans="1:7">
      <c r="A136">
        <f>IF(COUNTBLANK(B136:G136)&lt;&gt;COLUMNS(B136:G136),135,"")</f>
        <v>0</v>
      </c>
      <c r="C136" s="1">
        <f>IF(B136="", "", "UBERON:gastrointestinal tract")</f>
        <v>0</v>
      </c>
      <c r="D136" s="1">
        <f>IF(B136="", "", "UBERON:feces")</f>
        <v>0</v>
      </c>
      <c r="E136" s="1">
        <f>IF(B136="", "", "UBERON:colon")</f>
        <v>0</v>
      </c>
      <c r="F136" s="1">
        <f>IF(B136="", "", "rat gut metagenome")</f>
        <v>0</v>
      </c>
      <c r="G136" s="1">
        <f>IF(B136="", "", "1436733")</f>
        <v>0</v>
      </c>
    </row>
    <row r="137" spans="1:7">
      <c r="A137">
        <f>IF(COUNTBLANK(B137:G137)&lt;&gt;COLUMNS(B137:G137),136,"")</f>
        <v>0</v>
      </c>
      <c r="C137" s="1">
        <f>IF(B137="", "", "UBERON:gastrointestinal tract")</f>
        <v>0</v>
      </c>
      <c r="D137" s="1">
        <f>IF(B137="", "", "UBERON:feces")</f>
        <v>0</v>
      </c>
      <c r="E137" s="1">
        <f>IF(B137="", "", "UBERON:colon")</f>
        <v>0</v>
      </c>
      <c r="F137" s="1">
        <f>IF(B137="", "", "rat gut metagenome")</f>
        <v>0</v>
      </c>
      <c r="G137" s="1">
        <f>IF(B137="", "", "1436733")</f>
        <v>0</v>
      </c>
    </row>
    <row r="138" spans="1:7">
      <c r="A138">
        <f>IF(COUNTBLANK(B138:G138)&lt;&gt;COLUMNS(B138:G138),137,"")</f>
        <v>0</v>
      </c>
      <c r="C138" s="1">
        <f>IF(B138="", "", "UBERON:gastrointestinal tract")</f>
        <v>0</v>
      </c>
      <c r="D138" s="1">
        <f>IF(B138="", "", "UBERON:feces")</f>
        <v>0</v>
      </c>
      <c r="E138" s="1">
        <f>IF(B138="", "", "UBERON:colon")</f>
        <v>0</v>
      </c>
      <c r="F138" s="1">
        <f>IF(B138="", "", "rat gut metagenome")</f>
        <v>0</v>
      </c>
      <c r="G138" s="1">
        <f>IF(B138="", "", "1436733")</f>
        <v>0</v>
      </c>
    </row>
    <row r="139" spans="1:7">
      <c r="A139">
        <f>IF(COUNTBLANK(B139:G139)&lt;&gt;COLUMNS(B139:G139),138,"")</f>
        <v>0</v>
      </c>
      <c r="C139" s="1">
        <f>IF(B139="", "", "UBERON:gastrointestinal tract")</f>
        <v>0</v>
      </c>
      <c r="D139" s="1">
        <f>IF(B139="", "", "UBERON:feces")</f>
        <v>0</v>
      </c>
      <c r="E139" s="1">
        <f>IF(B139="", "", "UBERON:colon")</f>
        <v>0</v>
      </c>
      <c r="F139" s="1">
        <f>IF(B139="", "", "rat gut metagenome")</f>
        <v>0</v>
      </c>
      <c r="G139" s="1">
        <f>IF(B139="", "", "1436733")</f>
        <v>0</v>
      </c>
    </row>
    <row r="140" spans="1:7">
      <c r="A140">
        <f>IF(COUNTBLANK(B140:G140)&lt;&gt;COLUMNS(B140:G140),139,"")</f>
        <v>0</v>
      </c>
      <c r="C140" s="1">
        <f>IF(B140="", "", "UBERON:gastrointestinal tract")</f>
        <v>0</v>
      </c>
      <c r="D140" s="1">
        <f>IF(B140="", "", "UBERON:feces")</f>
        <v>0</v>
      </c>
      <c r="E140" s="1">
        <f>IF(B140="", "", "UBERON:colon")</f>
        <v>0</v>
      </c>
      <c r="F140" s="1">
        <f>IF(B140="", "", "rat gut metagenome")</f>
        <v>0</v>
      </c>
      <c r="G140" s="1">
        <f>IF(B140="", "", "1436733")</f>
        <v>0</v>
      </c>
    </row>
    <row r="141" spans="1:7">
      <c r="A141">
        <f>IF(COUNTBLANK(B141:G141)&lt;&gt;COLUMNS(B141:G141),140,"")</f>
        <v>0</v>
      </c>
      <c r="C141" s="1">
        <f>IF(B141="", "", "UBERON:gastrointestinal tract")</f>
        <v>0</v>
      </c>
      <c r="D141" s="1">
        <f>IF(B141="", "", "UBERON:feces")</f>
        <v>0</v>
      </c>
      <c r="E141" s="1">
        <f>IF(B141="", "", "UBERON:colon")</f>
        <v>0</v>
      </c>
      <c r="F141" s="1">
        <f>IF(B141="", "", "rat gut metagenome")</f>
        <v>0</v>
      </c>
      <c r="G141" s="1">
        <f>IF(B141="", "", "1436733")</f>
        <v>0</v>
      </c>
    </row>
    <row r="142" spans="1:7">
      <c r="A142">
        <f>IF(COUNTBLANK(B142:G142)&lt;&gt;COLUMNS(B142:G142),141,"")</f>
        <v>0</v>
      </c>
      <c r="C142" s="1">
        <f>IF(B142="", "", "UBERON:gastrointestinal tract")</f>
        <v>0</v>
      </c>
      <c r="D142" s="1">
        <f>IF(B142="", "", "UBERON:feces")</f>
        <v>0</v>
      </c>
      <c r="E142" s="1">
        <f>IF(B142="", "", "UBERON:colon")</f>
        <v>0</v>
      </c>
      <c r="F142" s="1">
        <f>IF(B142="", "", "rat gut metagenome")</f>
        <v>0</v>
      </c>
      <c r="G142" s="1">
        <f>IF(B142="", "", "1436733")</f>
        <v>0</v>
      </c>
    </row>
    <row r="143" spans="1:7">
      <c r="A143">
        <f>IF(COUNTBLANK(B143:G143)&lt;&gt;COLUMNS(B143:G143),142,"")</f>
        <v>0</v>
      </c>
      <c r="C143" s="1">
        <f>IF(B143="", "", "UBERON:gastrointestinal tract")</f>
        <v>0</v>
      </c>
      <c r="D143" s="1">
        <f>IF(B143="", "", "UBERON:feces")</f>
        <v>0</v>
      </c>
      <c r="E143" s="1">
        <f>IF(B143="", "", "UBERON:colon")</f>
        <v>0</v>
      </c>
      <c r="F143" s="1">
        <f>IF(B143="", "", "rat gut metagenome")</f>
        <v>0</v>
      </c>
      <c r="G143" s="1">
        <f>IF(B143="", "", "1436733")</f>
        <v>0</v>
      </c>
    </row>
    <row r="144" spans="1:7">
      <c r="A144">
        <f>IF(COUNTBLANK(B144:G144)&lt;&gt;COLUMNS(B144:G144),143,"")</f>
        <v>0</v>
      </c>
      <c r="C144" s="1">
        <f>IF(B144="", "", "UBERON:gastrointestinal tract")</f>
        <v>0</v>
      </c>
      <c r="D144" s="1">
        <f>IF(B144="", "", "UBERON:feces")</f>
        <v>0</v>
      </c>
      <c r="E144" s="1">
        <f>IF(B144="", "", "UBERON:colon")</f>
        <v>0</v>
      </c>
      <c r="F144" s="1">
        <f>IF(B144="", "", "rat gut metagenome")</f>
        <v>0</v>
      </c>
      <c r="G144" s="1">
        <f>IF(B144="", "", "1436733")</f>
        <v>0</v>
      </c>
    </row>
    <row r="145" spans="1:7">
      <c r="A145">
        <f>IF(COUNTBLANK(B145:G145)&lt;&gt;COLUMNS(B145:G145),144,"")</f>
        <v>0</v>
      </c>
      <c r="C145" s="1">
        <f>IF(B145="", "", "UBERON:gastrointestinal tract")</f>
        <v>0</v>
      </c>
      <c r="D145" s="1">
        <f>IF(B145="", "", "UBERON:feces")</f>
        <v>0</v>
      </c>
      <c r="E145" s="1">
        <f>IF(B145="", "", "UBERON:colon")</f>
        <v>0</v>
      </c>
      <c r="F145" s="1">
        <f>IF(B145="", "", "rat gut metagenome")</f>
        <v>0</v>
      </c>
      <c r="G145" s="1">
        <f>IF(B145="", "", "1436733")</f>
        <v>0</v>
      </c>
    </row>
    <row r="146" spans="1:7">
      <c r="A146">
        <f>IF(COUNTBLANK(B146:G146)&lt;&gt;COLUMNS(B146:G146),145,"")</f>
        <v>0</v>
      </c>
      <c r="C146" s="1">
        <f>IF(B146="", "", "UBERON:gastrointestinal tract")</f>
        <v>0</v>
      </c>
      <c r="D146" s="1">
        <f>IF(B146="", "", "UBERON:feces")</f>
        <v>0</v>
      </c>
      <c r="E146" s="1">
        <f>IF(B146="", "", "UBERON:colon")</f>
        <v>0</v>
      </c>
      <c r="F146" s="1">
        <f>IF(B146="", "", "rat gut metagenome")</f>
        <v>0</v>
      </c>
      <c r="G146" s="1">
        <f>IF(B146="", "", "1436733")</f>
        <v>0</v>
      </c>
    </row>
    <row r="147" spans="1:7">
      <c r="A147">
        <f>IF(COUNTBLANK(B147:G147)&lt;&gt;COLUMNS(B147:G147),146,"")</f>
        <v>0</v>
      </c>
      <c r="C147" s="1">
        <f>IF(B147="", "", "UBERON:gastrointestinal tract")</f>
        <v>0</v>
      </c>
      <c r="D147" s="1">
        <f>IF(B147="", "", "UBERON:feces")</f>
        <v>0</v>
      </c>
      <c r="E147" s="1">
        <f>IF(B147="", "", "UBERON:colon")</f>
        <v>0</v>
      </c>
      <c r="F147" s="1">
        <f>IF(B147="", "", "rat gut metagenome")</f>
        <v>0</v>
      </c>
      <c r="G147" s="1">
        <f>IF(B147="", "", "1436733")</f>
        <v>0</v>
      </c>
    </row>
    <row r="148" spans="1:7">
      <c r="A148">
        <f>IF(COUNTBLANK(B148:G148)&lt;&gt;COLUMNS(B148:G148),147,"")</f>
        <v>0</v>
      </c>
      <c r="C148" s="1">
        <f>IF(B148="", "", "UBERON:gastrointestinal tract")</f>
        <v>0</v>
      </c>
      <c r="D148" s="1">
        <f>IF(B148="", "", "UBERON:feces")</f>
        <v>0</v>
      </c>
      <c r="E148" s="1">
        <f>IF(B148="", "", "UBERON:colon")</f>
        <v>0</v>
      </c>
      <c r="F148" s="1">
        <f>IF(B148="", "", "rat gut metagenome")</f>
        <v>0</v>
      </c>
      <c r="G148" s="1">
        <f>IF(B148="", "", "1436733")</f>
        <v>0</v>
      </c>
    </row>
    <row r="149" spans="1:7">
      <c r="A149">
        <f>IF(COUNTBLANK(B149:G149)&lt;&gt;COLUMNS(B149:G149),148,"")</f>
        <v>0</v>
      </c>
      <c r="C149" s="1">
        <f>IF(B149="", "", "UBERON:gastrointestinal tract")</f>
        <v>0</v>
      </c>
      <c r="D149" s="1">
        <f>IF(B149="", "", "UBERON:feces")</f>
        <v>0</v>
      </c>
      <c r="E149" s="1">
        <f>IF(B149="", "", "UBERON:colon")</f>
        <v>0</v>
      </c>
      <c r="F149" s="1">
        <f>IF(B149="", "", "rat gut metagenome")</f>
        <v>0</v>
      </c>
      <c r="G149" s="1">
        <f>IF(B149="", "", "1436733")</f>
        <v>0</v>
      </c>
    </row>
    <row r="150" spans="1:7">
      <c r="A150">
        <f>IF(COUNTBLANK(B150:G150)&lt;&gt;COLUMNS(B150:G150),149,"")</f>
        <v>0</v>
      </c>
      <c r="C150" s="1">
        <f>IF(B150="", "", "UBERON:gastrointestinal tract")</f>
        <v>0</v>
      </c>
      <c r="D150" s="1">
        <f>IF(B150="", "", "UBERON:feces")</f>
        <v>0</v>
      </c>
      <c r="E150" s="1">
        <f>IF(B150="", "", "UBERON:colon")</f>
        <v>0</v>
      </c>
      <c r="F150" s="1">
        <f>IF(B150="", "", "rat gut metagenome")</f>
        <v>0</v>
      </c>
      <c r="G150" s="1">
        <f>IF(B150="", "", "1436733")</f>
        <v>0</v>
      </c>
    </row>
    <row r="151" spans="1:7">
      <c r="A151">
        <f>IF(COUNTBLANK(B151:G151)&lt;&gt;COLUMNS(B151:G151),150,"")</f>
        <v>0</v>
      </c>
      <c r="C151" s="1">
        <f>IF(B151="", "", "UBERON:gastrointestinal tract")</f>
        <v>0</v>
      </c>
      <c r="D151" s="1">
        <f>IF(B151="", "", "UBERON:feces")</f>
        <v>0</v>
      </c>
      <c r="E151" s="1">
        <f>IF(B151="", "", "UBERON:colon")</f>
        <v>0</v>
      </c>
      <c r="F151" s="1">
        <f>IF(B151="", "", "rat gut metagenome")</f>
        <v>0</v>
      </c>
      <c r="G151" s="1">
        <f>IF(B151="", "", "1436733")</f>
        <v>0</v>
      </c>
    </row>
    <row r="152" spans="1:7">
      <c r="A152">
        <f>IF(COUNTBLANK(B152:G152)&lt;&gt;COLUMNS(B152:G152),151,"")</f>
        <v>0</v>
      </c>
      <c r="C152" s="1">
        <f>IF(B152="", "", "UBERON:gastrointestinal tract")</f>
        <v>0</v>
      </c>
      <c r="D152" s="1">
        <f>IF(B152="", "", "UBERON:feces")</f>
        <v>0</v>
      </c>
      <c r="E152" s="1">
        <f>IF(B152="", "", "UBERON:colon")</f>
        <v>0</v>
      </c>
      <c r="F152" s="1">
        <f>IF(B152="", "", "rat gut metagenome")</f>
        <v>0</v>
      </c>
      <c r="G152" s="1">
        <f>IF(B152="", "", "1436733")</f>
        <v>0</v>
      </c>
    </row>
    <row r="153" spans="1:7">
      <c r="A153">
        <f>IF(COUNTBLANK(B153:G153)&lt;&gt;COLUMNS(B153:G153),152,"")</f>
        <v>0</v>
      </c>
      <c r="C153" s="1">
        <f>IF(B153="", "", "UBERON:gastrointestinal tract")</f>
        <v>0</v>
      </c>
      <c r="D153" s="1">
        <f>IF(B153="", "", "UBERON:feces")</f>
        <v>0</v>
      </c>
      <c r="E153" s="1">
        <f>IF(B153="", "", "UBERON:colon")</f>
        <v>0</v>
      </c>
      <c r="F153" s="1">
        <f>IF(B153="", "", "rat gut metagenome")</f>
        <v>0</v>
      </c>
      <c r="G153" s="1">
        <f>IF(B153="", "", "1436733")</f>
        <v>0</v>
      </c>
    </row>
    <row r="154" spans="1:7">
      <c r="A154">
        <f>IF(COUNTBLANK(B154:G154)&lt;&gt;COLUMNS(B154:G154),153,"")</f>
        <v>0</v>
      </c>
      <c r="C154" s="1">
        <f>IF(B154="", "", "UBERON:gastrointestinal tract")</f>
        <v>0</v>
      </c>
      <c r="D154" s="1">
        <f>IF(B154="", "", "UBERON:feces")</f>
        <v>0</v>
      </c>
      <c r="E154" s="1">
        <f>IF(B154="", "", "UBERON:colon")</f>
        <v>0</v>
      </c>
      <c r="F154" s="1">
        <f>IF(B154="", "", "rat gut metagenome")</f>
        <v>0</v>
      </c>
      <c r="G154" s="1">
        <f>IF(B154="", "", "1436733")</f>
        <v>0</v>
      </c>
    </row>
    <row r="155" spans="1:7">
      <c r="A155">
        <f>IF(COUNTBLANK(B155:G155)&lt;&gt;COLUMNS(B155:G155),154,"")</f>
        <v>0</v>
      </c>
      <c r="C155" s="1">
        <f>IF(B155="", "", "UBERON:gastrointestinal tract")</f>
        <v>0</v>
      </c>
      <c r="D155" s="1">
        <f>IF(B155="", "", "UBERON:feces")</f>
        <v>0</v>
      </c>
      <c r="E155" s="1">
        <f>IF(B155="", "", "UBERON:colon")</f>
        <v>0</v>
      </c>
      <c r="F155" s="1">
        <f>IF(B155="", "", "rat gut metagenome")</f>
        <v>0</v>
      </c>
      <c r="G155" s="1">
        <f>IF(B155="", "", "1436733")</f>
        <v>0</v>
      </c>
    </row>
    <row r="156" spans="1:7">
      <c r="A156">
        <f>IF(COUNTBLANK(B156:G156)&lt;&gt;COLUMNS(B156:G156),155,"")</f>
        <v>0</v>
      </c>
      <c r="C156" s="1">
        <f>IF(B156="", "", "UBERON:gastrointestinal tract")</f>
        <v>0</v>
      </c>
      <c r="D156" s="1">
        <f>IF(B156="", "", "UBERON:feces")</f>
        <v>0</v>
      </c>
      <c r="E156" s="1">
        <f>IF(B156="", "", "UBERON:colon")</f>
        <v>0</v>
      </c>
      <c r="F156" s="1">
        <f>IF(B156="", "", "rat gut metagenome")</f>
        <v>0</v>
      </c>
      <c r="G156" s="1">
        <f>IF(B156="", "", "1436733")</f>
        <v>0</v>
      </c>
    </row>
    <row r="157" spans="1:7">
      <c r="A157">
        <f>IF(COUNTBLANK(B157:G157)&lt;&gt;COLUMNS(B157:G157),156,"")</f>
        <v>0</v>
      </c>
      <c r="C157" s="1">
        <f>IF(B157="", "", "UBERON:gastrointestinal tract")</f>
        <v>0</v>
      </c>
      <c r="D157" s="1">
        <f>IF(B157="", "", "UBERON:feces")</f>
        <v>0</v>
      </c>
      <c r="E157" s="1">
        <f>IF(B157="", "", "UBERON:colon")</f>
        <v>0</v>
      </c>
      <c r="F157" s="1">
        <f>IF(B157="", "", "rat gut metagenome")</f>
        <v>0</v>
      </c>
      <c r="G157" s="1">
        <f>IF(B157="", "", "1436733")</f>
        <v>0</v>
      </c>
    </row>
    <row r="158" spans="1:7">
      <c r="A158">
        <f>IF(COUNTBLANK(B158:G158)&lt;&gt;COLUMNS(B158:G158),157,"")</f>
        <v>0</v>
      </c>
      <c r="C158" s="1">
        <f>IF(B158="", "", "UBERON:gastrointestinal tract")</f>
        <v>0</v>
      </c>
      <c r="D158" s="1">
        <f>IF(B158="", "", "UBERON:feces")</f>
        <v>0</v>
      </c>
      <c r="E158" s="1">
        <f>IF(B158="", "", "UBERON:colon")</f>
        <v>0</v>
      </c>
      <c r="F158" s="1">
        <f>IF(B158="", "", "rat gut metagenome")</f>
        <v>0</v>
      </c>
      <c r="G158" s="1">
        <f>IF(B158="", "", "1436733")</f>
        <v>0</v>
      </c>
    </row>
    <row r="159" spans="1:7">
      <c r="A159">
        <f>IF(COUNTBLANK(B159:G159)&lt;&gt;COLUMNS(B159:G159),158,"")</f>
        <v>0</v>
      </c>
      <c r="C159" s="1">
        <f>IF(B159="", "", "UBERON:gastrointestinal tract")</f>
        <v>0</v>
      </c>
      <c r="D159" s="1">
        <f>IF(B159="", "", "UBERON:feces")</f>
        <v>0</v>
      </c>
      <c r="E159" s="1">
        <f>IF(B159="", "", "UBERON:colon")</f>
        <v>0</v>
      </c>
      <c r="F159" s="1">
        <f>IF(B159="", "", "rat gut metagenome")</f>
        <v>0</v>
      </c>
      <c r="G159" s="1">
        <f>IF(B159="", "", "1436733")</f>
        <v>0</v>
      </c>
    </row>
    <row r="160" spans="1:7">
      <c r="A160">
        <f>IF(COUNTBLANK(B160:G160)&lt;&gt;COLUMNS(B160:G160),159,"")</f>
        <v>0</v>
      </c>
      <c r="C160" s="1">
        <f>IF(B160="", "", "UBERON:gastrointestinal tract")</f>
        <v>0</v>
      </c>
      <c r="D160" s="1">
        <f>IF(B160="", "", "UBERON:feces")</f>
        <v>0</v>
      </c>
      <c r="E160" s="1">
        <f>IF(B160="", "", "UBERON:colon")</f>
        <v>0</v>
      </c>
      <c r="F160" s="1">
        <f>IF(B160="", "", "rat gut metagenome")</f>
        <v>0</v>
      </c>
      <c r="G160" s="1">
        <f>IF(B160="", "", "1436733")</f>
        <v>0</v>
      </c>
    </row>
    <row r="161" spans="1:7">
      <c r="A161">
        <f>IF(COUNTBLANK(B161:G161)&lt;&gt;COLUMNS(B161:G161),160,"")</f>
        <v>0</v>
      </c>
      <c r="C161" s="1">
        <f>IF(B161="", "", "UBERON:gastrointestinal tract")</f>
        <v>0</v>
      </c>
      <c r="D161" s="1">
        <f>IF(B161="", "", "UBERON:feces")</f>
        <v>0</v>
      </c>
      <c r="E161" s="1">
        <f>IF(B161="", "", "UBERON:colon")</f>
        <v>0</v>
      </c>
      <c r="F161" s="1">
        <f>IF(B161="", "", "rat gut metagenome")</f>
        <v>0</v>
      </c>
      <c r="G161" s="1">
        <f>IF(B161="", "", "1436733")</f>
        <v>0</v>
      </c>
    </row>
    <row r="162" spans="1:7">
      <c r="A162">
        <f>IF(COUNTBLANK(B162:G162)&lt;&gt;COLUMNS(B162:G162),161,"")</f>
        <v>0</v>
      </c>
      <c r="C162" s="1">
        <f>IF(B162="", "", "UBERON:gastrointestinal tract")</f>
        <v>0</v>
      </c>
      <c r="D162" s="1">
        <f>IF(B162="", "", "UBERON:feces")</f>
        <v>0</v>
      </c>
      <c r="E162" s="1">
        <f>IF(B162="", "", "UBERON:colon")</f>
        <v>0</v>
      </c>
      <c r="F162" s="1">
        <f>IF(B162="", "", "rat gut metagenome")</f>
        <v>0</v>
      </c>
      <c r="G162" s="1">
        <f>IF(B162="", "", "1436733")</f>
        <v>0</v>
      </c>
    </row>
    <row r="163" spans="1:7">
      <c r="A163">
        <f>IF(COUNTBLANK(B163:G163)&lt;&gt;COLUMNS(B163:G163),162,"")</f>
        <v>0</v>
      </c>
      <c r="C163" s="1">
        <f>IF(B163="", "", "UBERON:gastrointestinal tract")</f>
        <v>0</v>
      </c>
      <c r="D163" s="1">
        <f>IF(B163="", "", "UBERON:feces")</f>
        <v>0</v>
      </c>
      <c r="E163" s="1">
        <f>IF(B163="", "", "UBERON:colon")</f>
        <v>0</v>
      </c>
      <c r="F163" s="1">
        <f>IF(B163="", "", "rat gut metagenome")</f>
        <v>0</v>
      </c>
      <c r="G163" s="1">
        <f>IF(B163="", "", "1436733")</f>
        <v>0</v>
      </c>
    </row>
    <row r="164" spans="1:7">
      <c r="A164">
        <f>IF(COUNTBLANK(B164:G164)&lt;&gt;COLUMNS(B164:G164),163,"")</f>
        <v>0</v>
      </c>
      <c r="C164" s="1">
        <f>IF(B164="", "", "UBERON:gastrointestinal tract")</f>
        <v>0</v>
      </c>
      <c r="D164" s="1">
        <f>IF(B164="", "", "UBERON:feces")</f>
        <v>0</v>
      </c>
      <c r="E164" s="1">
        <f>IF(B164="", "", "UBERON:colon")</f>
        <v>0</v>
      </c>
      <c r="F164" s="1">
        <f>IF(B164="", "", "rat gut metagenome")</f>
        <v>0</v>
      </c>
      <c r="G164" s="1">
        <f>IF(B164="", "", "1436733")</f>
        <v>0</v>
      </c>
    </row>
    <row r="165" spans="1:7">
      <c r="A165">
        <f>IF(COUNTBLANK(B165:G165)&lt;&gt;COLUMNS(B165:G165),164,"")</f>
        <v>0</v>
      </c>
      <c r="C165" s="1">
        <f>IF(B165="", "", "UBERON:gastrointestinal tract")</f>
        <v>0</v>
      </c>
      <c r="D165" s="1">
        <f>IF(B165="", "", "UBERON:feces")</f>
        <v>0</v>
      </c>
      <c r="E165" s="1">
        <f>IF(B165="", "", "UBERON:colon")</f>
        <v>0</v>
      </c>
      <c r="F165" s="1">
        <f>IF(B165="", "", "rat gut metagenome")</f>
        <v>0</v>
      </c>
      <c r="G165" s="1">
        <f>IF(B165="", "", "1436733")</f>
        <v>0</v>
      </c>
    </row>
    <row r="166" spans="1:7">
      <c r="A166">
        <f>IF(COUNTBLANK(B166:G166)&lt;&gt;COLUMNS(B166:G166),165,"")</f>
        <v>0</v>
      </c>
      <c r="C166" s="1">
        <f>IF(B166="", "", "UBERON:gastrointestinal tract")</f>
        <v>0</v>
      </c>
      <c r="D166" s="1">
        <f>IF(B166="", "", "UBERON:feces")</f>
        <v>0</v>
      </c>
      <c r="E166" s="1">
        <f>IF(B166="", "", "UBERON:colon")</f>
        <v>0</v>
      </c>
      <c r="F166" s="1">
        <f>IF(B166="", "", "rat gut metagenome")</f>
        <v>0</v>
      </c>
      <c r="G166" s="1">
        <f>IF(B166="", "", "1436733")</f>
        <v>0</v>
      </c>
    </row>
    <row r="167" spans="1:7">
      <c r="A167">
        <f>IF(COUNTBLANK(B167:G167)&lt;&gt;COLUMNS(B167:G167),166,"")</f>
        <v>0</v>
      </c>
      <c r="C167" s="1">
        <f>IF(B167="", "", "UBERON:gastrointestinal tract")</f>
        <v>0</v>
      </c>
      <c r="D167" s="1">
        <f>IF(B167="", "", "UBERON:feces")</f>
        <v>0</v>
      </c>
      <c r="E167" s="1">
        <f>IF(B167="", "", "UBERON:colon")</f>
        <v>0</v>
      </c>
      <c r="F167" s="1">
        <f>IF(B167="", "", "rat gut metagenome")</f>
        <v>0</v>
      </c>
      <c r="G167" s="1">
        <f>IF(B167="", "", "1436733")</f>
        <v>0</v>
      </c>
    </row>
    <row r="168" spans="1:7">
      <c r="A168">
        <f>IF(COUNTBLANK(B168:G168)&lt;&gt;COLUMNS(B168:G168),167,"")</f>
        <v>0</v>
      </c>
      <c r="C168" s="1">
        <f>IF(B168="", "", "UBERON:gastrointestinal tract")</f>
        <v>0</v>
      </c>
      <c r="D168" s="1">
        <f>IF(B168="", "", "UBERON:feces")</f>
        <v>0</v>
      </c>
      <c r="E168" s="1">
        <f>IF(B168="", "", "UBERON:colon")</f>
        <v>0</v>
      </c>
      <c r="F168" s="1">
        <f>IF(B168="", "", "rat gut metagenome")</f>
        <v>0</v>
      </c>
      <c r="G168" s="1">
        <f>IF(B168="", "", "1436733")</f>
        <v>0</v>
      </c>
    </row>
    <row r="169" spans="1:7">
      <c r="A169">
        <f>IF(COUNTBLANK(B169:G169)&lt;&gt;COLUMNS(B169:G169),168,"")</f>
        <v>0</v>
      </c>
      <c r="C169" s="1">
        <f>IF(B169="", "", "UBERON:gastrointestinal tract")</f>
        <v>0</v>
      </c>
      <c r="D169" s="1">
        <f>IF(B169="", "", "UBERON:feces")</f>
        <v>0</v>
      </c>
      <c r="E169" s="1">
        <f>IF(B169="", "", "UBERON:colon")</f>
        <v>0</v>
      </c>
      <c r="F169" s="1">
        <f>IF(B169="", "", "rat gut metagenome")</f>
        <v>0</v>
      </c>
      <c r="G169" s="1">
        <f>IF(B169="", "", "1436733")</f>
        <v>0</v>
      </c>
    </row>
    <row r="170" spans="1:7">
      <c r="A170">
        <f>IF(COUNTBLANK(B170:G170)&lt;&gt;COLUMNS(B170:G170),169,"")</f>
        <v>0</v>
      </c>
      <c r="C170" s="1">
        <f>IF(B170="", "", "UBERON:gastrointestinal tract")</f>
        <v>0</v>
      </c>
      <c r="D170" s="1">
        <f>IF(B170="", "", "UBERON:feces")</f>
        <v>0</v>
      </c>
      <c r="E170" s="1">
        <f>IF(B170="", "", "UBERON:colon")</f>
        <v>0</v>
      </c>
      <c r="F170" s="1">
        <f>IF(B170="", "", "rat gut metagenome")</f>
        <v>0</v>
      </c>
      <c r="G170" s="1">
        <f>IF(B170="", "", "1436733")</f>
        <v>0</v>
      </c>
    </row>
    <row r="171" spans="1:7">
      <c r="A171">
        <f>IF(COUNTBLANK(B171:G171)&lt;&gt;COLUMNS(B171:G171),170,"")</f>
        <v>0</v>
      </c>
      <c r="C171" s="1">
        <f>IF(B171="", "", "UBERON:gastrointestinal tract")</f>
        <v>0</v>
      </c>
      <c r="D171" s="1">
        <f>IF(B171="", "", "UBERON:feces")</f>
        <v>0</v>
      </c>
      <c r="E171" s="1">
        <f>IF(B171="", "", "UBERON:colon")</f>
        <v>0</v>
      </c>
      <c r="F171" s="1">
        <f>IF(B171="", "", "rat gut metagenome")</f>
        <v>0</v>
      </c>
      <c r="G171" s="1">
        <f>IF(B171="", "", "1436733")</f>
        <v>0</v>
      </c>
    </row>
    <row r="172" spans="1:7">
      <c r="A172">
        <f>IF(COUNTBLANK(B172:G172)&lt;&gt;COLUMNS(B172:G172),171,"")</f>
        <v>0</v>
      </c>
      <c r="C172" s="1">
        <f>IF(B172="", "", "UBERON:gastrointestinal tract")</f>
        <v>0</v>
      </c>
      <c r="D172" s="1">
        <f>IF(B172="", "", "UBERON:feces")</f>
        <v>0</v>
      </c>
      <c r="E172" s="1">
        <f>IF(B172="", "", "UBERON:colon")</f>
        <v>0</v>
      </c>
      <c r="F172" s="1">
        <f>IF(B172="", "", "rat gut metagenome")</f>
        <v>0</v>
      </c>
      <c r="G172" s="1">
        <f>IF(B172="", "", "1436733")</f>
        <v>0</v>
      </c>
    </row>
    <row r="173" spans="1:7">
      <c r="A173">
        <f>IF(COUNTBLANK(B173:G173)&lt;&gt;COLUMNS(B173:G173),172,"")</f>
        <v>0</v>
      </c>
      <c r="C173" s="1">
        <f>IF(B173="", "", "UBERON:gastrointestinal tract")</f>
        <v>0</v>
      </c>
      <c r="D173" s="1">
        <f>IF(B173="", "", "UBERON:feces")</f>
        <v>0</v>
      </c>
      <c r="E173" s="1">
        <f>IF(B173="", "", "UBERON:colon")</f>
        <v>0</v>
      </c>
      <c r="F173" s="1">
        <f>IF(B173="", "", "rat gut metagenome")</f>
        <v>0</v>
      </c>
      <c r="G173" s="1">
        <f>IF(B173="", "", "1436733")</f>
        <v>0</v>
      </c>
    </row>
    <row r="174" spans="1:7">
      <c r="A174">
        <f>IF(COUNTBLANK(B174:G174)&lt;&gt;COLUMNS(B174:G174),173,"")</f>
        <v>0</v>
      </c>
      <c r="C174" s="1">
        <f>IF(B174="", "", "UBERON:gastrointestinal tract")</f>
        <v>0</v>
      </c>
      <c r="D174" s="1">
        <f>IF(B174="", "", "UBERON:feces")</f>
        <v>0</v>
      </c>
      <c r="E174" s="1">
        <f>IF(B174="", "", "UBERON:colon")</f>
        <v>0</v>
      </c>
      <c r="F174" s="1">
        <f>IF(B174="", "", "rat gut metagenome")</f>
        <v>0</v>
      </c>
      <c r="G174" s="1">
        <f>IF(B174="", "", "1436733")</f>
        <v>0</v>
      </c>
    </row>
    <row r="175" spans="1:7">
      <c r="A175">
        <f>IF(COUNTBLANK(B175:G175)&lt;&gt;COLUMNS(B175:G175),174,"")</f>
        <v>0</v>
      </c>
      <c r="C175" s="1">
        <f>IF(B175="", "", "UBERON:gastrointestinal tract")</f>
        <v>0</v>
      </c>
      <c r="D175" s="1">
        <f>IF(B175="", "", "UBERON:feces")</f>
        <v>0</v>
      </c>
      <c r="E175" s="1">
        <f>IF(B175="", "", "UBERON:colon")</f>
        <v>0</v>
      </c>
      <c r="F175" s="1">
        <f>IF(B175="", "", "rat gut metagenome")</f>
        <v>0</v>
      </c>
      <c r="G175" s="1">
        <f>IF(B175="", "", "1436733")</f>
        <v>0</v>
      </c>
    </row>
    <row r="176" spans="1:7">
      <c r="A176">
        <f>IF(COUNTBLANK(B176:G176)&lt;&gt;COLUMNS(B176:G176),175,"")</f>
        <v>0</v>
      </c>
      <c r="C176" s="1">
        <f>IF(B176="", "", "UBERON:gastrointestinal tract")</f>
        <v>0</v>
      </c>
      <c r="D176" s="1">
        <f>IF(B176="", "", "UBERON:feces")</f>
        <v>0</v>
      </c>
      <c r="E176" s="1">
        <f>IF(B176="", "", "UBERON:colon")</f>
        <v>0</v>
      </c>
      <c r="F176" s="1">
        <f>IF(B176="", "", "rat gut metagenome")</f>
        <v>0</v>
      </c>
      <c r="G176" s="1">
        <f>IF(B176="", "", "1436733")</f>
        <v>0</v>
      </c>
    </row>
    <row r="177" spans="1:7">
      <c r="A177">
        <f>IF(COUNTBLANK(B177:G177)&lt;&gt;COLUMNS(B177:G177),176,"")</f>
        <v>0</v>
      </c>
      <c r="C177" s="1">
        <f>IF(B177="", "", "UBERON:gastrointestinal tract")</f>
        <v>0</v>
      </c>
      <c r="D177" s="1">
        <f>IF(B177="", "", "UBERON:feces")</f>
        <v>0</v>
      </c>
      <c r="E177" s="1">
        <f>IF(B177="", "", "UBERON:colon")</f>
        <v>0</v>
      </c>
      <c r="F177" s="1">
        <f>IF(B177="", "", "rat gut metagenome")</f>
        <v>0</v>
      </c>
      <c r="G177" s="1">
        <f>IF(B177="", "", "1436733")</f>
        <v>0</v>
      </c>
    </row>
    <row r="178" spans="1:7">
      <c r="A178">
        <f>IF(COUNTBLANK(B178:G178)&lt;&gt;COLUMNS(B178:G178),177,"")</f>
        <v>0</v>
      </c>
      <c r="C178" s="1">
        <f>IF(B178="", "", "UBERON:gastrointestinal tract")</f>
        <v>0</v>
      </c>
      <c r="D178" s="1">
        <f>IF(B178="", "", "UBERON:feces")</f>
        <v>0</v>
      </c>
      <c r="E178" s="1">
        <f>IF(B178="", "", "UBERON:colon")</f>
        <v>0</v>
      </c>
      <c r="F178" s="1">
        <f>IF(B178="", "", "rat gut metagenome")</f>
        <v>0</v>
      </c>
      <c r="G178" s="1">
        <f>IF(B178="", "", "1436733")</f>
        <v>0</v>
      </c>
    </row>
    <row r="179" spans="1:7">
      <c r="A179">
        <f>IF(COUNTBLANK(B179:G179)&lt;&gt;COLUMNS(B179:G179),178,"")</f>
        <v>0</v>
      </c>
      <c r="C179" s="1">
        <f>IF(B179="", "", "UBERON:gastrointestinal tract")</f>
        <v>0</v>
      </c>
      <c r="D179" s="1">
        <f>IF(B179="", "", "UBERON:feces")</f>
        <v>0</v>
      </c>
      <c r="E179" s="1">
        <f>IF(B179="", "", "UBERON:colon")</f>
        <v>0</v>
      </c>
      <c r="F179" s="1">
        <f>IF(B179="", "", "rat gut metagenome")</f>
        <v>0</v>
      </c>
      <c r="G179" s="1">
        <f>IF(B179="", "", "1436733")</f>
        <v>0</v>
      </c>
    </row>
    <row r="180" spans="1:7">
      <c r="A180">
        <f>IF(COUNTBLANK(B180:G180)&lt;&gt;COLUMNS(B180:G180),179,"")</f>
        <v>0</v>
      </c>
      <c r="C180" s="1">
        <f>IF(B180="", "", "UBERON:gastrointestinal tract")</f>
        <v>0</v>
      </c>
      <c r="D180" s="1">
        <f>IF(B180="", "", "UBERON:feces")</f>
        <v>0</v>
      </c>
      <c r="E180" s="1">
        <f>IF(B180="", "", "UBERON:colon")</f>
        <v>0</v>
      </c>
      <c r="F180" s="1">
        <f>IF(B180="", "", "rat gut metagenome")</f>
        <v>0</v>
      </c>
      <c r="G180" s="1">
        <f>IF(B180="", "", "1436733")</f>
        <v>0</v>
      </c>
    </row>
    <row r="181" spans="1:7">
      <c r="A181">
        <f>IF(COUNTBLANK(B181:G181)&lt;&gt;COLUMNS(B181:G181),180,"")</f>
        <v>0</v>
      </c>
      <c r="C181" s="1">
        <f>IF(B181="", "", "UBERON:gastrointestinal tract")</f>
        <v>0</v>
      </c>
      <c r="D181" s="1">
        <f>IF(B181="", "", "UBERON:feces")</f>
        <v>0</v>
      </c>
      <c r="E181" s="1">
        <f>IF(B181="", "", "UBERON:colon")</f>
        <v>0</v>
      </c>
      <c r="F181" s="1">
        <f>IF(B181="", "", "rat gut metagenome")</f>
        <v>0</v>
      </c>
      <c r="G181" s="1">
        <f>IF(B181="", "", "1436733")</f>
        <v>0</v>
      </c>
    </row>
    <row r="182" spans="1:7">
      <c r="A182">
        <f>IF(COUNTBLANK(B182:G182)&lt;&gt;COLUMNS(B182:G182),181,"")</f>
        <v>0</v>
      </c>
      <c r="C182" s="1">
        <f>IF(B182="", "", "UBERON:gastrointestinal tract")</f>
        <v>0</v>
      </c>
      <c r="D182" s="1">
        <f>IF(B182="", "", "UBERON:feces")</f>
        <v>0</v>
      </c>
      <c r="E182" s="1">
        <f>IF(B182="", "", "UBERON:colon")</f>
        <v>0</v>
      </c>
      <c r="F182" s="1">
        <f>IF(B182="", "", "rat gut metagenome")</f>
        <v>0</v>
      </c>
      <c r="G182" s="1">
        <f>IF(B182="", "", "1436733")</f>
        <v>0</v>
      </c>
    </row>
    <row r="183" spans="1:7">
      <c r="A183">
        <f>IF(COUNTBLANK(B183:G183)&lt;&gt;COLUMNS(B183:G183),182,"")</f>
        <v>0</v>
      </c>
      <c r="C183" s="1">
        <f>IF(B183="", "", "UBERON:gastrointestinal tract")</f>
        <v>0</v>
      </c>
      <c r="D183" s="1">
        <f>IF(B183="", "", "UBERON:feces")</f>
        <v>0</v>
      </c>
      <c r="E183" s="1">
        <f>IF(B183="", "", "UBERON:colon")</f>
        <v>0</v>
      </c>
      <c r="F183" s="1">
        <f>IF(B183="", "", "rat gut metagenome")</f>
        <v>0</v>
      </c>
      <c r="G183" s="1">
        <f>IF(B183="", "", "1436733")</f>
        <v>0</v>
      </c>
    </row>
    <row r="184" spans="1:7">
      <c r="A184">
        <f>IF(COUNTBLANK(B184:G184)&lt;&gt;COLUMNS(B184:G184),183,"")</f>
        <v>0</v>
      </c>
      <c r="C184" s="1">
        <f>IF(B184="", "", "UBERON:gastrointestinal tract")</f>
        <v>0</v>
      </c>
      <c r="D184" s="1">
        <f>IF(B184="", "", "UBERON:feces")</f>
        <v>0</v>
      </c>
      <c r="E184" s="1">
        <f>IF(B184="", "", "UBERON:colon")</f>
        <v>0</v>
      </c>
      <c r="F184" s="1">
        <f>IF(B184="", "", "rat gut metagenome")</f>
        <v>0</v>
      </c>
      <c r="G184" s="1">
        <f>IF(B184="", "", "1436733")</f>
        <v>0</v>
      </c>
    </row>
    <row r="185" spans="1:7">
      <c r="A185">
        <f>IF(COUNTBLANK(B185:G185)&lt;&gt;COLUMNS(B185:G185),184,"")</f>
        <v>0</v>
      </c>
      <c r="C185" s="1">
        <f>IF(B185="", "", "UBERON:gastrointestinal tract")</f>
        <v>0</v>
      </c>
      <c r="D185" s="1">
        <f>IF(B185="", "", "UBERON:feces")</f>
        <v>0</v>
      </c>
      <c r="E185" s="1">
        <f>IF(B185="", "", "UBERON:colon")</f>
        <v>0</v>
      </c>
      <c r="F185" s="1">
        <f>IF(B185="", "", "rat gut metagenome")</f>
        <v>0</v>
      </c>
      <c r="G185" s="1">
        <f>IF(B185="", "", "1436733")</f>
        <v>0</v>
      </c>
    </row>
    <row r="186" spans="1:7">
      <c r="A186">
        <f>IF(COUNTBLANK(B186:G186)&lt;&gt;COLUMNS(B186:G186),185,"")</f>
        <v>0</v>
      </c>
      <c r="C186" s="1">
        <f>IF(B186="", "", "UBERON:gastrointestinal tract")</f>
        <v>0</v>
      </c>
      <c r="D186" s="1">
        <f>IF(B186="", "", "UBERON:feces")</f>
        <v>0</v>
      </c>
      <c r="E186" s="1">
        <f>IF(B186="", "", "UBERON:colon")</f>
        <v>0</v>
      </c>
      <c r="F186" s="1">
        <f>IF(B186="", "", "rat gut metagenome")</f>
        <v>0</v>
      </c>
      <c r="G186" s="1">
        <f>IF(B186="", "", "1436733")</f>
        <v>0</v>
      </c>
    </row>
    <row r="187" spans="1:7">
      <c r="A187">
        <f>IF(COUNTBLANK(B187:G187)&lt;&gt;COLUMNS(B187:G187),186,"")</f>
        <v>0</v>
      </c>
      <c r="C187" s="1">
        <f>IF(B187="", "", "UBERON:gastrointestinal tract")</f>
        <v>0</v>
      </c>
      <c r="D187" s="1">
        <f>IF(B187="", "", "UBERON:feces")</f>
        <v>0</v>
      </c>
      <c r="E187" s="1">
        <f>IF(B187="", "", "UBERON:colon")</f>
        <v>0</v>
      </c>
      <c r="F187" s="1">
        <f>IF(B187="", "", "rat gut metagenome")</f>
        <v>0</v>
      </c>
      <c r="G187" s="1">
        <f>IF(B187="", "", "1436733")</f>
        <v>0</v>
      </c>
    </row>
    <row r="188" spans="1:7">
      <c r="A188">
        <f>IF(COUNTBLANK(B188:G188)&lt;&gt;COLUMNS(B188:G188),187,"")</f>
        <v>0</v>
      </c>
      <c r="C188" s="1">
        <f>IF(B188="", "", "UBERON:gastrointestinal tract")</f>
        <v>0</v>
      </c>
      <c r="D188" s="1">
        <f>IF(B188="", "", "UBERON:feces")</f>
        <v>0</v>
      </c>
      <c r="E188" s="1">
        <f>IF(B188="", "", "UBERON:colon")</f>
        <v>0</v>
      </c>
      <c r="F188" s="1">
        <f>IF(B188="", "", "rat gut metagenome")</f>
        <v>0</v>
      </c>
      <c r="G188" s="1">
        <f>IF(B188="", "", "1436733")</f>
        <v>0</v>
      </c>
    </row>
    <row r="189" spans="1:7">
      <c r="A189">
        <f>IF(COUNTBLANK(B189:G189)&lt;&gt;COLUMNS(B189:G189),188,"")</f>
        <v>0</v>
      </c>
      <c r="C189" s="1">
        <f>IF(B189="", "", "UBERON:gastrointestinal tract")</f>
        <v>0</v>
      </c>
      <c r="D189" s="1">
        <f>IF(B189="", "", "UBERON:feces")</f>
        <v>0</v>
      </c>
      <c r="E189" s="1">
        <f>IF(B189="", "", "UBERON:colon")</f>
        <v>0</v>
      </c>
      <c r="F189" s="1">
        <f>IF(B189="", "", "rat gut metagenome")</f>
        <v>0</v>
      </c>
      <c r="G189" s="1">
        <f>IF(B189="", "", "1436733")</f>
        <v>0</v>
      </c>
    </row>
    <row r="190" spans="1:7">
      <c r="A190">
        <f>IF(COUNTBLANK(B190:G190)&lt;&gt;COLUMNS(B190:G190),189,"")</f>
        <v>0</v>
      </c>
      <c r="C190" s="1">
        <f>IF(B190="", "", "UBERON:gastrointestinal tract")</f>
        <v>0</v>
      </c>
      <c r="D190" s="1">
        <f>IF(B190="", "", "UBERON:feces")</f>
        <v>0</v>
      </c>
      <c r="E190" s="1">
        <f>IF(B190="", "", "UBERON:colon")</f>
        <v>0</v>
      </c>
      <c r="F190" s="1">
        <f>IF(B190="", "", "rat gut metagenome")</f>
        <v>0</v>
      </c>
      <c r="G190" s="1">
        <f>IF(B190="", "", "1436733")</f>
        <v>0</v>
      </c>
    </row>
    <row r="191" spans="1:7">
      <c r="A191">
        <f>IF(COUNTBLANK(B191:G191)&lt;&gt;COLUMNS(B191:G191),190,"")</f>
        <v>0</v>
      </c>
      <c r="C191" s="1">
        <f>IF(B191="", "", "UBERON:gastrointestinal tract")</f>
        <v>0</v>
      </c>
      <c r="D191" s="1">
        <f>IF(B191="", "", "UBERON:feces")</f>
        <v>0</v>
      </c>
      <c r="E191" s="1">
        <f>IF(B191="", "", "UBERON:colon")</f>
        <v>0</v>
      </c>
      <c r="F191" s="1">
        <f>IF(B191="", "", "rat gut metagenome")</f>
        <v>0</v>
      </c>
      <c r="G191" s="1">
        <f>IF(B191="", "", "1436733")</f>
        <v>0</v>
      </c>
    </row>
    <row r="192" spans="1:7">
      <c r="A192">
        <f>IF(COUNTBLANK(B192:G192)&lt;&gt;COLUMNS(B192:G192),191,"")</f>
        <v>0</v>
      </c>
      <c r="C192" s="1">
        <f>IF(B192="", "", "UBERON:gastrointestinal tract")</f>
        <v>0</v>
      </c>
      <c r="D192" s="1">
        <f>IF(B192="", "", "UBERON:feces")</f>
        <v>0</v>
      </c>
      <c r="E192" s="1">
        <f>IF(B192="", "", "UBERON:colon")</f>
        <v>0</v>
      </c>
      <c r="F192" s="1">
        <f>IF(B192="", "", "rat gut metagenome")</f>
        <v>0</v>
      </c>
      <c r="G192" s="1">
        <f>IF(B192="", "", "1436733")</f>
        <v>0</v>
      </c>
    </row>
    <row r="193" spans="1:7">
      <c r="A193">
        <f>IF(COUNTBLANK(B193:G193)&lt;&gt;COLUMNS(B193:G193),192,"")</f>
        <v>0</v>
      </c>
      <c r="C193" s="1">
        <f>IF(B193="", "", "UBERON:gastrointestinal tract")</f>
        <v>0</v>
      </c>
      <c r="D193" s="1">
        <f>IF(B193="", "", "UBERON:feces")</f>
        <v>0</v>
      </c>
      <c r="E193" s="1">
        <f>IF(B193="", "", "UBERON:colon")</f>
        <v>0</v>
      </c>
      <c r="F193" s="1">
        <f>IF(B193="", "", "rat gut metagenome")</f>
        <v>0</v>
      </c>
      <c r="G193" s="1">
        <f>IF(B193="", "", "1436733")</f>
        <v>0</v>
      </c>
    </row>
    <row r="194" spans="1:7">
      <c r="A194">
        <f>IF(COUNTBLANK(B194:G194)&lt;&gt;COLUMNS(B194:G194),193,"")</f>
        <v>0</v>
      </c>
      <c r="C194" s="1">
        <f>IF(B194="", "", "UBERON:gastrointestinal tract")</f>
        <v>0</v>
      </c>
      <c r="D194" s="1">
        <f>IF(B194="", "", "UBERON:feces")</f>
        <v>0</v>
      </c>
      <c r="E194" s="1">
        <f>IF(B194="", "", "UBERON:colon")</f>
        <v>0</v>
      </c>
      <c r="F194" s="1">
        <f>IF(B194="", "", "rat gut metagenome")</f>
        <v>0</v>
      </c>
      <c r="G194" s="1">
        <f>IF(B194="", "", "1436733")</f>
        <v>0</v>
      </c>
    </row>
    <row r="195" spans="1:7">
      <c r="A195">
        <f>IF(COUNTBLANK(B195:G195)&lt;&gt;COLUMNS(B195:G195),194,"")</f>
        <v>0</v>
      </c>
      <c r="C195" s="1">
        <f>IF(B195="", "", "UBERON:gastrointestinal tract")</f>
        <v>0</v>
      </c>
      <c r="D195" s="1">
        <f>IF(B195="", "", "UBERON:feces")</f>
        <v>0</v>
      </c>
      <c r="E195" s="1">
        <f>IF(B195="", "", "UBERON:colon")</f>
        <v>0</v>
      </c>
      <c r="F195" s="1">
        <f>IF(B195="", "", "rat gut metagenome")</f>
        <v>0</v>
      </c>
      <c r="G195" s="1">
        <f>IF(B195="", "", "1436733")</f>
        <v>0</v>
      </c>
    </row>
    <row r="196" spans="1:7">
      <c r="A196">
        <f>IF(COUNTBLANK(B196:G196)&lt;&gt;COLUMNS(B196:G196),195,"")</f>
        <v>0</v>
      </c>
      <c r="C196" s="1">
        <f>IF(B196="", "", "UBERON:gastrointestinal tract")</f>
        <v>0</v>
      </c>
      <c r="D196" s="1">
        <f>IF(B196="", "", "UBERON:feces")</f>
        <v>0</v>
      </c>
      <c r="E196" s="1">
        <f>IF(B196="", "", "UBERON:colon")</f>
        <v>0</v>
      </c>
      <c r="F196" s="1">
        <f>IF(B196="", "", "rat gut metagenome")</f>
        <v>0</v>
      </c>
      <c r="G196" s="1">
        <f>IF(B196="", "", "1436733")</f>
        <v>0</v>
      </c>
    </row>
    <row r="197" spans="1:7">
      <c r="A197">
        <f>IF(COUNTBLANK(B197:G197)&lt;&gt;COLUMNS(B197:G197),196,"")</f>
        <v>0</v>
      </c>
      <c r="C197" s="1">
        <f>IF(B197="", "", "UBERON:gastrointestinal tract")</f>
        <v>0</v>
      </c>
      <c r="D197" s="1">
        <f>IF(B197="", "", "UBERON:feces")</f>
        <v>0</v>
      </c>
      <c r="E197" s="1">
        <f>IF(B197="", "", "UBERON:colon")</f>
        <v>0</v>
      </c>
      <c r="F197" s="1">
        <f>IF(B197="", "", "rat gut metagenome")</f>
        <v>0</v>
      </c>
      <c r="G197" s="1">
        <f>IF(B197="", "", "1436733")</f>
        <v>0</v>
      </c>
    </row>
    <row r="198" spans="1:7">
      <c r="A198">
        <f>IF(COUNTBLANK(B198:G198)&lt;&gt;COLUMNS(B198:G198),197,"")</f>
        <v>0</v>
      </c>
      <c r="C198" s="1">
        <f>IF(B198="", "", "UBERON:gastrointestinal tract")</f>
        <v>0</v>
      </c>
      <c r="D198" s="1">
        <f>IF(B198="", "", "UBERON:feces")</f>
        <v>0</v>
      </c>
      <c r="E198" s="1">
        <f>IF(B198="", "", "UBERON:colon")</f>
        <v>0</v>
      </c>
      <c r="F198" s="1">
        <f>IF(B198="", "", "rat gut metagenome")</f>
        <v>0</v>
      </c>
      <c r="G198" s="1">
        <f>IF(B198="", "", "1436733")</f>
        <v>0</v>
      </c>
    </row>
    <row r="199" spans="1:7">
      <c r="A199">
        <f>IF(COUNTBLANK(B199:G199)&lt;&gt;COLUMNS(B199:G199),198,"")</f>
        <v>0</v>
      </c>
      <c r="C199" s="1">
        <f>IF(B199="", "", "UBERON:gastrointestinal tract")</f>
        <v>0</v>
      </c>
      <c r="D199" s="1">
        <f>IF(B199="", "", "UBERON:feces")</f>
        <v>0</v>
      </c>
      <c r="E199" s="1">
        <f>IF(B199="", "", "UBERON:colon")</f>
        <v>0</v>
      </c>
      <c r="F199" s="1">
        <f>IF(B199="", "", "rat gut metagenome")</f>
        <v>0</v>
      </c>
      <c r="G199" s="1">
        <f>IF(B199="", "", "1436733")</f>
        <v>0</v>
      </c>
    </row>
    <row r="200" spans="1:7">
      <c r="A200">
        <f>IF(COUNTBLANK(B200:G200)&lt;&gt;COLUMNS(B200:G200),199,"")</f>
        <v>0</v>
      </c>
      <c r="C200" s="1">
        <f>IF(B200="", "", "UBERON:gastrointestinal tract")</f>
        <v>0</v>
      </c>
      <c r="D200" s="1">
        <f>IF(B200="", "", "UBERON:feces")</f>
        <v>0</v>
      </c>
      <c r="E200" s="1">
        <f>IF(B200="", "", "UBERON:colon")</f>
        <v>0</v>
      </c>
      <c r="F200" s="1">
        <f>IF(B200="", "", "rat gut metagenome")</f>
        <v>0</v>
      </c>
      <c r="G200" s="1">
        <f>IF(B200="", "", "1436733")</f>
        <v>0</v>
      </c>
    </row>
    <row r="201" spans="1:7">
      <c r="A201">
        <f>IF(COUNTBLANK(B201:G201)&lt;&gt;COLUMNS(B201:G201),200,"")</f>
        <v>0</v>
      </c>
      <c r="C201" s="1">
        <f>IF(B201="", "", "UBERON:gastrointestinal tract")</f>
        <v>0</v>
      </c>
      <c r="D201" s="1">
        <f>IF(B201="", "", "UBERON:feces")</f>
        <v>0</v>
      </c>
      <c r="E201" s="1">
        <f>IF(B201="", "", "UBERON:colon")</f>
        <v>0</v>
      </c>
      <c r="F201" s="1">
        <f>IF(B201="", "", "rat gut metagenome")</f>
        <v>0</v>
      </c>
      <c r="G201" s="1">
        <f>IF(B201="", "", "1436733")</f>
        <v>0</v>
      </c>
    </row>
    <row r="202" spans="1:7">
      <c r="A202">
        <f>IF(COUNTBLANK(B202:G202)&lt;&gt;COLUMNS(B202:G202),201,"")</f>
        <v>0</v>
      </c>
      <c r="C202" s="1">
        <f>IF(B202="", "", "UBERON:gastrointestinal tract")</f>
        <v>0</v>
      </c>
      <c r="D202" s="1">
        <f>IF(B202="", "", "UBERON:feces")</f>
        <v>0</v>
      </c>
      <c r="E202" s="1">
        <f>IF(B202="", "", "UBERON:colon")</f>
        <v>0</v>
      </c>
      <c r="F202" s="1">
        <f>IF(B202="", "", "rat gut metagenome")</f>
        <v>0</v>
      </c>
      <c r="G202" s="1">
        <f>IF(B202="", "", "1436733")</f>
        <v>0</v>
      </c>
    </row>
    <row r="203" spans="1:7">
      <c r="A203">
        <f>IF(COUNTBLANK(B203:G203)&lt;&gt;COLUMNS(B203:G203),202,"")</f>
        <v>0</v>
      </c>
      <c r="C203" s="1">
        <f>IF(B203="", "", "UBERON:gastrointestinal tract")</f>
        <v>0</v>
      </c>
      <c r="D203" s="1">
        <f>IF(B203="", "", "UBERON:feces")</f>
        <v>0</v>
      </c>
      <c r="E203" s="1">
        <f>IF(B203="", "", "UBERON:colon")</f>
        <v>0</v>
      </c>
      <c r="F203" s="1">
        <f>IF(B203="", "", "rat gut metagenome")</f>
        <v>0</v>
      </c>
      <c r="G203" s="1">
        <f>IF(B203="", "", "1436733")</f>
        <v>0</v>
      </c>
    </row>
    <row r="204" spans="1:7">
      <c r="A204">
        <f>IF(COUNTBLANK(B204:G204)&lt;&gt;COLUMNS(B204:G204),203,"")</f>
        <v>0</v>
      </c>
      <c r="C204" s="1">
        <f>IF(B204="", "", "UBERON:gastrointestinal tract")</f>
        <v>0</v>
      </c>
      <c r="D204" s="1">
        <f>IF(B204="", "", "UBERON:feces")</f>
        <v>0</v>
      </c>
      <c r="E204" s="1">
        <f>IF(B204="", "", "UBERON:colon")</f>
        <v>0</v>
      </c>
      <c r="F204" s="1">
        <f>IF(B204="", "", "rat gut metagenome")</f>
        <v>0</v>
      </c>
      <c r="G204" s="1">
        <f>IF(B204="", "", "1436733")</f>
        <v>0</v>
      </c>
    </row>
    <row r="205" spans="1:7">
      <c r="A205">
        <f>IF(COUNTBLANK(B205:G205)&lt;&gt;COLUMNS(B205:G205),204,"")</f>
        <v>0</v>
      </c>
      <c r="C205" s="1">
        <f>IF(B205="", "", "UBERON:gastrointestinal tract")</f>
        <v>0</v>
      </c>
      <c r="D205" s="1">
        <f>IF(B205="", "", "UBERON:feces")</f>
        <v>0</v>
      </c>
      <c r="E205" s="1">
        <f>IF(B205="", "", "UBERON:colon")</f>
        <v>0</v>
      </c>
      <c r="F205" s="1">
        <f>IF(B205="", "", "rat gut metagenome")</f>
        <v>0</v>
      </c>
      <c r="G205" s="1">
        <f>IF(B205="", "", "1436733")</f>
        <v>0</v>
      </c>
    </row>
    <row r="206" spans="1:7">
      <c r="A206">
        <f>IF(COUNTBLANK(B206:G206)&lt;&gt;COLUMNS(B206:G206),205,"")</f>
        <v>0</v>
      </c>
      <c r="C206" s="1">
        <f>IF(B206="", "", "UBERON:gastrointestinal tract")</f>
        <v>0</v>
      </c>
      <c r="D206" s="1">
        <f>IF(B206="", "", "UBERON:feces")</f>
        <v>0</v>
      </c>
      <c r="E206" s="1">
        <f>IF(B206="", "", "UBERON:colon")</f>
        <v>0</v>
      </c>
      <c r="F206" s="1">
        <f>IF(B206="", "", "rat gut metagenome")</f>
        <v>0</v>
      </c>
      <c r="G206" s="1">
        <f>IF(B206="", "", "1436733")</f>
        <v>0</v>
      </c>
    </row>
    <row r="207" spans="1:7">
      <c r="A207">
        <f>IF(COUNTBLANK(B207:G207)&lt;&gt;COLUMNS(B207:G207),206,"")</f>
        <v>0</v>
      </c>
      <c r="C207" s="1">
        <f>IF(B207="", "", "UBERON:gastrointestinal tract")</f>
        <v>0</v>
      </c>
      <c r="D207" s="1">
        <f>IF(B207="", "", "UBERON:feces")</f>
        <v>0</v>
      </c>
      <c r="E207" s="1">
        <f>IF(B207="", "", "UBERON:colon")</f>
        <v>0</v>
      </c>
      <c r="F207" s="1">
        <f>IF(B207="", "", "rat gut metagenome")</f>
        <v>0</v>
      </c>
      <c r="G207" s="1">
        <f>IF(B207="", "", "1436733")</f>
        <v>0</v>
      </c>
    </row>
    <row r="208" spans="1:7">
      <c r="A208">
        <f>IF(COUNTBLANK(B208:G208)&lt;&gt;COLUMNS(B208:G208),207,"")</f>
        <v>0</v>
      </c>
      <c r="C208" s="1">
        <f>IF(B208="", "", "UBERON:gastrointestinal tract")</f>
        <v>0</v>
      </c>
      <c r="D208" s="1">
        <f>IF(B208="", "", "UBERON:feces")</f>
        <v>0</v>
      </c>
      <c r="E208" s="1">
        <f>IF(B208="", "", "UBERON:colon")</f>
        <v>0</v>
      </c>
      <c r="F208" s="1">
        <f>IF(B208="", "", "rat gut metagenome")</f>
        <v>0</v>
      </c>
      <c r="G208" s="1">
        <f>IF(B208="", "", "1436733")</f>
        <v>0</v>
      </c>
    </row>
    <row r="209" spans="1:7">
      <c r="A209">
        <f>IF(COUNTBLANK(B209:G209)&lt;&gt;COLUMNS(B209:G209),208,"")</f>
        <v>0</v>
      </c>
      <c r="C209" s="1">
        <f>IF(B209="", "", "UBERON:gastrointestinal tract")</f>
        <v>0</v>
      </c>
      <c r="D209" s="1">
        <f>IF(B209="", "", "UBERON:feces")</f>
        <v>0</v>
      </c>
      <c r="E209" s="1">
        <f>IF(B209="", "", "UBERON:colon")</f>
        <v>0</v>
      </c>
      <c r="F209" s="1">
        <f>IF(B209="", "", "rat gut metagenome")</f>
        <v>0</v>
      </c>
      <c r="G209" s="1">
        <f>IF(B209="", "", "1436733")</f>
        <v>0</v>
      </c>
    </row>
    <row r="210" spans="1:7">
      <c r="A210">
        <f>IF(COUNTBLANK(B210:G210)&lt;&gt;COLUMNS(B210:G210),209,"")</f>
        <v>0</v>
      </c>
      <c r="C210" s="1">
        <f>IF(B210="", "", "UBERON:gastrointestinal tract")</f>
        <v>0</v>
      </c>
      <c r="D210" s="1">
        <f>IF(B210="", "", "UBERON:feces")</f>
        <v>0</v>
      </c>
      <c r="E210" s="1">
        <f>IF(B210="", "", "UBERON:colon")</f>
        <v>0</v>
      </c>
      <c r="F210" s="1">
        <f>IF(B210="", "", "rat gut metagenome")</f>
        <v>0</v>
      </c>
      <c r="G210" s="1">
        <f>IF(B210="", "", "1436733")</f>
        <v>0</v>
      </c>
    </row>
    <row r="211" spans="1:7">
      <c r="A211">
        <f>IF(COUNTBLANK(B211:G211)&lt;&gt;COLUMNS(B211:G211),210,"")</f>
        <v>0</v>
      </c>
      <c r="C211" s="1">
        <f>IF(B211="", "", "UBERON:gastrointestinal tract")</f>
        <v>0</v>
      </c>
      <c r="D211" s="1">
        <f>IF(B211="", "", "UBERON:feces")</f>
        <v>0</v>
      </c>
      <c r="E211" s="1">
        <f>IF(B211="", "", "UBERON:colon")</f>
        <v>0</v>
      </c>
      <c r="F211" s="1">
        <f>IF(B211="", "", "rat gut metagenome")</f>
        <v>0</v>
      </c>
      <c r="G211" s="1">
        <f>IF(B211="", "", "1436733")</f>
        <v>0</v>
      </c>
    </row>
    <row r="212" spans="1:7">
      <c r="A212">
        <f>IF(COUNTBLANK(B212:G212)&lt;&gt;COLUMNS(B212:G212),211,"")</f>
        <v>0</v>
      </c>
      <c r="C212" s="1">
        <f>IF(B212="", "", "UBERON:gastrointestinal tract")</f>
        <v>0</v>
      </c>
      <c r="D212" s="1">
        <f>IF(B212="", "", "UBERON:feces")</f>
        <v>0</v>
      </c>
      <c r="E212" s="1">
        <f>IF(B212="", "", "UBERON:colon")</f>
        <v>0</v>
      </c>
      <c r="F212" s="1">
        <f>IF(B212="", "", "rat gut metagenome")</f>
        <v>0</v>
      </c>
      <c r="G212" s="1">
        <f>IF(B212="", "", "1436733")</f>
        <v>0</v>
      </c>
    </row>
    <row r="213" spans="1:7">
      <c r="A213">
        <f>IF(COUNTBLANK(B213:G213)&lt;&gt;COLUMNS(B213:G213),212,"")</f>
        <v>0</v>
      </c>
      <c r="C213" s="1">
        <f>IF(B213="", "", "UBERON:gastrointestinal tract")</f>
        <v>0</v>
      </c>
      <c r="D213" s="1">
        <f>IF(B213="", "", "UBERON:feces")</f>
        <v>0</v>
      </c>
      <c r="E213" s="1">
        <f>IF(B213="", "", "UBERON:colon")</f>
        <v>0</v>
      </c>
      <c r="F213" s="1">
        <f>IF(B213="", "", "rat gut metagenome")</f>
        <v>0</v>
      </c>
      <c r="G213" s="1">
        <f>IF(B213="", "", "1436733")</f>
        <v>0</v>
      </c>
    </row>
    <row r="214" spans="1:7">
      <c r="A214">
        <f>IF(COUNTBLANK(B214:G214)&lt;&gt;COLUMNS(B214:G214),213,"")</f>
        <v>0</v>
      </c>
      <c r="C214" s="1">
        <f>IF(B214="", "", "UBERON:gastrointestinal tract")</f>
        <v>0</v>
      </c>
      <c r="D214" s="1">
        <f>IF(B214="", "", "UBERON:feces")</f>
        <v>0</v>
      </c>
      <c r="E214" s="1">
        <f>IF(B214="", "", "UBERON:colon")</f>
        <v>0</v>
      </c>
      <c r="F214" s="1">
        <f>IF(B214="", "", "rat gut metagenome")</f>
        <v>0</v>
      </c>
      <c r="G214" s="1">
        <f>IF(B214="", "", "1436733")</f>
        <v>0</v>
      </c>
    </row>
    <row r="215" spans="1:7">
      <c r="A215">
        <f>IF(COUNTBLANK(B215:G215)&lt;&gt;COLUMNS(B215:G215),214,"")</f>
        <v>0</v>
      </c>
      <c r="C215" s="1">
        <f>IF(B215="", "", "UBERON:gastrointestinal tract")</f>
        <v>0</v>
      </c>
      <c r="D215" s="1">
        <f>IF(B215="", "", "UBERON:feces")</f>
        <v>0</v>
      </c>
      <c r="E215" s="1">
        <f>IF(B215="", "", "UBERON:colon")</f>
        <v>0</v>
      </c>
      <c r="F215" s="1">
        <f>IF(B215="", "", "rat gut metagenome")</f>
        <v>0</v>
      </c>
      <c r="G215" s="1">
        <f>IF(B215="", "", "1436733")</f>
        <v>0</v>
      </c>
    </row>
    <row r="216" spans="1:7">
      <c r="A216">
        <f>IF(COUNTBLANK(B216:G216)&lt;&gt;COLUMNS(B216:G216),215,"")</f>
        <v>0</v>
      </c>
      <c r="C216" s="1">
        <f>IF(B216="", "", "UBERON:gastrointestinal tract")</f>
        <v>0</v>
      </c>
      <c r="D216" s="1">
        <f>IF(B216="", "", "UBERON:feces")</f>
        <v>0</v>
      </c>
      <c r="E216" s="1">
        <f>IF(B216="", "", "UBERON:colon")</f>
        <v>0</v>
      </c>
      <c r="F216" s="1">
        <f>IF(B216="", "", "rat gut metagenome")</f>
        <v>0</v>
      </c>
      <c r="G216" s="1">
        <f>IF(B216="", "", "1436733")</f>
        <v>0</v>
      </c>
    </row>
    <row r="217" spans="1:7">
      <c r="A217">
        <f>IF(COUNTBLANK(B217:G217)&lt;&gt;COLUMNS(B217:G217),216,"")</f>
        <v>0</v>
      </c>
      <c r="C217" s="1">
        <f>IF(B217="", "", "UBERON:gastrointestinal tract")</f>
        <v>0</v>
      </c>
      <c r="D217" s="1">
        <f>IF(B217="", "", "UBERON:feces")</f>
        <v>0</v>
      </c>
      <c r="E217" s="1">
        <f>IF(B217="", "", "UBERON:colon")</f>
        <v>0</v>
      </c>
      <c r="F217" s="1">
        <f>IF(B217="", "", "rat gut metagenome")</f>
        <v>0</v>
      </c>
      <c r="G217" s="1">
        <f>IF(B217="", "", "1436733")</f>
        <v>0</v>
      </c>
    </row>
    <row r="218" spans="1:7">
      <c r="A218">
        <f>IF(COUNTBLANK(B218:G218)&lt;&gt;COLUMNS(B218:G218),217,"")</f>
        <v>0</v>
      </c>
      <c r="C218" s="1">
        <f>IF(B218="", "", "UBERON:gastrointestinal tract")</f>
        <v>0</v>
      </c>
      <c r="D218" s="1">
        <f>IF(B218="", "", "UBERON:feces")</f>
        <v>0</v>
      </c>
      <c r="E218" s="1">
        <f>IF(B218="", "", "UBERON:colon")</f>
        <v>0</v>
      </c>
      <c r="F218" s="1">
        <f>IF(B218="", "", "rat gut metagenome")</f>
        <v>0</v>
      </c>
      <c r="G218" s="1">
        <f>IF(B218="", "", "1436733")</f>
        <v>0</v>
      </c>
    </row>
    <row r="219" spans="1:7">
      <c r="A219">
        <f>IF(COUNTBLANK(B219:G219)&lt;&gt;COLUMNS(B219:G219),218,"")</f>
        <v>0</v>
      </c>
      <c r="C219" s="1">
        <f>IF(B219="", "", "UBERON:gastrointestinal tract")</f>
        <v>0</v>
      </c>
      <c r="D219" s="1">
        <f>IF(B219="", "", "UBERON:feces")</f>
        <v>0</v>
      </c>
      <c r="E219" s="1">
        <f>IF(B219="", "", "UBERON:colon")</f>
        <v>0</v>
      </c>
      <c r="F219" s="1">
        <f>IF(B219="", "", "rat gut metagenome")</f>
        <v>0</v>
      </c>
      <c r="G219" s="1">
        <f>IF(B219="", "", "1436733")</f>
        <v>0</v>
      </c>
    </row>
    <row r="220" spans="1:7">
      <c r="A220">
        <f>IF(COUNTBLANK(B220:G220)&lt;&gt;COLUMNS(B220:G220),219,"")</f>
        <v>0</v>
      </c>
      <c r="C220" s="1">
        <f>IF(B220="", "", "UBERON:gastrointestinal tract")</f>
        <v>0</v>
      </c>
      <c r="D220" s="1">
        <f>IF(B220="", "", "UBERON:feces")</f>
        <v>0</v>
      </c>
      <c r="E220" s="1">
        <f>IF(B220="", "", "UBERON:colon")</f>
        <v>0</v>
      </c>
      <c r="F220" s="1">
        <f>IF(B220="", "", "rat gut metagenome")</f>
        <v>0</v>
      </c>
      <c r="G220" s="1">
        <f>IF(B220="", "", "1436733")</f>
        <v>0</v>
      </c>
    </row>
    <row r="221" spans="1:7">
      <c r="A221">
        <f>IF(COUNTBLANK(B221:G221)&lt;&gt;COLUMNS(B221:G221),220,"")</f>
        <v>0</v>
      </c>
      <c r="C221" s="1">
        <f>IF(B221="", "", "UBERON:gastrointestinal tract")</f>
        <v>0</v>
      </c>
      <c r="D221" s="1">
        <f>IF(B221="", "", "UBERON:feces")</f>
        <v>0</v>
      </c>
      <c r="E221" s="1">
        <f>IF(B221="", "", "UBERON:colon")</f>
        <v>0</v>
      </c>
      <c r="F221" s="1">
        <f>IF(B221="", "", "rat gut metagenome")</f>
        <v>0</v>
      </c>
      <c r="G221" s="1">
        <f>IF(B221="", "", "1436733")</f>
        <v>0</v>
      </c>
    </row>
    <row r="222" spans="1:7">
      <c r="A222">
        <f>IF(COUNTBLANK(B222:G222)&lt;&gt;COLUMNS(B222:G222),221,"")</f>
        <v>0</v>
      </c>
      <c r="C222" s="1">
        <f>IF(B222="", "", "UBERON:gastrointestinal tract")</f>
        <v>0</v>
      </c>
      <c r="D222" s="1">
        <f>IF(B222="", "", "UBERON:feces")</f>
        <v>0</v>
      </c>
      <c r="E222" s="1">
        <f>IF(B222="", "", "UBERON:colon")</f>
        <v>0</v>
      </c>
      <c r="F222" s="1">
        <f>IF(B222="", "", "rat gut metagenome")</f>
        <v>0</v>
      </c>
      <c r="G222" s="1">
        <f>IF(B222="", "", "1436733")</f>
        <v>0</v>
      </c>
    </row>
    <row r="223" spans="1:7">
      <c r="A223">
        <f>IF(COUNTBLANK(B223:G223)&lt;&gt;COLUMNS(B223:G223),222,"")</f>
        <v>0</v>
      </c>
      <c r="C223" s="1">
        <f>IF(B223="", "", "UBERON:gastrointestinal tract")</f>
        <v>0</v>
      </c>
      <c r="D223" s="1">
        <f>IF(B223="", "", "UBERON:feces")</f>
        <v>0</v>
      </c>
      <c r="E223" s="1">
        <f>IF(B223="", "", "UBERON:colon")</f>
        <v>0</v>
      </c>
      <c r="F223" s="1">
        <f>IF(B223="", "", "rat gut metagenome")</f>
        <v>0</v>
      </c>
      <c r="G223" s="1">
        <f>IF(B223="", "", "1436733")</f>
        <v>0</v>
      </c>
    </row>
    <row r="224" spans="1:7">
      <c r="A224">
        <f>IF(COUNTBLANK(B224:G224)&lt;&gt;COLUMNS(B224:G224),223,"")</f>
        <v>0</v>
      </c>
      <c r="C224" s="1">
        <f>IF(B224="", "", "UBERON:gastrointestinal tract")</f>
        <v>0</v>
      </c>
      <c r="D224" s="1">
        <f>IF(B224="", "", "UBERON:feces")</f>
        <v>0</v>
      </c>
      <c r="E224" s="1">
        <f>IF(B224="", "", "UBERON:colon")</f>
        <v>0</v>
      </c>
      <c r="F224" s="1">
        <f>IF(B224="", "", "rat gut metagenome")</f>
        <v>0</v>
      </c>
      <c r="G224" s="1">
        <f>IF(B224="", "", "1436733")</f>
        <v>0</v>
      </c>
    </row>
    <row r="225" spans="1:7">
      <c r="A225">
        <f>IF(COUNTBLANK(B225:G225)&lt;&gt;COLUMNS(B225:G225),224,"")</f>
        <v>0</v>
      </c>
      <c r="C225" s="1">
        <f>IF(B225="", "", "UBERON:gastrointestinal tract")</f>
        <v>0</v>
      </c>
      <c r="D225" s="1">
        <f>IF(B225="", "", "UBERON:feces")</f>
        <v>0</v>
      </c>
      <c r="E225" s="1">
        <f>IF(B225="", "", "UBERON:colon")</f>
        <v>0</v>
      </c>
      <c r="F225" s="1">
        <f>IF(B225="", "", "rat gut metagenome")</f>
        <v>0</v>
      </c>
      <c r="G225" s="1">
        <f>IF(B225="", "", "1436733")</f>
        <v>0</v>
      </c>
    </row>
    <row r="226" spans="1:7">
      <c r="A226">
        <f>IF(COUNTBLANK(B226:G226)&lt;&gt;COLUMNS(B226:G226),225,"")</f>
        <v>0</v>
      </c>
      <c r="C226" s="1">
        <f>IF(B226="", "", "UBERON:gastrointestinal tract")</f>
        <v>0</v>
      </c>
      <c r="D226" s="1">
        <f>IF(B226="", "", "UBERON:feces")</f>
        <v>0</v>
      </c>
      <c r="E226" s="1">
        <f>IF(B226="", "", "UBERON:colon")</f>
        <v>0</v>
      </c>
      <c r="F226" s="1">
        <f>IF(B226="", "", "rat gut metagenome")</f>
        <v>0</v>
      </c>
      <c r="G226" s="1">
        <f>IF(B226="", "", "1436733")</f>
        <v>0</v>
      </c>
    </row>
    <row r="227" spans="1:7">
      <c r="A227">
        <f>IF(COUNTBLANK(B227:G227)&lt;&gt;COLUMNS(B227:G227),226,"")</f>
        <v>0</v>
      </c>
      <c r="C227" s="1">
        <f>IF(B227="", "", "UBERON:gastrointestinal tract")</f>
        <v>0</v>
      </c>
      <c r="D227" s="1">
        <f>IF(B227="", "", "UBERON:feces")</f>
        <v>0</v>
      </c>
      <c r="E227" s="1">
        <f>IF(B227="", "", "UBERON:colon")</f>
        <v>0</v>
      </c>
      <c r="F227" s="1">
        <f>IF(B227="", "", "rat gut metagenome")</f>
        <v>0</v>
      </c>
      <c r="G227" s="1">
        <f>IF(B227="", "", "1436733")</f>
        <v>0</v>
      </c>
    </row>
    <row r="228" spans="1:7">
      <c r="A228">
        <f>IF(COUNTBLANK(B228:G228)&lt;&gt;COLUMNS(B228:G228),227,"")</f>
        <v>0</v>
      </c>
      <c r="C228" s="1">
        <f>IF(B228="", "", "UBERON:gastrointestinal tract")</f>
        <v>0</v>
      </c>
      <c r="D228" s="1">
        <f>IF(B228="", "", "UBERON:feces")</f>
        <v>0</v>
      </c>
      <c r="E228" s="1">
        <f>IF(B228="", "", "UBERON:colon")</f>
        <v>0</v>
      </c>
      <c r="F228" s="1">
        <f>IF(B228="", "", "rat gut metagenome")</f>
        <v>0</v>
      </c>
      <c r="G228" s="1">
        <f>IF(B228="", "", "1436733")</f>
        <v>0</v>
      </c>
    </row>
    <row r="229" spans="1:7">
      <c r="A229">
        <f>IF(COUNTBLANK(B229:G229)&lt;&gt;COLUMNS(B229:G229),228,"")</f>
        <v>0</v>
      </c>
      <c r="C229" s="1">
        <f>IF(B229="", "", "UBERON:gastrointestinal tract")</f>
        <v>0</v>
      </c>
      <c r="D229" s="1">
        <f>IF(B229="", "", "UBERON:feces")</f>
        <v>0</v>
      </c>
      <c r="E229" s="1">
        <f>IF(B229="", "", "UBERON:colon")</f>
        <v>0</v>
      </c>
      <c r="F229" s="1">
        <f>IF(B229="", "", "rat gut metagenome")</f>
        <v>0</v>
      </c>
      <c r="G229" s="1">
        <f>IF(B229="", "", "1436733")</f>
        <v>0</v>
      </c>
    </row>
    <row r="230" spans="1:7">
      <c r="A230">
        <f>IF(COUNTBLANK(B230:G230)&lt;&gt;COLUMNS(B230:G230),229,"")</f>
        <v>0</v>
      </c>
      <c r="C230" s="1">
        <f>IF(B230="", "", "UBERON:gastrointestinal tract")</f>
        <v>0</v>
      </c>
      <c r="D230" s="1">
        <f>IF(B230="", "", "UBERON:feces")</f>
        <v>0</v>
      </c>
      <c r="E230" s="1">
        <f>IF(B230="", "", "UBERON:colon")</f>
        <v>0</v>
      </c>
      <c r="F230" s="1">
        <f>IF(B230="", "", "rat gut metagenome")</f>
        <v>0</v>
      </c>
      <c r="G230" s="1">
        <f>IF(B230="", "", "1436733")</f>
        <v>0</v>
      </c>
    </row>
    <row r="231" spans="1:7">
      <c r="A231">
        <f>IF(COUNTBLANK(B231:G231)&lt;&gt;COLUMNS(B231:G231),230,"")</f>
        <v>0</v>
      </c>
      <c r="C231" s="1">
        <f>IF(B231="", "", "UBERON:gastrointestinal tract")</f>
        <v>0</v>
      </c>
      <c r="D231" s="1">
        <f>IF(B231="", "", "UBERON:feces")</f>
        <v>0</v>
      </c>
      <c r="E231" s="1">
        <f>IF(B231="", "", "UBERON:colon")</f>
        <v>0</v>
      </c>
      <c r="F231" s="1">
        <f>IF(B231="", "", "rat gut metagenome")</f>
        <v>0</v>
      </c>
      <c r="G231" s="1">
        <f>IF(B231="", "", "1436733")</f>
        <v>0</v>
      </c>
    </row>
    <row r="232" spans="1:7">
      <c r="A232">
        <f>IF(COUNTBLANK(B232:G232)&lt;&gt;COLUMNS(B232:G232),231,"")</f>
        <v>0</v>
      </c>
      <c r="C232" s="1">
        <f>IF(B232="", "", "UBERON:gastrointestinal tract")</f>
        <v>0</v>
      </c>
      <c r="D232" s="1">
        <f>IF(B232="", "", "UBERON:feces")</f>
        <v>0</v>
      </c>
      <c r="E232" s="1">
        <f>IF(B232="", "", "UBERON:colon")</f>
        <v>0</v>
      </c>
      <c r="F232" s="1">
        <f>IF(B232="", "", "rat gut metagenome")</f>
        <v>0</v>
      </c>
      <c r="G232" s="1">
        <f>IF(B232="", "", "1436733")</f>
        <v>0</v>
      </c>
    </row>
    <row r="233" spans="1:7">
      <c r="A233">
        <f>IF(COUNTBLANK(B233:G233)&lt;&gt;COLUMNS(B233:G233),232,"")</f>
        <v>0</v>
      </c>
      <c r="C233" s="1">
        <f>IF(B233="", "", "UBERON:gastrointestinal tract")</f>
        <v>0</v>
      </c>
      <c r="D233" s="1">
        <f>IF(B233="", "", "UBERON:feces")</f>
        <v>0</v>
      </c>
      <c r="E233" s="1">
        <f>IF(B233="", "", "UBERON:colon")</f>
        <v>0</v>
      </c>
      <c r="F233" s="1">
        <f>IF(B233="", "", "rat gut metagenome")</f>
        <v>0</v>
      </c>
      <c r="G233" s="1">
        <f>IF(B233="", "", "1436733")</f>
        <v>0</v>
      </c>
    </row>
    <row r="234" spans="1:7">
      <c r="A234">
        <f>IF(COUNTBLANK(B234:G234)&lt;&gt;COLUMNS(B234:G234),233,"")</f>
        <v>0</v>
      </c>
      <c r="C234" s="1">
        <f>IF(B234="", "", "UBERON:gastrointestinal tract")</f>
        <v>0</v>
      </c>
      <c r="D234" s="1">
        <f>IF(B234="", "", "UBERON:feces")</f>
        <v>0</v>
      </c>
      <c r="E234" s="1">
        <f>IF(B234="", "", "UBERON:colon")</f>
        <v>0</v>
      </c>
      <c r="F234" s="1">
        <f>IF(B234="", "", "rat gut metagenome")</f>
        <v>0</v>
      </c>
      <c r="G234" s="1">
        <f>IF(B234="", "", "1436733")</f>
        <v>0</v>
      </c>
    </row>
    <row r="235" spans="1:7">
      <c r="A235">
        <f>IF(COUNTBLANK(B235:G235)&lt;&gt;COLUMNS(B235:G235),234,"")</f>
        <v>0</v>
      </c>
      <c r="C235" s="1">
        <f>IF(B235="", "", "UBERON:gastrointestinal tract")</f>
        <v>0</v>
      </c>
      <c r="D235" s="1">
        <f>IF(B235="", "", "UBERON:feces")</f>
        <v>0</v>
      </c>
      <c r="E235" s="1">
        <f>IF(B235="", "", "UBERON:colon")</f>
        <v>0</v>
      </c>
      <c r="F235" s="1">
        <f>IF(B235="", "", "rat gut metagenome")</f>
        <v>0</v>
      </c>
      <c r="G235" s="1">
        <f>IF(B235="", "", "1436733")</f>
        <v>0</v>
      </c>
    </row>
    <row r="236" spans="1:7">
      <c r="A236">
        <f>IF(COUNTBLANK(B236:G236)&lt;&gt;COLUMNS(B236:G236),235,"")</f>
        <v>0</v>
      </c>
      <c r="C236" s="1">
        <f>IF(B236="", "", "UBERON:gastrointestinal tract")</f>
        <v>0</v>
      </c>
      <c r="D236" s="1">
        <f>IF(B236="", "", "UBERON:feces")</f>
        <v>0</v>
      </c>
      <c r="E236" s="1">
        <f>IF(B236="", "", "UBERON:colon")</f>
        <v>0</v>
      </c>
      <c r="F236" s="1">
        <f>IF(B236="", "", "rat gut metagenome")</f>
        <v>0</v>
      </c>
      <c r="G236" s="1">
        <f>IF(B236="", "", "1436733")</f>
        <v>0</v>
      </c>
    </row>
    <row r="237" spans="1:7">
      <c r="A237">
        <f>IF(COUNTBLANK(B237:G237)&lt;&gt;COLUMNS(B237:G237),236,"")</f>
        <v>0</v>
      </c>
      <c r="C237" s="1">
        <f>IF(B237="", "", "UBERON:gastrointestinal tract")</f>
        <v>0</v>
      </c>
      <c r="D237" s="1">
        <f>IF(B237="", "", "UBERON:feces")</f>
        <v>0</v>
      </c>
      <c r="E237" s="1">
        <f>IF(B237="", "", "UBERON:colon")</f>
        <v>0</v>
      </c>
      <c r="F237" s="1">
        <f>IF(B237="", "", "rat gut metagenome")</f>
        <v>0</v>
      </c>
      <c r="G237" s="1">
        <f>IF(B237="", "", "1436733")</f>
        <v>0</v>
      </c>
    </row>
    <row r="238" spans="1:7">
      <c r="A238">
        <f>IF(COUNTBLANK(B238:G238)&lt;&gt;COLUMNS(B238:G238),237,"")</f>
        <v>0</v>
      </c>
      <c r="C238" s="1">
        <f>IF(B238="", "", "UBERON:gastrointestinal tract")</f>
        <v>0</v>
      </c>
      <c r="D238" s="1">
        <f>IF(B238="", "", "UBERON:feces")</f>
        <v>0</v>
      </c>
      <c r="E238" s="1">
        <f>IF(B238="", "", "UBERON:colon")</f>
        <v>0</v>
      </c>
      <c r="F238" s="1">
        <f>IF(B238="", "", "rat gut metagenome")</f>
        <v>0</v>
      </c>
      <c r="G238" s="1">
        <f>IF(B238="", "", "1436733")</f>
        <v>0</v>
      </c>
    </row>
    <row r="239" spans="1:7">
      <c r="A239">
        <f>IF(COUNTBLANK(B239:G239)&lt;&gt;COLUMNS(B239:G239),238,"")</f>
        <v>0</v>
      </c>
      <c r="C239" s="1">
        <f>IF(B239="", "", "UBERON:gastrointestinal tract")</f>
        <v>0</v>
      </c>
      <c r="D239" s="1">
        <f>IF(B239="", "", "UBERON:feces")</f>
        <v>0</v>
      </c>
      <c r="E239" s="1">
        <f>IF(B239="", "", "UBERON:colon")</f>
        <v>0</v>
      </c>
      <c r="F239" s="1">
        <f>IF(B239="", "", "rat gut metagenome")</f>
        <v>0</v>
      </c>
      <c r="G239" s="1">
        <f>IF(B239="", "", "1436733")</f>
        <v>0</v>
      </c>
    </row>
    <row r="240" spans="1:7">
      <c r="A240">
        <f>IF(COUNTBLANK(B240:G240)&lt;&gt;COLUMNS(B240:G240),239,"")</f>
        <v>0</v>
      </c>
      <c r="C240" s="1">
        <f>IF(B240="", "", "UBERON:gastrointestinal tract")</f>
        <v>0</v>
      </c>
      <c r="D240" s="1">
        <f>IF(B240="", "", "UBERON:feces")</f>
        <v>0</v>
      </c>
      <c r="E240" s="1">
        <f>IF(B240="", "", "UBERON:colon")</f>
        <v>0</v>
      </c>
      <c r="F240" s="1">
        <f>IF(B240="", "", "rat gut metagenome")</f>
        <v>0</v>
      </c>
      <c r="G240" s="1">
        <f>IF(B240="", "", "1436733")</f>
        <v>0</v>
      </c>
    </row>
    <row r="241" spans="1:7">
      <c r="A241">
        <f>IF(COUNTBLANK(B241:G241)&lt;&gt;COLUMNS(B241:G241),240,"")</f>
        <v>0</v>
      </c>
      <c r="C241" s="1">
        <f>IF(B241="", "", "UBERON:gastrointestinal tract")</f>
        <v>0</v>
      </c>
      <c r="D241" s="1">
        <f>IF(B241="", "", "UBERON:feces")</f>
        <v>0</v>
      </c>
      <c r="E241" s="1">
        <f>IF(B241="", "", "UBERON:colon")</f>
        <v>0</v>
      </c>
      <c r="F241" s="1">
        <f>IF(B241="", "", "rat gut metagenome")</f>
        <v>0</v>
      </c>
      <c r="G241" s="1">
        <f>IF(B241="", "", "1436733")</f>
        <v>0</v>
      </c>
    </row>
    <row r="242" spans="1:7">
      <c r="A242">
        <f>IF(COUNTBLANK(B242:G242)&lt;&gt;COLUMNS(B242:G242),241,"")</f>
        <v>0</v>
      </c>
      <c r="C242" s="1">
        <f>IF(B242="", "", "UBERON:gastrointestinal tract")</f>
        <v>0</v>
      </c>
      <c r="D242" s="1">
        <f>IF(B242="", "", "UBERON:feces")</f>
        <v>0</v>
      </c>
      <c r="E242" s="1">
        <f>IF(B242="", "", "UBERON:colon")</f>
        <v>0</v>
      </c>
      <c r="F242" s="1">
        <f>IF(B242="", "", "rat gut metagenome")</f>
        <v>0</v>
      </c>
      <c r="G242" s="1">
        <f>IF(B242="", "", "1436733")</f>
        <v>0</v>
      </c>
    </row>
    <row r="243" spans="1:7">
      <c r="A243">
        <f>IF(COUNTBLANK(B243:G243)&lt;&gt;COLUMNS(B243:G243),242,"")</f>
        <v>0</v>
      </c>
      <c r="C243" s="1">
        <f>IF(B243="", "", "UBERON:gastrointestinal tract")</f>
        <v>0</v>
      </c>
      <c r="D243" s="1">
        <f>IF(B243="", "", "UBERON:feces")</f>
        <v>0</v>
      </c>
      <c r="E243" s="1">
        <f>IF(B243="", "", "UBERON:colon")</f>
        <v>0</v>
      </c>
      <c r="F243" s="1">
        <f>IF(B243="", "", "rat gut metagenome")</f>
        <v>0</v>
      </c>
      <c r="G243" s="1">
        <f>IF(B243="", "", "1436733")</f>
        <v>0</v>
      </c>
    </row>
    <row r="244" spans="1:7">
      <c r="A244">
        <f>IF(COUNTBLANK(B244:G244)&lt;&gt;COLUMNS(B244:G244),243,"")</f>
        <v>0</v>
      </c>
      <c r="C244" s="1">
        <f>IF(B244="", "", "UBERON:gastrointestinal tract")</f>
        <v>0</v>
      </c>
      <c r="D244" s="1">
        <f>IF(B244="", "", "UBERON:feces")</f>
        <v>0</v>
      </c>
      <c r="E244" s="1">
        <f>IF(B244="", "", "UBERON:colon")</f>
        <v>0</v>
      </c>
      <c r="F244" s="1">
        <f>IF(B244="", "", "rat gut metagenome")</f>
        <v>0</v>
      </c>
      <c r="G244" s="1">
        <f>IF(B244="", "", "1436733")</f>
        <v>0</v>
      </c>
    </row>
    <row r="245" spans="1:7">
      <c r="A245">
        <f>IF(COUNTBLANK(B245:G245)&lt;&gt;COLUMNS(B245:G245),244,"")</f>
        <v>0</v>
      </c>
      <c r="C245" s="1">
        <f>IF(B245="", "", "UBERON:gastrointestinal tract")</f>
        <v>0</v>
      </c>
      <c r="D245" s="1">
        <f>IF(B245="", "", "UBERON:feces")</f>
        <v>0</v>
      </c>
      <c r="E245" s="1">
        <f>IF(B245="", "", "UBERON:colon")</f>
        <v>0</v>
      </c>
      <c r="F245" s="1">
        <f>IF(B245="", "", "rat gut metagenome")</f>
        <v>0</v>
      </c>
      <c r="G245" s="1">
        <f>IF(B245="", "", "1436733")</f>
        <v>0</v>
      </c>
    </row>
    <row r="246" spans="1:7">
      <c r="A246">
        <f>IF(COUNTBLANK(B246:G246)&lt;&gt;COLUMNS(B246:G246),245,"")</f>
        <v>0</v>
      </c>
      <c r="C246" s="1">
        <f>IF(B246="", "", "UBERON:gastrointestinal tract")</f>
        <v>0</v>
      </c>
      <c r="D246" s="1">
        <f>IF(B246="", "", "UBERON:feces")</f>
        <v>0</v>
      </c>
      <c r="E246" s="1">
        <f>IF(B246="", "", "UBERON:colon")</f>
        <v>0</v>
      </c>
      <c r="F246" s="1">
        <f>IF(B246="", "", "rat gut metagenome")</f>
        <v>0</v>
      </c>
      <c r="G246" s="1">
        <f>IF(B246="", "", "1436733")</f>
        <v>0</v>
      </c>
    </row>
    <row r="247" spans="1:7">
      <c r="A247">
        <f>IF(COUNTBLANK(B247:G247)&lt;&gt;COLUMNS(B247:G247),246,"")</f>
        <v>0</v>
      </c>
      <c r="C247" s="1">
        <f>IF(B247="", "", "UBERON:gastrointestinal tract")</f>
        <v>0</v>
      </c>
      <c r="D247" s="1">
        <f>IF(B247="", "", "UBERON:feces")</f>
        <v>0</v>
      </c>
      <c r="E247" s="1">
        <f>IF(B247="", "", "UBERON:colon")</f>
        <v>0</v>
      </c>
      <c r="F247" s="1">
        <f>IF(B247="", "", "rat gut metagenome")</f>
        <v>0</v>
      </c>
      <c r="G247" s="1">
        <f>IF(B247="", "", "1436733")</f>
        <v>0</v>
      </c>
    </row>
    <row r="248" spans="1:7">
      <c r="A248">
        <f>IF(COUNTBLANK(B248:G248)&lt;&gt;COLUMNS(B248:G248),247,"")</f>
        <v>0</v>
      </c>
      <c r="C248" s="1">
        <f>IF(B248="", "", "UBERON:gastrointestinal tract")</f>
        <v>0</v>
      </c>
      <c r="D248" s="1">
        <f>IF(B248="", "", "UBERON:feces")</f>
        <v>0</v>
      </c>
      <c r="E248" s="1">
        <f>IF(B248="", "", "UBERON:colon")</f>
        <v>0</v>
      </c>
      <c r="F248" s="1">
        <f>IF(B248="", "", "rat gut metagenome")</f>
        <v>0</v>
      </c>
      <c r="G248" s="1">
        <f>IF(B248="", "", "1436733")</f>
        <v>0</v>
      </c>
    </row>
    <row r="249" spans="1:7">
      <c r="A249">
        <f>IF(COUNTBLANK(B249:G249)&lt;&gt;COLUMNS(B249:G249),248,"")</f>
        <v>0</v>
      </c>
      <c r="C249" s="1">
        <f>IF(B249="", "", "UBERON:gastrointestinal tract")</f>
        <v>0</v>
      </c>
      <c r="D249" s="1">
        <f>IF(B249="", "", "UBERON:feces")</f>
        <v>0</v>
      </c>
      <c r="E249" s="1">
        <f>IF(B249="", "", "UBERON:colon")</f>
        <v>0</v>
      </c>
      <c r="F249" s="1">
        <f>IF(B249="", "", "rat gut metagenome")</f>
        <v>0</v>
      </c>
      <c r="G249" s="1">
        <f>IF(B249="", "", "1436733")</f>
        <v>0</v>
      </c>
    </row>
    <row r="250" spans="1:7">
      <c r="A250">
        <f>IF(COUNTBLANK(B250:G250)&lt;&gt;COLUMNS(B250:G250),249,"")</f>
        <v>0</v>
      </c>
      <c r="C250" s="1">
        <f>IF(B250="", "", "UBERON:gastrointestinal tract")</f>
        <v>0</v>
      </c>
      <c r="D250" s="1">
        <f>IF(B250="", "", "UBERON:feces")</f>
        <v>0</v>
      </c>
      <c r="E250" s="1">
        <f>IF(B250="", "", "UBERON:colon")</f>
        <v>0</v>
      </c>
      <c r="F250" s="1">
        <f>IF(B250="", "", "rat gut metagenome")</f>
        <v>0</v>
      </c>
      <c r="G250" s="1">
        <f>IF(B250="", "", "1436733")</f>
        <v>0</v>
      </c>
    </row>
    <row r="251" spans="1:7">
      <c r="A251">
        <f>IF(COUNTBLANK(B251:G251)&lt;&gt;COLUMNS(B251:G251),250,"")</f>
        <v>0</v>
      </c>
      <c r="C251" s="1">
        <f>IF(B251="", "", "UBERON:gastrointestinal tract")</f>
        <v>0</v>
      </c>
      <c r="D251" s="1">
        <f>IF(B251="", "", "UBERON:feces")</f>
        <v>0</v>
      </c>
      <c r="E251" s="1">
        <f>IF(B251="", "", "UBERON:colon")</f>
        <v>0</v>
      </c>
      <c r="F251" s="1">
        <f>IF(B251="", "", "rat gut metagenome")</f>
        <v>0</v>
      </c>
      <c r="G251" s="1">
        <f>IF(B251="", "", "1436733")</f>
        <v>0</v>
      </c>
    </row>
    <row r="252" spans="1:7">
      <c r="A252">
        <f>IF(COUNTBLANK(B252:G252)&lt;&gt;COLUMNS(B252:G252),251,"")</f>
        <v>0</v>
      </c>
      <c r="C252" s="1">
        <f>IF(B252="", "", "UBERON:gastrointestinal tract")</f>
        <v>0</v>
      </c>
      <c r="D252" s="1">
        <f>IF(B252="", "", "UBERON:feces")</f>
        <v>0</v>
      </c>
      <c r="E252" s="1">
        <f>IF(B252="", "", "UBERON:colon")</f>
        <v>0</v>
      </c>
      <c r="F252" s="1">
        <f>IF(B252="", "", "rat gut metagenome")</f>
        <v>0</v>
      </c>
      <c r="G252" s="1">
        <f>IF(B252="", "", "1436733")</f>
        <v>0</v>
      </c>
    </row>
    <row r="253" spans="1:7">
      <c r="A253">
        <f>IF(COUNTBLANK(B253:G253)&lt;&gt;COLUMNS(B253:G253),252,"")</f>
        <v>0</v>
      </c>
      <c r="C253" s="1">
        <f>IF(B253="", "", "UBERON:gastrointestinal tract")</f>
        <v>0</v>
      </c>
      <c r="D253" s="1">
        <f>IF(B253="", "", "UBERON:feces")</f>
        <v>0</v>
      </c>
      <c r="E253" s="1">
        <f>IF(B253="", "", "UBERON:colon")</f>
        <v>0</v>
      </c>
      <c r="F253" s="1">
        <f>IF(B253="", "", "rat gut metagenome")</f>
        <v>0</v>
      </c>
      <c r="G253" s="1">
        <f>IF(B253="", "", "1436733")</f>
        <v>0</v>
      </c>
    </row>
    <row r="254" spans="1:7">
      <c r="A254">
        <f>IF(COUNTBLANK(B254:G254)&lt;&gt;COLUMNS(B254:G254),253,"")</f>
        <v>0</v>
      </c>
      <c r="C254" s="1">
        <f>IF(B254="", "", "UBERON:gastrointestinal tract")</f>
        <v>0</v>
      </c>
      <c r="D254" s="1">
        <f>IF(B254="", "", "UBERON:feces")</f>
        <v>0</v>
      </c>
      <c r="E254" s="1">
        <f>IF(B254="", "", "UBERON:colon")</f>
        <v>0</v>
      </c>
      <c r="F254" s="1">
        <f>IF(B254="", "", "rat gut metagenome")</f>
        <v>0</v>
      </c>
      <c r="G254" s="1">
        <f>IF(B254="", "", "1436733")</f>
        <v>0</v>
      </c>
    </row>
    <row r="255" spans="1:7">
      <c r="A255">
        <f>IF(COUNTBLANK(B255:G255)&lt;&gt;COLUMNS(B255:G255),254,"")</f>
        <v>0</v>
      </c>
      <c r="C255" s="1">
        <f>IF(B255="", "", "UBERON:gastrointestinal tract")</f>
        <v>0</v>
      </c>
      <c r="D255" s="1">
        <f>IF(B255="", "", "UBERON:feces")</f>
        <v>0</v>
      </c>
      <c r="E255" s="1">
        <f>IF(B255="", "", "UBERON:colon")</f>
        <v>0</v>
      </c>
      <c r="F255" s="1">
        <f>IF(B255="", "", "rat gut metagenome")</f>
        <v>0</v>
      </c>
      <c r="G255" s="1">
        <f>IF(B255="", "", "1436733")</f>
        <v>0</v>
      </c>
    </row>
    <row r="256" spans="1:7">
      <c r="A256">
        <f>IF(COUNTBLANK(B256:G256)&lt;&gt;COLUMNS(B256:G256),255,"")</f>
        <v>0</v>
      </c>
      <c r="C256" s="1">
        <f>IF(B256="", "", "UBERON:gastrointestinal tract")</f>
        <v>0</v>
      </c>
      <c r="D256" s="1">
        <f>IF(B256="", "", "UBERON:feces")</f>
        <v>0</v>
      </c>
      <c r="E256" s="1">
        <f>IF(B256="", "", "UBERON:colon")</f>
        <v>0</v>
      </c>
      <c r="F256" s="1">
        <f>IF(B256="", "", "rat gut metagenome")</f>
        <v>0</v>
      </c>
      <c r="G256" s="1">
        <f>IF(B256="", "", "1436733")</f>
        <v>0</v>
      </c>
    </row>
    <row r="257" spans="1:7">
      <c r="A257">
        <f>IF(COUNTBLANK(B257:G257)&lt;&gt;COLUMNS(B257:G257),256,"")</f>
        <v>0</v>
      </c>
      <c r="C257" s="1">
        <f>IF(B257="", "", "UBERON:gastrointestinal tract")</f>
        <v>0</v>
      </c>
      <c r="D257" s="1">
        <f>IF(B257="", "", "UBERON:feces")</f>
        <v>0</v>
      </c>
      <c r="E257" s="1">
        <f>IF(B257="", "", "UBERON:colon")</f>
        <v>0</v>
      </c>
      <c r="F257" s="1">
        <f>IF(B257="", "", "rat gut metagenome")</f>
        <v>0</v>
      </c>
      <c r="G257" s="1">
        <f>IF(B257="", "", "1436733")</f>
        <v>0</v>
      </c>
    </row>
    <row r="258" spans="1:7">
      <c r="A258">
        <f>IF(COUNTBLANK(B258:G258)&lt;&gt;COLUMNS(B258:G258),257,"")</f>
        <v>0</v>
      </c>
      <c r="C258" s="1">
        <f>IF(B258="", "", "UBERON:gastrointestinal tract")</f>
        <v>0</v>
      </c>
      <c r="D258" s="1">
        <f>IF(B258="", "", "UBERON:feces")</f>
        <v>0</v>
      </c>
      <c r="E258" s="1">
        <f>IF(B258="", "", "UBERON:colon")</f>
        <v>0</v>
      </c>
      <c r="F258" s="1">
        <f>IF(B258="", "", "rat gut metagenome")</f>
        <v>0</v>
      </c>
      <c r="G258" s="1">
        <f>IF(B258="", "", "1436733")</f>
        <v>0</v>
      </c>
    </row>
    <row r="259" spans="1:7">
      <c r="A259">
        <f>IF(COUNTBLANK(B259:G259)&lt;&gt;COLUMNS(B259:G259),258,"")</f>
        <v>0</v>
      </c>
      <c r="C259" s="1">
        <f>IF(B259="", "", "UBERON:gastrointestinal tract")</f>
        <v>0</v>
      </c>
      <c r="D259" s="1">
        <f>IF(B259="", "", "UBERON:feces")</f>
        <v>0</v>
      </c>
      <c r="E259" s="1">
        <f>IF(B259="", "", "UBERON:colon")</f>
        <v>0</v>
      </c>
      <c r="F259" s="1">
        <f>IF(B259="", "", "rat gut metagenome")</f>
        <v>0</v>
      </c>
      <c r="G259" s="1">
        <f>IF(B259="", "", "1436733")</f>
        <v>0</v>
      </c>
    </row>
    <row r="260" spans="1:7">
      <c r="A260">
        <f>IF(COUNTBLANK(B260:G260)&lt;&gt;COLUMNS(B260:G260),259,"")</f>
        <v>0</v>
      </c>
      <c r="C260" s="1">
        <f>IF(B260="", "", "UBERON:gastrointestinal tract")</f>
        <v>0</v>
      </c>
      <c r="D260" s="1">
        <f>IF(B260="", "", "UBERON:feces")</f>
        <v>0</v>
      </c>
      <c r="E260" s="1">
        <f>IF(B260="", "", "UBERON:colon")</f>
        <v>0</v>
      </c>
      <c r="F260" s="1">
        <f>IF(B260="", "", "rat gut metagenome")</f>
        <v>0</v>
      </c>
      <c r="G260" s="1">
        <f>IF(B260="", "", "1436733")</f>
        <v>0</v>
      </c>
    </row>
    <row r="261" spans="1:7">
      <c r="A261">
        <f>IF(COUNTBLANK(B261:G261)&lt;&gt;COLUMNS(B261:G261),260,"")</f>
        <v>0</v>
      </c>
      <c r="C261" s="1">
        <f>IF(B261="", "", "UBERON:gastrointestinal tract")</f>
        <v>0</v>
      </c>
      <c r="D261" s="1">
        <f>IF(B261="", "", "UBERON:feces")</f>
        <v>0</v>
      </c>
      <c r="E261" s="1">
        <f>IF(B261="", "", "UBERON:colon")</f>
        <v>0</v>
      </c>
      <c r="F261" s="1">
        <f>IF(B261="", "", "rat gut metagenome")</f>
        <v>0</v>
      </c>
      <c r="G261" s="1">
        <f>IF(B261="", "", "1436733")</f>
        <v>0</v>
      </c>
    </row>
    <row r="262" spans="1:7">
      <c r="A262">
        <f>IF(COUNTBLANK(B262:G262)&lt;&gt;COLUMNS(B262:G262),261,"")</f>
        <v>0</v>
      </c>
      <c r="C262" s="1">
        <f>IF(B262="", "", "UBERON:gastrointestinal tract")</f>
        <v>0</v>
      </c>
      <c r="D262" s="1">
        <f>IF(B262="", "", "UBERON:feces")</f>
        <v>0</v>
      </c>
      <c r="E262" s="1">
        <f>IF(B262="", "", "UBERON:colon")</f>
        <v>0</v>
      </c>
      <c r="F262" s="1">
        <f>IF(B262="", "", "rat gut metagenome")</f>
        <v>0</v>
      </c>
      <c r="G262" s="1">
        <f>IF(B262="", "", "1436733")</f>
        <v>0</v>
      </c>
    </row>
    <row r="263" spans="1:7">
      <c r="A263">
        <f>IF(COUNTBLANK(B263:G263)&lt;&gt;COLUMNS(B263:G263),262,"")</f>
        <v>0</v>
      </c>
      <c r="C263" s="1">
        <f>IF(B263="", "", "UBERON:gastrointestinal tract")</f>
        <v>0</v>
      </c>
      <c r="D263" s="1">
        <f>IF(B263="", "", "UBERON:feces")</f>
        <v>0</v>
      </c>
      <c r="E263" s="1">
        <f>IF(B263="", "", "UBERON:colon")</f>
        <v>0</v>
      </c>
      <c r="F263" s="1">
        <f>IF(B263="", "", "rat gut metagenome")</f>
        <v>0</v>
      </c>
      <c r="G263" s="1">
        <f>IF(B263="", "", "1436733")</f>
        <v>0</v>
      </c>
    </row>
    <row r="264" spans="1:7">
      <c r="A264">
        <f>IF(COUNTBLANK(B264:G264)&lt;&gt;COLUMNS(B264:G264),263,"")</f>
        <v>0</v>
      </c>
      <c r="C264" s="1">
        <f>IF(B264="", "", "UBERON:gastrointestinal tract")</f>
        <v>0</v>
      </c>
      <c r="D264" s="1">
        <f>IF(B264="", "", "UBERON:feces")</f>
        <v>0</v>
      </c>
      <c r="E264" s="1">
        <f>IF(B264="", "", "UBERON:colon")</f>
        <v>0</v>
      </c>
      <c r="F264" s="1">
        <f>IF(B264="", "", "rat gut metagenome")</f>
        <v>0</v>
      </c>
      <c r="G264" s="1">
        <f>IF(B264="", "", "1436733")</f>
        <v>0</v>
      </c>
    </row>
    <row r="265" spans="1:7">
      <c r="A265">
        <f>IF(COUNTBLANK(B265:G265)&lt;&gt;COLUMNS(B265:G265),264,"")</f>
        <v>0</v>
      </c>
      <c r="C265" s="1">
        <f>IF(B265="", "", "UBERON:gastrointestinal tract")</f>
        <v>0</v>
      </c>
      <c r="D265" s="1">
        <f>IF(B265="", "", "UBERON:feces")</f>
        <v>0</v>
      </c>
      <c r="E265" s="1">
        <f>IF(B265="", "", "UBERON:colon")</f>
        <v>0</v>
      </c>
      <c r="F265" s="1">
        <f>IF(B265="", "", "rat gut metagenome")</f>
        <v>0</v>
      </c>
      <c r="G265" s="1">
        <f>IF(B265="", "", "1436733")</f>
        <v>0</v>
      </c>
    </row>
    <row r="266" spans="1:7">
      <c r="A266">
        <f>IF(COUNTBLANK(B266:G266)&lt;&gt;COLUMNS(B266:G266),265,"")</f>
        <v>0</v>
      </c>
      <c r="C266" s="1">
        <f>IF(B266="", "", "UBERON:gastrointestinal tract")</f>
        <v>0</v>
      </c>
      <c r="D266" s="1">
        <f>IF(B266="", "", "UBERON:feces")</f>
        <v>0</v>
      </c>
      <c r="E266" s="1">
        <f>IF(B266="", "", "UBERON:colon")</f>
        <v>0</v>
      </c>
      <c r="F266" s="1">
        <f>IF(B266="", "", "rat gut metagenome")</f>
        <v>0</v>
      </c>
      <c r="G266" s="1">
        <f>IF(B266="", "", "1436733")</f>
        <v>0</v>
      </c>
    </row>
    <row r="267" spans="1:7">
      <c r="A267">
        <f>IF(COUNTBLANK(B267:G267)&lt;&gt;COLUMNS(B267:G267),266,"")</f>
        <v>0</v>
      </c>
      <c r="C267" s="1">
        <f>IF(B267="", "", "UBERON:gastrointestinal tract")</f>
        <v>0</v>
      </c>
      <c r="D267" s="1">
        <f>IF(B267="", "", "UBERON:feces")</f>
        <v>0</v>
      </c>
      <c r="E267" s="1">
        <f>IF(B267="", "", "UBERON:colon")</f>
        <v>0</v>
      </c>
      <c r="F267" s="1">
        <f>IF(B267="", "", "rat gut metagenome")</f>
        <v>0</v>
      </c>
      <c r="G267" s="1">
        <f>IF(B267="", "", "1436733")</f>
        <v>0</v>
      </c>
    </row>
    <row r="268" spans="1:7">
      <c r="A268">
        <f>IF(COUNTBLANK(B268:G268)&lt;&gt;COLUMNS(B268:G268),267,"")</f>
        <v>0</v>
      </c>
      <c r="C268" s="1">
        <f>IF(B268="", "", "UBERON:gastrointestinal tract")</f>
        <v>0</v>
      </c>
      <c r="D268" s="1">
        <f>IF(B268="", "", "UBERON:feces")</f>
        <v>0</v>
      </c>
      <c r="E268" s="1">
        <f>IF(B268="", "", "UBERON:colon")</f>
        <v>0</v>
      </c>
      <c r="F268" s="1">
        <f>IF(B268="", "", "rat gut metagenome")</f>
        <v>0</v>
      </c>
      <c r="G268" s="1">
        <f>IF(B268="", "", "1436733")</f>
        <v>0</v>
      </c>
    </row>
    <row r="269" spans="1:7">
      <c r="A269">
        <f>IF(COUNTBLANK(B269:G269)&lt;&gt;COLUMNS(B269:G269),268,"")</f>
        <v>0</v>
      </c>
      <c r="C269" s="1">
        <f>IF(B269="", "", "UBERON:gastrointestinal tract")</f>
        <v>0</v>
      </c>
      <c r="D269" s="1">
        <f>IF(B269="", "", "UBERON:feces")</f>
        <v>0</v>
      </c>
      <c r="E269" s="1">
        <f>IF(B269="", "", "UBERON:colon")</f>
        <v>0</v>
      </c>
      <c r="F269" s="1">
        <f>IF(B269="", "", "rat gut metagenome")</f>
        <v>0</v>
      </c>
      <c r="G269" s="1">
        <f>IF(B269="", "", "1436733")</f>
        <v>0</v>
      </c>
    </row>
    <row r="270" spans="1:7">
      <c r="A270">
        <f>IF(COUNTBLANK(B270:G270)&lt;&gt;COLUMNS(B270:G270),269,"")</f>
        <v>0</v>
      </c>
      <c r="C270" s="1">
        <f>IF(B270="", "", "UBERON:gastrointestinal tract")</f>
        <v>0</v>
      </c>
      <c r="D270" s="1">
        <f>IF(B270="", "", "UBERON:feces")</f>
        <v>0</v>
      </c>
      <c r="E270" s="1">
        <f>IF(B270="", "", "UBERON:colon")</f>
        <v>0</v>
      </c>
      <c r="F270" s="1">
        <f>IF(B270="", "", "rat gut metagenome")</f>
        <v>0</v>
      </c>
      <c r="G270" s="1">
        <f>IF(B270="", "", "1436733")</f>
        <v>0</v>
      </c>
    </row>
    <row r="271" spans="1:7">
      <c r="A271">
        <f>IF(COUNTBLANK(B271:G271)&lt;&gt;COLUMNS(B271:G271),270,"")</f>
        <v>0</v>
      </c>
      <c r="C271" s="1">
        <f>IF(B271="", "", "UBERON:gastrointestinal tract")</f>
        <v>0</v>
      </c>
      <c r="D271" s="1">
        <f>IF(B271="", "", "UBERON:feces")</f>
        <v>0</v>
      </c>
      <c r="E271" s="1">
        <f>IF(B271="", "", "UBERON:colon")</f>
        <v>0</v>
      </c>
      <c r="F271" s="1">
        <f>IF(B271="", "", "rat gut metagenome")</f>
        <v>0</v>
      </c>
      <c r="G271" s="1">
        <f>IF(B271="", "", "1436733")</f>
        <v>0</v>
      </c>
    </row>
    <row r="272" spans="1:7">
      <c r="A272">
        <f>IF(COUNTBLANK(B272:G272)&lt;&gt;COLUMNS(B272:G272),271,"")</f>
        <v>0</v>
      </c>
      <c r="C272" s="1">
        <f>IF(B272="", "", "UBERON:gastrointestinal tract")</f>
        <v>0</v>
      </c>
      <c r="D272" s="1">
        <f>IF(B272="", "", "UBERON:feces")</f>
        <v>0</v>
      </c>
      <c r="E272" s="1">
        <f>IF(B272="", "", "UBERON:colon")</f>
        <v>0</v>
      </c>
      <c r="F272" s="1">
        <f>IF(B272="", "", "rat gut metagenome")</f>
        <v>0</v>
      </c>
      <c r="G272" s="1">
        <f>IF(B272="", "", "1436733")</f>
        <v>0</v>
      </c>
    </row>
    <row r="273" spans="1:7">
      <c r="A273">
        <f>IF(COUNTBLANK(B273:G273)&lt;&gt;COLUMNS(B273:G273),272,"")</f>
        <v>0</v>
      </c>
      <c r="C273" s="1">
        <f>IF(B273="", "", "UBERON:gastrointestinal tract")</f>
        <v>0</v>
      </c>
      <c r="D273" s="1">
        <f>IF(B273="", "", "UBERON:feces")</f>
        <v>0</v>
      </c>
      <c r="E273" s="1">
        <f>IF(B273="", "", "UBERON:colon")</f>
        <v>0</v>
      </c>
      <c r="F273" s="1">
        <f>IF(B273="", "", "rat gut metagenome")</f>
        <v>0</v>
      </c>
      <c r="G273" s="1">
        <f>IF(B273="", "", "1436733")</f>
        <v>0</v>
      </c>
    </row>
    <row r="274" spans="1:7">
      <c r="A274">
        <f>IF(COUNTBLANK(B274:G274)&lt;&gt;COLUMNS(B274:G274),273,"")</f>
        <v>0</v>
      </c>
      <c r="C274" s="1">
        <f>IF(B274="", "", "UBERON:gastrointestinal tract")</f>
        <v>0</v>
      </c>
      <c r="D274" s="1">
        <f>IF(B274="", "", "UBERON:feces")</f>
        <v>0</v>
      </c>
      <c r="E274" s="1">
        <f>IF(B274="", "", "UBERON:colon")</f>
        <v>0</v>
      </c>
      <c r="F274" s="1">
        <f>IF(B274="", "", "rat gut metagenome")</f>
        <v>0</v>
      </c>
      <c r="G274" s="1">
        <f>IF(B274="", "", "1436733")</f>
        <v>0</v>
      </c>
    </row>
    <row r="275" spans="1:7">
      <c r="A275">
        <f>IF(COUNTBLANK(B275:G275)&lt;&gt;COLUMNS(B275:G275),274,"")</f>
        <v>0</v>
      </c>
      <c r="C275" s="1">
        <f>IF(B275="", "", "UBERON:gastrointestinal tract")</f>
        <v>0</v>
      </c>
      <c r="D275" s="1">
        <f>IF(B275="", "", "UBERON:feces")</f>
        <v>0</v>
      </c>
      <c r="E275" s="1">
        <f>IF(B275="", "", "UBERON:colon")</f>
        <v>0</v>
      </c>
      <c r="F275" s="1">
        <f>IF(B275="", "", "rat gut metagenome")</f>
        <v>0</v>
      </c>
      <c r="G275" s="1">
        <f>IF(B275="", "", "1436733")</f>
        <v>0</v>
      </c>
    </row>
    <row r="276" spans="1:7">
      <c r="A276">
        <f>IF(COUNTBLANK(B276:G276)&lt;&gt;COLUMNS(B276:G276),275,"")</f>
        <v>0</v>
      </c>
      <c r="C276" s="1">
        <f>IF(B276="", "", "UBERON:gastrointestinal tract")</f>
        <v>0</v>
      </c>
      <c r="D276" s="1">
        <f>IF(B276="", "", "UBERON:feces")</f>
        <v>0</v>
      </c>
      <c r="E276" s="1">
        <f>IF(B276="", "", "UBERON:colon")</f>
        <v>0</v>
      </c>
      <c r="F276" s="1">
        <f>IF(B276="", "", "rat gut metagenome")</f>
        <v>0</v>
      </c>
      <c r="G276" s="1">
        <f>IF(B276="", "", "1436733")</f>
        <v>0</v>
      </c>
    </row>
    <row r="277" spans="1:7">
      <c r="A277">
        <f>IF(COUNTBLANK(B277:G277)&lt;&gt;COLUMNS(B277:G277),276,"")</f>
        <v>0</v>
      </c>
      <c r="C277" s="1">
        <f>IF(B277="", "", "UBERON:gastrointestinal tract")</f>
        <v>0</v>
      </c>
      <c r="D277" s="1">
        <f>IF(B277="", "", "UBERON:feces")</f>
        <v>0</v>
      </c>
      <c r="E277" s="1">
        <f>IF(B277="", "", "UBERON:colon")</f>
        <v>0</v>
      </c>
      <c r="F277" s="1">
        <f>IF(B277="", "", "rat gut metagenome")</f>
        <v>0</v>
      </c>
      <c r="G277" s="1">
        <f>IF(B277="", "", "1436733")</f>
        <v>0</v>
      </c>
    </row>
    <row r="278" spans="1:7">
      <c r="A278">
        <f>IF(COUNTBLANK(B278:G278)&lt;&gt;COLUMNS(B278:G278),277,"")</f>
        <v>0</v>
      </c>
      <c r="C278" s="1">
        <f>IF(B278="", "", "UBERON:gastrointestinal tract")</f>
        <v>0</v>
      </c>
      <c r="D278" s="1">
        <f>IF(B278="", "", "UBERON:feces")</f>
        <v>0</v>
      </c>
      <c r="E278" s="1">
        <f>IF(B278="", "", "UBERON:colon")</f>
        <v>0</v>
      </c>
      <c r="F278" s="1">
        <f>IF(B278="", "", "rat gut metagenome")</f>
        <v>0</v>
      </c>
      <c r="G278" s="1">
        <f>IF(B278="", "", "1436733")</f>
        <v>0</v>
      </c>
    </row>
    <row r="279" spans="1:7">
      <c r="A279">
        <f>IF(COUNTBLANK(B279:G279)&lt;&gt;COLUMNS(B279:G279),278,"")</f>
        <v>0</v>
      </c>
      <c r="C279" s="1">
        <f>IF(B279="", "", "UBERON:gastrointestinal tract")</f>
        <v>0</v>
      </c>
      <c r="D279" s="1">
        <f>IF(B279="", "", "UBERON:feces")</f>
        <v>0</v>
      </c>
      <c r="E279" s="1">
        <f>IF(B279="", "", "UBERON:colon")</f>
        <v>0</v>
      </c>
      <c r="F279" s="1">
        <f>IF(B279="", "", "rat gut metagenome")</f>
        <v>0</v>
      </c>
      <c r="G279" s="1">
        <f>IF(B279="", "", "1436733")</f>
        <v>0</v>
      </c>
    </row>
    <row r="280" spans="1:7">
      <c r="A280">
        <f>IF(COUNTBLANK(B280:G280)&lt;&gt;COLUMNS(B280:G280),279,"")</f>
        <v>0</v>
      </c>
      <c r="C280" s="1">
        <f>IF(B280="", "", "UBERON:gastrointestinal tract")</f>
        <v>0</v>
      </c>
      <c r="D280" s="1">
        <f>IF(B280="", "", "UBERON:feces")</f>
        <v>0</v>
      </c>
      <c r="E280" s="1">
        <f>IF(B280="", "", "UBERON:colon")</f>
        <v>0</v>
      </c>
      <c r="F280" s="1">
        <f>IF(B280="", "", "rat gut metagenome")</f>
        <v>0</v>
      </c>
      <c r="G280" s="1">
        <f>IF(B280="", "", "1436733")</f>
        <v>0</v>
      </c>
    </row>
    <row r="281" spans="1:7">
      <c r="A281">
        <f>IF(COUNTBLANK(B281:G281)&lt;&gt;COLUMNS(B281:G281),280,"")</f>
        <v>0</v>
      </c>
      <c r="C281" s="1">
        <f>IF(B281="", "", "UBERON:gastrointestinal tract")</f>
        <v>0</v>
      </c>
      <c r="D281" s="1">
        <f>IF(B281="", "", "UBERON:feces")</f>
        <v>0</v>
      </c>
      <c r="E281" s="1">
        <f>IF(B281="", "", "UBERON:colon")</f>
        <v>0</v>
      </c>
      <c r="F281" s="1">
        <f>IF(B281="", "", "rat gut metagenome")</f>
        <v>0</v>
      </c>
      <c r="G281" s="1">
        <f>IF(B281="", "", "1436733")</f>
        <v>0</v>
      </c>
    </row>
    <row r="282" spans="1:7">
      <c r="A282">
        <f>IF(COUNTBLANK(B282:G282)&lt;&gt;COLUMNS(B282:G282),281,"")</f>
        <v>0</v>
      </c>
      <c r="C282" s="1">
        <f>IF(B282="", "", "UBERON:gastrointestinal tract")</f>
        <v>0</v>
      </c>
      <c r="D282" s="1">
        <f>IF(B282="", "", "UBERON:feces")</f>
        <v>0</v>
      </c>
      <c r="E282" s="1">
        <f>IF(B282="", "", "UBERON:colon")</f>
        <v>0</v>
      </c>
      <c r="F282" s="1">
        <f>IF(B282="", "", "rat gut metagenome")</f>
        <v>0</v>
      </c>
      <c r="G282" s="1">
        <f>IF(B282="", "", "1436733")</f>
        <v>0</v>
      </c>
    </row>
    <row r="283" spans="1:7">
      <c r="A283">
        <f>IF(COUNTBLANK(B283:G283)&lt;&gt;COLUMNS(B283:G283),282,"")</f>
        <v>0</v>
      </c>
      <c r="C283" s="1">
        <f>IF(B283="", "", "UBERON:gastrointestinal tract")</f>
        <v>0</v>
      </c>
      <c r="D283" s="1">
        <f>IF(B283="", "", "UBERON:feces")</f>
        <v>0</v>
      </c>
      <c r="E283" s="1">
        <f>IF(B283="", "", "UBERON:colon")</f>
        <v>0</v>
      </c>
      <c r="F283" s="1">
        <f>IF(B283="", "", "rat gut metagenome")</f>
        <v>0</v>
      </c>
      <c r="G283" s="1">
        <f>IF(B283="", "", "1436733")</f>
        <v>0</v>
      </c>
    </row>
    <row r="284" spans="1:7">
      <c r="A284">
        <f>IF(COUNTBLANK(B284:G284)&lt;&gt;COLUMNS(B284:G284),283,"")</f>
        <v>0</v>
      </c>
      <c r="C284" s="1">
        <f>IF(B284="", "", "UBERON:gastrointestinal tract")</f>
        <v>0</v>
      </c>
      <c r="D284" s="1">
        <f>IF(B284="", "", "UBERON:feces")</f>
        <v>0</v>
      </c>
      <c r="E284" s="1">
        <f>IF(B284="", "", "UBERON:colon")</f>
        <v>0</v>
      </c>
      <c r="F284" s="1">
        <f>IF(B284="", "", "rat gut metagenome")</f>
        <v>0</v>
      </c>
      <c r="G284" s="1">
        <f>IF(B284="", "", "1436733")</f>
        <v>0</v>
      </c>
    </row>
    <row r="285" spans="1:7">
      <c r="A285">
        <f>IF(COUNTBLANK(B285:G285)&lt;&gt;COLUMNS(B285:G285),284,"")</f>
        <v>0</v>
      </c>
      <c r="C285" s="1">
        <f>IF(B285="", "", "UBERON:gastrointestinal tract")</f>
        <v>0</v>
      </c>
      <c r="D285" s="1">
        <f>IF(B285="", "", "UBERON:feces")</f>
        <v>0</v>
      </c>
      <c r="E285" s="1">
        <f>IF(B285="", "", "UBERON:colon")</f>
        <v>0</v>
      </c>
      <c r="F285" s="1">
        <f>IF(B285="", "", "rat gut metagenome")</f>
        <v>0</v>
      </c>
      <c r="G285" s="1">
        <f>IF(B285="", "", "1436733")</f>
        <v>0</v>
      </c>
    </row>
    <row r="286" spans="1:7">
      <c r="A286">
        <f>IF(COUNTBLANK(B286:G286)&lt;&gt;COLUMNS(B286:G286),285,"")</f>
        <v>0</v>
      </c>
      <c r="C286" s="1">
        <f>IF(B286="", "", "UBERON:gastrointestinal tract")</f>
        <v>0</v>
      </c>
      <c r="D286" s="1">
        <f>IF(B286="", "", "UBERON:feces")</f>
        <v>0</v>
      </c>
      <c r="E286" s="1">
        <f>IF(B286="", "", "UBERON:colon")</f>
        <v>0</v>
      </c>
      <c r="F286" s="1">
        <f>IF(B286="", "", "rat gut metagenome")</f>
        <v>0</v>
      </c>
      <c r="G286" s="1">
        <f>IF(B286="", "", "1436733")</f>
        <v>0</v>
      </c>
    </row>
    <row r="287" spans="1:7">
      <c r="A287">
        <f>IF(COUNTBLANK(B287:G287)&lt;&gt;COLUMNS(B287:G287),286,"")</f>
        <v>0</v>
      </c>
      <c r="C287" s="1">
        <f>IF(B287="", "", "UBERON:gastrointestinal tract")</f>
        <v>0</v>
      </c>
      <c r="D287" s="1">
        <f>IF(B287="", "", "UBERON:feces")</f>
        <v>0</v>
      </c>
      <c r="E287" s="1">
        <f>IF(B287="", "", "UBERON:colon")</f>
        <v>0</v>
      </c>
      <c r="F287" s="1">
        <f>IF(B287="", "", "rat gut metagenome")</f>
        <v>0</v>
      </c>
      <c r="G287" s="1">
        <f>IF(B287="", "", "1436733")</f>
        <v>0</v>
      </c>
    </row>
    <row r="288" spans="1:7">
      <c r="A288">
        <f>IF(COUNTBLANK(B288:G288)&lt;&gt;COLUMNS(B288:G288),287,"")</f>
        <v>0</v>
      </c>
      <c r="C288" s="1">
        <f>IF(B288="", "", "UBERON:gastrointestinal tract")</f>
        <v>0</v>
      </c>
      <c r="D288" s="1">
        <f>IF(B288="", "", "UBERON:feces")</f>
        <v>0</v>
      </c>
      <c r="E288" s="1">
        <f>IF(B288="", "", "UBERON:colon")</f>
        <v>0</v>
      </c>
      <c r="F288" s="1">
        <f>IF(B288="", "", "rat gut metagenome")</f>
        <v>0</v>
      </c>
      <c r="G288" s="1">
        <f>IF(B288="", "", "1436733")</f>
        <v>0</v>
      </c>
    </row>
    <row r="289" spans="1:7">
      <c r="A289">
        <f>IF(COUNTBLANK(B289:G289)&lt;&gt;COLUMNS(B289:G289),288,"")</f>
        <v>0</v>
      </c>
      <c r="C289" s="1">
        <f>IF(B289="", "", "UBERON:gastrointestinal tract")</f>
        <v>0</v>
      </c>
      <c r="D289" s="1">
        <f>IF(B289="", "", "UBERON:feces")</f>
        <v>0</v>
      </c>
      <c r="E289" s="1">
        <f>IF(B289="", "", "UBERON:colon")</f>
        <v>0</v>
      </c>
      <c r="F289" s="1">
        <f>IF(B289="", "", "rat gut metagenome")</f>
        <v>0</v>
      </c>
      <c r="G289" s="1">
        <f>IF(B289="", "", "1436733")</f>
        <v>0</v>
      </c>
    </row>
    <row r="290" spans="1:7">
      <c r="A290">
        <f>IF(COUNTBLANK(B290:G290)&lt;&gt;COLUMNS(B290:G290),289,"")</f>
        <v>0</v>
      </c>
      <c r="C290" s="1">
        <f>IF(B290="", "", "UBERON:gastrointestinal tract")</f>
        <v>0</v>
      </c>
      <c r="D290" s="1">
        <f>IF(B290="", "", "UBERON:feces")</f>
        <v>0</v>
      </c>
      <c r="E290" s="1">
        <f>IF(B290="", "", "UBERON:colon")</f>
        <v>0</v>
      </c>
      <c r="F290" s="1">
        <f>IF(B290="", "", "rat gut metagenome")</f>
        <v>0</v>
      </c>
      <c r="G290" s="1">
        <f>IF(B290="", "", "1436733")</f>
        <v>0</v>
      </c>
    </row>
    <row r="291" spans="1:7">
      <c r="A291">
        <f>IF(COUNTBLANK(B291:G291)&lt;&gt;COLUMNS(B291:G291),290,"")</f>
        <v>0</v>
      </c>
      <c r="C291" s="1">
        <f>IF(B291="", "", "UBERON:gastrointestinal tract")</f>
        <v>0</v>
      </c>
      <c r="D291" s="1">
        <f>IF(B291="", "", "UBERON:feces")</f>
        <v>0</v>
      </c>
      <c r="E291" s="1">
        <f>IF(B291="", "", "UBERON:colon")</f>
        <v>0</v>
      </c>
      <c r="F291" s="1">
        <f>IF(B291="", "", "rat gut metagenome")</f>
        <v>0</v>
      </c>
      <c r="G291" s="1">
        <f>IF(B291="", "", "1436733")</f>
        <v>0</v>
      </c>
    </row>
    <row r="292" spans="1:7">
      <c r="A292">
        <f>IF(COUNTBLANK(B292:G292)&lt;&gt;COLUMNS(B292:G292),291,"")</f>
        <v>0</v>
      </c>
      <c r="C292" s="1">
        <f>IF(B292="", "", "UBERON:gastrointestinal tract")</f>
        <v>0</v>
      </c>
      <c r="D292" s="1">
        <f>IF(B292="", "", "UBERON:feces")</f>
        <v>0</v>
      </c>
      <c r="E292" s="1">
        <f>IF(B292="", "", "UBERON:colon")</f>
        <v>0</v>
      </c>
      <c r="F292" s="1">
        <f>IF(B292="", "", "rat gut metagenome")</f>
        <v>0</v>
      </c>
      <c r="G292" s="1">
        <f>IF(B292="", "", "1436733")</f>
        <v>0</v>
      </c>
    </row>
    <row r="293" spans="1:7">
      <c r="A293">
        <f>IF(COUNTBLANK(B293:G293)&lt;&gt;COLUMNS(B293:G293),292,"")</f>
        <v>0</v>
      </c>
      <c r="C293" s="1">
        <f>IF(B293="", "", "UBERON:gastrointestinal tract")</f>
        <v>0</v>
      </c>
      <c r="D293" s="1">
        <f>IF(B293="", "", "UBERON:feces")</f>
        <v>0</v>
      </c>
      <c r="E293" s="1">
        <f>IF(B293="", "", "UBERON:colon")</f>
        <v>0</v>
      </c>
      <c r="F293" s="1">
        <f>IF(B293="", "", "rat gut metagenome")</f>
        <v>0</v>
      </c>
      <c r="G293" s="1">
        <f>IF(B293="", "", "1436733")</f>
        <v>0</v>
      </c>
    </row>
    <row r="294" spans="1:7">
      <c r="A294">
        <f>IF(COUNTBLANK(B294:G294)&lt;&gt;COLUMNS(B294:G294),293,"")</f>
        <v>0</v>
      </c>
      <c r="C294" s="1">
        <f>IF(B294="", "", "UBERON:gastrointestinal tract")</f>
        <v>0</v>
      </c>
      <c r="D294" s="1">
        <f>IF(B294="", "", "UBERON:feces")</f>
        <v>0</v>
      </c>
      <c r="E294" s="1">
        <f>IF(B294="", "", "UBERON:colon")</f>
        <v>0</v>
      </c>
      <c r="F294" s="1">
        <f>IF(B294="", "", "rat gut metagenome")</f>
        <v>0</v>
      </c>
      <c r="G294" s="1">
        <f>IF(B294="", "", "1436733")</f>
        <v>0</v>
      </c>
    </row>
    <row r="295" spans="1:7">
      <c r="A295">
        <f>IF(COUNTBLANK(B295:G295)&lt;&gt;COLUMNS(B295:G295),294,"")</f>
        <v>0</v>
      </c>
      <c r="C295" s="1">
        <f>IF(B295="", "", "UBERON:gastrointestinal tract")</f>
        <v>0</v>
      </c>
      <c r="D295" s="1">
        <f>IF(B295="", "", "UBERON:feces")</f>
        <v>0</v>
      </c>
      <c r="E295" s="1">
        <f>IF(B295="", "", "UBERON:colon")</f>
        <v>0</v>
      </c>
      <c r="F295" s="1">
        <f>IF(B295="", "", "rat gut metagenome")</f>
        <v>0</v>
      </c>
      <c r="G295" s="1">
        <f>IF(B295="", "", "1436733")</f>
        <v>0</v>
      </c>
    </row>
    <row r="296" spans="1:7">
      <c r="A296">
        <f>IF(COUNTBLANK(B296:G296)&lt;&gt;COLUMNS(B296:G296),295,"")</f>
        <v>0</v>
      </c>
      <c r="C296" s="1">
        <f>IF(B296="", "", "UBERON:gastrointestinal tract")</f>
        <v>0</v>
      </c>
      <c r="D296" s="1">
        <f>IF(B296="", "", "UBERON:feces")</f>
        <v>0</v>
      </c>
      <c r="E296" s="1">
        <f>IF(B296="", "", "UBERON:colon")</f>
        <v>0</v>
      </c>
      <c r="F296" s="1">
        <f>IF(B296="", "", "rat gut metagenome")</f>
        <v>0</v>
      </c>
      <c r="G296" s="1">
        <f>IF(B296="", "", "1436733")</f>
        <v>0</v>
      </c>
    </row>
    <row r="297" spans="1:7">
      <c r="A297">
        <f>IF(COUNTBLANK(B297:G297)&lt;&gt;COLUMNS(B297:G297),296,"")</f>
        <v>0</v>
      </c>
      <c r="C297" s="1">
        <f>IF(B297="", "", "UBERON:gastrointestinal tract")</f>
        <v>0</v>
      </c>
      <c r="D297" s="1">
        <f>IF(B297="", "", "UBERON:feces")</f>
        <v>0</v>
      </c>
      <c r="E297" s="1">
        <f>IF(B297="", "", "UBERON:colon")</f>
        <v>0</v>
      </c>
      <c r="F297" s="1">
        <f>IF(B297="", "", "rat gut metagenome")</f>
        <v>0</v>
      </c>
      <c r="G297" s="1">
        <f>IF(B297="", "", "1436733")</f>
        <v>0</v>
      </c>
    </row>
    <row r="298" spans="1:7">
      <c r="A298">
        <f>IF(COUNTBLANK(B298:G298)&lt;&gt;COLUMNS(B298:G298),297,"")</f>
        <v>0</v>
      </c>
      <c r="C298" s="1">
        <f>IF(B298="", "", "UBERON:gastrointestinal tract")</f>
        <v>0</v>
      </c>
      <c r="D298" s="1">
        <f>IF(B298="", "", "UBERON:feces")</f>
        <v>0</v>
      </c>
      <c r="E298" s="1">
        <f>IF(B298="", "", "UBERON:colon")</f>
        <v>0</v>
      </c>
      <c r="F298" s="1">
        <f>IF(B298="", "", "rat gut metagenome")</f>
        <v>0</v>
      </c>
      <c r="G298" s="1">
        <f>IF(B298="", "", "1436733")</f>
        <v>0</v>
      </c>
    </row>
    <row r="299" spans="1:7">
      <c r="A299">
        <f>IF(COUNTBLANK(B299:G299)&lt;&gt;COLUMNS(B299:G299),298,"")</f>
        <v>0</v>
      </c>
      <c r="C299" s="1">
        <f>IF(B299="", "", "UBERON:gastrointestinal tract")</f>
        <v>0</v>
      </c>
      <c r="D299" s="1">
        <f>IF(B299="", "", "UBERON:feces")</f>
        <v>0</v>
      </c>
      <c r="E299" s="1">
        <f>IF(B299="", "", "UBERON:colon")</f>
        <v>0</v>
      </c>
      <c r="F299" s="1">
        <f>IF(B299="", "", "rat gut metagenome")</f>
        <v>0</v>
      </c>
      <c r="G299" s="1">
        <f>IF(B299="", "", "1436733")</f>
        <v>0</v>
      </c>
    </row>
    <row r="300" spans="1:7">
      <c r="A300">
        <f>IF(COUNTBLANK(B300:G300)&lt;&gt;COLUMNS(B300:G300),299,"")</f>
        <v>0</v>
      </c>
      <c r="C300" s="1">
        <f>IF(B300="", "", "UBERON:gastrointestinal tract")</f>
        <v>0</v>
      </c>
      <c r="D300" s="1">
        <f>IF(B300="", "", "UBERON:feces")</f>
        <v>0</v>
      </c>
      <c r="E300" s="1">
        <f>IF(B300="", "", "UBERON:colon")</f>
        <v>0</v>
      </c>
      <c r="F300" s="1">
        <f>IF(B300="", "", "rat gut metagenome")</f>
        <v>0</v>
      </c>
      <c r="G300" s="1">
        <f>IF(B300="", "", "1436733")</f>
        <v>0</v>
      </c>
    </row>
    <row r="301" spans="1:7">
      <c r="A301">
        <f>IF(COUNTBLANK(B301:G301)&lt;&gt;COLUMNS(B301:G301),300,"")</f>
        <v>0</v>
      </c>
      <c r="C301" s="1">
        <f>IF(B301="", "", "UBERON:gastrointestinal tract")</f>
        <v>0</v>
      </c>
      <c r="D301" s="1">
        <f>IF(B301="", "", "UBERON:feces")</f>
        <v>0</v>
      </c>
      <c r="E301" s="1">
        <f>IF(B301="", "", "UBERON:colon")</f>
        <v>0</v>
      </c>
      <c r="F301" s="1">
        <f>IF(B301="", "", "rat gut metagenome")</f>
        <v>0</v>
      </c>
      <c r="G301" s="1">
        <f>IF(B301="", "", "1436733")</f>
        <v>0</v>
      </c>
    </row>
    <row r="302" spans="1:7">
      <c r="A302">
        <f>IF(COUNTBLANK(B302:G302)&lt;&gt;COLUMNS(B302:G302),301,"")</f>
        <v>0</v>
      </c>
      <c r="C302" s="1">
        <f>IF(B302="", "", "UBERON:gastrointestinal tract")</f>
        <v>0</v>
      </c>
      <c r="D302" s="1">
        <f>IF(B302="", "", "UBERON:feces")</f>
        <v>0</v>
      </c>
      <c r="E302" s="1">
        <f>IF(B302="", "", "UBERON:colon")</f>
        <v>0</v>
      </c>
      <c r="F302" s="1">
        <f>IF(B302="", "", "rat gut metagenome")</f>
        <v>0</v>
      </c>
      <c r="G302" s="1">
        <f>IF(B302="", "", "1436733")</f>
        <v>0</v>
      </c>
    </row>
    <row r="303" spans="1:7">
      <c r="A303">
        <f>IF(COUNTBLANK(B303:G303)&lt;&gt;COLUMNS(B303:G303),302,"")</f>
        <v>0</v>
      </c>
      <c r="C303" s="1">
        <f>IF(B303="", "", "UBERON:gastrointestinal tract")</f>
        <v>0</v>
      </c>
      <c r="D303" s="1">
        <f>IF(B303="", "", "UBERON:feces")</f>
        <v>0</v>
      </c>
      <c r="E303" s="1">
        <f>IF(B303="", "", "UBERON:colon")</f>
        <v>0</v>
      </c>
      <c r="F303" s="1">
        <f>IF(B303="", "", "rat gut metagenome")</f>
        <v>0</v>
      </c>
      <c r="G303" s="1">
        <f>IF(B303="", "", "1436733")</f>
        <v>0</v>
      </c>
    </row>
    <row r="304" spans="1:7">
      <c r="A304">
        <f>IF(COUNTBLANK(B304:G304)&lt;&gt;COLUMNS(B304:G304),303,"")</f>
        <v>0</v>
      </c>
      <c r="C304" s="1">
        <f>IF(B304="", "", "UBERON:gastrointestinal tract")</f>
        <v>0</v>
      </c>
      <c r="D304" s="1">
        <f>IF(B304="", "", "UBERON:feces")</f>
        <v>0</v>
      </c>
      <c r="E304" s="1">
        <f>IF(B304="", "", "UBERON:colon")</f>
        <v>0</v>
      </c>
      <c r="F304" s="1">
        <f>IF(B304="", "", "rat gut metagenome")</f>
        <v>0</v>
      </c>
      <c r="G304" s="1">
        <f>IF(B304="", "", "1436733")</f>
        <v>0</v>
      </c>
    </row>
    <row r="305" spans="1:7">
      <c r="A305">
        <f>IF(COUNTBLANK(B305:G305)&lt;&gt;COLUMNS(B305:G305),304,"")</f>
        <v>0</v>
      </c>
      <c r="C305" s="1">
        <f>IF(B305="", "", "UBERON:gastrointestinal tract")</f>
        <v>0</v>
      </c>
      <c r="D305" s="1">
        <f>IF(B305="", "", "UBERON:feces")</f>
        <v>0</v>
      </c>
      <c r="E305" s="1">
        <f>IF(B305="", "", "UBERON:colon")</f>
        <v>0</v>
      </c>
      <c r="F305" s="1">
        <f>IF(B305="", "", "rat gut metagenome")</f>
        <v>0</v>
      </c>
      <c r="G305" s="1">
        <f>IF(B305="", "", "1436733")</f>
        <v>0</v>
      </c>
    </row>
    <row r="306" spans="1:7">
      <c r="A306">
        <f>IF(COUNTBLANK(B306:G306)&lt;&gt;COLUMNS(B306:G306),305,"")</f>
        <v>0</v>
      </c>
      <c r="C306" s="1">
        <f>IF(B306="", "", "UBERON:gastrointestinal tract")</f>
        <v>0</v>
      </c>
      <c r="D306" s="1">
        <f>IF(B306="", "", "UBERON:feces")</f>
        <v>0</v>
      </c>
      <c r="E306" s="1">
        <f>IF(B306="", "", "UBERON:colon")</f>
        <v>0</v>
      </c>
      <c r="F306" s="1">
        <f>IF(B306="", "", "rat gut metagenome")</f>
        <v>0</v>
      </c>
      <c r="G306" s="1">
        <f>IF(B306="", "", "1436733")</f>
        <v>0</v>
      </c>
    </row>
    <row r="307" spans="1:7">
      <c r="A307">
        <f>IF(COUNTBLANK(B307:G307)&lt;&gt;COLUMNS(B307:G307),306,"")</f>
        <v>0</v>
      </c>
      <c r="C307" s="1">
        <f>IF(B307="", "", "UBERON:gastrointestinal tract")</f>
        <v>0</v>
      </c>
      <c r="D307" s="1">
        <f>IF(B307="", "", "UBERON:feces")</f>
        <v>0</v>
      </c>
      <c r="E307" s="1">
        <f>IF(B307="", "", "UBERON:colon")</f>
        <v>0</v>
      </c>
      <c r="F307" s="1">
        <f>IF(B307="", "", "rat gut metagenome")</f>
        <v>0</v>
      </c>
      <c r="G307" s="1">
        <f>IF(B307="", "", "1436733")</f>
        <v>0</v>
      </c>
    </row>
    <row r="308" spans="1:7">
      <c r="A308">
        <f>IF(COUNTBLANK(B308:G308)&lt;&gt;COLUMNS(B308:G308),307,"")</f>
        <v>0</v>
      </c>
      <c r="C308" s="1">
        <f>IF(B308="", "", "UBERON:gastrointestinal tract")</f>
        <v>0</v>
      </c>
      <c r="D308" s="1">
        <f>IF(B308="", "", "UBERON:feces")</f>
        <v>0</v>
      </c>
      <c r="E308" s="1">
        <f>IF(B308="", "", "UBERON:colon")</f>
        <v>0</v>
      </c>
      <c r="F308" s="1">
        <f>IF(B308="", "", "rat gut metagenome")</f>
        <v>0</v>
      </c>
      <c r="G308" s="1">
        <f>IF(B308="", "", "1436733")</f>
        <v>0</v>
      </c>
    </row>
    <row r="309" spans="1:7">
      <c r="A309">
        <f>IF(COUNTBLANK(B309:G309)&lt;&gt;COLUMNS(B309:G309),308,"")</f>
        <v>0</v>
      </c>
      <c r="C309" s="1">
        <f>IF(B309="", "", "UBERON:gastrointestinal tract")</f>
        <v>0</v>
      </c>
      <c r="D309" s="1">
        <f>IF(B309="", "", "UBERON:feces")</f>
        <v>0</v>
      </c>
      <c r="E309" s="1">
        <f>IF(B309="", "", "UBERON:colon")</f>
        <v>0</v>
      </c>
      <c r="F309" s="1">
        <f>IF(B309="", "", "rat gut metagenome")</f>
        <v>0</v>
      </c>
      <c r="G309" s="1">
        <f>IF(B309="", "", "1436733")</f>
        <v>0</v>
      </c>
    </row>
    <row r="310" spans="1:7">
      <c r="A310">
        <f>IF(COUNTBLANK(B310:G310)&lt;&gt;COLUMNS(B310:G310),309,"")</f>
        <v>0</v>
      </c>
      <c r="C310" s="1">
        <f>IF(B310="", "", "UBERON:gastrointestinal tract")</f>
        <v>0</v>
      </c>
      <c r="D310" s="1">
        <f>IF(B310="", "", "UBERON:feces")</f>
        <v>0</v>
      </c>
      <c r="E310" s="1">
        <f>IF(B310="", "", "UBERON:colon")</f>
        <v>0</v>
      </c>
      <c r="F310" s="1">
        <f>IF(B310="", "", "rat gut metagenome")</f>
        <v>0</v>
      </c>
      <c r="G310" s="1">
        <f>IF(B310="", "", "1436733")</f>
        <v>0</v>
      </c>
    </row>
    <row r="311" spans="1:7">
      <c r="A311">
        <f>IF(COUNTBLANK(B311:G311)&lt;&gt;COLUMNS(B311:G311),310,"")</f>
        <v>0</v>
      </c>
      <c r="C311" s="1">
        <f>IF(B311="", "", "UBERON:gastrointestinal tract")</f>
        <v>0</v>
      </c>
      <c r="D311" s="1">
        <f>IF(B311="", "", "UBERON:feces")</f>
        <v>0</v>
      </c>
      <c r="E311" s="1">
        <f>IF(B311="", "", "UBERON:colon")</f>
        <v>0</v>
      </c>
      <c r="F311" s="1">
        <f>IF(B311="", "", "rat gut metagenome")</f>
        <v>0</v>
      </c>
      <c r="G311" s="1">
        <f>IF(B311="", "", "1436733")</f>
        <v>0</v>
      </c>
    </row>
    <row r="312" spans="1:7">
      <c r="A312">
        <f>IF(COUNTBLANK(B312:G312)&lt;&gt;COLUMNS(B312:G312),311,"")</f>
        <v>0</v>
      </c>
      <c r="C312" s="1">
        <f>IF(B312="", "", "UBERON:gastrointestinal tract")</f>
        <v>0</v>
      </c>
      <c r="D312" s="1">
        <f>IF(B312="", "", "UBERON:feces")</f>
        <v>0</v>
      </c>
      <c r="E312" s="1">
        <f>IF(B312="", "", "UBERON:colon")</f>
        <v>0</v>
      </c>
      <c r="F312" s="1">
        <f>IF(B312="", "", "rat gut metagenome")</f>
        <v>0</v>
      </c>
      <c r="G312" s="1">
        <f>IF(B312="", "", "1436733")</f>
        <v>0</v>
      </c>
    </row>
    <row r="313" spans="1:7">
      <c r="A313">
        <f>IF(COUNTBLANK(B313:G313)&lt;&gt;COLUMNS(B313:G313),312,"")</f>
        <v>0</v>
      </c>
      <c r="C313" s="1">
        <f>IF(B313="", "", "UBERON:gastrointestinal tract")</f>
        <v>0</v>
      </c>
      <c r="D313" s="1">
        <f>IF(B313="", "", "UBERON:feces")</f>
        <v>0</v>
      </c>
      <c r="E313" s="1">
        <f>IF(B313="", "", "UBERON:colon")</f>
        <v>0</v>
      </c>
      <c r="F313" s="1">
        <f>IF(B313="", "", "rat gut metagenome")</f>
        <v>0</v>
      </c>
      <c r="G313" s="1">
        <f>IF(B313="", "", "1436733")</f>
        <v>0</v>
      </c>
    </row>
    <row r="314" spans="1:7">
      <c r="A314">
        <f>IF(COUNTBLANK(B314:G314)&lt;&gt;COLUMNS(B314:G314),313,"")</f>
        <v>0</v>
      </c>
      <c r="C314" s="1">
        <f>IF(B314="", "", "UBERON:gastrointestinal tract")</f>
        <v>0</v>
      </c>
      <c r="D314" s="1">
        <f>IF(B314="", "", "UBERON:feces")</f>
        <v>0</v>
      </c>
      <c r="E314" s="1">
        <f>IF(B314="", "", "UBERON:colon")</f>
        <v>0</v>
      </c>
      <c r="F314" s="1">
        <f>IF(B314="", "", "rat gut metagenome")</f>
        <v>0</v>
      </c>
      <c r="G314" s="1">
        <f>IF(B314="", "", "1436733")</f>
        <v>0</v>
      </c>
    </row>
    <row r="315" spans="1:7">
      <c r="A315">
        <f>IF(COUNTBLANK(B315:G315)&lt;&gt;COLUMNS(B315:G315),314,"")</f>
        <v>0</v>
      </c>
      <c r="C315" s="1">
        <f>IF(B315="", "", "UBERON:gastrointestinal tract")</f>
        <v>0</v>
      </c>
      <c r="D315" s="1">
        <f>IF(B315="", "", "UBERON:feces")</f>
        <v>0</v>
      </c>
      <c r="E315" s="1">
        <f>IF(B315="", "", "UBERON:colon")</f>
        <v>0</v>
      </c>
      <c r="F315" s="1">
        <f>IF(B315="", "", "rat gut metagenome")</f>
        <v>0</v>
      </c>
      <c r="G315" s="1">
        <f>IF(B315="", "", "1436733")</f>
        <v>0</v>
      </c>
    </row>
    <row r="316" spans="1:7">
      <c r="A316">
        <f>IF(COUNTBLANK(B316:G316)&lt;&gt;COLUMNS(B316:G316),315,"")</f>
        <v>0</v>
      </c>
      <c r="C316" s="1">
        <f>IF(B316="", "", "UBERON:gastrointestinal tract")</f>
        <v>0</v>
      </c>
      <c r="D316" s="1">
        <f>IF(B316="", "", "UBERON:feces")</f>
        <v>0</v>
      </c>
      <c r="E316" s="1">
        <f>IF(B316="", "", "UBERON:colon")</f>
        <v>0</v>
      </c>
      <c r="F316" s="1">
        <f>IF(B316="", "", "rat gut metagenome")</f>
        <v>0</v>
      </c>
      <c r="G316" s="1">
        <f>IF(B316="", "", "1436733")</f>
        <v>0</v>
      </c>
    </row>
    <row r="317" spans="1:7">
      <c r="A317">
        <f>IF(COUNTBLANK(B317:G317)&lt;&gt;COLUMNS(B317:G317),316,"")</f>
        <v>0</v>
      </c>
      <c r="C317" s="1">
        <f>IF(B317="", "", "UBERON:gastrointestinal tract")</f>
        <v>0</v>
      </c>
      <c r="D317" s="1">
        <f>IF(B317="", "", "UBERON:feces")</f>
        <v>0</v>
      </c>
      <c r="E317" s="1">
        <f>IF(B317="", "", "UBERON:colon")</f>
        <v>0</v>
      </c>
      <c r="F317" s="1">
        <f>IF(B317="", "", "rat gut metagenome")</f>
        <v>0</v>
      </c>
      <c r="G317" s="1">
        <f>IF(B317="", "", "1436733")</f>
        <v>0</v>
      </c>
    </row>
    <row r="318" spans="1:7">
      <c r="A318">
        <f>IF(COUNTBLANK(B318:G318)&lt;&gt;COLUMNS(B318:G318),317,"")</f>
        <v>0</v>
      </c>
      <c r="C318" s="1">
        <f>IF(B318="", "", "UBERON:gastrointestinal tract")</f>
        <v>0</v>
      </c>
      <c r="D318" s="1">
        <f>IF(B318="", "", "UBERON:feces")</f>
        <v>0</v>
      </c>
      <c r="E318" s="1">
        <f>IF(B318="", "", "UBERON:colon")</f>
        <v>0</v>
      </c>
      <c r="F318" s="1">
        <f>IF(B318="", "", "rat gut metagenome")</f>
        <v>0</v>
      </c>
      <c r="G318" s="1">
        <f>IF(B318="", "", "1436733")</f>
        <v>0</v>
      </c>
    </row>
    <row r="319" spans="1:7">
      <c r="A319">
        <f>IF(COUNTBLANK(B319:G319)&lt;&gt;COLUMNS(B319:G319),318,"")</f>
        <v>0</v>
      </c>
      <c r="C319" s="1">
        <f>IF(B319="", "", "UBERON:gastrointestinal tract")</f>
        <v>0</v>
      </c>
      <c r="D319" s="1">
        <f>IF(B319="", "", "UBERON:feces")</f>
        <v>0</v>
      </c>
      <c r="E319" s="1">
        <f>IF(B319="", "", "UBERON:colon")</f>
        <v>0</v>
      </c>
      <c r="F319" s="1">
        <f>IF(B319="", "", "rat gut metagenome")</f>
        <v>0</v>
      </c>
      <c r="G319" s="1">
        <f>IF(B319="", "", "1436733")</f>
        <v>0</v>
      </c>
    </row>
    <row r="320" spans="1:7">
      <c r="A320">
        <f>IF(COUNTBLANK(B320:G320)&lt;&gt;COLUMNS(B320:G320),319,"")</f>
        <v>0</v>
      </c>
      <c r="C320" s="1">
        <f>IF(B320="", "", "UBERON:gastrointestinal tract")</f>
        <v>0</v>
      </c>
      <c r="D320" s="1">
        <f>IF(B320="", "", "UBERON:feces")</f>
        <v>0</v>
      </c>
      <c r="E320" s="1">
        <f>IF(B320="", "", "UBERON:colon")</f>
        <v>0</v>
      </c>
      <c r="F320" s="1">
        <f>IF(B320="", "", "rat gut metagenome")</f>
        <v>0</v>
      </c>
      <c r="G320" s="1">
        <f>IF(B320="", "", "1436733")</f>
        <v>0</v>
      </c>
    </row>
    <row r="321" spans="1:7">
      <c r="A321">
        <f>IF(COUNTBLANK(B321:G321)&lt;&gt;COLUMNS(B321:G321),320,"")</f>
        <v>0</v>
      </c>
      <c r="C321" s="1">
        <f>IF(B321="", "", "UBERON:gastrointestinal tract")</f>
        <v>0</v>
      </c>
      <c r="D321" s="1">
        <f>IF(B321="", "", "UBERON:feces")</f>
        <v>0</v>
      </c>
      <c r="E321" s="1">
        <f>IF(B321="", "", "UBERON:colon")</f>
        <v>0</v>
      </c>
      <c r="F321" s="1">
        <f>IF(B321="", "", "rat gut metagenome")</f>
        <v>0</v>
      </c>
      <c r="G321" s="1">
        <f>IF(B321="", "", "1436733")</f>
        <v>0</v>
      </c>
    </row>
    <row r="322" spans="1:7">
      <c r="A322">
        <f>IF(COUNTBLANK(B322:G322)&lt;&gt;COLUMNS(B322:G322),321,"")</f>
        <v>0</v>
      </c>
      <c r="C322" s="1">
        <f>IF(B322="", "", "UBERON:gastrointestinal tract")</f>
        <v>0</v>
      </c>
      <c r="D322" s="1">
        <f>IF(B322="", "", "UBERON:feces")</f>
        <v>0</v>
      </c>
      <c r="E322" s="1">
        <f>IF(B322="", "", "UBERON:colon")</f>
        <v>0</v>
      </c>
      <c r="F322" s="1">
        <f>IF(B322="", "", "rat gut metagenome")</f>
        <v>0</v>
      </c>
      <c r="G322" s="1">
        <f>IF(B322="", "", "1436733")</f>
        <v>0</v>
      </c>
    </row>
    <row r="323" spans="1:7">
      <c r="A323">
        <f>IF(COUNTBLANK(B323:G323)&lt;&gt;COLUMNS(B323:G323),322,"")</f>
        <v>0</v>
      </c>
      <c r="C323" s="1">
        <f>IF(B323="", "", "UBERON:gastrointestinal tract")</f>
        <v>0</v>
      </c>
      <c r="D323" s="1">
        <f>IF(B323="", "", "UBERON:feces")</f>
        <v>0</v>
      </c>
      <c r="E323" s="1">
        <f>IF(B323="", "", "UBERON:colon")</f>
        <v>0</v>
      </c>
      <c r="F323" s="1">
        <f>IF(B323="", "", "rat gut metagenome")</f>
        <v>0</v>
      </c>
      <c r="G323" s="1">
        <f>IF(B323="", "", "1436733")</f>
        <v>0</v>
      </c>
    </row>
    <row r="324" spans="1:7">
      <c r="A324">
        <f>IF(COUNTBLANK(B324:G324)&lt;&gt;COLUMNS(B324:G324),323,"")</f>
        <v>0</v>
      </c>
      <c r="C324" s="1">
        <f>IF(B324="", "", "UBERON:gastrointestinal tract")</f>
        <v>0</v>
      </c>
      <c r="D324" s="1">
        <f>IF(B324="", "", "UBERON:feces")</f>
        <v>0</v>
      </c>
      <c r="E324" s="1">
        <f>IF(B324="", "", "UBERON:colon")</f>
        <v>0</v>
      </c>
      <c r="F324" s="1">
        <f>IF(B324="", "", "rat gut metagenome")</f>
        <v>0</v>
      </c>
      <c r="G324" s="1">
        <f>IF(B324="", "", "1436733")</f>
        <v>0</v>
      </c>
    </row>
    <row r="325" spans="1:7">
      <c r="A325">
        <f>IF(COUNTBLANK(B325:G325)&lt;&gt;COLUMNS(B325:G325),324,"")</f>
        <v>0</v>
      </c>
      <c r="C325" s="1">
        <f>IF(B325="", "", "UBERON:gastrointestinal tract")</f>
        <v>0</v>
      </c>
      <c r="D325" s="1">
        <f>IF(B325="", "", "UBERON:feces")</f>
        <v>0</v>
      </c>
      <c r="E325" s="1">
        <f>IF(B325="", "", "UBERON:colon")</f>
        <v>0</v>
      </c>
      <c r="F325" s="1">
        <f>IF(B325="", "", "rat gut metagenome")</f>
        <v>0</v>
      </c>
      <c r="G325" s="1">
        <f>IF(B325="", "", "1436733")</f>
        <v>0</v>
      </c>
    </row>
    <row r="326" spans="1:7">
      <c r="A326">
        <f>IF(COUNTBLANK(B326:G326)&lt;&gt;COLUMNS(B326:G326),325,"")</f>
        <v>0</v>
      </c>
      <c r="C326" s="1">
        <f>IF(B326="", "", "UBERON:gastrointestinal tract")</f>
        <v>0</v>
      </c>
      <c r="D326" s="1">
        <f>IF(B326="", "", "UBERON:feces")</f>
        <v>0</v>
      </c>
      <c r="E326" s="1">
        <f>IF(B326="", "", "UBERON:colon")</f>
        <v>0</v>
      </c>
      <c r="F326" s="1">
        <f>IF(B326="", "", "rat gut metagenome")</f>
        <v>0</v>
      </c>
      <c r="G326" s="1">
        <f>IF(B326="", "", "1436733")</f>
        <v>0</v>
      </c>
    </row>
    <row r="327" spans="1:7">
      <c r="A327">
        <f>IF(COUNTBLANK(B327:G327)&lt;&gt;COLUMNS(B327:G327),326,"")</f>
        <v>0</v>
      </c>
      <c r="C327" s="1">
        <f>IF(B327="", "", "UBERON:gastrointestinal tract")</f>
        <v>0</v>
      </c>
      <c r="D327" s="1">
        <f>IF(B327="", "", "UBERON:feces")</f>
        <v>0</v>
      </c>
      <c r="E327" s="1">
        <f>IF(B327="", "", "UBERON:colon")</f>
        <v>0</v>
      </c>
      <c r="F327" s="1">
        <f>IF(B327="", "", "rat gut metagenome")</f>
        <v>0</v>
      </c>
      <c r="G327" s="1">
        <f>IF(B327="", "", "1436733")</f>
        <v>0</v>
      </c>
    </row>
    <row r="328" spans="1:7">
      <c r="A328">
        <f>IF(COUNTBLANK(B328:G328)&lt;&gt;COLUMNS(B328:G328),327,"")</f>
        <v>0</v>
      </c>
      <c r="C328" s="1">
        <f>IF(B328="", "", "UBERON:gastrointestinal tract")</f>
        <v>0</v>
      </c>
      <c r="D328" s="1">
        <f>IF(B328="", "", "UBERON:feces")</f>
        <v>0</v>
      </c>
      <c r="E328" s="1">
        <f>IF(B328="", "", "UBERON:colon")</f>
        <v>0</v>
      </c>
      <c r="F328" s="1">
        <f>IF(B328="", "", "rat gut metagenome")</f>
        <v>0</v>
      </c>
      <c r="G328" s="1">
        <f>IF(B328="", "", "1436733")</f>
        <v>0</v>
      </c>
    </row>
    <row r="329" spans="1:7">
      <c r="A329">
        <f>IF(COUNTBLANK(B329:G329)&lt;&gt;COLUMNS(B329:G329),328,"")</f>
        <v>0</v>
      </c>
      <c r="C329" s="1">
        <f>IF(B329="", "", "UBERON:gastrointestinal tract")</f>
        <v>0</v>
      </c>
      <c r="D329" s="1">
        <f>IF(B329="", "", "UBERON:feces")</f>
        <v>0</v>
      </c>
      <c r="E329" s="1">
        <f>IF(B329="", "", "UBERON:colon")</f>
        <v>0</v>
      </c>
      <c r="F329" s="1">
        <f>IF(B329="", "", "rat gut metagenome")</f>
        <v>0</v>
      </c>
      <c r="G329" s="1">
        <f>IF(B329="", "", "1436733")</f>
        <v>0</v>
      </c>
    </row>
    <row r="330" spans="1:7">
      <c r="A330">
        <f>IF(COUNTBLANK(B330:G330)&lt;&gt;COLUMNS(B330:G330),329,"")</f>
        <v>0</v>
      </c>
      <c r="C330" s="1">
        <f>IF(B330="", "", "UBERON:gastrointestinal tract")</f>
        <v>0</v>
      </c>
      <c r="D330" s="1">
        <f>IF(B330="", "", "UBERON:feces")</f>
        <v>0</v>
      </c>
      <c r="E330" s="1">
        <f>IF(B330="", "", "UBERON:colon")</f>
        <v>0</v>
      </c>
      <c r="F330" s="1">
        <f>IF(B330="", "", "rat gut metagenome")</f>
        <v>0</v>
      </c>
      <c r="G330" s="1">
        <f>IF(B330="", "", "1436733")</f>
        <v>0</v>
      </c>
    </row>
    <row r="331" spans="1:7">
      <c r="A331">
        <f>IF(COUNTBLANK(B331:G331)&lt;&gt;COLUMNS(B331:G331),330,"")</f>
        <v>0</v>
      </c>
      <c r="C331" s="1">
        <f>IF(B331="", "", "UBERON:gastrointestinal tract")</f>
        <v>0</v>
      </c>
      <c r="D331" s="1">
        <f>IF(B331="", "", "UBERON:feces")</f>
        <v>0</v>
      </c>
      <c r="E331" s="1">
        <f>IF(B331="", "", "UBERON:colon")</f>
        <v>0</v>
      </c>
      <c r="F331" s="1">
        <f>IF(B331="", "", "rat gut metagenome")</f>
        <v>0</v>
      </c>
      <c r="G331" s="1">
        <f>IF(B331="", "", "1436733")</f>
        <v>0</v>
      </c>
    </row>
    <row r="332" spans="1:7">
      <c r="A332">
        <f>IF(COUNTBLANK(B332:G332)&lt;&gt;COLUMNS(B332:G332),331,"")</f>
        <v>0</v>
      </c>
      <c r="C332" s="1">
        <f>IF(B332="", "", "UBERON:gastrointestinal tract")</f>
        <v>0</v>
      </c>
      <c r="D332" s="1">
        <f>IF(B332="", "", "UBERON:feces")</f>
        <v>0</v>
      </c>
      <c r="E332" s="1">
        <f>IF(B332="", "", "UBERON:colon")</f>
        <v>0</v>
      </c>
      <c r="F332" s="1">
        <f>IF(B332="", "", "rat gut metagenome")</f>
        <v>0</v>
      </c>
      <c r="G332" s="1">
        <f>IF(B332="", "", "1436733")</f>
        <v>0</v>
      </c>
    </row>
    <row r="333" spans="1:7">
      <c r="A333">
        <f>IF(COUNTBLANK(B333:G333)&lt;&gt;COLUMNS(B333:G333),332,"")</f>
        <v>0</v>
      </c>
      <c r="C333" s="1">
        <f>IF(B333="", "", "UBERON:gastrointestinal tract")</f>
        <v>0</v>
      </c>
      <c r="D333" s="1">
        <f>IF(B333="", "", "UBERON:feces")</f>
        <v>0</v>
      </c>
      <c r="E333" s="1">
        <f>IF(B333="", "", "UBERON:colon")</f>
        <v>0</v>
      </c>
      <c r="F333" s="1">
        <f>IF(B333="", "", "rat gut metagenome")</f>
        <v>0</v>
      </c>
      <c r="G333" s="1">
        <f>IF(B333="", "", "1436733")</f>
        <v>0</v>
      </c>
    </row>
    <row r="334" spans="1:7">
      <c r="A334">
        <f>IF(COUNTBLANK(B334:G334)&lt;&gt;COLUMNS(B334:G334),333,"")</f>
        <v>0</v>
      </c>
      <c r="C334" s="1">
        <f>IF(B334="", "", "UBERON:gastrointestinal tract")</f>
        <v>0</v>
      </c>
      <c r="D334" s="1">
        <f>IF(B334="", "", "UBERON:feces")</f>
        <v>0</v>
      </c>
      <c r="E334" s="1">
        <f>IF(B334="", "", "UBERON:colon")</f>
        <v>0</v>
      </c>
      <c r="F334" s="1">
        <f>IF(B334="", "", "rat gut metagenome")</f>
        <v>0</v>
      </c>
      <c r="G334" s="1">
        <f>IF(B334="", "", "1436733")</f>
        <v>0</v>
      </c>
    </row>
    <row r="335" spans="1:7">
      <c r="A335">
        <f>IF(COUNTBLANK(B335:G335)&lt;&gt;COLUMNS(B335:G335),334,"")</f>
        <v>0</v>
      </c>
      <c r="C335" s="1">
        <f>IF(B335="", "", "UBERON:gastrointestinal tract")</f>
        <v>0</v>
      </c>
      <c r="D335" s="1">
        <f>IF(B335="", "", "UBERON:feces")</f>
        <v>0</v>
      </c>
      <c r="E335" s="1">
        <f>IF(B335="", "", "UBERON:colon")</f>
        <v>0</v>
      </c>
      <c r="F335" s="1">
        <f>IF(B335="", "", "rat gut metagenome")</f>
        <v>0</v>
      </c>
      <c r="G335" s="1">
        <f>IF(B335="", "", "1436733")</f>
        <v>0</v>
      </c>
    </row>
    <row r="336" spans="1:7">
      <c r="A336">
        <f>IF(COUNTBLANK(B336:G336)&lt;&gt;COLUMNS(B336:G336),335,"")</f>
        <v>0</v>
      </c>
      <c r="C336" s="1">
        <f>IF(B336="", "", "UBERON:gastrointestinal tract")</f>
        <v>0</v>
      </c>
      <c r="D336" s="1">
        <f>IF(B336="", "", "UBERON:feces")</f>
        <v>0</v>
      </c>
      <c r="E336" s="1">
        <f>IF(B336="", "", "UBERON:colon")</f>
        <v>0</v>
      </c>
      <c r="F336" s="1">
        <f>IF(B336="", "", "rat gut metagenome")</f>
        <v>0</v>
      </c>
      <c r="G336" s="1">
        <f>IF(B336="", "", "1436733")</f>
        <v>0</v>
      </c>
    </row>
    <row r="337" spans="1:7">
      <c r="A337">
        <f>IF(COUNTBLANK(B337:G337)&lt;&gt;COLUMNS(B337:G337),336,"")</f>
        <v>0</v>
      </c>
      <c r="C337" s="1">
        <f>IF(B337="", "", "UBERON:gastrointestinal tract")</f>
        <v>0</v>
      </c>
      <c r="D337" s="1">
        <f>IF(B337="", "", "UBERON:feces")</f>
        <v>0</v>
      </c>
      <c r="E337" s="1">
        <f>IF(B337="", "", "UBERON:colon")</f>
        <v>0</v>
      </c>
      <c r="F337" s="1">
        <f>IF(B337="", "", "rat gut metagenome")</f>
        <v>0</v>
      </c>
      <c r="G337" s="1">
        <f>IF(B337="", "", "1436733")</f>
        <v>0</v>
      </c>
    </row>
    <row r="338" spans="1:7">
      <c r="A338">
        <f>IF(COUNTBLANK(B338:G338)&lt;&gt;COLUMNS(B338:G338),337,"")</f>
        <v>0</v>
      </c>
      <c r="C338" s="1">
        <f>IF(B338="", "", "UBERON:gastrointestinal tract")</f>
        <v>0</v>
      </c>
      <c r="D338" s="1">
        <f>IF(B338="", "", "UBERON:feces")</f>
        <v>0</v>
      </c>
      <c r="E338" s="1">
        <f>IF(B338="", "", "UBERON:colon")</f>
        <v>0</v>
      </c>
      <c r="F338" s="1">
        <f>IF(B338="", "", "rat gut metagenome")</f>
        <v>0</v>
      </c>
      <c r="G338" s="1">
        <f>IF(B338="", "", "1436733")</f>
        <v>0</v>
      </c>
    </row>
    <row r="339" spans="1:7">
      <c r="A339">
        <f>IF(COUNTBLANK(B339:G339)&lt;&gt;COLUMNS(B339:G339),338,"")</f>
        <v>0</v>
      </c>
      <c r="C339" s="1">
        <f>IF(B339="", "", "UBERON:gastrointestinal tract")</f>
        <v>0</v>
      </c>
      <c r="D339" s="1">
        <f>IF(B339="", "", "UBERON:feces")</f>
        <v>0</v>
      </c>
      <c r="E339" s="1">
        <f>IF(B339="", "", "UBERON:colon")</f>
        <v>0</v>
      </c>
      <c r="F339" s="1">
        <f>IF(B339="", "", "rat gut metagenome")</f>
        <v>0</v>
      </c>
      <c r="G339" s="1">
        <f>IF(B339="", "", "1436733")</f>
        <v>0</v>
      </c>
    </row>
    <row r="340" spans="1:7">
      <c r="A340">
        <f>IF(COUNTBLANK(B340:G340)&lt;&gt;COLUMNS(B340:G340),339,"")</f>
        <v>0</v>
      </c>
      <c r="C340" s="1">
        <f>IF(B340="", "", "UBERON:gastrointestinal tract")</f>
        <v>0</v>
      </c>
      <c r="D340" s="1">
        <f>IF(B340="", "", "UBERON:feces")</f>
        <v>0</v>
      </c>
      <c r="E340" s="1">
        <f>IF(B340="", "", "UBERON:colon")</f>
        <v>0</v>
      </c>
      <c r="F340" s="1">
        <f>IF(B340="", "", "rat gut metagenome")</f>
        <v>0</v>
      </c>
      <c r="G340" s="1">
        <f>IF(B340="", "", "1436733")</f>
        <v>0</v>
      </c>
    </row>
    <row r="341" spans="1:7">
      <c r="A341">
        <f>IF(COUNTBLANK(B341:G341)&lt;&gt;COLUMNS(B341:G341),340,"")</f>
        <v>0</v>
      </c>
      <c r="C341" s="1">
        <f>IF(B341="", "", "UBERON:gastrointestinal tract")</f>
        <v>0</v>
      </c>
      <c r="D341" s="1">
        <f>IF(B341="", "", "UBERON:feces")</f>
        <v>0</v>
      </c>
      <c r="E341" s="1">
        <f>IF(B341="", "", "UBERON:colon")</f>
        <v>0</v>
      </c>
      <c r="F341" s="1">
        <f>IF(B341="", "", "rat gut metagenome")</f>
        <v>0</v>
      </c>
      <c r="G341" s="1">
        <f>IF(B341="", "", "1436733")</f>
        <v>0</v>
      </c>
    </row>
    <row r="342" spans="1:7">
      <c r="A342">
        <f>IF(COUNTBLANK(B342:G342)&lt;&gt;COLUMNS(B342:G342),341,"")</f>
        <v>0</v>
      </c>
      <c r="C342" s="1">
        <f>IF(B342="", "", "UBERON:gastrointestinal tract")</f>
        <v>0</v>
      </c>
      <c r="D342" s="1">
        <f>IF(B342="", "", "UBERON:feces")</f>
        <v>0</v>
      </c>
      <c r="E342" s="1">
        <f>IF(B342="", "", "UBERON:colon")</f>
        <v>0</v>
      </c>
      <c r="F342" s="1">
        <f>IF(B342="", "", "rat gut metagenome")</f>
        <v>0</v>
      </c>
      <c r="G342" s="1">
        <f>IF(B342="", "", "1436733")</f>
        <v>0</v>
      </c>
    </row>
    <row r="343" spans="1:7">
      <c r="A343">
        <f>IF(COUNTBLANK(B343:G343)&lt;&gt;COLUMNS(B343:G343),342,"")</f>
        <v>0</v>
      </c>
      <c r="C343" s="1">
        <f>IF(B343="", "", "UBERON:gastrointestinal tract")</f>
        <v>0</v>
      </c>
      <c r="D343" s="1">
        <f>IF(B343="", "", "UBERON:feces")</f>
        <v>0</v>
      </c>
      <c r="E343" s="1">
        <f>IF(B343="", "", "UBERON:colon")</f>
        <v>0</v>
      </c>
      <c r="F343" s="1">
        <f>IF(B343="", "", "rat gut metagenome")</f>
        <v>0</v>
      </c>
      <c r="G343" s="1">
        <f>IF(B343="", "", "1436733")</f>
        <v>0</v>
      </c>
    </row>
    <row r="344" spans="1:7">
      <c r="A344">
        <f>IF(COUNTBLANK(B344:G344)&lt;&gt;COLUMNS(B344:G344),343,"")</f>
        <v>0</v>
      </c>
      <c r="C344" s="1">
        <f>IF(B344="", "", "UBERON:gastrointestinal tract")</f>
        <v>0</v>
      </c>
      <c r="D344" s="1">
        <f>IF(B344="", "", "UBERON:feces")</f>
        <v>0</v>
      </c>
      <c r="E344" s="1">
        <f>IF(B344="", "", "UBERON:colon")</f>
        <v>0</v>
      </c>
      <c r="F344" s="1">
        <f>IF(B344="", "", "rat gut metagenome")</f>
        <v>0</v>
      </c>
      <c r="G344" s="1">
        <f>IF(B344="", "", "1436733")</f>
        <v>0</v>
      </c>
    </row>
    <row r="345" spans="1:7">
      <c r="A345">
        <f>IF(COUNTBLANK(B345:G345)&lt;&gt;COLUMNS(B345:G345),344,"")</f>
        <v>0</v>
      </c>
      <c r="C345" s="1">
        <f>IF(B345="", "", "UBERON:gastrointestinal tract")</f>
        <v>0</v>
      </c>
      <c r="D345" s="1">
        <f>IF(B345="", "", "UBERON:feces")</f>
        <v>0</v>
      </c>
      <c r="E345" s="1">
        <f>IF(B345="", "", "UBERON:colon")</f>
        <v>0</v>
      </c>
      <c r="F345" s="1">
        <f>IF(B345="", "", "rat gut metagenome")</f>
        <v>0</v>
      </c>
      <c r="G345" s="1">
        <f>IF(B345="", "", "1436733")</f>
        <v>0</v>
      </c>
    </row>
    <row r="346" spans="1:7">
      <c r="A346">
        <f>IF(COUNTBLANK(B346:G346)&lt;&gt;COLUMNS(B346:G346),345,"")</f>
        <v>0</v>
      </c>
      <c r="C346" s="1">
        <f>IF(B346="", "", "UBERON:gastrointestinal tract")</f>
        <v>0</v>
      </c>
      <c r="D346" s="1">
        <f>IF(B346="", "", "UBERON:feces")</f>
        <v>0</v>
      </c>
      <c r="E346" s="1">
        <f>IF(B346="", "", "UBERON:colon")</f>
        <v>0</v>
      </c>
      <c r="F346" s="1">
        <f>IF(B346="", "", "rat gut metagenome")</f>
        <v>0</v>
      </c>
      <c r="G346" s="1">
        <f>IF(B346="", "", "1436733")</f>
        <v>0</v>
      </c>
    </row>
    <row r="347" spans="1:7">
      <c r="A347">
        <f>IF(COUNTBLANK(B347:G347)&lt;&gt;COLUMNS(B347:G347),346,"")</f>
        <v>0</v>
      </c>
      <c r="C347" s="1">
        <f>IF(B347="", "", "UBERON:gastrointestinal tract")</f>
        <v>0</v>
      </c>
      <c r="D347" s="1">
        <f>IF(B347="", "", "UBERON:feces")</f>
        <v>0</v>
      </c>
      <c r="E347" s="1">
        <f>IF(B347="", "", "UBERON:colon")</f>
        <v>0</v>
      </c>
      <c r="F347" s="1">
        <f>IF(B347="", "", "rat gut metagenome")</f>
        <v>0</v>
      </c>
      <c r="G347" s="1">
        <f>IF(B347="", "", "1436733")</f>
        <v>0</v>
      </c>
    </row>
    <row r="348" spans="1:7">
      <c r="A348">
        <f>IF(COUNTBLANK(B348:G348)&lt;&gt;COLUMNS(B348:G348),347,"")</f>
        <v>0</v>
      </c>
      <c r="C348" s="1">
        <f>IF(B348="", "", "UBERON:gastrointestinal tract")</f>
        <v>0</v>
      </c>
      <c r="D348" s="1">
        <f>IF(B348="", "", "UBERON:feces")</f>
        <v>0</v>
      </c>
      <c r="E348" s="1">
        <f>IF(B348="", "", "UBERON:colon")</f>
        <v>0</v>
      </c>
      <c r="F348" s="1">
        <f>IF(B348="", "", "rat gut metagenome")</f>
        <v>0</v>
      </c>
      <c r="G348" s="1">
        <f>IF(B348="", "", "1436733")</f>
        <v>0</v>
      </c>
    </row>
    <row r="349" spans="1:7">
      <c r="A349">
        <f>IF(COUNTBLANK(B349:G349)&lt;&gt;COLUMNS(B349:G349),348,"")</f>
        <v>0</v>
      </c>
      <c r="C349" s="1">
        <f>IF(B349="", "", "UBERON:gastrointestinal tract")</f>
        <v>0</v>
      </c>
      <c r="D349" s="1">
        <f>IF(B349="", "", "UBERON:feces")</f>
        <v>0</v>
      </c>
      <c r="E349" s="1">
        <f>IF(B349="", "", "UBERON:colon")</f>
        <v>0</v>
      </c>
      <c r="F349" s="1">
        <f>IF(B349="", "", "rat gut metagenome")</f>
        <v>0</v>
      </c>
      <c r="G349" s="1">
        <f>IF(B349="", "", "1436733")</f>
        <v>0</v>
      </c>
    </row>
    <row r="350" spans="1:7">
      <c r="A350">
        <f>IF(COUNTBLANK(B350:G350)&lt;&gt;COLUMNS(B350:G350),349,"")</f>
        <v>0</v>
      </c>
      <c r="C350" s="1">
        <f>IF(B350="", "", "UBERON:gastrointestinal tract")</f>
        <v>0</v>
      </c>
      <c r="D350" s="1">
        <f>IF(B350="", "", "UBERON:feces")</f>
        <v>0</v>
      </c>
      <c r="E350" s="1">
        <f>IF(B350="", "", "UBERON:colon")</f>
        <v>0</v>
      </c>
      <c r="F350" s="1">
        <f>IF(B350="", "", "rat gut metagenome")</f>
        <v>0</v>
      </c>
      <c r="G350" s="1">
        <f>IF(B350="", "", "1436733")</f>
        <v>0</v>
      </c>
    </row>
    <row r="351" spans="1:7">
      <c r="A351">
        <f>IF(COUNTBLANK(B351:G351)&lt;&gt;COLUMNS(B351:G351),350,"")</f>
        <v>0</v>
      </c>
      <c r="C351" s="1">
        <f>IF(B351="", "", "UBERON:gastrointestinal tract")</f>
        <v>0</v>
      </c>
      <c r="D351" s="1">
        <f>IF(B351="", "", "UBERON:feces")</f>
        <v>0</v>
      </c>
      <c r="E351" s="1">
        <f>IF(B351="", "", "UBERON:colon")</f>
        <v>0</v>
      </c>
      <c r="F351" s="1">
        <f>IF(B351="", "", "rat gut metagenome")</f>
        <v>0</v>
      </c>
      <c r="G351" s="1">
        <f>IF(B351="", "", "1436733")</f>
        <v>0</v>
      </c>
    </row>
    <row r="352" spans="1:7">
      <c r="A352">
        <f>IF(COUNTBLANK(B352:G352)&lt;&gt;COLUMNS(B352:G352),351,"")</f>
        <v>0</v>
      </c>
      <c r="C352" s="1">
        <f>IF(B352="", "", "UBERON:gastrointestinal tract")</f>
        <v>0</v>
      </c>
      <c r="D352" s="1">
        <f>IF(B352="", "", "UBERON:feces")</f>
        <v>0</v>
      </c>
      <c r="E352" s="1">
        <f>IF(B352="", "", "UBERON:colon")</f>
        <v>0</v>
      </c>
      <c r="F352" s="1">
        <f>IF(B352="", "", "rat gut metagenome")</f>
        <v>0</v>
      </c>
      <c r="G352" s="1">
        <f>IF(B352="", "", "1436733")</f>
        <v>0</v>
      </c>
    </row>
    <row r="353" spans="1:7">
      <c r="A353">
        <f>IF(COUNTBLANK(B353:G353)&lt;&gt;COLUMNS(B353:G353),352,"")</f>
        <v>0</v>
      </c>
      <c r="C353" s="1">
        <f>IF(B353="", "", "UBERON:gastrointestinal tract")</f>
        <v>0</v>
      </c>
      <c r="D353" s="1">
        <f>IF(B353="", "", "UBERON:feces")</f>
        <v>0</v>
      </c>
      <c r="E353" s="1">
        <f>IF(B353="", "", "UBERON:colon")</f>
        <v>0</v>
      </c>
      <c r="F353" s="1">
        <f>IF(B353="", "", "rat gut metagenome")</f>
        <v>0</v>
      </c>
      <c r="G353" s="1">
        <f>IF(B353="", "", "1436733")</f>
        <v>0</v>
      </c>
    </row>
    <row r="354" spans="1:7">
      <c r="A354">
        <f>IF(COUNTBLANK(B354:G354)&lt;&gt;COLUMNS(B354:G354),353,"")</f>
        <v>0</v>
      </c>
      <c r="C354" s="1">
        <f>IF(B354="", "", "UBERON:gastrointestinal tract")</f>
        <v>0</v>
      </c>
      <c r="D354" s="1">
        <f>IF(B354="", "", "UBERON:feces")</f>
        <v>0</v>
      </c>
      <c r="E354" s="1">
        <f>IF(B354="", "", "UBERON:colon")</f>
        <v>0</v>
      </c>
      <c r="F354" s="1">
        <f>IF(B354="", "", "rat gut metagenome")</f>
        <v>0</v>
      </c>
      <c r="G354" s="1">
        <f>IF(B354="", "", "1436733")</f>
        <v>0</v>
      </c>
    </row>
    <row r="355" spans="1:7">
      <c r="A355">
        <f>IF(COUNTBLANK(B355:G355)&lt;&gt;COLUMNS(B355:G355),354,"")</f>
        <v>0</v>
      </c>
      <c r="C355" s="1">
        <f>IF(B355="", "", "UBERON:gastrointestinal tract")</f>
        <v>0</v>
      </c>
      <c r="D355" s="1">
        <f>IF(B355="", "", "UBERON:feces")</f>
        <v>0</v>
      </c>
      <c r="E355" s="1">
        <f>IF(B355="", "", "UBERON:colon")</f>
        <v>0</v>
      </c>
      <c r="F355" s="1">
        <f>IF(B355="", "", "rat gut metagenome")</f>
        <v>0</v>
      </c>
      <c r="G355" s="1">
        <f>IF(B355="", "", "1436733")</f>
        <v>0</v>
      </c>
    </row>
    <row r="356" spans="1:7">
      <c r="A356">
        <f>IF(COUNTBLANK(B356:G356)&lt;&gt;COLUMNS(B356:G356),355,"")</f>
        <v>0</v>
      </c>
      <c r="C356" s="1">
        <f>IF(B356="", "", "UBERON:gastrointestinal tract")</f>
        <v>0</v>
      </c>
      <c r="D356" s="1">
        <f>IF(B356="", "", "UBERON:feces")</f>
        <v>0</v>
      </c>
      <c r="E356" s="1">
        <f>IF(B356="", "", "UBERON:colon")</f>
        <v>0</v>
      </c>
      <c r="F356" s="1">
        <f>IF(B356="", "", "rat gut metagenome")</f>
        <v>0</v>
      </c>
      <c r="G356" s="1">
        <f>IF(B356="", "", "1436733")</f>
        <v>0</v>
      </c>
    </row>
    <row r="357" spans="1:7">
      <c r="A357">
        <f>IF(COUNTBLANK(B357:G357)&lt;&gt;COLUMNS(B357:G357),356,"")</f>
        <v>0</v>
      </c>
      <c r="C357" s="1">
        <f>IF(B357="", "", "UBERON:gastrointestinal tract")</f>
        <v>0</v>
      </c>
      <c r="D357" s="1">
        <f>IF(B357="", "", "UBERON:feces")</f>
        <v>0</v>
      </c>
      <c r="E357" s="1">
        <f>IF(B357="", "", "UBERON:colon")</f>
        <v>0</v>
      </c>
      <c r="F357" s="1">
        <f>IF(B357="", "", "rat gut metagenome")</f>
        <v>0</v>
      </c>
      <c r="G357" s="1">
        <f>IF(B357="", "", "1436733")</f>
        <v>0</v>
      </c>
    </row>
    <row r="358" spans="1:7">
      <c r="A358">
        <f>IF(COUNTBLANK(B358:G358)&lt;&gt;COLUMNS(B358:G358),357,"")</f>
        <v>0</v>
      </c>
      <c r="C358" s="1">
        <f>IF(B358="", "", "UBERON:gastrointestinal tract")</f>
        <v>0</v>
      </c>
      <c r="D358" s="1">
        <f>IF(B358="", "", "UBERON:feces")</f>
        <v>0</v>
      </c>
      <c r="E358" s="1">
        <f>IF(B358="", "", "UBERON:colon")</f>
        <v>0</v>
      </c>
      <c r="F358" s="1">
        <f>IF(B358="", "", "rat gut metagenome")</f>
        <v>0</v>
      </c>
      <c r="G358" s="1">
        <f>IF(B358="", "", "1436733")</f>
        <v>0</v>
      </c>
    </row>
    <row r="359" spans="1:7">
      <c r="A359">
        <f>IF(COUNTBLANK(B359:G359)&lt;&gt;COLUMNS(B359:G359),358,"")</f>
        <v>0</v>
      </c>
      <c r="C359" s="1">
        <f>IF(B359="", "", "UBERON:gastrointestinal tract")</f>
        <v>0</v>
      </c>
      <c r="D359" s="1">
        <f>IF(B359="", "", "UBERON:feces")</f>
        <v>0</v>
      </c>
      <c r="E359" s="1">
        <f>IF(B359="", "", "UBERON:colon")</f>
        <v>0</v>
      </c>
      <c r="F359" s="1">
        <f>IF(B359="", "", "rat gut metagenome")</f>
        <v>0</v>
      </c>
      <c r="G359" s="1">
        <f>IF(B359="", "", "1436733")</f>
        <v>0</v>
      </c>
    </row>
    <row r="360" spans="1:7">
      <c r="A360">
        <f>IF(COUNTBLANK(B360:G360)&lt;&gt;COLUMNS(B360:G360),359,"")</f>
        <v>0</v>
      </c>
      <c r="C360" s="1">
        <f>IF(B360="", "", "UBERON:gastrointestinal tract")</f>
        <v>0</v>
      </c>
      <c r="D360" s="1">
        <f>IF(B360="", "", "UBERON:feces")</f>
        <v>0</v>
      </c>
      <c r="E360" s="1">
        <f>IF(B360="", "", "UBERON:colon")</f>
        <v>0</v>
      </c>
      <c r="F360" s="1">
        <f>IF(B360="", "", "rat gut metagenome")</f>
        <v>0</v>
      </c>
      <c r="G360" s="1">
        <f>IF(B360="", "", "1436733")</f>
        <v>0</v>
      </c>
    </row>
    <row r="361" spans="1:7">
      <c r="A361">
        <f>IF(COUNTBLANK(B361:G361)&lt;&gt;COLUMNS(B361:G361),360,"")</f>
        <v>0</v>
      </c>
      <c r="C361" s="1">
        <f>IF(B361="", "", "UBERON:gastrointestinal tract")</f>
        <v>0</v>
      </c>
      <c r="D361" s="1">
        <f>IF(B361="", "", "UBERON:feces")</f>
        <v>0</v>
      </c>
      <c r="E361" s="1">
        <f>IF(B361="", "", "UBERON:colon")</f>
        <v>0</v>
      </c>
      <c r="F361" s="1">
        <f>IF(B361="", "", "rat gut metagenome")</f>
        <v>0</v>
      </c>
      <c r="G361" s="1">
        <f>IF(B361="", "", "1436733")</f>
        <v>0</v>
      </c>
    </row>
    <row r="362" spans="1:7">
      <c r="A362">
        <f>IF(COUNTBLANK(B362:G362)&lt;&gt;COLUMNS(B362:G362),361,"")</f>
        <v>0</v>
      </c>
      <c r="C362" s="1">
        <f>IF(B362="", "", "UBERON:gastrointestinal tract")</f>
        <v>0</v>
      </c>
      <c r="D362" s="1">
        <f>IF(B362="", "", "UBERON:feces")</f>
        <v>0</v>
      </c>
      <c r="E362" s="1">
        <f>IF(B362="", "", "UBERON:colon")</f>
        <v>0</v>
      </c>
      <c r="F362" s="1">
        <f>IF(B362="", "", "rat gut metagenome")</f>
        <v>0</v>
      </c>
      <c r="G362" s="1">
        <f>IF(B362="", "", "1436733")</f>
        <v>0</v>
      </c>
    </row>
    <row r="363" spans="1:7">
      <c r="A363">
        <f>IF(COUNTBLANK(B363:G363)&lt;&gt;COLUMNS(B363:G363),362,"")</f>
        <v>0</v>
      </c>
      <c r="C363" s="1">
        <f>IF(B363="", "", "UBERON:gastrointestinal tract")</f>
        <v>0</v>
      </c>
      <c r="D363" s="1">
        <f>IF(B363="", "", "UBERON:feces")</f>
        <v>0</v>
      </c>
      <c r="E363" s="1">
        <f>IF(B363="", "", "UBERON:colon")</f>
        <v>0</v>
      </c>
      <c r="F363" s="1">
        <f>IF(B363="", "", "rat gut metagenome")</f>
        <v>0</v>
      </c>
      <c r="G363" s="1">
        <f>IF(B363="", "", "1436733")</f>
        <v>0</v>
      </c>
    </row>
    <row r="364" spans="1:7">
      <c r="A364">
        <f>IF(COUNTBLANK(B364:G364)&lt;&gt;COLUMNS(B364:G364),363,"")</f>
        <v>0</v>
      </c>
      <c r="C364" s="1">
        <f>IF(B364="", "", "UBERON:gastrointestinal tract")</f>
        <v>0</v>
      </c>
      <c r="D364" s="1">
        <f>IF(B364="", "", "UBERON:feces")</f>
        <v>0</v>
      </c>
      <c r="E364" s="1">
        <f>IF(B364="", "", "UBERON:colon")</f>
        <v>0</v>
      </c>
      <c r="F364" s="1">
        <f>IF(B364="", "", "rat gut metagenome")</f>
        <v>0</v>
      </c>
      <c r="G364" s="1">
        <f>IF(B364="", "", "1436733")</f>
        <v>0</v>
      </c>
    </row>
    <row r="365" spans="1:7">
      <c r="A365">
        <f>IF(COUNTBLANK(B365:G365)&lt;&gt;COLUMNS(B365:G365),364,"")</f>
        <v>0</v>
      </c>
      <c r="C365" s="1">
        <f>IF(B365="", "", "UBERON:gastrointestinal tract")</f>
        <v>0</v>
      </c>
      <c r="D365" s="1">
        <f>IF(B365="", "", "UBERON:feces")</f>
        <v>0</v>
      </c>
      <c r="E365" s="1">
        <f>IF(B365="", "", "UBERON:colon")</f>
        <v>0</v>
      </c>
      <c r="F365" s="1">
        <f>IF(B365="", "", "rat gut metagenome")</f>
        <v>0</v>
      </c>
      <c r="G365" s="1">
        <f>IF(B365="", "", "1436733")</f>
        <v>0</v>
      </c>
    </row>
    <row r="366" spans="1:7">
      <c r="A366">
        <f>IF(COUNTBLANK(B366:G366)&lt;&gt;COLUMNS(B366:G366),365,"")</f>
        <v>0</v>
      </c>
      <c r="C366" s="1">
        <f>IF(B366="", "", "UBERON:gastrointestinal tract")</f>
        <v>0</v>
      </c>
      <c r="D366" s="1">
        <f>IF(B366="", "", "UBERON:feces")</f>
        <v>0</v>
      </c>
      <c r="E366" s="1">
        <f>IF(B366="", "", "UBERON:colon")</f>
        <v>0</v>
      </c>
      <c r="F366" s="1">
        <f>IF(B366="", "", "rat gut metagenome")</f>
        <v>0</v>
      </c>
      <c r="G366" s="1">
        <f>IF(B366="", "", "1436733")</f>
        <v>0</v>
      </c>
    </row>
    <row r="367" spans="1:7">
      <c r="A367">
        <f>IF(COUNTBLANK(B367:G367)&lt;&gt;COLUMNS(B367:G367),366,"")</f>
        <v>0</v>
      </c>
      <c r="C367" s="1">
        <f>IF(B367="", "", "UBERON:gastrointestinal tract")</f>
        <v>0</v>
      </c>
      <c r="D367" s="1">
        <f>IF(B367="", "", "UBERON:feces")</f>
        <v>0</v>
      </c>
      <c r="E367" s="1">
        <f>IF(B367="", "", "UBERON:colon")</f>
        <v>0</v>
      </c>
      <c r="F367" s="1">
        <f>IF(B367="", "", "rat gut metagenome")</f>
        <v>0</v>
      </c>
      <c r="G367" s="1">
        <f>IF(B367="", "", "1436733")</f>
        <v>0</v>
      </c>
    </row>
    <row r="368" spans="1:7">
      <c r="A368">
        <f>IF(COUNTBLANK(B368:G368)&lt;&gt;COLUMNS(B368:G368),367,"")</f>
        <v>0</v>
      </c>
      <c r="C368" s="1">
        <f>IF(B368="", "", "UBERON:gastrointestinal tract")</f>
        <v>0</v>
      </c>
      <c r="D368" s="1">
        <f>IF(B368="", "", "UBERON:feces")</f>
        <v>0</v>
      </c>
      <c r="E368" s="1">
        <f>IF(B368="", "", "UBERON:colon")</f>
        <v>0</v>
      </c>
      <c r="F368" s="1">
        <f>IF(B368="", "", "rat gut metagenome")</f>
        <v>0</v>
      </c>
      <c r="G368" s="1">
        <f>IF(B368="", "", "1436733")</f>
        <v>0</v>
      </c>
    </row>
    <row r="369" spans="1:7">
      <c r="A369">
        <f>IF(COUNTBLANK(B369:G369)&lt;&gt;COLUMNS(B369:G369),368,"")</f>
        <v>0</v>
      </c>
      <c r="C369" s="1">
        <f>IF(B369="", "", "UBERON:gastrointestinal tract")</f>
        <v>0</v>
      </c>
      <c r="D369" s="1">
        <f>IF(B369="", "", "UBERON:feces")</f>
        <v>0</v>
      </c>
      <c r="E369" s="1">
        <f>IF(B369="", "", "UBERON:colon")</f>
        <v>0</v>
      </c>
      <c r="F369" s="1">
        <f>IF(B369="", "", "rat gut metagenome")</f>
        <v>0</v>
      </c>
      <c r="G369" s="1">
        <f>IF(B369="", "", "1436733")</f>
        <v>0</v>
      </c>
    </row>
    <row r="370" spans="1:7">
      <c r="A370">
        <f>IF(COUNTBLANK(B370:G370)&lt;&gt;COLUMNS(B370:G370),369,"")</f>
        <v>0</v>
      </c>
      <c r="C370" s="1">
        <f>IF(B370="", "", "UBERON:gastrointestinal tract")</f>
        <v>0</v>
      </c>
      <c r="D370" s="1">
        <f>IF(B370="", "", "UBERON:feces")</f>
        <v>0</v>
      </c>
      <c r="E370" s="1">
        <f>IF(B370="", "", "UBERON:colon")</f>
        <v>0</v>
      </c>
      <c r="F370" s="1">
        <f>IF(B370="", "", "rat gut metagenome")</f>
        <v>0</v>
      </c>
      <c r="G370" s="1">
        <f>IF(B370="", "", "1436733")</f>
        <v>0</v>
      </c>
    </row>
    <row r="371" spans="1:7">
      <c r="A371">
        <f>IF(COUNTBLANK(B371:G371)&lt;&gt;COLUMNS(B371:G371),370,"")</f>
        <v>0</v>
      </c>
      <c r="C371" s="1">
        <f>IF(B371="", "", "UBERON:gastrointestinal tract")</f>
        <v>0</v>
      </c>
      <c r="D371" s="1">
        <f>IF(B371="", "", "UBERON:feces")</f>
        <v>0</v>
      </c>
      <c r="E371" s="1">
        <f>IF(B371="", "", "UBERON:colon")</f>
        <v>0</v>
      </c>
      <c r="F371" s="1">
        <f>IF(B371="", "", "rat gut metagenome")</f>
        <v>0</v>
      </c>
      <c r="G371" s="1">
        <f>IF(B371="", "", "1436733")</f>
        <v>0</v>
      </c>
    </row>
    <row r="372" spans="1:7">
      <c r="A372">
        <f>IF(COUNTBLANK(B372:G372)&lt;&gt;COLUMNS(B372:G372),371,"")</f>
        <v>0</v>
      </c>
      <c r="C372" s="1">
        <f>IF(B372="", "", "UBERON:gastrointestinal tract")</f>
        <v>0</v>
      </c>
      <c r="D372" s="1">
        <f>IF(B372="", "", "UBERON:feces")</f>
        <v>0</v>
      </c>
      <c r="E372" s="1">
        <f>IF(B372="", "", "UBERON:colon")</f>
        <v>0</v>
      </c>
      <c r="F372" s="1">
        <f>IF(B372="", "", "rat gut metagenome")</f>
        <v>0</v>
      </c>
      <c r="G372" s="1">
        <f>IF(B372="", "", "1436733")</f>
        <v>0</v>
      </c>
    </row>
    <row r="373" spans="1:7">
      <c r="A373">
        <f>IF(COUNTBLANK(B373:G373)&lt;&gt;COLUMNS(B373:G373),372,"")</f>
        <v>0</v>
      </c>
      <c r="C373" s="1">
        <f>IF(B373="", "", "UBERON:gastrointestinal tract")</f>
        <v>0</v>
      </c>
      <c r="D373" s="1">
        <f>IF(B373="", "", "UBERON:feces")</f>
        <v>0</v>
      </c>
      <c r="E373" s="1">
        <f>IF(B373="", "", "UBERON:colon")</f>
        <v>0</v>
      </c>
      <c r="F373" s="1">
        <f>IF(B373="", "", "rat gut metagenome")</f>
        <v>0</v>
      </c>
      <c r="G373" s="1">
        <f>IF(B373="", "", "1436733")</f>
        <v>0</v>
      </c>
    </row>
    <row r="374" spans="1:7">
      <c r="A374">
        <f>IF(COUNTBLANK(B374:G374)&lt;&gt;COLUMNS(B374:G374),373,"")</f>
        <v>0</v>
      </c>
      <c r="C374" s="1">
        <f>IF(B374="", "", "UBERON:gastrointestinal tract")</f>
        <v>0</v>
      </c>
      <c r="D374" s="1">
        <f>IF(B374="", "", "UBERON:feces")</f>
        <v>0</v>
      </c>
      <c r="E374" s="1">
        <f>IF(B374="", "", "UBERON:colon")</f>
        <v>0</v>
      </c>
      <c r="F374" s="1">
        <f>IF(B374="", "", "rat gut metagenome")</f>
        <v>0</v>
      </c>
      <c r="G374" s="1">
        <f>IF(B374="", "", "1436733")</f>
        <v>0</v>
      </c>
    </row>
    <row r="375" spans="1:7">
      <c r="A375">
        <f>IF(COUNTBLANK(B375:G375)&lt;&gt;COLUMNS(B375:G375),374,"")</f>
        <v>0</v>
      </c>
      <c r="C375" s="1">
        <f>IF(B375="", "", "UBERON:gastrointestinal tract")</f>
        <v>0</v>
      </c>
      <c r="D375" s="1">
        <f>IF(B375="", "", "UBERON:feces")</f>
        <v>0</v>
      </c>
      <c r="E375" s="1">
        <f>IF(B375="", "", "UBERON:colon")</f>
        <v>0</v>
      </c>
      <c r="F375" s="1">
        <f>IF(B375="", "", "rat gut metagenome")</f>
        <v>0</v>
      </c>
      <c r="G375" s="1">
        <f>IF(B375="", "", "1436733")</f>
        <v>0</v>
      </c>
    </row>
    <row r="376" spans="1:7">
      <c r="A376">
        <f>IF(COUNTBLANK(B376:G376)&lt;&gt;COLUMNS(B376:G376),375,"")</f>
        <v>0</v>
      </c>
      <c r="C376" s="1">
        <f>IF(B376="", "", "UBERON:gastrointestinal tract")</f>
        <v>0</v>
      </c>
      <c r="D376" s="1">
        <f>IF(B376="", "", "UBERON:feces")</f>
        <v>0</v>
      </c>
      <c r="E376" s="1">
        <f>IF(B376="", "", "UBERON:colon")</f>
        <v>0</v>
      </c>
      <c r="F376" s="1">
        <f>IF(B376="", "", "rat gut metagenome")</f>
        <v>0</v>
      </c>
      <c r="G376" s="1">
        <f>IF(B376="", "", "1436733")</f>
        <v>0</v>
      </c>
    </row>
    <row r="377" spans="1:7">
      <c r="A377">
        <f>IF(COUNTBLANK(B377:G377)&lt;&gt;COLUMNS(B377:G377),376,"")</f>
        <v>0</v>
      </c>
      <c r="C377" s="1">
        <f>IF(B377="", "", "UBERON:gastrointestinal tract")</f>
        <v>0</v>
      </c>
      <c r="D377" s="1">
        <f>IF(B377="", "", "UBERON:feces")</f>
        <v>0</v>
      </c>
      <c r="E377" s="1">
        <f>IF(B377="", "", "UBERON:colon")</f>
        <v>0</v>
      </c>
      <c r="F377" s="1">
        <f>IF(B377="", "", "rat gut metagenome")</f>
        <v>0</v>
      </c>
      <c r="G377" s="1">
        <f>IF(B377="", "", "1436733")</f>
        <v>0</v>
      </c>
    </row>
    <row r="378" spans="1:7">
      <c r="A378">
        <f>IF(COUNTBLANK(B378:G378)&lt;&gt;COLUMNS(B378:G378),377,"")</f>
        <v>0</v>
      </c>
      <c r="C378" s="1">
        <f>IF(B378="", "", "UBERON:gastrointestinal tract")</f>
        <v>0</v>
      </c>
      <c r="D378" s="1">
        <f>IF(B378="", "", "UBERON:feces")</f>
        <v>0</v>
      </c>
      <c r="E378" s="1">
        <f>IF(B378="", "", "UBERON:colon")</f>
        <v>0</v>
      </c>
      <c r="F378" s="1">
        <f>IF(B378="", "", "rat gut metagenome")</f>
        <v>0</v>
      </c>
      <c r="G378" s="1">
        <f>IF(B378="", "", "1436733")</f>
        <v>0</v>
      </c>
    </row>
    <row r="379" spans="1:7">
      <c r="A379">
        <f>IF(COUNTBLANK(B379:G379)&lt;&gt;COLUMNS(B379:G379),378,"")</f>
        <v>0</v>
      </c>
      <c r="C379" s="1">
        <f>IF(B379="", "", "UBERON:gastrointestinal tract")</f>
        <v>0</v>
      </c>
      <c r="D379" s="1">
        <f>IF(B379="", "", "UBERON:feces")</f>
        <v>0</v>
      </c>
      <c r="E379" s="1">
        <f>IF(B379="", "", "UBERON:colon")</f>
        <v>0</v>
      </c>
      <c r="F379" s="1">
        <f>IF(B379="", "", "rat gut metagenome")</f>
        <v>0</v>
      </c>
      <c r="G379" s="1">
        <f>IF(B379="", "", "1436733")</f>
        <v>0</v>
      </c>
    </row>
    <row r="380" spans="1:7">
      <c r="A380">
        <f>IF(COUNTBLANK(B380:G380)&lt;&gt;COLUMNS(B380:G380),379,"")</f>
        <v>0</v>
      </c>
      <c r="C380" s="1">
        <f>IF(B380="", "", "UBERON:gastrointestinal tract")</f>
        <v>0</v>
      </c>
      <c r="D380" s="1">
        <f>IF(B380="", "", "UBERON:feces")</f>
        <v>0</v>
      </c>
      <c r="E380" s="1">
        <f>IF(B380="", "", "UBERON:colon")</f>
        <v>0</v>
      </c>
      <c r="F380" s="1">
        <f>IF(B380="", "", "rat gut metagenome")</f>
        <v>0</v>
      </c>
      <c r="G380" s="1">
        <f>IF(B380="", "", "1436733")</f>
        <v>0</v>
      </c>
    </row>
    <row r="381" spans="1:7">
      <c r="A381">
        <f>IF(COUNTBLANK(B381:G381)&lt;&gt;COLUMNS(B381:G381),380,"")</f>
        <v>0</v>
      </c>
      <c r="C381" s="1">
        <f>IF(B381="", "", "UBERON:gastrointestinal tract")</f>
        <v>0</v>
      </c>
      <c r="D381" s="1">
        <f>IF(B381="", "", "UBERON:feces")</f>
        <v>0</v>
      </c>
      <c r="E381" s="1">
        <f>IF(B381="", "", "UBERON:colon")</f>
        <v>0</v>
      </c>
      <c r="F381" s="1">
        <f>IF(B381="", "", "rat gut metagenome")</f>
        <v>0</v>
      </c>
      <c r="G381" s="1">
        <f>IF(B381="", "", "1436733")</f>
        <v>0</v>
      </c>
    </row>
    <row r="382" spans="1:7">
      <c r="A382">
        <f>IF(COUNTBLANK(B382:G382)&lt;&gt;COLUMNS(B382:G382),381,"")</f>
        <v>0</v>
      </c>
      <c r="C382" s="1">
        <f>IF(B382="", "", "UBERON:gastrointestinal tract")</f>
        <v>0</v>
      </c>
      <c r="D382" s="1">
        <f>IF(B382="", "", "UBERON:feces")</f>
        <v>0</v>
      </c>
      <c r="E382" s="1">
        <f>IF(B382="", "", "UBERON:colon")</f>
        <v>0</v>
      </c>
      <c r="F382" s="1">
        <f>IF(B382="", "", "rat gut metagenome")</f>
        <v>0</v>
      </c>
      <c r="G382" s="1">
        <f>IF(B382="", "", "1436733")</f>
        <v>0</v>
      </c>
    </row>
    <row r="383" spans="1:7">
      <c r="A383">
        <f>IF(COUNTBLANK(B383:G383)&lt;&gt;COLUMNS(B383:G383),382,"")</f>
        <v>0</v>
      </c>
      <c r="C383" s="1">
        <f>IF(B383="", "", "UBERON:gastrointestinal tract")</f>
        <v>0</v>
      </c>
      <c r="D383" s="1">
        <f>IF(B383="", "", "UBERON:feces")</f>
        <v>0</v>
      </c>
      <c r="E383" s="1">
        <f>IF(B383="", "", "UBERON:colon")</f>
        <v>0</v>
      </c>
      <c r="F383" s="1">
        <f>IF(B383="", "", "rat gut metagenome")</f>
        <v>0</v>
      </c>
      <c r="G383" s="1">
        <f>IF(B383="", "", "1436733")</f>
        <v>0</v>
      </c>
    </row>
    <row r="384" spans="1:7">
      <c r="A384">
        <f>IF(COUNTBLANK(B384:G384)&lt;&gt;COLUMNS(B384:G384),383,"")</f>
        <v>0</v>
      </c>
      <c r="C384" s="1">
        <f>IF(B384="", "", "UBERON:gastrointestinal tract")</f>
        <v>0</v>
      </c>
      <c r="D384" s="1">
        <f>IF(B384="", "", "UBERON:feces")</f>
        <v>0</v>
      </c>
      <c r="E384" s="1">
        <f>IF(B384="", "", "UBERON:colon")</f>
        <v>0</v>
      </c>
      <c r="F384" s="1">
        <f>IF(B384="", "", "rat gut metagenome")</f>
        <v>0</v>
      </c>
      <c r="G384" s="1">
        <f>IF(B384="", "", "1436733")</f>
        <v>0</v>
      </c>
    </row>
    <row r="385" spans="1:7">
      <c r="A385">
        <f>IF(COUNTBLANK(B385:G385)&lt;&gt;COLUMNS(B385:G385),384,"")</f>
        <v>0</v>
      </c>
      <c r="C385" s="1">
        <f>IF(B385="", "", "UBERON:gastrointestinal tract")</f>
        <v>0</v>
      </c>
      <c r="D385" s="1">
        <f>IF(B385="", "", "UBERON:feces")</f>
        <v>0</v>
      </c>
      <c r="E385" s="1">
        <f>IF(B385="", "", "UBERON:colon")</f>
        <v>0</v>
      </c>
      <c r="F385" s="1">
        <f>IF(B385="", "", "rat gut metagenome")</f>
        <v>0</v>
      </c>
      <c r="G385" s="1">
        <f>IF(B385="", "", "1436733")</f>
        <v>0</v>
      </c>
    </row>
    <row r="386" spans="1:7">
      <c r="A386">
        <f>IF(COUNTBLANK(B386:G386)&lt;&gt;COLUMNS(B386:G386),385,"")</f>
        <v>0</v>
      </c>
      <c r="C386" s="1">
        <f>IF(B386="", "", "UBERON:gastrointestinal tract")</f>
        <v>0</v>
      </c>
      <c r="D386" s="1">
        <f>IF(B386="", "", "UBERON:feces")</f>
        <v>0</v>
      </c>
      <c r="E386" s="1">
        <f>IF(B386="", "", "UBERON:colon")</f>
        <v>0</v>
      </c>
      <c r="F386" s="1">
        <f>IF(B386="", "", "rat gut metagenome")</f>
        <v>0</v>
      </c>
      <c r="G386" s="1">
        <f>IF(B386="", "", "1436733")</f>
        <v>0</v>
      </c>
    </row>
    <row r="387" spans="1:7">
      <c r="A387">
        <f>IF(COUNTBLANK(B387:G387)&lt;&gt;COLUMNS(B387:G387),386,"")</f>
        <v>0</v>
      </c>
      <c r="C387" s="1">
        <f>IF(B387="", "", "UBERON:gastrointestinal tract")</f>
        <v>0</v>
      </c>
      <c r="D387" s="1">
        <f>IF(B387="", "", "UBERON:feces")</f>
        <v>0</v>
      </c>
      <c r="E387" s="1">
        <f>IF(B387="", "", "UBERON:colon")</f>
        <v>0</v>
      </c>
      <c r="F387" s="1">
        <f>IF(B387="", "", "rat gut metagenome")</f>
        <v>0</v>
      </c>
      <c r="G387" s="1">
        <f>IF(B387="", "", "1436733")</f>
        <v>0</v>
      </c>
    </row>
    <row r="388" spans="1:7">
      <c r="A388">
        <f>IF(COUNTBLANK(B388:G388)&lt;&gt;COLUMNS(B388:G388),387,"")</f>
        <v>0</v>
      </c>
      <c r="C388" s="1">
        <f>IF(B388="", "", "UBERON:gastrointestinal tract")</f>
        <v>0</v>
      </c>
      <c r="D388" s="1">
        <f>IF(B388="", "", "UBERON:feces")</f>
        <v>0</v>
      </c>
      <c r="E388" s="1">
        <f>IF(B388="", "", "UBERON:colon")</f>
        <v>0</v>
      </c>
      <c r="F388" s="1">
        <f>IF(B388="", "", "rat gut metagenome")</f>
        <v>0</v>
      </c>
      <c r="G388" s="1">
        <f>IF(B388="", "", "1436733")</f>
        <v>0</v>
      </c>
    </row>
    <row r="389" spans="1:7">
      <c r="A389">
        <f>IF(COUNTBLANK(B389:G389)&lt;&gt;COLUMNS(B389:G389),388,"")</f>
        <v>0</v>
      </c>
      <c r="C389" s="1">
        <f>IF(B389="", "", "UBERON:gastrointestinal tract")</f>
        <v>0</v>
      </c>
      <c r="D389" s="1">
        <f>IF(B389="", "", "UBERON:feces")</f>
        <v>0</v>
      </c>
      <c r="E389" s="1">
        <f>IF(B389="", "", "UBERON:colon")</f>
        <v>0</v>
      </c>
      <c r="F389" s="1">
        <f>IF(B389="", "", "rat gut metagenome")</f>
        <v>0</v>
      </c>
      <c r="G389" s="1">
        <f>IF(B389="", "", "1436733")</f>
        <v>0</v>
      </c>
    </row>
    <row r="390" spans="1:7">
      <c r="A390">
        <f>IF(COUNTBLANK(B390:G390)&lt;&gt;COLUMNS(B390:G390),389,"")</f>
        <v>0</v>
      </c>
      <c r="C390" s="1">
        <f>IF(B390="", "", "UBERON:gastrointestinal tract")</f>
        <v>0</v>
      </c>
      <c r="D390" s="1">
        <f>IF(B390="", "", "UBERON:feces")</f>
        <v>0</v>
      </c>
      <c r="E390" s="1">
        <f>IF(B390="", "", "UBERON:colon")</f>
        <v>0</v>
      </c>
      <c r="F390" s="1">
        <f>IF(B390="", "", "rat gut metagenome")</f>
        <v>0</v>
      </c>
      <c r="G390" s="1">
        <f>IF(B390="", "", "1436733")</f>
        <v>0</v>
      </c>
    </row>
    <row r="391" spans="1:7">
      <c r="A391">
        <f>IF(COUNTBLANK(B391:G391)&lt;&gt;COLUMNS(B391:G391),390,"")</f>
        <v>0</v>
      </c>
      <c r="C391" s="1">
        <f>IF(B391="", "", "UBERON:gastrointestinal tract")</f>
        <v>0</v>
      </c>
      <c r="D391" s="1">
        <f>IF(B391="", "", "UBERON:feces")</f>
        <v>0</v>
      </c>
      <c r="E391" s="1">
        <f>IF(B391="", "", "UBERON:colon")</f>
        <v>0</v>
      </c>
      <c r="F391" s="1">
        <f>IF(B391="", "", "rat gut metagenome")</f>
        <v>0</v>
      </c>
      <c r="G391" s="1">
        <f>IF(B391="", "", "1436733")</f>
        <v>0</v>
      </c>
    </row>
    <row r="392" spans="1:7">
      <c r="A392">
        <f>IF(COUNTBLANK(B392:G392)&lt;&gt;COLUMNS(B392:G392),391,"")</f>
        <v>0</v>
      </c>
      <c r="C392" s="1">
        <f>IF(B392="", "", "UBERON:gastrointestinal tract")</f>
        <v>0</v>
      </c>
      <c r="D392" s="1">
        <f>IF(B392="", "", "UBERON:feces")</f>
        <v>0</v>
      </c>
      <c r="E392" s="1">
        <f>IF(B392="", "", "UBERON:colon")</f>
        <v>0</v>
      </c>
      <c r="F392" s="1">
        <f>IF(B392="", "", "rat gut metagenome")</f>
        <v>0</v>
      </c>
      <c r="G392" s="1">
        <f>IF(B392="", "", "1436733")</f>
        <v>0</v>
      </c>
    </row>
    <row r="393" spans="1:7">
      <c r="A393">
        <f>IF(COUNTBLANK(B393:G393)&lt;&gt;COLUMNS(B393:G393),392,"")</f>
        <v>0</v>
      </c>
      <c r="C393" s="1">
        <f>IF(B393="", "", "UBERON:gastrointestinal tract")</f>
        <v>0</v>
      </c>
      <c r="D393" s="1">
        <f>IF(B393="", "", "UBERON:feces")</f>
        <v>0</v>
      </c>
      <c r="E393" s="1">
        <f>IF(B393="", "", "UBERON:colon")</f>
        <v>0</v>
      </c>
      <c r="F393" s="1">
        <f>IF(B393="", "", "rat gut metagenome")</f>
        <v>0</v>
      </c>
      <c r="G393" s="1">
        <f>IF(B393="", "", "1436733")</f>
        <v>0</v>
      </c>
    </row>
    <row r="394" spans="1:7">
      <c r="A394">
        <f>IF(COUNTBLANK(B394:G394)&lt;&gt;COLUMNS(B394:G394),393,"")</f>
        <v>0</v>
      </c>
      <c r="C394" s="1">
        <f>IF(B394="", "", "UBERON:gastrointestinal tract")</f>
        <v>0</v>
      </c>
      <c r="D394" s="1">
        <f>IF(B394="", "", "UBERON:feces")</f>
        <v>0</v>
      </c>
      <c r="E394" s="1">
        <f>IF(B394="", "", "UBERON:colon")</f>
        <v>0</v>
      </c>
      <c r="F394" s="1">
        <f>IF(B394="", "", "rat gut metagenome")</f>
        <v>0</v>
      </c>
      <c r="G394" s="1">
        <f>IF(B394="", "", "1436733")</f>
        <v>0</v>
      </c>
    </row>
    <row r="395" spans="1:7">
      <c r="A395">
        <f>IF(COUNTBLANK(B395:G395)&lt;&gt;COLUMNS(B395:G395),394,"")</f>
        <v>0</v>
      </c>
      <c r="C395" s="1">
        <f>IF(B395="", "", "UBERON:gastrointestinal tract")</f>
        <v>0</v>
      </c>
      <c r="D395" s="1">
        <f>IF(B395="", "", "UBERON:feces")</f>
        <v>0</v>
      </c>
      <c r="E395" s="1">
        <f>IF(B395="", "", "UBERON:colon")</f>
        <v>0</v>
      </c>
      <c r="F395" s="1">
        <f>IF(B395="", "", "rat gut metagenome")</f>
        <v>0</v>
      </c>
      <c r="G395" s="1">
        <f>IF(B395="", "", "1436733")</f>
        <v>0</v>
      </c>
    </row>
    <row r="396" spans="1:7">
      <c r="A396">
        <f>IF(COUNTBLANK(B396:G396)&lt;&gt;COLUMNS(B396:G396),395,"")</f>
        <v>0</v>
      </c>
      <c r="C396" s="1">
        <f>IF(B396="", "", "UBERON:gastrointestinal tract")</f>
        <v>0</v>
      </c>
      <c r="D396" s="1">
        <f>IF(B396="", "", "UBERON:feces")</f>
        <v>0</v>
      </c>
      <c r="E396" s="1">
        <f>IF(B396="", "", "UBERON:colon")</f>
        <v>0</v>
      </c>
      <c r="F396" s="1">
        <f>IF(B396="", "", "rat gut metagenome")</f>
        <v>0</v>
      </c>
      <c r="G396" s="1">
        <f>IF(B396="", "", "1436733")</f>
        <v>0</v>
      </c>
    </row>
    <row r="397" spans="1:7">
      <c r="A397">
        <f>IF(COUNTBLANK(B397:G397)&lt;&gt;COLUMNS(B397:G397),396,"")</f>
        <v>0</v>
      </c>
      <c r="C397" s="1">
        <f>IF(B397="", "", "UBERON:gastrointestinal tract")</f>
        <v>0</v>
      </c>
      <c r="D397" s="1">
        <f>IF(B397="", "", "UBERON:feces")</f>
        <v>0</v>
      </c>
      <c r="E397" s="1">
        <f>IF(B397="", "", "UBERON:colon")</f>
        <v>0</v>
      </c>
      <c r="F397" s="1">
        <f>IF(B397="", "", "rat gut metagenome")</f>
        <v>0</v>
      </c>
      <c r="G397" s="1">
        <f>IF(B397="", "", "1436733")</f>
        <v>0</v>
      </c>
    </row>
    <row r="398" spans="1:7">
      <c r="A398">
        <f>IF(COUNTBLANK(B398:G398)&lt;&gt;COLUMNS(B398:G398),397,"")</f>
        <v>0</v>
      </c>
      <c r="C398" s="1">
        <f>IF(B398="", "", "UBERON:gastrointestinal tract")</f>
        <v>0</v>
      </c>
      <c r="D398" s="1">
        <f>IF(B398="", "", "UBERON:feces")</f>
        <v>0</v>
      </c>
      <c r="E398" s="1">
        <f>IF(B398="", "", "UBERON:colon")</f>
        <v>0</v>
      </c>
      <c r="F398" s="1">
        <f>IF(B398="", "", "rat gut metagenome")</f>
        <v>0</v>
      </c>
      <c r="G398" s="1">
        <f>IF(B398="", "", "1436733")</f>
        <v>0</v>
      </c>
    </row>
    <row r="399" spans="1:7">
      <c r="A399">
        <f>IF(COUNTBLANK(B399:G399)&lt;&gt;COLUMNS(B399:G399),398,"")</f>
        <v>0</v>
      </c>
      <c r="C399" s="1">
        <f>IF(B399="", "", "UBERON:gastrointestinal tract")</f>
        <v>0</v>
      </c>
      <c r="D399" s="1">
        <f>IF(B399="", "", "UBERON:feces")</f>
        <v>0</v>
      </c>
      <c r="E399" s="1">
        <f>IF(B399="", "", "UBERON:colon")</f>
        <v>0</v>
      </c>
      <c r="F399" s="1">
        <f>IF(B399="", "", "rat gut metagenome")</f>
        <v>0</v>
      </c>
      <c r="G399" s="1">
        <f>IF(B399="", "", "1436733")</f>
        <v>0</v>
      </c>
    </row>
    <row r="400" spans="1:7">
      <c r="A400">
        <f>IF(COUNTBLANK(B400:G400)&lt;&gt;COLUMNS(B400:G400),399,"")</f>
        <v>0</v>
      </c>
      <c r="C400" s="1">
        <f>IF(B400="", "", "UBERON:gastrointestinal tract")</f>
        <v>0</v>
      </c>
      <c r="D400" s="1">
        <f>IF(B400="", "", "UBERON:feces")</f>
        <v>0</v>
      </c>
      <c r="E400" s="1">
        <f>IF(B400="", "", "UBERON:colon")</f>
        <v>0</v>
      </c>
      <c r="F400" s="1">
        <f>IF(B400="", "", "rat gut metagenome")</f>
        <v>0</v>
      </c>
      <c r="G400" s="1">
        <f>IF(B400="", "", "1436733")</f>
        <v>0</v>
      </c>
    </row>
    <row r="401" spans="1:7">
      <c r="A401">
        <f>IF(COUNTBLANK(B401:G401)&lt;&gt;COLUMNS(B401:G401),400,"")</f>
        <v>0</v>
      </c>
      <c r="C401" s="1">
        <f>IF(B401="", "", "UBERON:gastrointestinal tract")</f>
        <v>0</v>
      </c>
      <c r="D401" s="1">
        <f>IF(B401="", "", "UBERON:feces")</f>
        <v>0</v>
      </c>
      <c r="E401" s="1">
        <f>IF(B401="", "", "UBERON:colon")</f>
        <v>0</v>
      </c>
      <c r="F401" s="1">
        <f>IF(B401="", "", "rat gut metagenome")</f>
        <v>0</v>
      </c>
      <c r="G401" s="1">
        <f>IF(B401="", "", "1436733")</f>
        <v>0</v>
      </c>
    </row>
    <row r="402" spans="1:7">
      <c r="A402">
        <f>IF(COUNTBLANK(B402:G402)&lt;&gt;COLUMNS(B402:G402),401,"")</f>
        <v>0</v>
      </c>
      <c r="C402" s="1">
        <f>IF(B402="", "", "UBERON:gastrointestinal tract")</f>
        <v>0</v>
      </c>
      <c r="D402" s="1">
        <f>IF(B402="", "", "UBERON:feces")</f>
        <v>0</v>
      </c>
      <c r="E402" s="1">
        <f>IF(B402="", "", "UBERON:colon")</f>
        <v>0</v>
      </c>
      <c r="F402" s="1">
        <f>IF(B402="", "", "rat gut metagenome")</f>
        <v>0</v>
      </c>
      <c r="G402" s="1">
        <f>IF(B402="", "", "1436733")</f>
        <v>0</v>
      </c>
    </row>
    <row r="403" spans="1:7">
      <c r="A403">
        <f>IF(COUNTBLANK(B403:G403)&lt;&gt;COLUMNS(B403:G403),402,"")</f>
        <v>0</v>
      </c>
      <c r="C403" s="1">
        <f>IF(B403="", "", "UBERON:gastrointestinal tract")</f>
        <v>0</v>
      </c>
      <c r="D403" s="1">
        <f>IF(B403="", "", "UBERON:feces")</f>
        <v>0</v>
      </c>
      <c r="E403" s="1">
        <f>IF(B403="", "", "UBERON:colon")</f>
        <v>0</v>
      </c>
      <c r="F403" s="1">
        <f>IF(B403="", "", "rat gut metagenome")</f>
        <v>0</v>
      </c>
      <c r="G403" s="1">
        <f>IF(B403="", "", "1436733")</f>
        <v>0</v>
      </c>
    </row>
    <row r="404" spans="1:7">
      <c r="A404">
        <f>IF(COUNTBLANK(B404:G404)&lt;&gt;COLUMNS(B404:G404),403,"")</f>
        <v>0</v>
      </c>
      <c r="C404" s="1">
        <f>IF(B404="", "", "UBERON:gastrointestinal tract")</f>
        <v>0</v>
      </c>
      <c r="D404" s="1">
        <f>IF(B404="", "", "UBERON:feces")</f>
        <v>0</v>
      </c>
      <c r="E404" s="1">
        <f>IF(B404="", "", "UBERON:colon")</f>
        <v>0</v>
      </c>
      <c r="F404" s="1">
        <f>IF(B404="", "", "rat gut metagenome")</f>
        <v>0</v>
      </c>
      <c r="G404" s="1">
        <f>IF(B404="", "", "1436733")</f>
        <v>0</v>
      </c>
    </row>
    <row r="405" spans="1:7">
      <c r="A405">
        <f>IF(COUNTBLANK(B405:G405)&lt;&gt;COLUMNS(B405:G405),404,"")</f>
        <v>0</v>
      </c>
      <c r="C405" s="1">
        <f>IF(B405="", "", "UBERON:gastrointestinal tract")</f>
        <v>0</v>
      </c>
      <c r="D405" s="1">
        <f>IF(B405="", "", "UBERON:feces")</f>
        <v>0</v>
      </c>
      <c r="E405" s="1">
        <f>IF(B405="", "", "UBERON:colon")</f>
        <v>0</v>
      </c>
      <c r="F405" s="1">
        <f>IF(B405="", "", "rat gut metagenome")</f>
        <v>0</v>
      </c>
      <c r="G405" s="1">
        <f>IF(B405="", "", "1436733")</f>
        <v>0</v>
      </c>
    </row>
    <row r="406" spans="1:7">
      <c r="A406">
        <f>IF(COUNTBLANK(B406:G406)&lt;&gt;COLUMNS(B406:G406),405,"")</f>
        <v>0</v>
      </c>
      <c r="C406" s="1">
        <f>IF(B406="", "", "UBERON:gastrointestinal tract")</f>
        <v>0</v>
      </c>
      <c r="D406" s="1">
        <f>IF(B406="", "", "UBERON:feces")</f>
        <v>0</v>
      </c>
      <c r="E406" s="1">
        <f>IF(B406="", "", "UBERON:colon")</f>
        <v>0</v>
      </c>
      <c r="F406" s="1">
        <f>IF(B406="", "", "rat gut metagenome")</f>
        <v>0</v>
      </c>
      <c r="G406" s="1">
        <f>IF(B406="", "", "1436733")</f>
        <v>0</v>
      </c>
    </row>
    <row r="407" spans="1:7">
      <c r="A407">
        <f>IF(COUNTBLANK(B407:G407)&lt;&gt;COLUMNS(B407:G407),406,"")</f>
        <v>0</v>
      </c>
      <c r="C407" s="1">
        <f>IF(B407="", "", "UBERON:gastrointestinal tract")</f>
        <v>0</v>
      </c>
      <c r="D407" s="1">
        <f>IF(B407="", "", "UBERON:feces")</f>
        <v>0</v>
      </c>
      <c r="E407" s="1">
        <f>IF(B407="", "", "UBERON:colon")</f>
        <v>0</v>
      </c>
      <c r="F407" s="1">
        <f>IF(B407="", "", "rat gut metagenome")</f>
        <v>0</v>
      </c>
      <c r="G407" s="1">
        <f>IF(B407="", "", "1436733")</f>
        <v>0</v>
      </c>
    </row>
    <row r="408" spans="1:7">
      <c r="A408">
        <f>IF(COUNTBLANK(B408:G408)&lt;&gt;COLUMNS(B408:G408),407,"")</f>
        <v>0</v>
      </c>
      <c r="C408" s="1">
        <f>IF(B408="", "", "UBERON:gastrointestinal tract")</f>
        <v>0</v>
      </c>
      <c r="D408" s="1">
        <f>IF(B408="", "", "UBERON:feces")</f>
        <v>0</v>
      </c>
      <c r="E408" s="1">
        <f>IF(B408="", "", "UBERON:colon")</f>
        <v>0</v>
      </c>
      <c r="F408" s="1">
        <f>IF(B408="", "", "rat gut metagenome")</f>
        <v>0</v>
      </c>
      <c r="G408" s="1">
        <f>IF(B408="", "", "1436733")</f>
        <v>0</v>
      </c>
    </row>
    <row r="409" spans="1:7">
      <c r="A409">
        <f>IF(COUNTBLANK(B409:G409)&lt;&gt;COLUMNS(B409:G409),408,"")</f>
        <v>0</v>
      </c>
      <c r="C409" s="1">
        <f>IF(B409="", "", "UBERON:gastrointestinal tract")</f>
        <v>0</v>
      </c>
      <c r="D409" s="1">
        <f>IF(B409="", "", "UBERON:feces")</f>
        <v>0</v>
      </c>
      <c r="E409" s="1">
        <f>IF(B409="", "", "UBERON:colon")</f>
        <v>0</v>
      </c>
      <c r="F409" s="1">
        <f>IF(B409="", "", "rat gut metagenome")</f>
        <v>0</v>
      </c>
      <c r="G409" s="1">
        <f>IF(B409="", "", "1436733")</f>
        <v>0</v>
      </c>
    </row>
    <row r="410" spans="1:7">
      <c r="A410">
        <f>IF(COUNTBLANK(B410:G410)&lt;&gt;COLUMNS(B410:G410),409,"")</f>
        <v>0</v>
      </c>
      <c r="C410" s="1">
        <f>IF(B410="", "", "UBERON:gastrointestinal tract")</f>
        <v>0</v>
      </c>
      <c r="D410" s="1">
        <f>IF(B410="", "", "UBERON:feces")</f>
        <v>0</v>
      </c>
      <c r="E410" s="1">
        <f>IF(B410="", "", "UBERON:colon")</f>
        <v>0</v>
      </c>
      <c r="F410" s="1">
        <f>IF(B410="", "", "rat gut metagenome")</f>
        <v>0</v>
      </c>
      <c r="G410" s="1">
        <f>IF(B410="", "", "1436733")</f>
        <v>0</v>
      </c>
    </row>
    <row r="411" spans="1:7">
      <c r="A411">
        <f>IF(COUNTBLANK(B411:G411)&lt;&gt;COLUMNS(B411:G411),410,"")</f>
        <v>0</v>
      </c>
      <c r="C411" s="1">
        <f>IF(B411="", "", "UBERON:gastrointestinal tract")</f>
        <v>0</v>
      </c>
      <c r="D411" s="1">
        <f>IF(B411="", "", "UBERON:feces")</f>
        <v>0</v>
      </c>
      <c r="E411" s="1">
        <f>IF(B411="", "", "UBERON:colon")</f>
        <v>0</v>
      </c>
      <c r="F411" s="1">
        <f>IF(B411="", "", "rat gut metagenome")</f>
        <v>0</v>
      </c>
      <c r="G411" s="1">
        <f>IF(B411="", "", "1436733")</f>
        <v>0</v>
      </c>
    </row>
    <row r="412" spans="1:7">
      <c r="A412">
        <f>IF(COUNTBLANK(B412:G412)&lt;&gt;COLUMNS(B412:G412),411,"")</f>
        <v>0</v>
      </c>
      <c r="C412" s="1">
        <f>IF(B412="", "", "UBERON:gastrointestinal tract")</f>
        <v>0</v>
      </c>
      <c r="D412" s="1">
        <f>IF(B412="", "", "UBERON:feces")</f>
        <v>0</v>
      </c>
      <c r="E412" s="1">
        <f>IF(B412="", "", "UBERON:colon")</f>
        <v>0</v>
      </c>
      <c r="F412" s="1">
        <f>IF(B412="", "", "rat gut metagenome")</f>
        <v>0</v>
      </c>
      <c r="G412" s="1">
        <f>IF(B412="", "", "1436733")</f>
        <v>0</v>
      </c>
    </row>
    <row r="413" spans="1:7">
      <c r="A413">
        <f>IF(COUNTBLANK(B413:G413)&lt;&gt;COLUMNS(B413:G413),412,"")</f>
        <v>0</v>
      </c>
      <c r="C413" s="1">
        <f>IF(B413="", "", "UBERON:gastrointestinal tract")</f>
        <v>0</v>
      </c>
      <c r="D413" s="1">
        <f>IF(B413="", "", "UBERON:feces")</f>
        <v>0</v>
      </c>
      <c r="E413" s="1">
        <f>IF(B413="", "", "UBERON:colon")</f>
        <v>0</v>
      </c>
      <c r="F413" s="1">
        <f>IF(B413="", "", "rat gut metagenome")</f>
        <v>0</v>
      </c>
      <c r="G413" s="1">
        <f>IF(B413="", "", "1436733")</f>
        <v>0</v>
      </c>
    </row>
    <row r="414" spans="1:7">
      <c r="A414">
        <f>IF(COUNTBLANK(B414:G414)&lt;&gt;COLUMNS(B414:G414),413,"")</f>
        <v>0</v>
      </c>
      <c r="C414" s="1">
        <f>IF(B414="", "", "UBERON:gastrointestinal tract")</f>
        <v>0</v>
      </c>
      <c r="D414" s="1">
        <f>IF(B414="", "", "UBERON:feces")</f>
        <v>0</v>
      </c>
      <c r="E414" s="1">
        <f>IF(B414="", "", "UBERON:colon")</f>
        <v>0</v>
      </c>
      <c r="F414" s="1">
        <f>IF(B414="", "", "rat gut metagenome")</f>
        <v>0</v>
      </c>
      <c r="G414" s="1">
        <f>IF(B414="", "", "1436733")</f>
        <v>0</v>
      </c>
    </row>
    <row r="415" spans="1:7">
      <c r="A415">
        <f>IF(COUNTBLANK(B415:G415)&lt;&gt;COLUMNS(B415:G415),414,"")</f>
        <v>0</v>
      </c>
      <c r="C415" s="1">
        <f>IF(B415="", "", "UBERON:gastrointestinal tract")</f>
        <v>0</v>
      </c>
      <c r="D415" s="1">
        <f>IF(B415="", "", "UBERON:feces")</f>
        <v>0</v>
      </c>
      <c r="E415" s="1">
        <f>IF(B415="", "", "UBERON:colon")</f>
        <v>0</v>
      </c>
      <c r="F415" s="1">
        <f>IF(B415="", "", "rat gut metagenome")</f>
        <v>0</v>
      </c>
      <c r="G415" s="1">
        <f>IF(B415="", "", "1436733")</f>
        <v>0</v>
      </c>
    </row>
    <row r="416" spans="1:7">
      <c r="A416">
        <f>IF(COUNTBLANK(B416:G416)&lt;&gt;COLUMNS(B416:G416),415,"")</f>
        <v>0</v>
      </c>
      <c r="C416" s="1">
        <f>IF(B416="", "", "UBERON:gastrointestinal tract")</f>
        <v>0</v>
      </c>
      <c r="D416" s="1">
        <f>IF(B416="", "", "UBERON:feces")</f>
        <v>0</v>
      </c>
      <c r="E416" s="1">
        <f>IF(B416="", "", "UBERON:colon")</f>
        <v>0</v>
      </c>
      <c r="F416" s="1">
        <f>IF(B416="", "", "rat gut metagenome")</f>
        <v>0</v>
      </c>
      <c r="G416" s="1">
        <f>IF(B416="", "", "1436733")</f>
        <v>0</v>
      </c>
    </row>
    <row r="417" spans="1:7">
      <c r="A417">
        <f>IF(COUNTBLANK(B417:G417)&lt;&gt;COLUMNS(B417:G417),416,"")</f>
        <v>0</v>
      </c>
      <c r="C417" s="1">
        <f>IF(B417="", "", "UBERON:gastrointestinal tract")</f>
        <v>0</v>
      </c>
      <c r="D417" s="1">
        <f>IF(B417="", "", "UBERON:feces")</f>
        <v>0</v>
      </c>
      <c r="E417" s="1">
        <f>IF(B417="", "", "UBERON:colon")</f>
        <v>0</v>
      </c>
      <c r="F417" s="1">
        <f>IF(B417="", "", "rat gut metagenome")</f>
        <v>0</v>
      </c>
      <c r="G417" s="1">
        <f>IF(B417="", "", "1436733")</f>
        <v>0</v>
      </c>
    </row>
    <row r="418" spans="1:7">
      <c r="A418">
        <f>IF(COUNTBLANK(B418:G418)&lt;&gt;COLUMNS(B418:G418),417,"")</f>
        <v>0</v>
      </c>
      <c r="C418" s="1">
        <f>IF(B418="", "", "UBERON:gastrointestinal tract")</f>
        <v>0</v>
      </c>
      <c r="D418" s="1">
        <f>IF(B418="", "", "UBERON:feces")</f>
        <v>0</v>
      </c>
      <c r="E418" s="1">
        <f>IF(B418="", "", "UBERON:colon")</f>
        <v>0</v>
      </c>
      <c r="F418" s="1">
        <f>IF(B418="", "", "rat gut metagenome")</f>
        <v>0</v>
      </c>
      <c r="G418" s="1">
        <f>IF(B418="", "", "1436733")</f>
        <v>0</v>
      </c>
    </row>
    <row r="419" spans="1:7">
      <c r="A419">
        <f>IF(COUNTBLANK(B419:G419)&lt;&gt;COLUMNS(B419:G419),418,"")</f>
        <v>0</v>
      </c>
      <c r="C419" s="1">
        <f>IF(B419="", "", "UBERON:gastrointestinal tract")</f>
        <v>0</v>
      </c>
      <c r="D419" s="1">
        <f>IF(B419="", "", "UBERON:feces")</f>
        <v>0</v>
      </c>
      <c r="E419" s="1">
        <f>IF(B419="", "", "UBERON:colon")</f>
        <v>0</v>
      </c>
      <c r="F419" s="1">
        <f>IF(B419="", "", "rat gut metagenome")</f>
        <v>0</v>
      </c>
      <c r="G419" s="1">
        <f>IF(B419="", "", "1436733")</f>
        <v>0</v>
      </c>
    </row>
    <row r="420" spans="1:7">
      <c r="A420">
        <f>IF(COUNTBLANK(B420:G420)&lt;&gt;COLUMNS(B420:G420),419,"")</f>
        <v>0</v>
      </c>
      <c r="C420" s="1">
        <f>IF(B420="", "", "UBERON:gastrointestinal tract")</f>
        <v>0</v>
      </c>
      <c r="D420" s="1">
        <f>IF(B420="", "", "UBERON:feces")</f>
        <v>0</v>
      </c>
      <c r="E420" s="1">
        <f>IF(B420="", "", "UBERON:colon")</f>
        <v>0</v>
      </c>
      <c r="F420" s="1">
        <f>IF(B420="", "", "rat gut metagenome")</f>
        <v>0</v>
      </c>
      <c r="G420" s="1">
        <f>IF(B420="", "", "1436733")</f>
        <v>0</v>
      </c>
    </row>
    <row r="421" spans="1:7">
      <c r="A421">
        <f>IF(COUNTBLANK(B421:G421)&lt;&gt;COLUMNS(B421:G421),420,"")</f>
        <v>0</v>
      </c>
      <c r="C421" s="1">
        <f>IF(B421="", "", "UBERON:gastrointestinal tract")</f>
        <v>0</v>
      </c>
      <c r="D421" s="1">
        <f>IF(B421="", "", "UBERON:feces")</f>
        <v>0</v>
      </c>
      <c r="E421" s="1">
        <f>IF(B421="", "", "UBERON:colon")</f>
        <v>0</v>
      </c>
      <c r="F421" s="1">
        <f>IF(B421="", "", "rat gut metagenome")</f>
        <v>0</v>
      </c>
      <c r="G421" s="1">
        <f>IF(B421="", "", "1436733")</f>
        <v>0</v>
      </c>
    </row>
    <row r="422" spans="1:7">
      <c r="A422">
        <f>IF(COUNTBLANK(B422:G422)&lt;&gt;COLUMNS(B422:G422),421,"")</f>
        <v>0</v>
      </c>
      <c r="C422" s="1">
        <f>IF(B422="", "", "UBERON:gastrointestinal tract")</f>
        <v>0</v>
      </c>
      <c r="D422" s="1">
        <f>IF(B422="", "", "UBERON:feces")</f>
        <v>0</v>
      </c>
      <c r="E422" s="1">
        <f>IF(B422="", "", "UBERON:colon")</f>
        <v>0</v>
      </c>
      <c r="F422" s="1">
        <f>IF(B422="", "", "rat gut metagenome")</f>
        <v>0</v>
      </c>
      <c r="G422" s="1">
        <f>IF(B422="", "", "1436733")</f>
        <v>0</v>
      </c>
    </row>
    <row r="423" spans="1:7">
      <c r="A423">
        <f>IF(COUNTBLANK(B423:G423)&lt;&gt;COLUMNS(B423:G423),422,"")</f>
        <v>0</v>
      </c>
      <c r="C423" s="1">
        <f>IF(B423="", "", "UBERON:gastrointestinal tract")</f>
        <v>0</v>
      </c>
      <c r="D423" s="1">
        <f>IF(B423="", "", "UBERON:feces")</f>
        <v>0</v>
      </c>
      <c r="E423" s="1">
        <f>IF(B423="", "", "UBERON:colon")</f>
        <v>0</v>
      </c>
      <c r="F423" s="1">
        <f>IF(B423="", "", "rat gut metagenome")</f>
        <v>0</v>
      </c>
      <c r="G423" s="1">
        <f>IF(B423="", "", "1436733")</f>
        <v>0</v>
      </c>
    </row>
    <row r="424" spans="1:7">
      <c r="A424">
        <f>IF(COUNTBLANK(B424:G424)&lt;&gt;COLUMNS(B424:G424),423,"")</f>
        <v>0</v>
      </c>
      <c r="C424" s="1">
        <f>IF(B424="", "", "UBERON:gastrointestinal tract")</f>
        <v>0</v>
      </c>
      <c r="D424" s="1">
        <f>IF(B424="", "", "UBERON:feces")</f>
        <v>0</v>
      </c>
      <c r="E424" s="1">
        <f>IF(B424="", "", "UBERON:colon")</f>
        <v>0</v>
      </c>
      <c r="F424" s="1">
        <f>IF(B424="", "", "rat gut metagenome")</f>
        <v>0</v>
      </c>
      <c r="G424" s="1">
        <f>IF(B424="", "", "1436733")</f>
        <v>0</v>
      </c>
    </row>
    <row r="425" spans="1:7">
      <c r="A425">
        <f>IF(COUNTBLANK(B425:G425)&lt;&gt;COLUMNS(B425:G425),424,"")</f>
        <v>0</v>
      </c>
      <c r="C425" s="1">
        <f>IF(B425="", "", "UBERON:gastrointestinal tract")</f>
        <v>0</v>
      </c>
      <c r="D425" s="1">
        <f>IF(B425="", "", "UBERON:feces")</f>
        <v>0</v>
      </c>
      <c r="E425" s="1">
        <f>IF(B425="", "", "UBERON:colon")</f>
        <v>0</v>
      </c>
      <c r="F425" s="1">
        <f>IF(B425="", "", "rat gut metagenome")</f>
        <v>0</v>
      </c>
      <c r="G425" s="1">
        <f>IF(B425="", "", "1436733")</f>
        <v>0</v>
      </c>
    </row>
    <row r="426" spans="1:7">
      <c r="A426">
        <f>IF(COUNTBLANK(B426:G426)&lt;&gt;COLUMNS(B426:G426),425,"")</f>
        <v>0</v>
      </c>
      <c r="C426" s="1">
        <f>IF(B426="", "", "UBERON:gastrointestinal tract")</f>
        <v>0</v>
      </c>
      <c r="D426" s="1">
        <f>IF(B426="", "", "UBERON:feces")</f>
        <v>0</v>
      </c>
      <c r="E426" s="1">
        <f>IF(B426="", "", "UBERON:colon")</f>
        <v>0</v>
      </c>
      <c r="F426" s="1">
        <f>IF(B426="", "", "rat gut metagenome")</f>
        <v>0</v>
      </c>
      <c r="G426" s="1">
        <f>IF(B426="", "", "1436733")</f>
        <v>0</v>
      </c>
    </row>
    <row r="427" spans="1:7">
      <c r="A427">
        <f>IF(COUNTBLANK(B427:G427)&lt;&gt;COLUMNS(B427:G427),426,"")</f>
        <v>0</v>
      </c>
      <c r="C427" s="1">
        <f>IF(B427="", "", "UBERON:gastrointestinal tract")</f>
        <v>0</v>
      </c>
      <c r="D427" s="1">
        <f>IF(B427="", "", "UBERON:feces")</f>
        <v>0</v>
      </c>
      <c r="E427" s="1">
        <f>IF(B427="", "", "UBERON:colon")</f>
        <v>0</v>
      </c>
      <c r="F427" s="1">
        <f>IF(B427="", "", "rat gut metagenome")</f>
        <v>0</v>
      </c>
      <c r="G427" s="1">
        <f>IF(B427="", "", "1436733")</f>
        <v>0</v>
      </c>
    </row>
    <row r="428" spans="1:7">
      <c r="A428">
        <f>IF(COUNTBLANK(B428:G428)&lt;&gt;COLUMNS(B428:G428),427,"")</f>
        <v>0</v>
      </c>
      <c r="C428" s="1">
        <f>IF(B428="", "", "UBERON:gastrointestinal tract")</f>
        <v>0</v>
      </c>
      <c r="D428" s="1">
        <f>IF(B428="", "", "UBERON:feces")</f>
        <v>0</v>
      </c>
      <c r="E428" s="1">
        <f>IF(B428="", "", "UBERON:colon")</f>
        <v>0</v>
      </c>
      <c r="F428" s="1">
        <f>IF(B428="", "", "rat gut metagenome")</f>
        <v>0</v>
      </c>
      <c r="G428" s="1">
        <f>IF(B428="", "", "1436733")</f>
        <v>0</v>
      </c>
    </row>
    <row r="429" spans="1:7">
      <c r="A429">
        <f>IF(COUNTBLANK(B429:G429)&lt;&gt;COLUMNS(B429:G429),428,"")</f>
        <v>0</v>
      </c>
      <c r="C429" s="1">
        <f>IF(B429="", "", "UBERON:gastrointestinal tract")</f>
        <v>0</v>
      </c>
      <c r="D429" s="1">
        <f>IF(B429="", "", "UBERON:feces")</f>
        <v>0</v>
      </c>
      <c r="E429" s="1">
        <f>IF(B429="", "", "UBERON:colon")</f>
        <v>0</v>
      </c>
      <c r="F429" s="1">
        <f>IF(B429="", "", "rat gut metagenome")</f>
        <v>0</v>
      </c>
      <c r="G429" s="1">
        <f>IF(B429="", "", "1436733")</f>
        <v>0</v>
      </c>
    </row>
    <row r="430" spans="1:7">
      <c r="A430">
        <f>IF(COUNTBLANK(B430:G430)&lt;&gt;COLUMNS(B430:G430),429,"")</f>
        <v>0</v>
      </c>
      <c r="C430" s="1">
        <f>IF(B430="", "", "UBERON:gastrointestinal tract")</f>
        <v>0</v>
      </c>
      <c r="D430" s="1">
        <f>IF(B430="", "", "UBERON:feces")</f>
        <v>0</v>
      </c>
      <c r="E430" s="1">
        <f>IF(B430="", "", "UBERON:colon")</f>
        <v>0</v>
      </c>
      <c r="F430" s="1">
        <f>IF(B430="", "", "rat gut metagenome")</f>
        <v>0</v>
      </c>
      <c r="G430" s="1">
        <f>IF(B430="", "", "1436733")</f>
        <v>0</v>
      </c>
    </row>
    <row r="431" spans="1:7">
      <c r="A431">
        <f>IF(COUNTBLANK(B431:G431)&lt;&gt;COLUMNS(B431:G431),430,"")</f>
        <v>0</v>
      </c>
      <c r="C431" s="1">
        <f>IF(B431="", "", "UBERON:gastrointestinal tract")</f>
        <v>0</v>
      </c>
      <c r="D431" s="1">
        <f>IF(B431="", "", "UBERON:feces")</f>
        <v>0</v>
      </c>
      <c r="E431" s="1">
        <f>IF(B431="", "", "UBERON:colon")</f>
        <v>0</v>
      </c>
      <c r="F431" s="1">
        <f>IF(B431="", "", "rat gut metagenome")</f>
        <v>0</v>
      </c>
      <c r="G431" s="1">
        <f>IF(B431="", "", "1436733")</f>
        <v>0</v>
      </c>
    </row>
    <row r="432" spans="1:7">
      <c r="A432">
        <f>IF(COUNTBLANK(B432:G432)&lt;&gt;COLUMNS(B432:G432),431,"")</f>
        <v>0</v>
      </c>
      <c r="C432" s="1">
        <f>IF(B432="", "", "UBERON:gastrointestinal tract")</f>
        <v>0</v>
      </c>
      <c r="D432" s="1">
        <f>IF(B432="", "", "UBERON:feces")</f>
        <v>0</v>
      </c>
      <c r="E432" s="1">
        <f>IF(B432="", "", "UBERON:colon")</f>
        <v>0</v>
      </c>
      <c r="F432" s="1">
        <f>IF(B432="", "", "rat gut metagenome")</f>
        <v>0</v>
      </c>
      <c r="G432" s="1">
        <f>IF(B432="", "", "1436733")</f>
        <v>0</v>
      </c>
    </row>
    <row r="433" spans="1:7">
      <c r="A433">
        <f>IF(COUNTBLANK(B433:G433)&lt;&gt;COLUMNS(B433:G433),432,"")</f>
        <v>0</v>
      </c>
      <c r="C433" s="1">
        <f>IF(B433="", "", "UBERON:gastrointestinal tract")</f>
        <v>0</v>
      </c>
      <c r="D433" s="1">
        <f>IF(B433="", "", "UBERON:feces")</f>
        <v>0</v>
      </c>
      <c r="E433" s="1">
        <f>IF(B433="", "", "UBERON:colon")</f>
        <v>0</v>
      </c>
      <c r="F433" s="1">
        <f>IF(B433="", "", "rat gut metagenome")</f>
        <v>0</v>
      </c>
      <c r="G433" s="1">
        <f>IF(B433="", "", "1436733")</f>
        <v>0</v>
      </c>
    </row>
    <row r="434" spans="1:7">
      <c r="A434">
        <f>IF(COUNTBLANK(B434:G434)&lt;&gt;COLUMNS(B434:G434),433,"")</f>
        <v>0</v>
      </c>
      <c r="C434" s="1">
        <f>IF(B434="", "", "UBERON:gastrointestinal tract")</f>
        <v>0</v>
      </c>
      <c r="D434" s="1">
        <f>IF(B434="", "", "UBERON:feces")</f>
        <v>0</v>
      </c>
      <c r="E434" s="1">
        <f>IF(B434="", "", "UBERON:colon")</f>
        <v>0</v>
      </c>
      <c r="F434" s="1">
        <f>IF(B434="", "", "rat gut metagenome")</f>
        <v>0</v>
      </c>
      <c r="G434" s="1">
        <f>IF(B434="", "", "1436733")</f>
        <v>0</v>
      </c>
    </row>
    <row r="435" spans="1:7">
      <c r="A435">
        <f>IF(COUNTBLANK(B435:G435)&lt;&gt;COLUMNS(B435:G435),434,"")</f>
        <v>0</v>
      </c>
      <c r="C435" s="1">
        <f>IF(B435="", "", "UBERON:gastrointestinal tract")</f>
        <v>0</v>
      </c>
      <c r="D435" s="1">
        <f>IF(B435="", "", "UBERON:feces")</f>
        <v>0</v>
      </c>
      <c r="E435" s="1">
        <f>IF(B435="", "", "UBERON:colon")</f>
        <v>0</v>
      </c>
      <c r="F435" s="1">
        <f>IF(B435="", "", "rat gut metagenome")</f>
        <v>0</v>
      </c>
      <c r="G435" s="1">
        <f>IF(B435="", "", "1436733")</f>
        <v>0</v>
      </c>
    </row>
    <row r="436" spans="1:7">
      <c r="A436">
        <f>IF(COUNTBLANK(B436:G436)&lt;&gt;COLUMNS(B436:G436),435,"")</f>
        <v>0</v>
      </c>
      <c r="C436" s="1">
        <f>IF(B436="", "", "UBERON:gastrointestinal tract")</f>
        <v>0</v>
      </c>
      <c r="D436" s="1">
        <f>IF(B436="", "", "UBERON:feces")</f>
        <v>0</v>
      </c>
      <c r="E436" s="1">
        <f>IF(B436="", "", "UBERON:colon")</f>
        <v>0</v>
      </c>
      <c r="F436" s="1">
        <f>IF(B436="", "", "rat gut metagenome")</f>
        <v>0</v>
      </c>
      <c r="G436" s="1">
        <f>IF(B436="", "", "1436733")</f>
        <v>0</v>
      </c>
    </row>
    <row r="437" spans="1:7">
      <c r="A437">
        <f>IF(COUNTBLANK(B437:G437)&lt;&gt;COLUMNS(B437:G437),436,"")</f>
        <v>0</v>
      </c>
      <c r="C437" s="1">
        <f>IF(B437="", "", "UBERON:gastrointestinal tract")</f>
        <v>0</v>
      </c>
      <c r="D437" s="1">
        <f>IF(B437="", "", "UBERON:feces")</f>
        <v>0</v>
      </c>
      <c r="E437" s="1">
        <f>IF(B437="", "", "UBERON:colon")</f>
        <v>0</v>
      </c>
      <c r="F437" s="1">
        <f>IF(B437="", "", "rat gut metagenome")</f>
        <v>0</v>
      </c>
      <c r="G437" s="1">
        <f>IF(B437="", "", "1436733")</f>
        <v>0</v>
      </c>
    </row>
    <row r="438" spans="1:7">
      <c r="A438">
        <f>IF(COUNTBLANK(B438:G438)&lt;&gt;COLUMNS(B438:G438),437,"")</f>
        <v>0</v>
      </c>
      <c r="C438" s="1">
        <f>IF(B438="", "", "UBERON:gastrointestinal tract")</f>
        <v>0</v>
      </c>
      <c r="D438" s="1">
        <f>IF(B438="", "", "UBERON:feces")</f>
        <v>0</v>
      </c>
      <c r="E438" s="1">
        <f>IF(B438="", "", "UBERON:colon")</f>
        <v>0</v>
      </c>
      <c r="F438" s="1">
        <f>IF(B438="", "", "rat gut metagenome")</f>
        <v>0</v>
      </c>
      <c r="G438" s="1">
        <f>IF(B438="", "", "1436733")</f>
        <v>0</v>
      </c>
    </row>
    <row r="439" spans="1:7">
      <c r="A439">
        <f>IF(COUNTBLANK(B439:G439)&lt;&gt;COLUMNS(B439:G439),438,"")</f>
        <v>0</v>
      </c>
      <c r="C439" s="1">
        <f>IF(B439="", "", "UBERON:gastrointestinal tract")</f>
        <v>0</v>
      </c>
      <c r="D439" s="1">
        <f>IF(B439="", "", "UBERON:feces")</f>
        <v>0</v>
      </c>
      <c r="E439" s="1">
        <f>IF(B439="", "", "UBERON:colon")</f>
        <v>0</v>
      </c>
      <c r="F439" s="1">
        <f>IF(B439="", "", "rat gut metagenome")</f>
        <v>0</v>
      </c>
      <c r="G439" s="1">
        <f>IF(B439="", "", "1436733")</f>
        <v>0</v>
      </c>
    </row>
    <row r="440" spans="1:7">
      <c r="A440">
        <f>IF(COUNTBLANK(B440:G440)&lt;&gt;COLUMNS(B440:G440),439,"")</f>
        <v>0</v>
      </c>
      <c r="C440" s="1">
        <f>IF(B440="", "", "UBERON:gastrointestinal tract")</f>
        <v>0</v>
      </c>
      <c r="D440" s="1">
        <f>IF(B440="", "", "UBERON:feces")</f>
        <v>0</v>
      </c>
      <c r="E440" s="1">
        <f>IF(B440="", "", "UBERON:colon")</f>
        <v>0</v>
      </c>
      <c r="F440" s="1">
        <f>IF(B440="", "", "rat gut metagenome")</f>
        <v>0</v>
      </c>
      <c r="G440" s="1">
        <f>IF(B440="", "", "1436733")</f>
        <v>0</v>
      </c>
    </row>
    <row r="441" spans="1:7">
      <c r="A441">
        <f>IF(COUNTBLANK(B441:G441)&lt;&gt;COLUMNS(B441:G441),440,"")</f>
        <v>0</v>
      </c>
      <c r="C441" s="1">
        <f>IF(B441="", "", "UBERON:gastrointestinal tract")</f>
        <v>0</v>
      </c>
      <c r="D441" s="1">
        <f>IF(B441="", "", "UBERON:feces")</f>
        <v>0</v>
      </c>
      <c r="E441" s="1">
        <f>IF(B441="", "", "UBERON:colon")</f>
        <v>0</v>
      </c>
      <c r="F441" s="1">
        <f>IF(B441="", "", "rat gut metagenome")</f>
        <v>0</v>
      </c>
      <c r="G441" s="1">
        <f>IF(B441="", "", "1436733")</f>
        <v>0</v>
      </c>
    </row>
    <row r="442" spans="1:7">
      <c r="A442">
        <f>IF(COUNTBLANK(B442:G442)&lt;&gt;COLUMNS(B442:G442),441,"")</f>
        <v>0</v>
      </c>
      <c r="C442" s="1">
        <f>IF(B442="", "", "UBERON:gastrointestinal tract")</f>
        <v>0</v>
      </c>
      <c r="D442" s="1">
        <f>IF(B442="", "", "UBERON:feces")</f>
        <v>0</v>
      </c>
      <c r="E442" s="1">
        <f>IF(B442="", "", "UBERON:colon")</f>
        <v>0</v>
      </c>
      <c r="F442" s="1">
        <f>IF(B442="", "", "rat gut metagenome")</f>
        <v>0</v>
      </c>
      <c r="G442" s="1">
        <f>IF(B442="", "", "1436733")</f>
        <v>0</v>
      </c>
    </row>
    <row r="443" spans="1:7">
      <c r="A443">
        <f>IF(COUNTBLANK(B443:G443)&lt;&gt;COLUMNS(B443:G443),442,"")</f>
        <v>0</v>
      </c>
      <c r="C443" s="1">
        <f>IF(B443="", "", "UBERON:gastrointestinal tract")</f>
        <v>0</v>
      </c>
      <c r="D443" s="1">
        <f>IF(B443="", "", "UBERON:feces")</f>
        <v>0</v>
      </c>
      <c r="E443" s="1">
        <f>IF(B443="", "", "UBERON:colon")</f>
        <v>0</v>
      </c>
      <c r="F443" s="1">
        <f>IF(B443="", "", "rat gut metagenome")</f>
        <v>0</v>
      </c>
      <c r="G443" s="1">
        <f>IF(B443="", "", "1436733")</f>
        <v>0</v>
      </c>
    </row>
    <row r="444" spans="1:7">
      <c r="A444">
        <f>IF(COUNTBLANK(B444:G444)&lt;&gt;COLUMNS(B444:G444),443,"")</f>
        <v>0</v>
      </c>
      <c r="C444" s="1">
        <f>IF(B444="", "", "UBERON:gastrointestinal tract")</f>
        <v>0</v>
      </c>
      <c r="D444" s="1">
        <f>IF(B444="", "", "UBERON:feces")</f>
        <v>0</v>
      </c>
      <c r="E444" s="1">
        <f>IF(B444="", "", "UBERON:colon")</f>
        <v>0</v>
      </c>
      <c r="F444" s="1">
        <f>IF(B444="", "", "rat gut metagenome")</f>
        <v>0</v>
      </c>
      <c r="G444" s="1">
        <f>IF(B444="", "", "1436733")</f>
        <v>0</v>
      </c>
    </row>
    <row r="445" spans="1:7">
      <c r="A445">
        <f>IF(COUNTBLANK(B445:G445)&lt;&gt;COLUMNS(B445:G445),444,"")</f>
        <v>0</v>
      </c>
      <c r="C445" s="1">
        <f>IF(B445="", "", "UBERON:gastrointestinal tract")</f>
        <v>0</v>
      </c>
      <c r="D445" s="1">
        <f>IF(B445="", "", "UBERON:feces")</f>
        <v>0</v>
      </c>
      <c r="E445" s="1">
        <f>IF(B445="", "", "UBERON:colon")</f>
        <v>0</v>
      </c>
      <c r="F445" s="1">
        <f>IF(B445="", "", "rat gut metagenome")</f>
        <v>0</v>
      </c>
      <c r="G445" s="1">
        <f>IF(B445="", "", "1436733")</f>
        <v>0</v>
      </c>
    </row>
    <row r="446" spans="1:7">
      <c r="A446">
        <f>IF(COUNTBLANK(B446:G446)&lt;&gt;COLUMNS(B446:G446),445,"")</f>
        <v>0</v>
      </c>
      <c r="C446" s="1">
        <f>IF(B446="", "", "UBERON:gastrointestinal tract")</f>
        <v>0</v>
      </c>
      <c r="D446" s="1">
        <f>IF(B446="", "", "UBERON:feces")</f>
        <v>0</v>
      </c>
      <c r="E446" s="1">
        <f>IF(B446="", "", "UBERON:colon")</f>
        <v>0</v>
      </c>
      <c r="F446" s="1">
        <f>IF(B446="", "", "rat gut metagenome")</f>
        <v>0</v>
      </c>
      <c r="G446" s="1">
        <f>IF(B446="", "", "1436733")</f>
        <v>0</v>
      </c>
    </row>
    <row r="447" spans="1:7">
      <c r="A447">
        <f>IF(COUNTBLANK(B447:G447)&lt;&gt;COLUMNS(B447:G447),446,"")</f>
        <v>0</v>
      </c>
      <c r="C447" s="1">
        <f>IF(B447="", "", "UBERON:gastrointestinal tract")</f>
        <v>0</v>
      </c>
      <c r="D447" s="1">
        <f>IF(B447="", "", "UBERON:feces")</f>
        <v>0</v>
      </c>
      <c r="E447" s="1">
        <f>IF(B447="", "", "UBERON:colon")</f>
        <v>0</v>
      </c>
      <c r="F447" s="1">
        <f>IF(B447="", "", "rat gut metagenome")</f>
        <v>0</v>
      </c>
      <c r="G447" s="1">
        <f>IF(B447="", "", "1436733")</f>
        <v>0</v>
      </c>
    </row>
    <row r="448" spans="1:7">
      <c r="A448">
        <f>IF(COUNTBLANK(B448:G448)&lt;&gt;COLUMNS(B448:G448),447,"")</f>
        <v>0</v>
      </c>
      <c r="C448" s="1">
        <f>IF(B448="", "", "UBERON:gastrointestinal tract")</f>
        <v>0</v>
      </c>
      <c r="D448" s="1">
        <f>IF(B448="", "", "UBERON:feces")</f>
        <v>0</v>
      </c>
      <c r="E448" s="1">
        <f>IF(B448="", "", "UBERON:colon")</f>
        <v>0</v>
      </c>
      <c r="F448" s="1">
        <f>IF(B448="", "", "rat gut metagenome")</f>
        <v>0</v>
      </c>
      <c r="G448" s="1">
        <f>IF(B448="", "", "1436733")</f>
        <v>0</v>
      </c>
    </row>
    <row r="449" spans="1:7">
      <c r="A449">
        <f>IF(COUNTBLANK(B449:G449)&lt;&gt;COLUMNS(B449:G449),448,"")</f>
        <v>0</v>
      </c>
      <c r="C449" s="1">
        <f>IF(B449="", "", "UBERON:gastrointestinal tract")</f>
        <v>0</v>
      </c>
      <c r="D449" s="1">
        <f>IF(B449="", "", "UBERON:feces")</f>
        <v>0</v>
      </c>
      <c r="E449" s="1">
        <f>IF(B449="", "", "UBERON:colon")</f>
        <v>0</v>
      </c>
      <c r="F449" s="1">
        <f>IF(B449="", "", "rat gut metagenome")</f>
        <v>0</v>
      </c>
      <c r="G449" s="1">
        <f>IF(B449="", "", "1436733")</f>
        <v>0</v>
      </c>
    </row>
    <row r="450" spans="1:7">
      <c r="A450">
        <f>IF(COUNTBLANK(B450:G450)&lt;&gt;COLUMNS(B450:G450),449,"")</f>
        <v>0</v>
      </c>
      <c r="C450" s="1">
        <f>IF(B450="", "", "UBERON:gastrointestinal tract")</f>
        <v>0</v>
      </c>
      <c r="D450" s="1">
        <f>IF(B450="", "", "UBERON:feces")</f>
        <v>0</v>
      </c>
      <c r="E450" s="1">
        <f>IF(B450="", "", "UBERON:colon")</f>
        <v>0</v>
      </c>
      <c r="F450" s="1">
        <f>IF(B450="", "", "rat gut metagenome")</f>
        <v>0</v>
      </c>
      <c r="G450" s="1">
        <f>IF(B450="", "", "1436733")</f>
        <v>0</v>
      </c>
    </row>
    <row r="451" spans="1:7">
      <c r="A451">
        <f>IF(COUNTBLANK(B451:G451)&lt;&gt;COLUMNS(B451:G451),450,"")</f>
        <v>0</v>
      </c>
      <c r="C451" s="1">
        <f>IF(B451="", "", "UBERON:gastrointestinal tract")</f>
        <v>0</v>
      </c>
      <c r="D451" s="1">
        <f>IF(B451="", "", "UBERON:feces")</f>
        <v>0</v>
      </c>
      <c r="E451" s="1">
        <f>IF(B451="", "", "UBERON:colon")</f>
        <v>0</v>
      </c>
      <c r="F451" s="1">
        <f>IF(B451="", "", "rat gut metagenome")</f>
        <v>0</v>
      </c>
      <c r="G451" s="1">
        <f>IF(B451="", "", "1436733")</f>
        <v>0</v>
      </c>
    </row>
    <row r="452" spans="1:7">
      <c r="A452">
        <f>IF(COUNTBLANK(B452:G452)&lt;&gt;COLUMNS(B452:G452),451,"")</f>
        <v>0</v>
      </c>
      <c r="C452" s="1">
        <f>IF(B452="", "", "UBERON:gastrointestinal tract")</f>
        <v>0</v>
      </c>
      <c r="D452" s="1">
        <f>IF(B452="", "", "UBERON:feces")</f>
        <v>0</v>
      </c>
      <c r="E452" s="1">
        <f>IF(B452="", "", "UBERON:colon")</f>
        <v>0</v>
      </c>
      <c r="F452" s="1">
        <f>IF(B452="", "", "rat gut metagenome")</f>
        <v>0</v>
      </c>
      <c r="G452" s="1">
        <f>IF(B452="", "", "1436733")</f>
        <v>0</v>
      </c>
    </row>
    <row r="453" spans="1:7">
      <c r="A453">
        <f>IF(COUNTBLANK(B453:G453)&lt;&gt;COLUMNS(B453:G453),452,"")</f>
        <v>0</v>
      </c>
      <c r="C453" s="1">
        <f>IF(B453="", "", "UBERON:gastrointestinal tract")</f>
        <v>0</v>
      </c>
      <c r="D453" s="1">
        <f>IF(B453="", "", "UBERON:feces")</f>
        <v>0</v>
      </c>
      <c r="E453" s="1">
        <f>IF(B453="", "", "UBERON:colon")</f>
        <v>0</v>
      </c>
      <c r="F453" s="1">
        <f>IF(B453="", "", "rat gut metagenome")</f>
        <v>0</v>
      </c>
      <c r="G453" s="1">
        <f>IF(B453="", "", "1436733")</f>
        <v>0</v>
      </c>
    </row>
    <row r="454" spans="1:7">
      <c r="A454">
        <f>IF(COUNTBLANK(B454:G454)&lt;&gt;COLUMNS(B454:G454),453,"")</f>
        <v>0</v>
      </c>
      <c r="C454" s="1">
        <f>IF(B454="", "", "UBERON:gastrointestinal tract")</f>
        <v>0</v>
      </c>
      <c r="D454" s="1">
        <f>IF(B454="", "", "UBERON:feces")</f>
        <v>0</v>
      </c>
      <c r="E454" s="1">
        <f>IF(B454="", "", "UBERON:colon")</f>
        <v>0</v>
      </c>
      <c r="F454" s="1">
        <f>IF(B454="", "", "rat gut metagenome")</f>
        <v>0</v>
      </c>
      <c r="G454" s="1">
        <f>IF(B454="", "", "1436733")</f>
        <v>0</v>
      </c>
    </row>
    <row r="455" spans="1:7">
      <c r="A455">
        <f>IF(COUNTBLANK(B455:G455)&lt;&gt;COLUMNS(B455:G455),454,"")</f>
        <v>0</v>
      </c>
      <c r="C455" s="1">
        <f>IF(B455="", "", "UBERON:gastrointestinal tract")</f>
        <v>0</v>
      </c>
      <c r="D455" s="1">
        <f>IF(B455="", "", "UBERON:feces")</f>
        <v>0</v>
      </c>
      <c r="E455" s="1">
        <f>IF(B455="", "", "UBERON:colon")</f>
        <v>0</v>
      </c>
      <c r="F455" s="1">
        <f>IF(B455="", "", "rat gut metagenome")</f>
        <v>0</v>
      </c>
      <c r="G455" s="1">
        <f>IF(B455="", "", "1436733")</f>
        <v>0</v>
      </c>
    </row>
    <row r="456" spans="1:7">
      <c r="A456">
        <f>IF(COUNTBLANK(B456:G456)&lt;&gt;COLUMNS(B456:G456),455,"")</f>
        <v>0</v>
      </c>
      <c r="C456" s="1">
        <f>IF(B456="", "", "UBERON:gastrointestinal tract")</f>
        <v>0</v>
      </c>
      <c r="D456" s="1">
        <f>IF(B456="", "", "UBERON:feces")</f>
        <v>0</v>
      </c>
      <c r="E456" s="1">
        <f>IF(B456="", "", "UBERON:colon")</f>
        <v>0</v>
      </c>
      <c r="F456" s="1">
        <f>IF(B456="", "", "rat gut metagenome")</f>
        <v>0</v>
      </c>
      <c r="G456" s="1">
        <f>IF(B456="", "", "1436733")</f>
        <v>0</v>
      </c>
    </row>
    <row r="457" spans="1:7">
      <c r="A457">
        <f>IF(COUNTBLANK(B457:G457)&lt;&gt;COLUMNS(B457:G457),456,"")</f>
        <v>0</v>
      </c>
      <c r="C457" s="1">
        <f>IF(B457="", "", "UBERON:gastrointestinal tract")</f>
        <v>0</v>
      </c>
      <c r="D457" s="1">
        <f>IF(B457="", "", "UBERON:feces")</f>
        <v>0</v>
      </c>
      <c r="E457" s="1">
        <f>IF(B457="", "", "UBERON:colon")</f>
        <v>0</v>
      </c>
      <c r="F457" s="1">
        <f>IF(B457="", "", "rat gut metagenome")</f>
        <v>0</v>
      </c>
      <c r="G457" s="1">
        <f>IF(B457="", "", "1436733")</f>
        <v>0</v>
      </c>
    </row>
    <row r="458" spans="1:7">
      <c r="A458">
        <f>IF(COUNTBLANK(B458:G458)&lt;&gt;COLUMNS(B458:G458),457,"")</f>
        <v>0</v>
      </c>
      <c r="C458" s="1">
        <f>IF(B458="", "", "UBERON:gastrointestinal tract")</f>
        <v>0</v>
      </c>
      <c r="D458" s="1">
        <f>IF(B458="", "", "UBERON:feces")</f>
        <v>0</v>
      </c>
      <c r="E458" s="1">
        <f>IF(B458="", "", "UBERON:colon")</f>
        <v>0</v>
      </c>
      <c r="F458" s="1">
        <f>IF(B458="", "", "rat gut metagenome")</f>
        <v>0</v>
      </c>
      <c r="G458" s="1">
        <f>IF(B458="", "", "1436733")</f>
        <v>0</v>
      </c>
    </row>
    <row r="459" spans="1:7">
      <c r="A459">
        <f>IF(COUNTBLANK(B459:G459)&lt;&gt;COLUMNS(B459:G459),458,"")</f>
        <v>0</v>
      </c>
      <c r="C459" s="1">
        <f>IF(B459="", "", "UBERON:gastrointestinal tract")</f>
        <v>0</v>
      </c>
      <c r="D459" s="1">
        <f>IF(B459="", "", "UBERON:feces")</f>
        <v>0</v>
      </c>
      <c r="E459" s="1">
        <f>IF(B459="", "", "UBERON:colon")</f>
        <v>0</v>
      </c>
      <c r="F459" s="1">
        <f>IF(B459="", "", "rat gut metagenome")</f>
        <v>0</v>
      </c>
      <c r="G459" s="1">
        <f>IF(B459="", "", "1436733")</f>
        <v>0</v>
      </c>
    </row>
    <row r="460" spans="1:7">
      <c r="A460">
        <f>IF(COUNTBLANK(B460:G460)&lt;&gt;COLUMNS(B460:G460),459,"")</f>
        <v>0</v>
      </c>
      <c r="C460" s="1">
        <f>IF(B460="", "", "UBERON:gastrointestinal tract")</f>
        <v>0</v>
      </c>
      <c r="D460" s="1">
        <f>IF(B460="", "", "UBERON:feces")</f>
        <v>0</v>
      </c>
      <c r="E460" s="1">
        <f>IF(B460="", "", "UBERON:colon")</f>
        <v>0</v>
      </c>
      <c r="F460" s="1">
        <f>IF(B460="", "", "rat gut metagenome")</f>
        <v>0</v>
      </c>
      <c r="G460" s="1">
        <f>IF(B460="", "", "1436733")</f>
        <v>0</v>
      </c>
    </row>
    <row r="461" spans="1:7">
      <c r="A461">
        <f>IF(COUNTBLANK(B461:G461)&lt;&gt;COLUMNS(B461:G461),460,"")</f>
        <v>0</v>
      </c>
      <c r="C461" s="1">
        <f>IF(B461="", "", "UBERON:gastrointestinal tract")</f>
        <v>0</v>
      </c>
      <c r="D461" s="1">
        <f>IF(B461="", "", "UBERON:feces")</f>
        <v>0</v>
      </c>
      <c r="E461" s="1">
        <f>IF(B461="", "", "UBERON:colon")</f>
        <v>0</v>
      </c>
      <c r="F461" s="1">
        <f>IF(B461="", "", "rat gut metagenome")</f>
        <v>0</v>
      </c>
      <c r="G461" s="1">
        <f>IF(B461="", "", "1436733")</f>
        <v>0</v>
      </c>
    </row>
    <row r="462" spans="1:7">
      <c r="A462">
        <f>IF(COUNTBLANK(B462:G462)&lt;&gt;COLUMNS(B462:G462),461,"")</f>
        <v>0</v>
      </c>
      <c r="C462" s="1">
        <f>IF(B462="", "", "UBERON:gastrointestinal tract")</f>
        <v>0</v>
      </c>
      <c r="D462" s="1">
        <f>IF(B462="", "", "UBERON:feces")</f>
        <v>0</v>
      </c>
      <c r="E462" s="1">
        <f>IF(B462="", "", "UBERON:colon")</f>
        <v>0</v>
      </c>
      <c r="F462" s="1">
        <f>IF(B462="", "", "rat gut metagenome")</f>
        <v>0</v>
      </c>
      <c r="G462" s="1">
        <f>IF(B462="", "", "1436733")</f>
        <v>0</v>
      </c>
    </row>
    <row r="463" spans="1:7">
      <c r="A463">
        <f>IF(COUNTBLANK(B463:G463)&lt;&gt;COLUMNS(B463:G463),462,"")</f>
        <v>0</v>
      </c>
      <c r="C463" s="1">
        <f>IF(B463="", "", "UBERON:gastrointestinal tract")</f>
        <v>0</v>
      </c>
      <c r="D463" s="1">
        <f>IF(B463="", "", "UBERON:feces")</f>
        <v>0</v>
      </c>
      <c r="E463" s="1">
        <f>IF(B463="", "", "UBERON:colon")</f>
        <v>0</v>
      </c>
      <c r="F463" s="1">
        <f>IF(B463="", "", "rat gut metagenome")</f>
        <v>0</v>
      </c>
      <c r="G463" s="1">
        <f>IF(B463="", "", "1436733")</f>
        <v>0</v>
      </c>
    </row>
    <row r="464" spans="1:7">
      <c r="A464">
        <f>IF(COUNTBLANK(B464:G464)&lt;&gt;COLUMNS(B464:G464),463,"")</f>
        <v>0</v>
      </c>
      <c r="C464" s="1">
        <f>IF(B464="", "", "UBERON:gastrointestinal tract")</f>
        <v>0</v>
      </c>
      <c r="D464" s="1">
        <f>IF(B464="", "", "UBERON:feces")</f>
        <v>0</v>
      </c>
      <c r="E464" s="1">
        <f>IF(B464="", "", "UBERON:colon")</f>
        <v>0</v>
      </c>
      <c r="F464" s="1">
        <f>IF(B464="", "", "rat gut metagenome")</f>
        <v>0</v>
      </c>
      <c r="G464" s="1">
        <f>IF(B464="", "", "1436733")</f>
        <v>0</v>
      </c>
    </row>
    <row r="465" spans="1:7">
      <c r="A465">
        <f>IF(COUNTBLANK(B465:G465)&lt;&gt;COLUMNS(B465:G465),464,"")</f>
        <v>0</v>
      </c>
      <c r="C465" s="1">
        <f>IF(B465="", "", "UBERON:gastrointestinal tract")</f>
        <v>0</v>
      </c>
      <c r="D465" s="1">
        <f>IF(B465="", "", "UBERON:feces")</f>
        <v>0</v>
      </c>
      <c r="E465" s="1">
        <f>IF(B465="", "", "UBERON:colon")</f>
        <v>0</v>
      </c>
      <c r="F465" s="1">
        <f>IF(B465="", "", "rat gut metagenome")</f>
        <v>0</v>
      </c>
      <c r="G465" s="1">
        <f>IF(B465="", "", "1436733")</f>
        <v>0</v>
      </c>
    </row>
    <row r="466" spans="1:7">
      <c r="A466">
        <f>IF(COUNTBLANK(B466:G466)&lt;&gt;COLUMNS(B466:G466),465,"")</f>
        <v>0</v>
      </c>
      <c r="C466" s="1">
        <f>IF(B466="", "", "UBERON:gastrointestinal tract")</f>
        <v>0</v>
      </c>
      <c r="D466" s="1">
        <f>IF(B466="", "", "UBERON:feces")</f>
        <v>0</v>
      </c>
      <c r="E466" s="1">
        <f>IF(B466="", "", "UBERON:colon")</f>
        <v>0</v>
      </c>
      <c r="F466" s="1">
        <f>IF(B466="", "", "rat gut metagenome")</f>
        <v>0</v>
      </c>
      <c r="G466" s="1">
        <f>IF(B466="", "", "1436733")</f>
        <v>0</v>
      </c>
    </row>
    <row r="467" spans="1:7">
      <c r="A467">
        <f>IF(COUNTBLANK(B467:G467)&lt;&gt;COLUMNS(B467:G467),466,"")</f>
        <v>0</v>
      </c>
      <c r="C467" s="1">
        <f>IF(B467="", "", "UBERON:gastrointestinal tract")</f>
        <v>0</v>
      </c>
      <c r="D467" s="1">
        <f>IF(B467="", "", "UBERON:feces")</f>
        <v>0</v>
      </c>
      <c r="E467" s="1">
        <f>IF(B467="", "", "UBERON:colon")</f>
        <v>0</v>
      </c>
      <c r="F467" s="1">
        <f>IF(B467="", "", "rat gut metagenome")</f>
        <v>0</v>
      </c>
      <c r="G467" s="1">
        <f>IF(B467="", "", "1436733")</f>
        <v>0</v>
      </c>
    </row>
    <row r="468" spans="1:7">
      <c r="A468">
        <f>IF(COUNTBLANK(B468:G468)&lt;&gt;COLUMNS(B468:G468),467,"")</f>
        <v>0</v>
      </c>
      <c r="C468" s="1">
        <f>IF(B468="", "", "UBERON:gastrointestinal tract")</f>
        <v>0</v>
      </c>
      <c r="D468" s="1">
        <f>IF(B468="", "", "UBERON:feces")</f>
        <v>0</v>
      </c>
      <c r="E468" s="1">
        <f>IF(B468="", "", "UBERON:colon")</f>
        <v>0</v>
      </c>
      <c r="F468" s="1">
        <f>IF(B468="", "", "rat gut metagenome")</f>
        <v>0</v>
      </c>
      <c r="G468" s="1">
        <f>IF(B468="", "", "1436733")</f>
        <v>0</v>
      </c>
    </row>
    <row r="469" spans="1:7">
      <c r="A469">
        <f>IF(COUNTBLANK(B469:G469)&lt;&gt;COLUMNS(B469:G469),468,"")</f>
        <v>0</v>
      </c>
      <c r="C469" s="1">
        <f>IF(B469="", "", "UBERON:gastrointestinal tract")</f>
        <v>0</v>
      </c>
      <c r="D469" s="1">
        <f>IF(B469="", "", "UBERON:feces")</f>
        <v>0</v>
      </c>
      <c r="E469" s="1">
        <f>IF(B469="", "", "UBERON:colon")</f>
        <v>0</v>
      </c>
      <c r="F469" s="1">
        <f>IF(B469="", "", "rat gut metagenome")</f>
        <v>0</v>
      </c>
      <c r="G469" s="1">
        <f>IF(B469="", "", "1436733")</f>
        <v>0</v>
      </c>
    </row>
    <row r="470" spans="1:7">
      <c r="A470">
        <f>IF(COUNTBLANK(B470:G470)&lt;&gt;COLUMNS(B470:G470),469,"")</f>
        <v>0</v>
      </c>
      <c r="C470" s="1">
        <f>IF(B470="", "", "UBERON:gastrointestinal tract")</f>
        <v>0</v>
      </c>
      <c r="D470" s="1">
        <f>IF(B470="", "", "UBERON:feces")</f>
        <v>0</v>
      </c>
      <c r="E470" s="1">
        <f>IF(B470="", "", "UBERON:colon")</f>
        <v>0</v>
      </c>
      <c r="F470" s="1">
        <f>IF(B470="", "", "rat gut metagenome")</f>
        <v>0</v>
      </c>
      <c r="G470" s="1">
        <f>IF(B470="", "", "1436733")</f>
        <v>0</v>
      </c>
    </row>
    <row r="471" spans="1:7">
      <c r="A471">
        <f>IF(COUNTBLANK(B471:G471)&lt;&gt;COLUMNS(B471:G471),470,"")</f>
        <v>0</v>
      </c>
      <c r="C471" s="1">
        <f>IF(B471="", "", "UBERON:gastrointestinal tract")</f>
        <v>0</v>
      </c>
      <c r="D471" s="1">
        <f>IF(B471="", "", "UBERON:feces")</f>
        <v>0</v>
      </c>
      <c r="E471" s="1">
        <f>IF(B471="", "", "UBERON:colon")</f>
        <v>0</v>
      </c>
      <c r="F471" s="1">
        <f>IF(B471="", "", "rat gut metagenome")</f>
        <v>0</v>
      </c>
      <c r="G471" s="1">
        <f>IF(B471="", "", "1436733")</f>
        <v>0</v>
      </c>
    </row>
    <row r="472" spans="1:7">
      <c r="A472">
        <f>IF(COUNTBLANK(B472:G472)&lt;&gt;COLUMNS(B472:G472),471,"")</f>
        <v>0</v>
      </c>
      <c r="C472" s="1">
        <f>IF(B472="", "", "UBERON:gastrointestinal tract")</f>
        <v>0</v>
      </c>
      <c r="D472" s="1">
        <f>IF(B472="", "", "UBERON:feces")</f>
        <v>0</v>
      </c>
      <c r="E472" s="1">
        <f>IF(B472="", "", "UBERON:colon")</f>
        <v>0</v>
      </c>
      <c r="F472" s="1">
        <f>IF(B472="", "", "rat gut metagenome")</f>
        <v>0</v>
      </c>
      <c r="G472" s="1">
        <f>IF(B472="", "", "1436733")</f>
        <v>0</v>
      </c>
    </row>
    <row r="473" spans="1:7">
      <c r="A473">
        <f>IF(COUNTBLANK(B473:G473)&lt;&gt;COLUMNS(B473:G473),472,"")</f>
        <v>0</v>
      </c>
      <c r="C473" s="1">
        <f>IF(B473="", "", "UBERON:gastrointestinal tract")</f>
        <v>0</v>
      </c>
      <c r="D473" s="1">
        <f>IF(B473="", "", "UBERON:feces")</f>
        <v>0</v>
      </c>
      <c r="E473" s="1">
        <f>IF(B473="", "", "UBERON:colon")</f>
        <v>0</v>
      </c>
      <c r="F473" s="1">
        <f>IF(B473="", "", "rat gut metagenome")</f>
        <v>0</v>
      </c>
      <c r="G473" s="1">
        <f>IF(B473="", "", "1436733")</f>
        <v>0</v>
      </c>
    </row>
    <row r="474" spans="1:7">
      <c r="A474">
        <f>IF(COUNTBLANK(B474:G474)&lt;&gt;COLUMNS(B474:G474),473,"")</f>
        <v>0</v>
      </c>
      <c r="C474" s="1">
        <f>IF(B474="", "", "UBERON:gastrointestinal tract")</f>
        <v>0</v>
      </c>
      <c r="D474" s="1">
        <f>IF(B474="", "", "UBERON:feces")</f>
        <v>0</v>
      </c>
      <c r="E474" s="1">
        <f>IF(B474="", "", "UBERON:colon")</f>
        <v>0</v>
      </c>
      <c r="F474" s="1">
        <f>IF(B474="", "", "rat gut metagenome")</f>
        <v>0</v>
      </c>
      <c r="G474" s="1">
        <f>IF(B474="", "", "1436733")</f>
        <v>0</v>
      </c>
    </row>
    <row r="475" spans="1:7">
      <c r="A475">
        <f>IF(COUNTBLANK(B475:G475)&lt;&gt;COLUMNS(B475:G475),474,"")</f>
        <v>0</v>
      </c>
      <c r="C475" s="1">
        <f>IF(B475="", "", "UBERON:gastrointestinal tract")</f>
        <v>0</v>
      </c>
      <c r="D475" s="1">
        <f>IF(B475="", "", "UBERON:feces")</f>
        <v>0</v>
      </c>
      <c r="E475" s="1">
        <f>IF(B475="", "", "UBERON:colon")</f>
        <v>0</v>
      </c>
      <c r="F475" s="1">
        <f>IF(B475="", "", "rat gut metagenome")</f>
        <v>0</v>
      </c>
      <c r="G475" s="1">
        <f>IF(B475="", "", "1436733")</f>
        <v>0</v>
      </c>
    </row>
    <row r="476" spans="1:7">
      <c r="A476">
        <f>IF(COUNTBLANK(B476:G476)&lt;&gt;COLUMNS(B476:G476),475,"")</f>
        <v>0</v>
      </c>
      <c r="C476" s="1">
        <f>IF(B476="", "", "UBERON:gastrointestinal tract")</f>
        <v>0</v>
      </c>
      <c r="D476" s="1">
        <f>IF(B476="", "", "UBERON:feces")</f>
        <v>0</v>
      </c>
      <c r="E476" s="1">
        <f>IF(B476="", "", "UBERON:colon")</f>
        <v>0</v>
      </c>
      <c r="F476" s="1">
        <f>IF(B476="", "", "rat gut metagenome")</f>
        <v>0</v>
      </c>
      <c r="G476" s="1">
        <f>IF(B476="", "", "1436733")</f>
        <v>0</v>
      </c>
    </row>
    <row r="477" spans="1:7">
      <c r="A477">
        <f>IF(COUNTBLANK(B477:G477)&lt;&gt;COLUMNS(B477:G477),476,"")</f>
        <v>0</v>
      </c>
      <c r="C477" s="1">
        <f>IF(B477="", "", "UBERON:gastrointestinal tract")</f>
        <v>0</v>
      </c>
      <c r="D477" s="1">
        <f>IF(B477="", "", "UBERON:feces")</f>
        <v>0</v>
      </c>
      <c r="E477" s="1">
        <f>IF(B477="", "", "UBERON:colon")</f>
        <v>0</v>
      </c>
      <c r="F477" s="1">
        <f>IF(B477="", "", "rat gut metagenome")</f>
        <v>0</v>
      </c>
      <c r="G477" s="1">
        <f>IF(B477="", "", "1436733")</f>
        <v>0</v>
      </c>
    </row>
    <row r="478" spans="1:7">
      <c r="A478">
        <f>IF(COUNTBLANK(B478:G478)&lt;&gt;COLUMNS(B478:G478),477,"")</f>
        <v>0</v>
      </c>
      <c r="C478" s="1">
        <f>IF(B478="", "", "UBERON:gastrointestinal tract")</f>
        <v>0</v>
      </c>
      <c r="D478" s="1">
        <f>IF(B478="", "", "UBERON:feces")</f>
        <v>0</v>
      </c>
      <c r="E478" s="1">
        <f>IF(B478="", "", "UBERON:colon")</f>
        <v>0</v>
      </c>
      <c r="F478" s="1">
        <f>IF(B478="", "", "rat gut metagenome")</f>
        <v>0</v>
      </c>
      <c r="G478" s="1">
        <f>IF(B478="", "", "1436733")</f>
        <v>0</v>
      </c>
    </row>
    <row r="479" spans="1:7">
      <c r="A479">
        <f>IF(COUNTBLANK(B479:G479)&lt;&gt;COLUMNS(B479:G479),478,"")</f>
        <v>0</v>
      </c>
      <c r="C479" s="1">
        <f>IF(B479="", "", "UBERON:gastrointestinal tract")</f>
        <v>0</v>
      </c>
      <c r="D479" s="1">
        <f>IF(B479="", "", "UBERON:feces")</f>
        <v>0</v>
      </c>
      <c r="E479" s="1">
        <f>IF(B479="", "", "UBERON:colon")</f>
        <v>0</v>
      </c>
      <c r="F479" s="1">
        <f>IF(B479="", "", "rat gut metagenome")</f>
        <v>0</v>
      </c>
      <c r="G479" s="1">
        <f>IF(B479="", "", "1436733")</f>
        <v>0</v>
      </c>
    </row>
    <row r="480" spans="1:7">
      <c r="A480">
        <f>IF(COUNTBLANK(B480:G480)&lt;&gt;COLUMNS(B480:G480),479,"")</f>
        <v>0</v>
      </c>
      <c r="C480" s="1">
        <f>IF(B480="", "", "UBERON:gastrointestinal tract")</f>
        <v>0</v>
      </c>
      <c r="D480" s="1">
        <f>IF(B480="", "", "UBERON:feces")</f>
        <v>0</v>
      </c>
      <c r="E480" s="1">
        <f>IF(B480="", "", "UBERON:colon")</f>
        <v>0</v>
      </c>
      <c r="F480" s="1">
        <f>IF(B480="", "", "rat gut metagenome")</f>
        <v>0</v>
      </c>
      <c r="G480" s="1">
        <f>IF(B480="", "", "1436733")</f>
        <v>0</v>
      </c>
    </row>
    <row r="481" spans="1:7">
      <c r="A481">
        <f>IF(COUNTBLANK(B481:G481)&lt;&gt;COLUMNS(B481:G481),480,"")</f>
        <v>0</v>
      </c>
      <c r="C481" s="1">
        <f>IF(B481="", "", "UBERON:gastrointestinal tract")</f>
        <v>0</v>
      </c>
      <c r="D481" s="1">
        <f>IF(B481="", "", "UBERON:feces")</f>
        <v>0</v>
      </c>
      <c r="E481" s="1">
        <f>IF(B481="", "", "UBERON:colon")</f>
        <v>0</v>
      </c>
      <c r="F481" s="1">
        <f>IF(B481="", "", "rat gut metagenome")</f>
        <v>0</v>
      </c>
      <c r="G481" s="1">
        <f>IF(B481="", "", "1436733")</f>
        <v>0</v>
      </c>
    </row>
    <row r="482" spans="1:7">
      <c r="A482">
        <f>IF(COUNTBLANK(B482:G482)&lt;&gt;COLUMNS(B482:G482),481,"")</f>
        <v>0</v>
      </c>
      <c r="C482" s="1">
        <f>IF(B482="", "", "UBERON:gastrointestinal tract")</f>
        <v>0</v>
      </c>
      <c r="D482" s="1">
        <f>IF(B482="", "", "UBERON:feces")</f>
        <v>0</v>
      </c>
      <c r="E482" s="1">
        <f>IF(B482="", "", "UBERON:colon")</f>
        <v>0</v>
      </c>
      <c r="F482" s="1">
        <f>IF(B482="", "", "rat gut metagenome")</f>
        <v>0</v>
      </c>
      <c r="G482" s="1">
        <f>IF(B482="", "", "1436733")</f>
        <v>0</v>
      </c>
    </row>
    <row r="483" spans="1:7">
      <c r="A483">
        <f>IF(COUNTBLANK(B483:G483)&lt;&gt;COLUMNS(B483:G483),482,"")</f>
        <v>0</v>
      </c>
      <c r="C483" s="1">
        <f>IF(B483="", "", "UBERON:gastrointestinal tract")</f>
        <v>0</v>
      </c>
      <c r="D483" s="1">
        <f>IF(B483="", "", "UBERON:feces")</f>
        <v>0</v>
      </c>
      <c r="E483" s="1">
        <f>IF(B483="", "", "UBERON:colon")</f>
        <v>0</v>
      </c>
      <c r="F483" s="1">
        <f>IF(B483="", "", "rat gut metagenome")</f>
        <v>0</v>
      </c>
      <c r="G483" s="1">
        <f>IF(B483="", "", "1436733")</f>
        <v>0</v>
      </c>
    </row>
    <row r="484" spans="1:7">
      <c r="A484">
        <f>IF(COUNTBLANK(B484:G484)&lt;&gt;COLUMNS(B484:G484),483,"")</f>
        <v>0</v>
      </c>
      <c r="C484" s="1">
        <f>IF(B484="", "", "UBERON:gastrointestinal tract")</f>
        <v>0</v>
      </c>
      <c r="D484" s="1">
        <f>IF(B484="", "", "UBERON:feces")</f>
        <v>0</v>
      </c>
      <c r="E484" s="1">
        <f>IF(B484="", "", "UBERON:colon")</f>
        <v>0</v>
      </c>
      <c r="F484" s="1">
        <f>IF(B484="", "", "rat gut metagenome")</f>
        <v>0</v>
      </c>
      <c r="G484" s="1">
        <f>IF(B484="", "", "1436733")</f>
        <v>0</v>
      </c>
    </row>
    <row r="485" spans="1:7">
      <c r="A485">
        <f>IF(COUNTBLANK(B485:G485)&lt;&gt;COLUMNS(B485:G485),484,"")</f>
        <v>0</v>
      </c>
      <c r="C485" s="1">
        <f>IF(B485="", "", "UBERON:gastrointestinal tract")</f>
        <v>0</v>
      </c>
      <c r="D485" s="1">
        <f>IF(B485="", "", "UBERON:feces")</f>
        <v>0</v>
      </c>
      <c r="E485" s="1">
        <f>IF(B485="", "", "UBERON:colon")</f>
        <v>0</v>
      </c>
      <c r="F485" s="1">
        <f>IF(B485="", "", "rat gut metagenome")</f>
        <v>0</v>
      </c>
      <c r="G485" s="1">
        <f>IF(B485="", "", "1436733")</f>
        <v>0</v>
      </c>
    </row>
    <row r="486" spans="1:7">
      <c r="A486">
        <f>IF(COUNTBLANK(B486:G486)&lt;&gt;COLUMNS(B486:G486),485,"")</f>
        <v>0</v>
      </c>
      <c r="C486" s="1">
        <f>IF(B486="", "", "UBERON:gastrointestinal tract")</f>
        <v>0</v>
      </c>
      <c r="D486" s="1">
        <f>IF(B486="", "", "UBERON:feces")</f>
        <v>0</v>
      </c>
      <c r="E486" s="1">
        <f>IF(B486="", "", "UBERON:colon")</f>
        <v>0</v>
      </c>
      <c r="F486" s="1">
        <f>IF(B486="", "", "rat gut metagenome")</f>
        <v>0</v>
      </c>
      <c r="G486" s="1">
        <f>IF(B486="", "", "1436733")</f>
        <v>0</v>
      </c>
    </row>
    <row r="487" spans="1:7">
      <c r="A487">
        <f>IF(COUNTBLANK(B487:G487)&lt;&gt;COLUMNS(B487:G487),486,"")</f>
        <v>0</v>
      </c>
      <c r="C487" s="1">
        <f>IF(B487="", "", "UBERON:gastrointestinal tract")</f>
        <v>0</v>
      </c>
      <c r="D487" s="1">
        <f>IF(B487="", "", "UBERON:feces")</f>
        <v>0</v>
      </c>
      <c r="E487" s="1">
        <f>IF(B487="", "", "UBERON:colon")</f>
        <v>0</v>
      </c>
      <c r="F487" s="1">
        <f>IF(B487="", "", "rat gut metagenome")</f>
        <v>0</v>
      </c>
      <c r="G487" s="1">
        <f>IF(B487="", "", "1436733")</f>
        <v>0</v>
      </c>
    </row>
    <row r="488" spans="1:7">
      <c r="A488">
        <f>IF(COUNTBLANK(B488:G488)&lt;&gt;COLUMNS(B488:G488),487,"")</f>
        <v>0</v>
      </c>
      <c r="C488" s="1">
        <f>IF(B488="", "", "UBERON:gastrointestinal tract")</f>
        <v>0</v>
      </c>
      <c r="D488" s="1">
        <f>IF(B488="", "", "UBERON:feces")</f>
        <v>0</v>
      </c>
      <c r="E488" s="1">
        <f>IF(B488="", "", "UBERON:colon")</f>
        <v>0</v>
      </c>
      <c r="F488" s="1">
        <f>IF(B488="", "", "rat gut metagenome")</f>
        <v>0</v>
      </c>
      <c r="G488" s="1">
        <f>IF(B488="", "", "1436733")</f>
        <v>0</v>
      </c>
    </row>
    <row r="489" spans="1:7">
      <c r="A489">
        <f>IF(COUNTBLANK(B489:G489)&lt;&gt;COLUMNS(B489:G489),488,"")</f>
        <v>0</v>
      </c>
      <c r="C489" s="1">
        <f>IF(B489="", "", "UBERON:gastrointestinal tract")</f>
        <v>0</v>
      </c>
      <c r="D489" s="1">
        <f>IF(B489="", "", "UBERON:feces")</f>
        <v>0</v>
      </c>
      <c r="E489" s="1">
        <f>IF(B489="", "", "UBERON:colon")</f>
        <v>0</v>
      </c>
      <c r="F489" s="1">
        <f>IF(B489="", "", "rat gut metagenome")</f>
        <v>0</v>
      </c>
      <c r="G489" s="1">
        <f>IF(B489="", "", "1436733")</f>
        <v>0</v>
      </c>
    </row>
    <row r="490" spans="1:7">
      <c r="A490">
        <f>IF(COUNTBLANK(B490:G490)&lt;&gt;COLUMNS(B490:G490),489,"")</f>
        <v>0</v>
      </c>
      <c r="C490" s="1">
        <f>IF(B490="", "", "UBERON:gastrointestinal tract")</f>
        <v>0</v>
      </c>
      <c r="D490" s="1">
        <f>IF(B490="", "", "UBERON:feces")</f>
        <v>0</v>
      </c>
      <c r="E490" s="1">
        <f>IF(B490="", "", "UBERON:colon")</f>
        <v>0</v>
      </c>
      <c r="F490" s="1">
        <f>IF(B490="", "", "rat gut metagenome")</f>
        <v>0</v>
      </c>
      <c r="G490" s="1">
        <f>IF(B490="", "", "1436733")</f>
        <v>0</v>
      </c>
    </row>
    <row r="491" spans="1:7">
      <c r="A491">
        <f>IF(COUNTBLANK(B491:G491)&lt;&gt;COLUMNS(B491:G491),490,"")</f>
        <v>0</v>
      </c>
      <c r="C491" s="1">
        <f>IF(B491="", "", "UBERON:gastrointestinal tract")</f>
        <v>0</v>
      </c>
      <c r="D491" s="1">
        <f>IF(B491="", "", "UBERON:feces")</f>
        <v>0</v>
      </c>
      <c r="E491" s="1">
        <f>IF(B491="", "", "UBERON:colon")</f>
        <v>0</v>
      </c>
      <c r="F491" s="1">
        <f>IF(B491="", "", "rat gut metagenome")</f>
        <v>0</v>
      </c>
      <c r="G491" s="1">
        <f>IF(B491="", "", "1436733")</f>
        <v>0</v>
      </c>
    </row>
    <row r="492" spans="1:7">
      <c r="A492">
        <f>IF(COUNTBLANK(B492:G492)&lt;&gt;COLUMNS(B492:G492),491,"")</f>
        <v>0</v>
      </c>
      <c r="C492" s="1">
        <f>IF(B492="", "", "UBERON:gastrointestinal tract")</f>
        <v>0</v>
      </c>
      <c r="D492" s="1">
        <f>IF(B492="", "", "UBERON:feces")</f>
        <v>0</v>
      </c>
      <c r="E492" s="1">
        <f>IF(B492="", "", "UBERON:colon")</f>
        <v>0</v>
      </c>
      <c r="F492" s="1">
        <f>IF(B492="", "", "rat gut metagenome")</f>
        <v>0</v>
      </c>
      <c r="G492" s="1">
        <f>IF(B492="", "", "1436733")</f>
        <v>0</v>
      </c>
    </row>
    <row r="493" spans="1:7">
      <c r="A493">
        <f>IF(COUNTBLANK(B493:G493)&lt;&gt;COLUMNS(B493:G493),492,"")</f>
        <v>0</v>
      </c>
      <c r="C493" s="1">
        <f>IF(B493="", "", "UBERON:gastrointestinal tract")</f>
        <v>0</v>
      </c>
      <c r="D493" s="1">
        <f>IF(B493="", "", "UBERON:feces")</f>
        <v>0</v>
      </c>
      <c r="E493" s="1">
        <f>IF(B493="", "", "UBERON:colon")</f>
        <v>0</v>
      </c>
      <c r="F493" s="1">
        <f>IF(B493="", "", "rat gut metagenome")</f>
        <v>0</v>
      </c>
      <c r="G493" s="1">
        <f>IF(B493="", "", "1436733")</f>
        <v>0</v>
      </c>
    </row>
    <row r="494" spans="1:7">
      <c r="A494">
        <f>IF(COUNTBLANK(B494:G494)&lt;&gt;COLUMNS(B494:G494),493,"")</f>
        <v>0</v>
      </c>
      <c r="C494" s="1">
        <f>IF(B494="", "", "UBERON:gastrointestinal tract")</f>
        <v>0</v>
      </c>
      <c r="D494" s="1">
        <f>IF(B494="", "", "UBERON:feces")</f>
        <v>0</v>
      </c>
      <c r="E494" s="1">
        <f>IF(B494="", "", "UBERON:colon")</f>
        <v>0</v>
      </c>
      <c r="F494" s="1">
        <f>IF(B494="", "", "rat gut metagenome")</f>
        <v>0</v>
      </c>
      <c r="G494" s="1">
        <f>IF(B494="", "", "1436733")</f>
        <v>0</v>
      </c>
    </row>
    <row r="495" spans="1:7">
      <c r="A495">
        <f>IF(COUNTBLANK(B495:G495)&lt;&gt;COLUMNS(B495:G495),494,"")</f>
        <v>0</v>
      </c>
      <c r="C495" s="1">
        <f>IF(B495="", "", "UBERON:gastrointestinal tract")</f>
        <v>0</v>
      </c>
      <c r="D495" s="1">
        <f>IF(B495="", "", "UBERON:feces")</f>
        <v>0</v>
      </c>
      <c r="E495" s="1">
        <f>IF(B495="", "", "UBERON:colon")</f>
        <v>0</v>
      </c>
      <c r="F495" s="1">
        <f>IF(B495="", "", "rat gut metagenome")</f>
        <v>0</v>
      </c>
      <c r="G495" s="1">
        <f>IF(B495="", "", "1436733")</f>
        <v>0</v>
      </c>
    </row>
    <row r="496" spans="1:7">
      <c r="A496">
        <f>IF(COUNTBLANK(B496:G496)&lt;&gt;COLUMNS(B496:G496),495,"")</f>
        <v>0</v>
      </c>
      <c r="C496" s="1">
        <f>IF(B496="", "", "UBERON:gastrointestinal tract")</f>
        <v>0</v>
      </c>
      <c r="D496" s="1">
        <f>IF(B496="", "", "UBERON:feces")</f>
        <v>0</v>
      </c>
      <c r="E496" s="1">
        <f>IF(B496="", "", "UBERON:colon")</f>
        <v>0</v>
      </c>
      <c r="F496" s="1">
        <f>IF(B496="", "", "rat gut metagenome")</f>
        <v>0</v>
      </c>
      <c r="G496" s="1">
        <f>IF(B496="", "", "1436733")</f>
        <v>0</v>
      </c>
    </row>
    <row r="497" spans="1:7">
      <c r="A497">
        <f>IF(COUNTBLANK(B497:G497)&lt;&gt;COLUMNS(B497:G497),496,"")</f>
        <v>0</v>
      </c>
      <c r="C497" s="1">
        <f>IF(B497="", "", "UBERON:gastrointestinal tract")</f>
        <v>0</v>
      </c>
      <c r="D497" s="1">
        <f>IF(B497="", "", "UBERON:feces")</f>
        <v>0</v>
      </c>
      <c r="E497" s="1">
        <f>IF(B497="", "", "UBERON:colon")</f>
        <v>0</v>
      </c>
      <c r="F497" s="1">
        <f>IF(B497="", "", "rat gut metagenome")</f>
        <v>0</v>
      </c>
      <c r="G497" s="1">
        <f>IF(B497="", "", "1436733")</f>
        <v>0</v>
      </c>
    </row>
    <row r="498" spans="1:7">
      <c r="A498">
        <f>IF(COUNTBLANK(B498:G498)&lt;&gt;COLUMNS(B498:G498),497,"")</f>
        <v>0</v>
      </c>
      <c r="C498" s="1">
        <f>IF(B498="", "", "UBERON:gastrointestinal tract")</f>
        <v>0</v>
      </c>
      <c r="D498" s="1">
        <f>IF(B498="", "", "UBERON:feces")</f>
        <v>0</v>
      </c>
      <c r="E498" s="1">
        <f>IF(B498="", "", "UBERON:colon")</f>
        <v>0</v>
      </c>
      <c r="F498" s="1">
        <f>IF(B498="", "", "rat gut metagenome")</f>
        <v>0</v>
      </c>
      <c r="G498" s="1">
        <f>IF(B498="", "", "1436733")</f>
        <v>0</v>
      </c>
    </row>
    <row r="499" spans="1:7">
      <c r="A499">
        <f>IF(COUNTBLANK(B499:G499)&lt;&gt;COLUMNS(B499:G499),498,"")</f>
        <v>0</v>
      </c>
      <c r="C499" s="1">
        <f>IF(B499="", "", "UBERON:gastrointestinal tract")</f>
        <v>0</v>
      </c>
      <c r="D499" s="1">
        <f>IF(B499="", "", "UBERON:feces")</f>
        <v>0</v>
      </c>
      <c r="E499" s="1">
        <f>IF(B499="", "", "UBERON:colon")</f>
        <v>0</v>
      </c>
      <c r="F499" s="1">
        <f>IF(B499="", "", "rat gut metagenome")</f>
        <v>0</v>
      </c>
      <c r="G499" s="1">
        <f>IF(B499="", "", "1436733")</f>
        <v>0</v>
      </c>
    </row>
    <row r="500" spans="1:7">
      <c r="A500">
        <f>IF(COUNTBLANK(B500:G500)&lt;&gt;COLUMNS(B500:G500),499,"")</f>
        <v>0</v>
      </c>
      <c r="C500" s="1">
        <f>IF(B500="", "", "UBERON:gastrointestinal tract")</f>
        <v>0</v>
      </c>
      <c r="D500" s="1">
        <f>IF(B500="", "", "UBERON:feces")</f>
        <v>0</v>
      </c>
      <c r="E500" s="1">
        <f>IF(B500="", "", "UBERON:colon")</f>
        <v>0</v>
      </c>
      <c r="F500" s="1">
        <f>IF(B500="", "", "rat gut metagenome")</f>
        <v>0</v>
      </c>
      <c r="G500" s="1">
        <f>IF(B500="", "", "1436733")</f>
        <v>0</v>
      </c>
    </row>
    <row r="501" spans="1:7">
      <c r="A501">
        <f>IF(COUNTBLANK(B501:G501)&lt;&gt;COLUMNS(B501:G501),500,"")</f>
        <v>0</v>
      </c>
      <c r="C501" s="1">
        <f>IF(B501="", "", "UBERON:gastrointestinal tract")</f>
        <v>0</v>
      </c>
      <c r="D501" s="1">
        <f>IF(B501="", "", "UBERON:feces")</f>
        <v>0</v>
      </c>
      <c r="E501" s="1">
        <f>IF(B501="", "", "UBERON:colon")</f>
        <v>0</v>
      </c>
      <c r="F501" s="1">
        <f>IF(B501="", "", "rat gut metagenome")</f>
        <v>0</v>
      </c>
      <c r="G501" s="1">
        <f>IF(B501="", "", "1436733")</f>
        <v>0</v>
      </c>
    </row>
    <row r="502" spans="1:7">
      <c r="A502">
        <f>IF(COUNTBLANK(B502:G502)&lt;&gt;COLUMNS(B502:G502),501,"")</f>
        <v>0</v>
      </c>
      <c r="C502" s="1">
        <f>IF(B502="", "", "UBERON:gastrointestinal tract")</f>
        <v>0</v>
      </c>
      <c r="D502" s="1">
        <f>IF(B502="", "", "UBERON:feces")</f>
        <v>0</v>
      </c>
      <c r="E502" s="1">
        <f>IF(B502="", "", "UBERON:colon")</f>
        <v>0</v>
      </c>
      <c r="F502" s="1">
        <f>IF(B502="", "", "rat gut metagenome")</f>
        <v>0</v>
      </c>
      <c r="G502" s="1">
        <f>IF(B502="", "", "1436733")</f>
        <v>0</v>
      </c>
    </row>
    <row r="503" spans="1:7">
      <c r="A503">
        <f>IF(COUNTBLANK(B503:G503)&lt;&gt;COLUMNS(B503:G503),502,"")</f>
        <v>0</v>
      </c>
      <c r="C503" s="1">
        <f>IF(B503="", "", "UBERON:gastrointestinal tract")</f>
        <v>0</v>
      </c>
      <c r="D503" s="1">
        <f>IF(B503="", "", "UBERON:feces")</f>
        <v>0</v>
      </c>
      <c r="E503" s="1">
        <f>IF(B503="", "", "UBERON:colon")</f>
        <v>0</v>
      </c>
      <c r="F503" s="1">
        <f>IF(B503="", "", "rat gut metagenome")</f>
        <v>0</v>
      </c>
      <c r="G503" s="1">
        <f>IF(B503="", "", "1436733")</f>
        <v>0</v>
      </c>
    </row>
    <row r="504" spans="1:7">
      <c r="A504">
        <f>IF(COUNTBLANK(B504:G504)&lt;&gt;COLUMNS(B504:G504),503,"")</f>
        <v>0</v>
      </c>
      <c r="C504" s="1">
        <f>IF(B504="", "", "UBERON:gastrointestinal tract")</f>
        <v>0</v>
      </c>
      <c r="D504" s="1">
        <f>IF(B504="", "", "UBERON:feces")</f>
        <v>0</v>
      </c>
      <c r="E504" s="1">
        <f>IF(B504="", "", "UBERON:colon")</f>
        <v>0</v>
      </c>
      <c r="F504" s="1">
        <f>IF(B504="", "", "rat gut metagenome")</f>
        <v>0</v>
      </c>
      <c r="G504" s="1">
        <f>IF(B504="", "", "1436733")</f>
        <v>0</v>
      </c>
    </row>
    <row r="505" spans="1:7">
      <c r="A505">
        <f>IF(COUNTBLANK(B505:G505)&lt;&gt;COLUMNS(B505:G505),504,"")</f>
        <v>0</v>
      </c>
      <c r="C505" s="1">
        <f>IF(B505="", "", "UBERON:gastrointestinal tract")</f>
        <v>0</v>
      </c>
      <c r="D505" s="1">
        <f>IF(B505="", "", "UBERON:feces")</f>
        <v>0</v>
      </c>
      <c r="E505" s="1">
        <f>IF(B505="", "", "UBERON:colon")</f>
        <v>0</v>
      </c>
      <c r="F505" s="1">
        <f>IF(B505="", "", "rat gut metagenome")</f>
        <v>0</v>
      </c>
      <c r="G505" s="1">
        <f>IF(B505="", "", "1436733")</f>
        <v>0</v>
      </c>
    </row>
    <row r="506" spans="1:7">
      <c r="A506">
        <f>IF(COUNTBLANK(B506:G506)&lt;&gt;COLUMNS(B506:G506),505,"")</f>
        <v>0</v>
      </c>
      <c r="C506" s="1">
        <f>IF(B506="", "", "UBERON:gastrointestinal tract")</f>
        <v>0</v>
      </c>
      <c r="D506" s="1">
        <f>IF(B506="", "", "UBERON:feces")</f>
        <v>0</v>
      </c>
      <c r="E506" s="1">
        <f>IF(B506="", "", "UBERON:colon")</f>
        <v>0</v>
      </c>
      <c r="F506" s="1">
        <f>IF(B506="", "", "rat gut metagenome")</f>
        <v>0</v>
      </c>
      <c r="G506" s="1">
        <f>IF(B506="", "", "1436733")</f>
        <v>0</v>
      </c>
    </row>
    <row r="507" spans="1:7">
      <c r="A507">
        <f>IF(COUNTBLANK(B507:G507)&lt;&gt;COLUMNS(B507:G507),506,"")</f>
        <v>0</v>
      </c>
      <c r="C507" s="1">
        <f>IF(B507="", "", "UBERON:gastrointestinal tract")</f>
        <v>0</v>
      </c>
      <c r="D507" s="1">
        <f>IF(B507="", "", "UBERON:feces")</f>
        <v>0</v>
      </c>
      <c r="E507" s="1">
        <f>IF(B507="", "", "UBERON:colon")</f>
        <v>0</v>
      </c>
      <c r="F507" s="1">
        <f>IF(B507="", "", "rat gut metagenome")</f>
        <v>0</v>
      </c>
      <c r="G507" s="1">
        <f>IF(B507="", "", "1436733")</f>
        <v>0</v>
      </c>
    </row>
    <row r="508" spans="1:7">
      <c r="A508">
        <f>IF(COUNTBLANK(B508:G508)&lt;&gt;COLUMNS(B508:G508),507,"")</f>
        <v>0</v>
      </c>
      <c r="C508" s="1">
        <f>IF(B508="", "", "UBERON:gastrointestinal tract")</f>
        <v>0</v>
      </c>
      <c r="D508" s="1">
        <f>IF(B508="", "", "UBERON:feces")</f>
        <v>0</v>
      </c>
      <c r="E508" s="1">
        <f>IF(B508="", "", "UBERON:colon")</f>
        <v>0</v>
      </c>
      <c r="F508" s="1">
        <f>IF(B508="", "", "rat gut metagenome")</f>
        <v>0</v>
      </c>
      <c r="G508" s="1">
        <f>IF(B508="", "", "1436733")</f>
        <v>0</v>
      </c>
    </row>
    <row r="509" spans="1:7">
      <c r="A509">
        <f>IF(COUNTBLANK(B509:G509)&lt;&gt;COLUMNS(B509:G509),508,"")</f>
        <v>0</v>
      </c>
      <c r="C509" s="1">
        <f>IF(B509="", "", "UBERON:gastrointestinal tract")</f>
        <v>0</v>
      </c>
      <c r="D509" s="1">
        <f>IF(B509="", "", "UBERON:feces")</f>
        <v>0</v>
      </c>
      <c r="E509" s="1">
        <f>IF(B509="", "", "UBERON:colon")</f>
        <v>0</v>
      </c>
      <c r="F509" s="1">
        <f>IF(B509="", "", "rat gut metagenome")</f>
        <v>0</v>
      </c>
      <c r="G509" s="1">
        <f>IF(B509="", "", "1436733")</f>
        <v>0</v>
      </c>
    </row>
    <row r="510" spans="1:7">
      <c r="A510">
        <f>IF(COUNTBLANK(B510:G510)&lt;&gt;COLUMNS(B510:G510),509,"")</f>
        <v>0</v>
      </c>
      <c r="C510" s="1">
        <f>IF(B510="", "", "UBERON:gastrointestinal tract")</f>
        <v>0</v>
      </c>
      <c r="D510" s="1">
        <f>IF(B510="", "", "UBERON:feces")</f>
        <v>0</v>
      </c>
      <c r="E510" s="1">
        <f>IF(B510="", "", "UBERON:colon")</f>
        <v>0</v>
      </c>
      <c r="F510" s="1">
        <f>IF(B510="", "", "rat gut metagenome")</f>
        <v>0</v>
      </c>
      <c r="G510" s="1">
        <f>IF(B510="", "", "1436733")</f>
        <v>0</v>
      </c>
    </row>
    <row r="511" spans="1:7">
      <c r="A511">
        <f>IF(COUNTBLANK(B511:G511)&lt;&gt;COLUMNS(B511:G511),510,"")</f>
        <v>0</v>
      </c>
      <c r="C511" s="1">
        <f>IF(B511="", "", "UBERON:gastrointestinal tract")</f>
        <v>0</v>
      </c>
      <c r="D511" s="1">
        <f>IF(B511="", "", "UBERON:feces")</f>
        <v>0</v>
      </c>
      <c r="E511" s="1">
        <f>IF(B511="", "", "UBERON:colon")</f>
        <v>0</v>
      </c>
      <c r="F511" s="1">
        <f>IF(B511="", "", "rat gut metagenome")</f>
        <v>0</v>
      </c>
      <c r="G511" s="1">
        <f>IF(B511="", "", "1436733")</f>
        <v>0</v>
      </c>
    </row>
    <row r="512" spans="1:7">
      <c r="A512">
        <f>IF(COUNTBLANK(B512:G512)&lt;&gt;COLUMNS(B512:G512),511,"")</f>
        <v>0</v>
      </c>
      <c r="C512" s="1">
        <f>IF(B512="", "", "UBERON:gastrointestinal tract")</f>
        <v>0</v>
      </c>
      <c r="D512" s="1">
        <f>IF(B512="", "", "UBERON:feces")</f>
        <v>0</v>
      </c>
      <c r="E512" s="1">
        <f>IF(B512="", "", "UBERON:colon")</f>
        <v>0</v>
      </c>
      <c r="F512" s="1">
        <f>IF(B512="", "", "rat gut metagenome")</f>
        <v>0</v>
      </c>
      <c r="G512" s="1">
        <f>IF(B512="", "", "1436733")</f>
        <v>0</v>
      </c>
    </row>
    <row r="513" spans="1:7">
      <c r="A513">
        <f>IF(COUNTBLANK(B513:G513)&lt;&gt;COLUMNS(B513:G513),512,"")</f>
        <v>0</v>
      </c>
      <c r="C513" s="1">
        <f>IF(B513="", "", "UBERON:gastrointestinal tract")</f>
        <v>0</v>
      </c>
      <c r="D513" s="1">
        <f>IF(B513="", "", "UBERON:feces")</f>
        <v>0</v>
      </c>
      <c r="E513" s="1">
        <f>IF(B513="", "", "UBERON:colon")</f>
        <v>0</v>
      </c>
      <c r="F513" s="1">
        <f>IF(B513="", "", "rat gut metagenome")</f>
        <v>0</v>
      </c>
      <c r="G513" s="1">
        <f>IF(B513="", "", "1436733")</f>
        <v>0</v>
      </c>
    </row>
    <row r="514" spans="1:7">
      <c r="A514">
        <f>IF(COUNTBLANK(B514:G514)&lt;&gt;COLUMNS(B514:G514),513,"")</f>
        <v>0</v>
      </c>
      <c r="C514" s="1">
        <f>IF(B514="", "", "UBERON:gastrointestinal tract")</f>
        <v>0</v>
      </c>
      <c r="D514" s="1">
        <f>IF(B514="", "", "UBERON:feces")</f>
        <v>0</v>
      </c>
      <c r="E514" s="1">
        <f>IF(B514="", "", "UBERON:colon")</f>
        <v>0</v>
      </c>
      <c r="F514" s="1">
        <f>IF(B514="", "", "rat gut metagenome")</f>
        <v>0</v>
      </c>
      <c r="G514" s="1">
        <f>IF(B514="", "", "1436733")</f>
        <v>0</v>
      </c>
    </row>
    <row r="515" spans="1:7">
      <c r="A515">
        <f>IF(COUNTBLANK(B515:G515)&lt;&gt;COLUMNS(B515:G515),514,"")</f>
        <v>0</v>
      </c>
      <c r="C515" s="1">
        <f>IF(B515="", "", "UBERON:gastrointestinal tract")</f>
        <v>0</v>
      </c>
      <c r="D515" s="1">
        <f>IF(B515="", "", "UBERON:feces")</f>
        <v>0</v>
      </c>
      <c r="E515" s="1">
        <f>IF(B515="", "", "UBERON:colon")</f>
        <v>0</v>
      </c>
      <c r="F515" s="1">
        <f>IF(B515="", "", "rat gut metagenome")</f>
        <v>0</v>
      </c>
      <c r="G515" s="1">
        <f>IF(B515="", "", "1436733")</f>
        <v>0</v>
      </c>
    </row>
    <row r="516" spans="1:7">
      <c r="A516">
        <f>IF(COUNTBLANK(B516:G516)&lt;&gt;COLUMNS(B516:G516),515,"")</f>
        <v>0</v>
      </c>
      <c r="C516" s="1">
        <f>IF(B516="", "", "UBERON:gastrointestinal tract")</f>
        <v>0</v>
      </c>
      <c r="D516" s="1">
        <f>IF(B516="", "", "UBERON:feces")</f>
        <v>0</v>
      </c>
      <c r="E516" s="1">
        <f>IF(B516="", "", "UBERON:colon")</f>
        <v>0</v>
      </c>
      <c r="F516" s="1">
        <f>IF(B516="", "", "rat gut metagenome")</f>
        <v>0</v>
      </c>
      <c r="G516" s="1">
        <f>IF(B516="", "", "1436733")</f>
        <v>0</v>
      </c>
    </row>
    <row r="517" spans="1:7">
      <c r="A517">
        <f>IF(COUNTBLANK(B517:G517)&lt;&gt;COLUMNS(B517:G517),516,"")</f>
        <v>0</v>
      </c>
      <c r="C517" s="1">
        <f>IF(B517="", "", "UBERON:gastrointestinal tract")</f>
        <v>0</v>
      </c>
      <c r="D517" s="1">
        <f>IF(B517="", "", "UBERON:feces")</f>
        <v>0</v>
      </c>
      <c r="E517" s="1">
        <f>IF(B517="", "", "UBERON:colon")</f>
        <v>0</v>
      </c>
      <c r="F517" s="1">
        <f>IF(B517="", "", "rat gut metagenome")</f>
        <v>0</v>
      </c>
      <c r="G517" s="1">
        <f>IF(B517="", "", "1436733")</f>
        <v>0</v>
      </c>
    </row>
    <row r="518" spans="1:7">
      <c r="A518">
        <f>IF(COUNTBLANK(B518:G518)&lt;&gt;COLUMNS(B518:G518),517,"")</f>
        <v>0</v>
      </c>
      <c r="C518" s="1">
        <f>IF(B518="", "", "UBERON:gastrointestinal tract")</f>
        <v>0</v>
      </c>
      <c r="D518" s="1">
        <f>IF(B518="", "", "UBERON:feces")</f>
        <v>0</v>
      </c>
      <c r="E518" s="1">
        <f>IF(B518="", "", "UBERON:colon")</f>
        <v>0</v>
      </c>
      <c r="F518" s="1">
        <f>IF(B518="", "", "rat gut metagenome")</f>
        <v>0</v>
      </c>
      <c r="G518" s="1">
        <f>IF(B518="", "", "1436733")</f>
        <v>0</v>
      </c>
    </row>
    <row r="519" spans="1:7">
      <c r="A519">
        <f>IF(COUNTBLANK(B519:G519)&lt;&gt;COLUMNS(B519:G519),518,"")</f>
        <v>0</v>
      </c>
      <c r="C519" s="1">
        <f>IF(B519="", "", "UBERON:gastrointestinal tract")</f>
        <v>0</v>
      </c>
      <c r="D519" s="1">
        <f>IF(B519="", "", "UBERON:feces")</f>
        <v>0</v>
      </c>
      <c r="E519" s="1">
        <f>IF(B519="", "", "UBERON:colon")</f>
        <v>0</v>
      </c>
      <c r="F519" s="1">
        <f>IF(B519="", "", "rat gut metagenome")</f>
        <v>0</v>
      </c>
      <c r="G519" s="1">
        <f>IF(B519="", "", "1436733")</f>
        <v>0</v>
      </c>
    </row>
    <row r="520" spans="1:7">
      <c r="A520">
        <f>IF(COUNTBLANK(B520:G520)&lt;&gt;COLUMNS(B520:G520),519,"")</f>
        <v>0</v>
      </c>
      <c r="C520" s="1">
        <f>IF(B520="", "", "UBERON:gastrointestinal tract")</f>
        <v>0</v>
      </c>
      <c r="D520" s="1">
        <f>IF(B520="", "", "UBERON:feces")</f>
        <v>0</v>
      </c>
      <c r="E520" s="1">
        <f>IF(B520="", "", "UBERON:colon")</f>
        <v>0</v>
      </c>
      <c r="F520" s="1">
        <f>IF(B520="", "", "rat gut metagenome")</f>
        <v>0</v>
      </c>
      <c r="G520" s="1">
        <f>IF(B520="", "", "1436733")</f>
        <v>0</v>
      </c>
    </row>
    <row r="521" spans="1:7">
      <c r="A521">
        <f>IF(COUNTBLANK(B521:G521)&lt;&gt;COLUMNS(B521:G521),520,"")</f>
        <v>0</v>
      </c>
      <c r="C521" s="1">
        <f>IF(B521="", "", "UBERON:gastrointestinal tract")</f>
        <v>0</v>
      </c>
      <c r="D521" s="1">
        <f>IF(B521="", "", "UBERON:feces")</f>
        <v>0</v>
      </c>
      <c r="E521" s="1">
        <f>IF(B521="", "", "UBERON:colon")</f>
        <v>0</v>
      </c>
      <c r="F521" s="1">
        <f>IF(B521="", "", "rat gut metagenome")</f>
        <v>0</v>
      </c>
      <c r="G521" s="1">
        <f>IF(B521="", "", "1436733")</f>
        <v>0</v>
      </c>
    </row>
    <row r="522" spans="1:7">
      <c r="A522">
        <f>IF(COUNTBLANK(B522:G522)&lt;&gt;COLUMNS(B522:G522),521,"")</f>
        <v>0</v>
      </c>
      <c r="C522" s="1">
        <f>IF(B522="", "", "UBERON:gastrointestinal tract")</f>
        <v>0</v>
      </c>
      <c r="D522" s="1">
        <f>IF(B522="", "", "UBERON:feces")</f>
        <v>0</v>
      </c>
      <c r="E522" s="1">
        <f>IF(B522="", "", "UBERON:colon")</f>
        <v>0</v>
      </c>
      <c r="F522" s="1">
        <f>IF(B522="", "", "rat gut metagenome")</f>
        <v>0</v>
      </c>
      <c r="G522" s="1">
        <f>IF(B522="", "", "1436733")</f>
        <v>0</v>
      </c>
    </row>
    <row r="523" spans="1:7">
      <c r="A523">
        <f>IF(COUNTBLANK(B523:G523)&lt;&gt;COLUMNS(B523:G523),522,"")</f>
        <v>0</v>
      </c>
      <c r="C523" s="1">
        <f>IF(B523="", "", "UBERON:gastrointestinal tract")</f>
        <v>0</v>
      </c>
      <c r="D523" s="1">
        <f>IF(B523="", "", "UBERON:feces")</f>
        <v>0</v>
      </c>
      <c r="E523" s="1">
        <f>IF(B523="", "", "UBERON:colon")</f>
        <v>0</v>
      </c>
      <c r="F523" s="1">
        <f>IF(B523="", "", "rat gut metagenome")</f>
        <v>0</v>
      </c>
      <c r="G523" s="1">
        <f>IF(B523="", "", "1436733")</f>
        <v>0</v>
      </c>
    </row>
    <row r="524" spans="1:7">
      <c r="A524">
        <f>IF(COUNTBLANK(B524:G524)&lt;&gt;COLUMNS(B524:G524),523,"")</f>
        <v>0</v>
      </c>
      <c r="C524" s="1">
        <f>IF(B524="", "", "UBERON:gastrointestinal tract")</f>
        <v>0</v>
      </c>
      <c r="D524" s="1">
        <f>IF(B524="", "", "UBERON:feces")</f>
        <v>0</v>
      </c>
      <c r="E524" s="1">
        <f>IF(B524="", "", "UBERON:colon")</f>
        <v>0</v>
      </c>
      <c r="F524" s="1">
        <f>IF(B524="", "", "rat gut metagenome")</f>
        <v>0</v>
      </c>
      <c r="G524" s="1">
        <f>IF(B524="", "", "1436733")</f>
        <v>0</v>
      </c>
    </row>
    <row r="525" spans="1:7">
      <c r="A525">
        <f>IF(COUNTBLANK(B525:G525)&lt;&gt;COLUMNS(B525:G525),524,"")</f>
        <v>0</v>
      </c>
      <c r="C525" s="1">
        <f>IF(B525="", "", "UBERON:gastrointestinal tract")</f>
        <v>0</v>
      </c>
      <c r="D525" s="1">
        <f>IF(B525="", "", "UBERON:feces")</f>
        <v>0</v>
      </c>
      <c r="E525" s="1">
        <f>IF(B525="", "", "UBERON:colon")</f>
        <v>0</v>
      </c>
      <c r="F525" s="1">
        <f>IF(B525="", "", "rat gut metagenome")</f>
        <v>0</v>
      </c>
      <c r="G525" s="1">
        <f>IF(B525="", "", "1436733")</f>
        <v>0</v>
      </c>
    </row>
    <row r="526" spans="1:7">
      <c r="A526">
        <f>IF(COUNTBLANK(B526:G526)&lt;&gt;COLUMNS(B526:G526),525,"")</f>
        <v>0</v>
      </c>
      <c r="C526" s="1">
        <f>IF(B526="", "", "UBERON:gastrointestinal tract")</f>
        <v>0</v>
      </c>
      <c r="D526" s="1">
        <f>IF(B526="", "", "UBERON:feces")</f>
        <v>0</v>
      </c>
      <c r="E526" s="1">
        <f>IF(B526="", "", "UBERON:colon")</f>
        <v>0</v>
      </c>
      <c r="F526" s="1">
        <f>IF(B526="", "", "rat gut metagenome")</f>
        <v>0</v>
      </c>
      <c r="G526" s="1">
        <f>IF(B526="", "", "1436733")</f>
        <v>0</v>
      </c>
    </row>
    <row r="527" spans="1:7">
      <c r="A527">
        <f>IF(COUNTBLANK(B527:G527)&lt;&gt;COLUMNS(B527:G527),526,"")</f>
        <v>0</v>
      </c>
      <c r="C527" s="1">
        <f>IF(B527="", "", "UBERON:gastrointestinal tract")</f>
        <v>0</v>
      </c>
      <c r="D527" s="1">
        <f>IF(B527="", "", "UBERON:feces")</f>
        <v>0</v>
      </c>
      <c r="E527" s="1">
        <f>IF(B527="", "", "UBERON:colon")</f>
        <v>0</v>
      </c>
      <c r="F527" s="1">
        <f>IF(B527="", "", "rat gut metagenome")</f>
        <v>0</v>
      </c>
      <c r="G527" s="1">
        <f>IF(B527="", "", "1436733")</f>
        <v>0</v>
      </c>
    </row>
    <row r="528" spans="1:7">
      <c r="A528">
        <f>IF(COUNTBLANK(B528:G528)&lt;&gt;COLUMNS(B528:G528),527,"")</f>
        <v>0</v>
      </c>
      <c r="C528" s="1">
        <f>IF(B528="", "", "UBERON:gastrointestinal tract")</f>
        <v>0</v>
      </c>
      <c r="D528" s="1">
        <f>IF(B528="", "", "UBERON:feces")</f>
        <v>0</v>
      </c>
      <c r="E528" s="1">
        <f>IF(B528="", "", "UBERON:colon")</f>
        <v>0</v>
      </c>
      <c r="F528" s="1">
        <f>IF(B528="", "", "rat gut metagenome")</f>
        <v>0</v>
      </c>
      <c r="G528" s="1">
        <f>IF(B528="", "", "1436733")</f>
        <v>0</v>
      </c>
    </row>
    <row r="529" spans="1:7">
      <c r="A529">
        <f>IF(COUNTBLANK(B529:G529)&lt;&gt;COLUMNS(B529:G529),528,"")</f>
        <v>0</v>
      </c>
      <c r="C529" s="1">
        <f>IF(B529="", "", "UBERON:gastrointestinal tract")</f>
        <v>0</v>
      </c>
      <c r="D529" s="1">
        <f>IF(B529="", "", "UBERON:feces")</f>
        <v>0</v>
      </c>
      <c r="E529" s="1">
        <f>IF(B529="", "", "UBERON:colon")</f>
        <v>0</v>
      </c>
      <c r="F529" s="1">
        <f>IF(B529="", "", "rat gut metagenome")</f>
        <v>0</v>
      </c>
      <c r="G529" s="1">
        <f>IF(B529="", "", "1436733")</f>
        <v>0</v>
      </c>
    </row>
    <row r="530" spans="1:7">
      <c r="A530">
        <f>IF(COUNTBLANK(B530:G530)&lt;&gt;COLUMNS(B530:G530),529,"")</f>
        <v>0</v>
      </c>
      <c r="C530" s="1">
        <f>IF(B530="", "", "UBERON:gastrointestinal tract")</f>
        <v>0</v>
      </c>
      <c r="D530" s="1">
        <f>IF(B530="", "", "UBERON:feces")</f>
        <v>0</v>
      </c>
      <c r="E530" s="1">
        <f>IF(B530="", "", "UBERON:colon")</f>
        <v>0</v>
      </c>
      <c r="F530" s="1">
        <f>IF(B530="", "", "rat gut metagenome")</f>
        <v>0</v>
      </c>
      <c r="G530" s="1">
        <f>IF(B530="", "", "1436733")</f>
        <v>0</v>
      </c>
    </row>
    <row r="531" spans="1:7">
      <c r="A531">
        <f>IF(COUNTBLANK(B531:G531)&lt;&gt;COLUMNS(B531:G531),530,"")</f>
        <v>0</v>
      </c>
      <c r="C531" s="1">
        <f>IF(B531="", "", "UBERON:gastrointestinal tract")</f>
        <v>0</v>
      </c>
      <c r="D531" s="1">
        <f>IF(B531="", "", "UBERON:feces")</f>
        <v>0</v>
      </c>
      <c r="E531" s="1">
        <f>IF(B531="", "", "UBERON:colon")</f>
        <v>0</v>
      </c>
      <c r="F531" s="1">
        <f>IF(B531="", "", "rat gut metagenome")</f>
        <v>0</v>
      </c>
      <c r="G531" s="1">
        <f>IF(B531="", "", "1436733")</f>
        <v>0</v>
      </c>
    </row>
    <row r="532" spans="1:7">
      <c r="A532">
        <f>IF(COUNTBLANK(B532:G532)&lt;&gt;COLUMNS(B532:G532),531,"")</f>
        <v>0</v>
      </c>
      <c r="C532" s="1">
        <f>IF(B532="", "", "UBERON:gastrointestinal tract")</f>
        <v>0</v>
      </c>
      <c r="D532" s="1">
        <f>IF(B532="", "", "UBERON:feces")</f>
        <v>0</v>
      </c>
      <c r="E532" s="1">
        <f>IF(B532="", "", "UBERON:colon")</f>
        <v>0</v>
      </c>
      <c r="F532" s="1">
        <f>IF(B532="", "", "rat gut metagenome")</f>
        <v>0</v>
      </c>
      <c r="G532" s="1">
        <f>IF(B532="", "", "1436733")</f>
        <v>0</v>
      </c>
    </row>
    <row r="533" spans="1:7">
      <c r="A533">
        <f>IF(COUNTBLANK(B533:G533)&lt;&gt;COLUMNS(B533:G533),532,"")</f>
        <v>0</v>
      </c>
      <c r="C533" s="1">
        <f>IF(B533="", "", "UBERON:gastrointestinal tract")</f>
        <v>0</v>
      </c>
      <c r="D533" s="1">
        <f>IF(B533="", "", "UBERON:feces")</f>
        <v>0</v>
      </c>
      <c r="E533" s="1">
        <f>IF(B533="", "", "UBERON:colon")</f>
        <v>0</v>
      </c>
      <c r="F533" s="1">
        <f>IF(B533="", "", "rat gut metagenome")</f>
        <v>0</v>
      </c>
      <c r="G533" s="1">
        <f>IF(B533="", "", "1436733")</f>
        <v>0</v>
      </c>
    </row>
    <row r="534" spans="1:7">
      <c r="A534">
        <f>IF(COUNTBLANK(B534:G534)&lt;&gt;COLUMNS(B534:G534),533,"")</f>
        <v>0</v>
      </c>
      <c r="C534" s="1">
        <f>IF(B534="", "", "UBERON:gastrointestinal tract")</f>
        <v>0</v>
      </c>
      <c r="D534" s="1">
        <f>IF(B534="", "", "UBERON:feces")</f>
        <v>0</v>
      </c>
      <c r="E534" s="1">
        <f>IF(B534="", "", "UBERON:colon")</f>
        <v>0</v>
      </c>
      <c r="F534" s="1">
        <f>IF(B534="", "", "rat gut metagenome")</f>
        <v>0</v>
      </c>
      <c r="G534" s="1">
        <f>IF(B534="", "", "1436733")</f>
        <v>0</v>
      </c>
    </row>
    <row r="535" spans="1:7">
      <c r="A535">
        <f>IF(COUNTBLANK(B535:G535)&lt;&gt;COLUMNS(B535:G535),534,"")</f>
        <v>0</v>
      </c>
      <c r="C535" s="1">
        <f>IF(B535="", "", "UBERON:gastrointestinal tract")</f>
        <v>0</v>
      </c>
      <c r="D535" s="1">
        <f>IF(B535="", "", "UBERON:feces")</f>
        <v>0</v>
      </c>
      <c r="E535" s="1">
        <f>IF(B535="", "", "UBERON:colon")</f>
        <v>0</v>
      </c>
      <c r="F535" s="1">
        <f>IF(B535="", "", "rat gut metagenome")</f>
        <v>0</v>
      </c>
      <c r="G535" s="1">
        <f>IF(B535="", "", "1436733")</f>
        <v>0</v>
      </c>
    </row>
    <row r="536" spans="1:7">
      <c r="A536">
        <f>IF(COUNTBLANK(B536:G536)&lt;&gt;COLUMNS(B536:G536),535,"")</f>
        <v>0</v>
      </c>
      <c r="C536" s="1">
        <f>IF(B536="", "", "UBERON:gastrointestinal tract")</f>
        <v>0</v>
      </c>
      <c r="D536" s="1">
        <f>IF(B536="", "", "UBERON:feces")</f>
        <v>0</v>
      </c>
      <c r="E536" s="1">
        <f>IF(B536="", "", "UBERON:colon")</f>
        <v>0</v>
      </c>
      <c r="F536" s="1">
        <f>IF(B536="", "", "rat gut metagenome")</f>
        <v>0</v>
      </c>
      <c r="G536" s="1">
        <f>IF(B536="", "", "1436733")</f>
        <v>0</v>
      </c>
    </row>
    <row r="537" spans="1:7">
      <c r="A537">
        <f>IF(COUNTBLANK(B537:G537)&lt;&gt;COLUMNS(B537:G537),536,"")</f>
        <v>0</v>
      </c>
      <c r="C537" s="1">
        <f>IF(B537="", "", "UBERON:gastrointestinal tract")</f>
        <v>0</v>
      </c>
      <c r="D537" s="1">
        <f>IF(B537="", "", "UBERON:feces")</f>
        <v>0</v>
      </c>
      <c r="E537" s="1">
        <f>IF(B537="", "", "UBERON:colon")</f>
        <v>0</v>
      </c>
      <c r="F537" s="1">
        <f>IF(B537="", "", "rat gut metagenome")</f>
        <v>0</v>
      </c>
      <c r="G537" s="1">
        <f>IF(B537="", "", "1436733")</f>
        <v>0</v>
      </c>
    </row>
    <row r="538" spans="1:7">
      <c r="A538">
        <f>IF(COUNTBLANK(B538:G538)&lt;&gt;COLUMNS(B538:G538),537,"")</f>
        <v>0</v>
      </c>
      <c r="C538" s="1">
        <f>IF(B538="", "", "UBERON:gastrointestinal tract")</f>
        <v>0</v>
      </c>
      <c r="D538" s="1">
        <f>IF(B538="", "", "UBERON:feces")</f>
        <v>0</v>
      </c>
      <c r="E538" s="1">
        <f>IF(B538="", "", "UBERON:colon")</f>
        <v>0</v>
      </c>
      <c r="F538" s="1">
        <f>IF(B538="", "", "rat gut metagenome")</f>
        <v>0</v>
      </c>
      <c r="G538" s="1">
        <f>IF(B538="", "", "1436733")</f>
        <v>0</v>
      </c>
    </row>
    <row r="539" spans="1:7">
      <c r="A539">
        <f>IF(COUNTBLANK(B539:G539)&lt;&gt;COLUMNS(B539:G539),538,"")</f>
        <v>0</v>
      </c>
      <c r="C539" s="1">
        <f>IF(B539="", "", "UBERON:gastrointestinal tract")</f>
        <v>0</v>
      </c>
      <c r="D539" s="1">
        <f>IF(B539="", "", "UBERON:feces")</f>
        <v>0</v>
      </c>
      <c r="E539" s="1">
        <f>IF(B539="", "", "UBERON:colon")</f>
        <v>0</v>
      </c>
      <c r="F539" s="1">
        <f>IF(B539="", "", "rat gut metagenome")</f>
        <v>0</v>
      </c>
      <c r="G539" s="1">
        <f>IF(B539="", "", "1436733")</f>
        <v>0</v>
      </c>
    </row>
    <row r="540" spans="1:7">
      <c r="A540">
        <f>IF(COUNTBLANK(B540:G540)&lt;&gt;COLUMNS(B540:G540),539,"")</f>
        <v>0</v>
      </c>
      <c r="C540" s="1">
        <f>IF(B540="", "", "UBERON:gastrointestinal tract")</f>
        <v>0</v>
      </c>
      <c r="D540" s="1">
        <f>IF(B540="", "", "UBERON:feces")</f>
        <v>0</v>
      </c>
      <c r="E540" s="1">
        <f>IF(B540="", "", "UBERON:colon")</f>
        <v>0</v>
      </c>
      <c r="F540" s="1">
        <f>IF(B540="", "", "rat gut metagenome")</f>
        <v>0</v>
      </c>
      <c r="G540" s="1">
        <f>IF(B540="", "", "1436733")</f>
        <v>0</v>
      </c>
    </row>
    <row r="541" spans="1:7">
      <c r="A541">
        <f>IF(COUNTBLANK(B541:G541)&lt;&gt;COLUMNS(B541:G541),540,"")</f>
        <v>0</v>
      </c>
      <c r="C541" s="1">
        <f>IF(B541="", "", "UBERON:gastrointestinal tract")</f>
        <v>0</v>
      </c>
      <c r="D541" s="1">
        <f>IF(B541="", "", "UBERON:feces")</f>
        <v>0</v>
      </c>
      <c r="E541" s="1">
        <f>IF(B541="", "", "UBERON:colon")</f>
        <v>0</v>
      </c>
      <c r="F541" s="1">
        <f>IF(B541="", "", "rat gut metagenome")</f>
        <v>0</v>
      </c>
      <c r="G541" s="1">
        <f>IF(B541="", "", "1436733")</f>
        <v>0</v>
      </c>
    </row>
    <row r="542" spans="1:7">
      <c r="A542">
        <f>IF(COUNTBLANK(B542:G542)&lt;&gt;COLUMNS(B542:G542),541,"")</f>
        <v>0</v>
      </c>
      <c r="C542" s="1">
        <f>IF(B542="", "", "UBERON:gastrointestinal tract")</f>
        <v>0</v>
      </c>
      <c r="D542" s="1">
        <f>IF(B542="", "", "UBERON:feces")</f>
        <v>0</v>
      </c>
      <c r="E542" s="1">
        <f>IF(B542="", "", "UBERON:colon")</f>
        <v>0</v>
      </c>
      <c r="F542" s="1">
        <f>IF(B542="", "", "rat gut metagenome")</f>
        <v>0</v>
      </c>
      <c r="G542" s="1">
        <f>IF(B542="", "", "1436733")</f>
        <v>0</v>
      </c>
    </row>
    <row r="543" spans="1:7">
      <c r="A543">
        <f>IF(COUNTBLANK(B543:G543)&lt;&gt;COLUMNS(B543:G543),542,"")</f>
        <v>0</v>
      </c>
      <c r="C543" s="1">
        <f>IF(B543="", "", "UBERON:gastrointestinal tract")</f>
        <v>0</v>
      </c>
      <c r="D543" s="1">
        <f>IF(B543="", "", "UBERON:feces")</f>
        <v>0</v>
      </c>
      <c r="E543" s="1">
        <f>IF(B543="", "", "UBERON:colon")</f>
        <v>0</v>
      </c>
      <c r="F543" s="1">
        <f>IF(B543="", "", "rat gut metagenome")</f>
        <v>0</v>
      </c>
      <c r="G543" s="1">
        <f>IF(B543="", "", "1436733")</f>
        <v>0</v>
      </c>
    </row>
    <row r="544" spans="1:7">
      <c r="A544">
        <f>IF(COUNTBLANK(B544:G544)&lt;&gt;COLUMNS(B544:G544),543,"")</f>
        <v>0</v>
      </c>
      <c r="C544" s="1">
        <f>IF(B544="", "", "UBERON:gastrointestinal tract")</f>
        <v>0</v>
      </c>
      <c r="D544" s="1">
        <f>IF(B544="", "", "UBERON:feces")</f>
        <v>0</v>
      </c>
      <c r="E544" s="1">
        <f>IF(B544="", "", "UBERON:colon")</f>
        <v>0</v>
      </c>
      <c r="F544" s="1">
        <f>IF(B544="", "", "rat gut metagenome")</f>
        <v>0</v>
      </c>
      <c r="G544" s="1">
        <f>IF(B544="", "", "1436733")</f>
        <v>0</v>
      </c>
    </row>
    <row r="545" spans="1:7">
      <c r="A545">
        <f>IF(COUNTBLANK(B545:G545)&lt;&gt;COLUMNS(B545:G545),544,"")</f>
        <v>0</v>
      </c>
      <c r="C545" s="1">
        <f>IF(B545="", "", "UBERON:gastrointestinal tract")</f>
        <v>0</v>
      </c>
      <c r="D545" s="1">
        <f>IF(B545="", "", "UBERON:feces")</f>
        <v>0</v>
      </c>
      <c r="E545" s="1">
        <f>IF(B545="", "", "UBERON:colon")</f>
        <v>0</v>
      </c>
      <c r="F545" s="1">
        <f>IF(B545="", "", "rat gut metagenome")</f>
        <v>0</v>
      </c>
      <c r="G545" s="1">
        <f>IF(B545="", "", "1436733")</f>
        <v>0</v>
      </c>
    </row>
    <row r="546" spans="1:7">
      <c r="A546">
        <f>IF(COUNTBLANK(B546:G546)&lt;&gt;COLUMNS(B546:G546),545,"")</f>
        <v>0</v>
      </c>
      <c r="C546" s="1">
        <f>IF(B546="", "", "UBERON:gastrointestinal tract")</f>
        <v>0</v>
      </c>
      <c r="D546" s="1">
        <f>IF(B546="", "", "UBERON:feces")</f>
        <v>0</v>
      </c>
      <c r="E546" s="1">
        <f>IF(B546="", "", "UBERON:colon")</f>
        <v>0</v>
      </c>
      <c r="F546" s="1">
        <f>IF(B546="", "", "rat gut metagenome")</f>
        <v>0</v>
      </c>
      <c r="G546" s="1">
        <f>IF(B546="", "", "1436733")</f>
        <v>0</v>
      </c>
    </row>
    <row r="547" spans="1:7">
      <c r="A547">
        <f>IF(COUNTBLANK(B547:G547)&lt;&gt;COLUMNS(B547:G547),546,"")</f>
        <v>0</v>
      </c>
      <c r="C547" s="1">
        <f>IF(B547="", "", "UBERON:gastrointestinal tract")</f>
        <v>0</v>
      </c>
      <c r="D547" s="1">
        <f>IF(B547="", "", "UBERON:feces")</f>
        <v>0</v>
      </c>
      <c r="E547" s="1">
        <f>IF(B547="", "", "UBERON:colon")</f>
        <v>0</v>
      </c>
      <c r="F547" s="1">
        <f>IF(B547="", "", "rat gut metagenome")</f>
        <v>0</v>
      </c>
      <c r="G547" s="1">
        <f>IF(B547="", "", "1436733")</f>
        <v>0</v>
      </c>
    </row>
    <row r="548" spans="1:7">
      <c r="A548">
        <f>IF(COUNTBLANK(B548:G548)&lt;&gt;COLUMNS(B548:G548),547,"")</f>
        <v>0</v>
      </c>
      <c r="C548" s="1">
        <f>IF(B548="", "", "UBERON:gastrointestinal tract")</f>
        <v>0</v>
      </c>
      <c r="D548" s="1">
        <f>IF(B548="", "", "UBERON:feces")</f>
        <v>0</v>
      </c>
      <c r="E548" s="1">
        <f>IF(B548="", "", "UBERON:colon")</f>
        <v>0</v>
      </c>
      <c r="F548" s="1">
        <f>IF(B548="", "", "rat gut metagenome")</f>
        <v>0</v>
      </c>
      <c r="G548" s="1">
        <f>IF(B548="", "", "1436733")</f>
        <v>0</v>
      </c>
    </row>
    <row r="549" spans="1:7">
      <c r="A549">
        <f>IF(COUNTBLANK(B549:G549)&lt;&gt;COLUMNS(B549:G549),548,"")</f>
        <v>0</v>
      </c>
      <c r="C549" s="1">
        <f>IF(B549="", "", "UBERON:gastrointestinal tract")</f>
        <v>0</v>
      </c>
      <c r="D549" s="1">
        <f>IF(B549="", "", "UBERON:feces")</f>
        <v>0</v>
      </c>
      <c r="E549" s="1">
        <f>IF(B549="", "", "UBERON:colon")</f>
        <v>0</v>
      </c>
      <c r="F549" s="1">
        <f>IF(B549="", "", "rat gut metagenome")</f>
        <v>0</v>
      </c>
      <c r="G549" s="1">
        <f>IF(B549="", "", "1436733")</f>
        <v>0</v>
      </c>
    </row>
    <row r="550" spans="1:7">
      <c r="A550">
        <f>IF(COUNTBLANK(B550:G550)&lt;&gt;COLUMNS(B550:G550),549,"")</f>
        <v>0</v>
      </c>
      <c r="C550" s="1">
        <f>IF(B550="", "", "UBERON:gastrointestinal tract")</f>
        <v>0</v>
      </c>
      <c r="D550" s="1">
        <f>IF(B550="", "", "UBERON:feces")</f>
        <v>0</v>
      </c>
      <c r="E550" s="1">
        <f>IF(B550="", "", "UBERON:colon")</f>
        <v>0</v>
      </c>
      <c r="F550" s="1">
        <f>IF(B550="", "", "rat gut metagenome")</f>
        <v>0</v>
      </c>
      <c r="G550" s="1">
        <f>IF(B550="", "", "1436733")</f>
        <v>0</v>
      </c>
    </row>
    <row r="551" spans="1:7">
      <c r="A551">
        <f>IF(COUNTBLANK(B551:G551)&lt;&gt;COLUMNS(B551:G551),550,"")</f>
        <v>0</v>
      </c>
      <c r="C551" s="1">
        <f>IF(B551="", "", "UBERON:gastrointestinal tract")</f>
        <v>0</v>
      </c>
      <c r="D551" s="1">
        <f>IF(B551="", "", "UBERON:feces")</f>
        <v>0</v>
      </c>
      <c r="E551" s="1">
        <f>IF(B551="", "", "UBERON:colon")</f>
        <v>0</v>
      </c>
      <c r="F551" s="1">
        <f>IF(B551="", "", "rat gut metagenome")</f>
        <v>0</v>
      </c>
      <c r="G551" s="1">
        <f>IF(B551="", "", "1436733")</f>
        <v>0</v>
      </c>
    </row>
    <row r="552" spans="1:7">
      <c r="A552">
        <f>IF(COUNTBLANK(B552:G552)&lt;&gt;COLUMNS(B552:G552),551,"")</f>
        <v>0</v>
      </c>
      <c r="C552" s="1">
        <f>IF(B552="", "", "UBERON:gastrointestinal tract")</f>
        <v>0</v>
      </c>
      <c r="D552" s="1">
        <f>IF(B552="", "", "UBERON:feces")</f>
        <v>0</v>
      </c>
      <c r="E552" s="1">
        <f>IF(B552="", "", "UBERON:colon")</f>
        <v>0</v>
      </c>
      <c r="F552" s="1">
        <f>IF(B552="", "", "rat gut metagenome")</f>
        <v>0</v>
      </c>
      <c r="G552" s="1">
        <f>IF(B552="", "", "1436733")</f>
        <v>0</v>
      </c>
    </row>
    <row r="553" spans="1:7">
      <c r="A553">
        <f>IF(COUNTBLANK(B553:G553)&lt;&gt;COLUMNS(B553:G553),552,"")</f>
        <v>0</v>
      </c>
      <c r="C553" s="1">
        <f>IF(B553="", "", "UBERON:gastrointestinal tract")</f>
        <v>0</v>
      </c>
      <c r="D553" s="1">
        <f>IF(B553="", "", "UBERON:feces")</f>
        <v>0</v>
      </c>
      <c r="E553" s="1">
        <f>IF(B553="", "", "UBERON:colon")</f>
        <v>0</v>
      </c>
      <c r="F553" s="1">
        <f>IF(B553="", "", "rat gut metagenome")</f>
        <v>0</v>
      </c>
      <c r="G553" s="1">
        <f>IF(B553="", "", "1436733")</f>
        <v>0</v>
      </c>
    </row>
    <row r="554" spans="1:7">
      <c r="A554">
        <f>IF(COUNTBLANK(B554:G554)&lt;&gt;COLUMNS(B554:G554),553,"")</f>
        <v>0</v>
      </c>
      <c r="C554" s="1">
        <f>IF(B554="", "", "UBERON:gastrointestinal tract")</f>
        <v>0</v>
      </c>
      <c r="D554" s="1">
        <f>IF(B554="", "", "UBERON:feces")</f>
        <v>0</v>
      </c>
      <c r="E554" s="1">
        <f>IF(B554="", "", "UBERON:colon")</f>
        <v>0</v>
      </c>
      <c r="F554" s="1">
        <f>IF(B554="", "", "rat gut metagenome")</f>
        <v>0</v>
      </c>
      <c r="G554" s="1">
        <f>IF(B554="", "", "1436733")</f>
        <v>0</v>
      </c>
    </row>
    <row r="555" spans="1:7">
      <c r="A555">
        <f>IF(COUNTBLANK(B555:G555)&lt;&gt;COLUMNS(B555:G555),554,"")</f>
        <v>0</v>
      </c>
      <c r="C555" s="1">
        <f>IF(B555="", "", "UBERON:gastrointestinal tract")</f>
        <v>0</v>
      </c>
      <c r="D555" s="1">
        <f>IF(B555="", "", "UBERON:feces")</f>
        <v>0</v>
      </c>
      <c r="E555" s="1">
        <f>IF(B555="", "", "UBERON:colon")</f>
        <v>0</v>
      </c>
      <c r="F555" s="1">
        <f>IF(B555="", "", "rat gut metagenome")</f>
        <v>0</v>
      </c>
      <c r="G555" s="1">
        <f>IF(B555="", "", "1436733")</f>
        <v>0</v>
      </c>
    </row>
    <row r="556" spans="1:7">
      <c r="A556">
        <f>IF(COUNTBLANK(B556:G556)&lt;&gt;COLUMNS(B556:G556),555,"")</f>
        <v>0</v>
      </c>
      <c r="C556" s="1">
        <f>IF(B556="", "", "UBERON:gastrointestinal tract")</f>
        <v>0</v>
      </c>
      <c r="D556" s="1">
        <f>IF(B556="", "", "UBERON:feces")</f>
        <v>0</v>
      </c>
      <c r="E556" s="1">
        <f>IF(B556="", "", "UBERON:colon")</f>
        <v>0</v>
      </c>
      <c r="F556" s="1">
        <f>IF(B556="", "", "rat gut metagenome")</f>
        <v>0</v>
      </c>
      <c r="G556" s="1">
        <f>IF(B556="", "", "1436733")</f>
        <v>0</v>
      </c>
    </row>
    <row r="557" spans="1:7">
      <c r="A557">
        <f>IF(COUNTBLANK(B557:G557)&lt;&gt;COLUMNS(B557:G557),556,"")</f>
        <v>0</v>
      </c>
      <c r="C557" s="1">
        <f>IF(B557="", "", "UBERON:gastrointestinal tract")</f>
        <v>0</v>
      </c>
      <c r="D557" s="1">
        <f>IF(B557="", "", "UBERON:feces")</f>
        <v>0</v>
      </c>
      <c r="E557" s="1">
        <f>IF(B557="", "", "UBERON:colon")</f>
        <v>0</v>
      </c>
      <c r="F557" s="1">
        <f>IF(B557="", "", "rat gut metagenome")</f>
        <v>0</v>
      </c>
      <c r="G557" s="1">
        <f>IF(B557="", "", "1436733")</f>
        <v>0</v>
      </c>
    </row>
    <row r="558" spans="1:7">
      <c r="A558">
        <f>IF(COUNTBLANK(B558:G558)&lt;&gt;COLUMNS(B558:G558),557,"")</f>
        <v>0</v>
      </c>
      <c r="C558" s="1">
        <f>IF(B558="", "", "UBERON:gastrointestinal tract")</f>
        <v>0</v>
      </c>
      <c r="D558" s="1">
        <f>IF(B558="", "", "UBERON:feces")</f>
        <v>0</v>
      </c>
      <c r="E558" s="1">
        <f>IF(B558="", "", "UBERON:colon")</f>
        <v>0</v>
      </c>
      <c r="F558" s="1">
        <f>IF(B558="", "", "rat gut metagenome")</f>
        <v>0</v>
      </c>
      <c r="G558" s="1">
        <f>IF(B558="", "", "1436733")</f>
        <v>0</v>
      </c>
    </row>
    <row r="559" spans="1:7">
      <c r="A559">
        <f>IF(COUNTBLANK(B559:G559)&lt;&gt;COLUMNS(B559:G559),558,"")</f>
        <v>0</v>
      </c>
      <c r="C559" s="1">
        <f>IF(B559="", "", "UBERON:gastrointestinal tract")</f>
        <v>0</v>
      </c>
      <c r="D559" s="1">
        <f>IF(B559="", "", "UBERON:feces")</f>
        <v>0</v>
      </c>
      <c r="E559" s="1">
        <f>IF(B559="", "", "UBERON:colon")</f>
        <v>0</v>
      </c>
      <c r="F559" s="1">
        <f>IF(B559="", "", "rat gut metagenome")</f>
        <v>0</v>
      </c>
      <c r="G559" s="1">
        <f>IF(B559="", "", "1436733")</f>
        <v>0</v>
      </c>
    </row>
    <row r="560" spans="1:7">
      <c r="A560">
        <f>IF(COUNTBLANK(B560:G560)&lt;&gt;COLUMNS(B560:G560),559,"")</f>
        <v>0</v>
      </c>
      <c r="C560" s="1">
        <f>IF(B560="", "", "UBERON:gastrointestinal tract")</f>
        <v>0</v>
      </c>
      <c r="D560" s="1">
        <f>IF(B560="", "", "UBERON:feces")</f>
        <v>0</v>
      </c>
      <c r="E560" s="1">
        <f>IF(B560="", "", "UBERON:colon")</f>
        <v>0</v>
      </c>
      <c r="F560" s="1">
        <f>IF(B560="", "", "rat gut metagenome")</f>
        <v>0</v>
      </c>
      <c r="G560" s="1">
        <f>IF(B560="", "", "1436733")</f>
        <v>0</v>
      </c>
    </row>
    <row r="561" spans="1:7">
      <c r="A561">
        <f>IF(COUNTBLANK(B561:G561)&lt;&gt;COLUMNS(B561:G561),560,"")</f>
        <v>0</v>
      </c>
      <c r="C561" s="1">
        <f>IF(B561="", "", "UBERON:gastrointestinal tract")</f>
        <v>0</v>
      </c>
      <c r="D561" s="1">
        <f>IF(B561="", "", "UBERON:feces")</f>
        <v>0</v>
      </c>
      <c r="E561" s="1">
        <f>IF(B561="", "", "UBERON:colon")</f>
        <v>0</v>
      </c>
      <c r="F561" s="1">
        <f>IF(B561="", "", "rat gut metagenome")</f>
        <v>0</v>
      </c>
      <c r="G561" s="1">
        <f>IF(B561="", "", "1436733")</f>
        <v>0</v>
      </c>
    </row>
    <row r="562" spans="1:7">
      <c r="A562">
        <f>IF(COUNTBLANK(B562:G562)&lt;&gt;COLUMNS(B562:G562),561,"")</f>
        <v>0</v>
      </c>
      <c r="C562" s="1">
        <f>IF(B562="", "", "UBERON:gastrointestinal tract")</f>
        <v>0</v>
      </c>
      <c r="D562" s="1">
        <f>IF(B562="", "", "UBERON:feces")</f>
        <v>0</v>
      </c>
      <c r="E562" s="1">
        <f>IF(B562="", "", "UBERON:colon")</f>
        <v>0</v>
      </c>
      <c r="F562" s="1">
        <f>IF(B562="", "", "rat gut metagenome")</f>
        <v>0</v>
      </c>
      <c r="G562" s="1">
        <f>IF(B562="", "", "1436733")</f>
        <v>0</v>
      </c>
    </row>
    <row r="563" spans="1:7">
      <c r="A563">
        <f>IF(COUNTBLANK(B563:G563)&lt;&gt;COLUMNS(B563:G563),562,"")</f>
        <v>0</v>
      </c>
      <c r="C563" s="1">
        <f>IF(B563="", "", "UBERON:gastrointestinal tract")</f>
        <v>0</v>
      </c>
      <c r="D563" s="1">
        <f>IF(B563="", "", "UBERON:feces")</f>
        <v>0</v>
      </c>
      <c r="E563" s="1">
        <f>IF(B563="", "", "UBERON:colon")</f>
        <v>0</v>
      </c>
      <c r="F563" s="1">
        <f>IF(B563="", "", "rat gut metagenome")</f>
        <v>0</v>
      </c>
      <c r="G563" s="1">
        <f>IF(B563="", "", "1436733")</f>
        <v>0</v>
      </c>
    </row>
    <row r="564" spans="1:7">
      <c r="A564">
        <f>IF(COUNTBLANK(B564:G564)&lt;&gt;COLUMNS(B564:G564),563,"")</f>
        <v>0</v>
      </c>
      <c r="C564" s="1">
        <f>IF(B564="", "", "UBERON:gastrointestinal tract")</f>
        <v>0</v>
      </c>
      <c r="D564" s="1">
        <f>IF(B564="", "", "UBERON:feces")</f>
        <v>0</v>
      </c>
      <c r="E564" s="1">
        <f>IF(B564="", "", "UBERON:colon")</f>
        <v>0</v>
      </c>
      <c r="F564" s="1">
        <f>IF(B564="", "", "rat gut metagenome")</f>
        <v>0</v>
      </c>
      <c r="G564" s="1">
        <f>IF(B564="", "", "1436733")</f>
        <v>0</v>
      </c>
    </row>
    <row r="565" spans="1:7">
      <c r="A565">
        <f>IF(COUNTBLANK(B565:G565)&lt;&gt;COLUMNS(B565:G565),564,"")</f>
        <v>0</v>
      </c>
      <c r="C565" s="1">
        <f>IF(B565="", "", "UBERON:gastrointestinal tract")</f>
        <v>0</v>
      </c>
      <c r="D565" s="1">
        <f>IF(B565="", "", "UBERON:feces")</f>
        <v>0</v>
      </c>
      <c r="E565" s="1">
        <f>IF(B565="", "", "UBERON:colon")</f>
        <v>0</v>
      </c>
      <c r="F565" s="1">
        <f>IF(B565="", "", "rat gut metagenome")</f>
        <v>0</v>
      </c>
      <c r="G565" s="1">
        <f>IF(B565="", "", "1436733")</f>
        <v>0</v>
      </c>
    </row>
    <row r="566" spans="1:7">
      <c r="A566">
        <f>IF(COUNTBLANK(B566:G566)&lt;&gt;COLUMNS(B566:G566),565,"")</f>
        <v>0</v>
      </c>
      <c r="C566" s="1">
        <f>IF(B566="", "", "UBERON:gastrointestinal tract")</f>
        <v>0</v>
      </c>
      <c r="D566" s="1">
        <f>IF(B566="", "", "UBERON:feces")</f>
        <v>0</v>
      </c>
      <c r="E566" s="1">
        <f>IF(B566="", "", "UBERON:colon")</f>
        <v>0</v>
      </c>
      <c r="F566" s="1">
        <f>IF(B566="", "", "rat gut metagenome")</f>
        <v>0</v>
      </c>
      <c r="G566" s="1">
        <f>IF(B566="", "", "1436733")</f>
        <v>0</v>
      </c>
    </row>
    <row r="567" spans="1:7">
      <c r="A567">
        <f>IF(COUNTBLANK(B567:G567)&lt;&gt;COLUMNS(B567:G567),566,"")</f>
        <v>0</v>
      </c>
      <c r="C567" s="1">
        <f>IF(B567="", "", "UBERON:gastrointestinal tract")</f>
        <v>0</v>
      </c>
      <c r="D567" s="1">
        <f>IF(B567="", "", "UBERON:feces")</f>
        <v>0</v>
      </c>
      <c r="E567" s="1">
        <f>IF(B567="", "", "UBERON:colon")</f>
        <v>0</v>
      </c>
      <c r="F567" s="1">
        <f>IF(B567="", "", "rat gut metagenome")</f>
        <v>0</v>
      </c>
      <c r="G567" s="1">
        <f>IF(B567="", "", "1436733")</f>
        <v>0</v>
      </c>
    </row>
    <row r="568" spans="1:7">
      <c r="A568">
        <f>IF(COUNTBLANK(B568:G568)&lt;&gt;COLUMNS(B568:G568),567,"")</f>
        <v>0</v>
      </c>
      <c r="C568" s="1">
        <f>IF(B568="", "", "UBERON:gastrointestinal tract")</f>
        <v>0</v>
      </c>
      <c r="D568" s="1">
        <f>IF(B568="", "", "UBERON:feces")</f>
        <v>0</v>
      </c>
      <c r="E568" s="1">
        <f>IF(B568="", "", "UBERON:colon")</f>
        <v>0</v>
      </c>
      <c r="F568" s="1">
        <f>IF(B568="", "", "rat gut metagenome")</f>
        <v>0</v>
      </c>
      <c r="G568" s="1">
        <f>IF(B568="", "", "1436733")</f>
        <v>0</v>
      </c>
    </row>
    <row r="569" spans="1:7">
      <c r="A569">
        <f>IF(COUNTBLANK(B569:G569)&lt;&gt;COLUMNS(B569:G569),568,"")</f>
        <v>0</v>
      </c>
      <c r="C569" s="1">
        <f>IF(B569="", "", "UBERON:gastrointestinal tract")</f>
        <v>0</v>
      </c>
      <c r="D569" s="1">
        <f>IF(B569="", "", "UBERON:feces")</f>
        <v>0</v>
      </c>
      <c r="E569" s="1">
        <f>IF(B569="", "", "UBERON:colon")</f>
        <v>0</v>
      </c>
      <c r="F569" s="1">
        <f>IF(B569="", "", "rat gut metagenome")</f>
        <v>0</v>
      </c>
      <c r="G569" s="1">
        <f>IF(B569="", "", "1436733")</f>
        <v>0</v>
      </c>
    </row>
    <row r="570" spans="1:7">
      <c r="A570">
        <f>IF(COUNTBLANK(B570:G570)&lt;&gt;COLUMNS(B570:G570),569,"")</f>
        <v>0</v>
      </c>
      <c r="C570" s="1">
        <f>IF(B570="", "", "UBERON:gastrointestinal tract")</f>
        <v>0</v>
      </c>
      <c r="D570" s="1">
        <f>IF(B570="", "", "UBERON:feces")</f>
        <v>0</v>
      </c>
      <c r="E570" s="1">
        <f>IF(B570="", "", "UBERON:colon")</f>
        <v>0</v>
      </c>
      <c r="F570" s="1">
        <f>IF(B570="", "", "rat gut metagenome")</f>
        <v>0</v>
      </c>
      <c r="G570" s="1">
        <f>IF(B570="", "", "1436733")</f>
        <v>0</v>
      </c>
    </row>
    <row r="571" spans="1:7">
      <c r="A571">
        <f>IF(COUNTBLANK(B571:G571)&lt;&gt;COLUMNS(B571:G571),570,"")</f>
        <v>0</v>
      </c>
      <c r="C571" s="1">
        <f>IF(B571="", "", "UBERON:gastrointestinal tract")</f>
        <v>0</v>
      </c>
      <c r="D571" s="1">
        <f>IF(B571="", "", "UBERON:feces")</f>
        <v>0</v>
      </c>
      <c r="E571" s="1">
        <f>IF(B571="", "", "UBERON:colon")</f>
        <v>0</v>
      </c>
      <c r="F571" s="1">
        <f>IF(B571="", "", "rat gut metagenome")</f>
        <v>0</v>
      </c>
      <c r="G571" s="1">
        <f>IF(B571="", "", "1436733")</f>
        <v>0</v>
      </c>
    </row>
    <row r="572" spans="1:7">
      <c r="A572">
        <f>IF(COUNTBLANK(B572:G572)&lt;&gt;COLUMNS(B572:G572),571,"")</f>
        <v>0</v>
      </c>
      <c r="C572" s="1">
        <f>IF(B572="", "", "UBERON:gastrointestinal tract")</f>
        <v>0</v>
      </c>
      <c r="D572" s="1">
        <f>IF(B572="", "", "UBERON:feces")</f>
        <v>0</v>
      </c>
      <c r="E572" s="1">
        <f>IF(B572="", "", "UBERON:colon")</f>
        <v>0</v>
      </c>
      <c r="F572" s="1">
        <f>IF(B572="", "", "rat gut metagenome")</f>
        <v>0</v>
      </c>
      <c r="G572" s="1">
        <f>IF(B572="", "", "1436733")</f>
        <v>0</v>
      </c>
    </row>
    <row r="573" spans="1:7">
      <c r="A573">
        <f>IF(COUNTBLANK(B573:G573)&lt;&gt;COLUMNS(B573:G573),572,"")</f>
        <v>0</v>
      </c>
      <c r="C573" s="1">
        <f>IF(B573="", "", "UBERON:gastrointestinal tract")</f>
        <v>0</v>
      </c>
      <c r="D573" s="1">
        <f>IF(B573="", "", "UBERON:feces")</f>
        <v>0</v>
      </c>
      <c r="E573" s="1">
        <f>IF(B573="", "", "UBERON:colon")</f>
        <v>0</v>
      </c>
      <c r="F573" s="1">
        <f>IF(B573="", "", "rat gut metagenome")</f>
        <v>0</v>
      </c>
      <c r="G573" s="1">
        <f>IF(B573="", "", "1436733")</f>
        <v>0</v>
      </c>
    </row>
    <row r="574" spans="1:7">
      <c r="A574">
        <f>IF(COUNTBLANK(B574:G574)&lt;&gt;COLUMNS(B574:G574),573,"")</f>
        <v>0</v>
      </c>
      <c r="C574" s="1">
        <f>IF(B574="", "", "UBERON:gastrointestinal tract")</f>
        <v>0</v>
      </c>
      <c r="D574" s="1">
        <f>IF(B574="", "", "UBERON:feces")</f>
        <v>0</v>
      </c>
      <c r="E574" s="1">
        <f>IF(B574="", "", "UBERON:colon")</f>
        <v>0</v>
      </c>
      <c r="F574" s="1">
        <f>IF(B574="", "", "rat gut metagenome")</f>
        <v>0</v>
      </c>
      <c r="G574" s="1">
        <f>IF(B574="", "", "1436733")</f>
        <v>0</v>
      </c>
    </row>
    <row r="575" spans="1:7">
      <c r="A575">
        <f>IF(COUNTBLANK(B575:G575)&lt;&gt;COLUMNS(B575:G575),574,"")</f>
        <v>0</v>
      </c>
      <c r="C575" s="1">
        <f>IF(B575="", "", "UBERON:gastrointestinal tract")</f>
        <v>0</v>
      </c>
      <c r="D575" s="1">
        <f>IF(B575="", "", "UBERON:feces")</f>
        <v>0</v>
      </c>
      <c r="E575" s="1">
        <f>IF(B575="", "", "UBERON:colon")</f>
        <v>0</v>
      </c>
      <c r="F575" s="1">
        <f>IF(B575="", "", "rat gut metagenome")</f>
        <v>0</v>
      </c>
      <c r="G575" s="1">
        <f>IF(B575="", "", "1436733")</f>
        <v>0</v>
      </c>
    </row>
    <row r="576" spans="1:7">
      <c r="A576">
        <f>IF(COUNTBLANK(B576:G576)&lt;&gt;COLUMNS(B576:G576),575,"")</f>
        <v>0</v>
      </c>
      <c r="C576" s="1">
        <f>IF(B576="", "", "UBERON:gastrointestinal tract")</f>
        <v>0</v>
      </c>
      <c r="D576" s="1">
        <f>IF(B576="", "", "UBERON:feces")</f>
        <v>0</v>
      </c>
      <c r="E576" s="1">
        <f>IF(B576="", "", "UBERON:colon")</f>
        <v>0</v>
      </c>
      <c r="F576" s="1">
        <f>IF(B576="", "", "rat gut metagenome")</f>
        <v>0</v>
      </c>
      <c r="G576" s="1">
        <f>IF(B576="", "", "1436733")</f>
        <v>0</v>
      </c>
    </row>
    <row r="577" spans="1:7">
      <c r="A577">
        <f>IF(COUNTBLANK(B577:G577)&lt;&gt;COLUMNS(B577:G577),576,"")</f>
        <v>0</v>
      </c>
      <c r="C577" s="1">
        <f>IF(B577="", "", "UBERON:gastrointestinal tract")</f>
        <v>0</v>
      </c>
      <c r="D577" s="1">
        <f>IF(B577="", "", "UBERON:feces")</f>
        <v>0</v>
      </c>
      <c r="E577" s="1">
        <f>IF(B577="", "", "UBERON:colon")</f>
        <v>0</v>
      </c>
      <c r="F577" s="1">
        <f>IF(B577="", "", "rat gut metagenome")</f>
        <v>0</v>
      </c>
      <c r="G577" s="1">
        <f>IF(B577="", "", "1436733")</f>
        <v>0</v>
      </c>
    </row>
    <row r="578" spans="1:7">
      <c r="A578">
        <f>IF(COUNTBLANK(B578:G578)&lt;&gt;COLUMNS(B578:G578),577,"")</f>
        <v>0</v>
      </c>
      <c r="C578" s="1">
        <f>IF(B578="", "", "UBERON:gastrointestinal tract")</f>
        <v>0</v>
      </c>
      <c r="D578" s="1">
        <f>IF(B578="", "", "UBERON:feces")</f>
        <v>0</v>
      </c>
      <c r="E578" s="1">
        <f>IF(B578="", "", "UBERON:colon")</f>
        <v>0</v>
      </c>
      <c r="F578" s="1">
        <f>IF(B578="", "", "rat gut metagenome")</f>
        <v>0</v>
      </c>
      <c r="G578" s="1">
        <f>IF(B578="", "", "1436733")</f>
        <v>0</v>
      </c>
    </row>
    <row r="579" spans="1:7">
      <c r="A579">
        <f>IF(COUNTBLANK(B579:G579)&lt;&gt;COLUMNS(B579:G579),578,"")</f>
        <v>0</v>
      </c>
      <c r="C579" s="1">
        <f>IF(B579="", "", "UBERON:gastrointestinal tract")</f>
        <v>0</v>
      </c>
      <c r="D579" s="1">
        <f>IF(B579="", "", "UBERON:feces")</f>
        <v>0</v>
      </c>
      <c r="E579" s="1">
        <f>IF(B579="", "", "UBERON:colon")</f>
        <v>0</v>
      </c>
      <c r="F579" s="1">
        <f>IF(B579="", "", "rat gut metagenome")</f>
        <v>0</v>
      </c>
      <c r="G579" s="1">
        <f>IF(B579="", "", "1436733")</f>
        <v>0</v>
      </c>
    </row>
    <row r="580" spans="1:7">
      <c r="A580">
        <f>IF(COUNTBLANK(B580:G580)&lt;&gt;COLUMNS(B580:G580),579,"")</f>
        <v>0</v>
      </c>
      <c r="C580" s="1">
        <f>IF(B580="", "", "UBERON:gastrointestinal tract")</f>
        <v>0</v>
      </c>
      <c r="D580" s="1">
        <f>IF(B580="", "", "UBERON:feces")</f>
        <v>0</v>
      </c>
      <c r="E580" s="1">
        <f>IF(B580="", "", "UBERON:colon")</f>
        <v>0</v>
      </c>
      <c r="F580" s="1">
        <f>IF(B580="", "", "rat gut metagenome")</f>
        <v>0</v>
      </c>
      <c r="G580" s="1">
        <f>IF(B580="", "", "1436733")</f>
        <v>0</v>
      </c>
    </row>
    <row r="581" spans="1:7">
      <c r="A581">
        <f>IF(COUNTBLANK(B581:G581)&lt;&gt;COLUMNS(B581:G581),580,"")</f>
        <v>0</v>
      </c>
      <c r="C581" s="1">
        <f>IF(B581="", "", "UBERON:gastrointestinal tract")</f>
        <v>0</v>
      </c>
      <c r="D581" s="1">
        <f>IF(B581="", "", "UBERON:feces")</f>
        <v>0</v>
      </c>
      <c r="E581" s="1">
        <f>IF(B581="", "", "UBERON:colon")</f>
        <v>0</v>
      </c>
      <c r="F581" s="1">
        <f>IF(B581="", "", "rat gut metagenome")</f>
        <v>0</v>
      </c>
      <c r="G581" s="1">
        <f>IF(B581="", "", "1436733")</f>
        <v>0</v>
      </c>
    </row>
    <row r="582" spans="1:7">
      <c r="A582">
        <f>IF(COUNTBLANK(B582:G582)&lt;&gt;COLUMNS(B582:G582),581,"")</f>
        <v>0</v>
      </c>
      <c r="C582" s="1">
        <f>IF(B582="", "", "UBERON:gastrointestinal tract")</f>
        <v>0</v>
      </c>
      <c r="D582" s="1">
        <f>IF(B582="", "", "UBERON:feces")</f>
        <v>0</v>
      </c>
      <c r="E582" s="1">
        <f>IF(B582="", "", "UBERON:colon")</f>
        <v>0</v>
      </c>
      <c r="F582" s="1">
        <f>IF(B582="", "", "rat gut metagenome")</f>
        <v>0</v>
      </c>
      <c r="G582" s="1">
        <f>IF(B582="", "", "1436733")</f>
        <v>0</v>
      </c>
    </row>
    <row r="583" spans="1:7">
      <c r="A583">
        <f>IF(COUNTBLANK(B583:G583)&lt;&gt;COLUMNS(B583:G583),582,"")</f>
        <v>0</v>
      </c>
      <c r="C583" s="1">
        <f>IF(B583="", "", "UBERON:gastrointestinal tract")</f>
        <v>0</v>
      </c>
      <c r="D583" s="1">
        <f>IF(B583="", "", "UBERON:feces")</f>
        <v>0</v>
      </c>
      <c r="E583" s="1">
        <f>IF(B583="", "", "UBERON:colon")</f>
        <v>0</v>
      </c>
      <c r="F583" s="1">
        <f>IF(B583="", "", "rat gut metagenome")</f>
        <v>0</v>
      </c>
      <c r="G583" s="1">
        <f>IF(B583="", "", "1436733")</f>
        <v>0</v>
      </c>
    </row>
    <row r="584" spans="1:7">
      <c r="A584">
        <f>IF(COUNTBLANK(B584:G584)&lt;&gt;COLUMNS(B584:G584),583,"")</f>
        <v>0</v>
      </c>
      <c r="C584" s="1">
        <f>IF(B584="", "", "UBERON:gastrointestinal tract")</f>
        <v>0</v>
      </c>
      <c r="D584" s="1">
        <f>IF(B584="", "", "UBERON:feces")</f>
        <v>0</v>
      </c>
      <c r="E584" s="1">
        <f>IF(B584="", "", "UBERON:colon")</f>
        <v>0</v>
      </c>
      <c r="F584" s="1">
        <f>IF(B584="", "", "rat gut metagenome")</f>
        <v>0</v>
      </c>
      <c r="G584" s="1">
        <f>IF(B584="", "", "1436733")</f>
        <v>0</v>
      </c>
    </row>
    <row r="585" spans="1:7">
      <c r="A585">
        <f>IF(COUNTBLANK(B585:G585)&lt;&gt;COLUMNS(B585:G585),584,"")</f>
        <v>0</v>
      </c>
      <c r="C585" s="1">
        <f>IF(B585="", "", "UBERON:gastrointestinal tract")</f>
        <v>0</v>
      </c>
      <c r="D585" s="1">
        <f>IF(B585="", "", "UBERON:feces")</f>
        <v>0</v>
      </c>
      <c r="E585" s="1">
        <f>IF(B585="", "", "UBERON:colon")</f>
        <v>0</v>
      </c>
      <c r="F585" s="1">
        <f>IF(B585="", "", "rat gut metagenome")</f>
        <v>0</v>
      </c>
      <c r="G585" s="1">
        <f>IF(B585="", "", "1436733")</f>
        <v>0</v>
      </c>
    </row>
    <row r="586" spans="1:7">
      <c r="A586">
        <f>IF(COUNTBLANK(B586:G586)&lt;&gt;COLUMNS(B586:G586),585,"")</f>
        <v>0</v>
      </c>
      <c r="C586" s="1">
        <f>IF(B586="", "", "UBERON:gastrointestinal tract")</f>
        <v>0</v>
      </c>
      <c r="D586" s="1">
        <f>IF(B586="", "", "UBERON:feces")</f>
        <v>0</v>
      </c>
      <c r="E586" s="1">
        <f>IF(B586="", "", "UBERON:colon")</f>
        <v>0</v>
      </c>
      <c r="F586" s="1">
        <f>IF(B586="", "", "rat gut metagenome")</f>
        <v>0</v>
      </c>
      <c r="G586" s="1">
        <f>IF(B586="", "", "1436733")</f>
        <v>0</v>
      </c>
    </row>
    <row r="587" spans="1:7">
      <c r="A587">
        <f>IF(COUNTBLANK(B587:G587)&lt;&gt;COLUMNS(B587:G587),586,"")</f>
        <v>0</v>
      </c>
      <c r="C587" s="1">
        <f>IF(B587="", "", "UBERON:gastrointestinal tract")</f>
        <v>0</v>
      </c>
      <c r="D587" s="1">
        <f>IF(B587="", "", "UBERON:feces")</f>
        <v>0</v>
      </c>
      <c r="E587" s="1">
        <f>IF(B587="", "", "UBERON:colon")</f>
        <v>0</v>
      </c>
      <c r="F587" s="1">
        <f>IF(B587="", "", "rat gut metagenome")</f>
        <v>0</v>
      </c>
      <c r="G587" s="1">
        <f>IF(B587="", "", "1436733")</f>
        <v>0</v>
      </c>
    </row>
    <row r="588" spans="1:7">
      <c r="A588">
        <f>IF(COUNTBLANK(B588:G588)&lt;&gt;COLUMNS(B588:G588),587,"")</f>
        <v>0</v>
      </c>
      <c r="C588" s="1">
        <f>IF(B588="", "", "UBERON:gastrointestinal tract")</f>
        <v>0</v>
      </c>
      <c r="D588" s="1">
        <f>IF(B588="", "", "UBERON:feces")</f>
        <v>0</v>
      </c>
      <c r="E588" s="1">
        <f>IF(B588="", "", "UBERON:colon")</f>
        <v>0</v>
      </c>
      <c r="F588" s="1">
        <f>IF(B588="", "", "rat gut metagenome")</f>
        <v>0</v>
      </c>
      <c r="G588" s="1">
        <f>IF(B588="", "", "1436733")</f>
        <v>0</v>
      </c>
    </row>
    <row r="589" spans="1:7">
      <c r="A589">
        <f>IF(COUNTBLANK(B589:G589)&lt;&gt;COLUMNS(B589:G589),588,"")</f>
        <v>0</v>
      </c>
      <c r="C589" s="1">
        <f>IF(B589="", "", "UBERON:gastrointestinal tract")</f>
        <v>0</v>
      </c>
      <c r="D589" s="1">
        <f>IF(B589="", "", "UBERON:feces")</f>
        <v>0</v>
      </c>
      <c r="E589" s="1">
        <f>IF(B589="", "", "UBERON:colon")</f>
        <v>0</v>
      </c>
      <c r="F589" s="1">
        <f>IF(B589="", "", "rat gut metagenome")</f>
        <v>0</v>
      </c>
      <c r="G589" s="1">
        <f>IF(B589="", "", "1436733")</f>
        <v>0</v>
      </c>
    </row>
    <row r="590" spans="1:7">
      <c r="A590">
        <f>IF(COUNTBLANK(B590:G590)&lt;&gt;COLUMNS(B590:G590),589,"")</f>
        <v>0</v>
      </c>
      <c r="C590" s="1">
        <f>IF(B590="", "", "UBERON:gastrointestinal tract")</f>
        <v>0</v>
      </c>
      <c r="D590" s="1">
        <f>IF(B590="", "", "UBERON:feces")</f>
        <v>0</v>
      </c>
      <c r="E590" s="1">
        <f>IF(B590="", "", "UBERON:colon")</f>
        <v>0</v>
      </c>
      <c r="F590" s="1">
        <f>IF(B590="", "", "rat gut metagenome")</f>
        <v>0</v>
      </c>
      <c r="G590" s="1">
        <f>IF(B590="", "", "1436733")</f>
        <v>0</v>
      </c>
    </row>
    <row r="591" spans="1:7">
      <c r="A591">
        <f>IF(COUNTBLANK(B591:G591)&lt;&gt;COLUMNS(B591:G591),590,"")</f>
        <v>0</v>
      </c>
      <c r="C591" s="1">
        <f>IF(B591="", "", "UBERON:gastrointestinal tract")</f>
        <v>0</v>
      </c>
      <c r="D591" s="1">
        <f>IF(B591="", "", "UBERON:feces")</f>
        <v>0</v>
      </c>
      <c r="E591" s="1">
        <f>IF(B591="", "", "UBERON:colon")</f>
        <v>0</v>
      </c>
      <c r="F591" s="1">
        <f>IF(B591="", "", "rat gut metagenome")</f>
        <v>0</v>
      </c>
      <c r="G591" s="1">
        <f>IF(B591="", "", "1436733")</f>
        <v>0</v>
      </c>
    </row>
    <row r="592" spans="1:7">
      <c r="A592">
        <f>IF(COUNTBLANK(B592:G592)&lt;&gt;COLUMNS(B592:G592),591,"")</f>
        <v>0</v>
      </c>
      <c r="C592" s="1">
        <f>IF(B592="", "", "UBERON:gastrointestinal tract")</f>
        <v>0</v>
      </c>
      <c r="D592" s="1">
        <f>IF(B592="", "", "UBERON:feces")</f>
        <v>0</v>
      </c>
      <c r="E592" s="1">
        <f>IF(B592="", "", "UBERON:colon")</f>
        <v>0</v>
      </c>
      <c r="F592" s="1">
        <f>IF(B592="", "", "rat gut metagenome")</f>
        <v>0</v>
      </c>
      <c r="G592" s="1">
        <f>IF(B592="", "", "1436733")</f>
        <v>0</v>
      </c>
    </row>
    <row r="593" spans="1:7">
      <c r="A593">
        <f>IF(COUNTBLANK(B593:G593)&lt;&gt;COLUMNS(B593:G593),592,"")</f>
        <v>0</v>
      </c>
      <c r="C593" s="1">
        <f>IF(B593="", "", "UBERON:gastrointestinal tract")</f>
        <v>0</v>
      </c>
      <c r="D593" s="1">
        <f>IF(B593="", "", "UBERON:feces")</f>
        <v>0</v>
      </c>
      <c r="E593" s="1">
        <f>IF(B593="", "", "UBERON:colon")</f>
        <v>0</v>
      </c>
      <c r="F593" s="1">
        <f>IF(B593="", "", "rat gut metagenome")</f>
        <v>0</v>
      </c>
      <c r="G593" s="1">
        <f>IF(B593="", "", "1436733")</f>
        <v>0</v>
      </c>
    </row>
    <row r="594" spans="1:7">
      <c r="A594">
        <f>IF(COUNTBLANK(B594:G594)&lt;&gt;COLUMNS(B594:G594),593,"")</f>
        <v>0</v>
      </c>
      <c r="C594" s="1">
        <f>IF(B594="", "", "UBERON:gastrointestinal tract")</f>
        <v>0</v>
      </c>
      <c r="D594" s="1">
        <f>IF(B594="", "", "UBERON:feces")</f>
        <v>0</v>
      </c>
      <c r="E594" s="1">
        <f>IF(B594="", "", "UBERON:colon")</f>
        <v>0</v>
      </c>
      <c r="F594" s="1">
        <f>IF(B594="", "", "rat gut metagenome")</f>
        <v>0</v>
      </c>
      <c r="G594" s="1">
        <f>IF(B594="", "", "1436733")</f>
        <v>0</v>
      </c>
    </row>
    <row r="595" spans="1:7">
      <c r="A595">
        <f>IF(COUNTBLANK(B595:G595)&lt;&gt;COLUMNS(B595:G595),594,"")</f>
        <v>0</v>
      </c>
      <c r="C595" s="1">
        <f>IF(B595="", "", "UBERON:gastrointestinal tract")</f>
        <v>0</v>
      </c>
      <c r="D595" s="1">
        <f>IF(B595="", "", "UBERON:feces")</f>
        <v>0</v>
      </c>
      <c r="E595" s="1">
        <f>IF(B595="", "", "UBERON:colon")</f>
        <v>0</v>
      </c>
      <c r="F595" s="1">
        <f>IF(B595="", "", "rat gut metagenome")</f>
        <v>0</v>
      </c>
      <c r="G595" s="1">
        <f>IF(B595="", "", "1436733")</f>
        <v>0</v>
      </c>
    </row>
    <row r="596" spans="1:7">
      <c r="A596">
        <f>IF(COUNTBLANK(B596:G596)&lt;&gt;COLUMNS(B596:G596),595,"")</f>
        <v>0</v>
      </c>
      <c r="C596" s="1">
        <f>IF(B596="", "", "UBERON:gastrointestinal tract")</f>
        <v>0</v>
      </c>
      <c r="D596" s="1">
        <f>IF(B596="", "", "UBERON:feces")</f>
        <v>0</v>
      </c>
      <c r="E596" s="1">
        <f>IF(B596="", "", "UBERON:colon")</f>
        <v>0</v>
      </c>
      <c r="F596" s="1">
        <f>IF(B596="", "", "rat gut metagenome")</f>
        <v>0</v>
      </c>
      <c r="G596" s="1">
        <f>IF(B596="", "", "1436733")</f>
        <v>0</v>
      </c>
    </row>
    <row r="597" spans="1:7">
      <c r="A597">
        <f>IF(COUNTBLANK(B597:G597)&lt;&gt;COLUMNS(B597:G597),596,"")</f>
        <v>0</v>
      </c>
      <c r="C597" s="1">
        <f>IF(B597="", "", "UBERON:gastrointestinal tract")</f>
        <v>0</v>
      </c>
      <c r="D597" s="1">
        <f>IF(B597="", "", "UBERON:feces")</f>
        <v>0</v>
      </c>
      <c r="E597" s="1">
        <f>IF(B597="", "", "UBERON:colon")</f>
        <v>0</v>
      </c>
      <c r="F597" s="1">
        <f>IF(B597="", "", "rat gut metagenome")</f>
        <v>0</v>
      </c>
      <c r="G597" s="1">
        <f>IF(B597="", "", "1436733")</f>
        <v>0</v>
      </c>
    </row>
    <row r="598" spans="1:7">
      <c r="A598">
        <f>IF(COUNTBLANK(B598:G598)&lt;&gt;COLUMNS(B598:G598),597,"")</f>
        <v>0</v>
      </c>
      <c r="C598" s="1">
        <f>IF(B598="", "", "UBERON:gastrointestinal tract")</f>
        <v>0</v>
      </c>
      <c r="D598" s="1">
        <f>IF(B598="", "", "UBERON:feces")</f>
        <v>0</v>
      </c>
      <c r="E598" s="1">
        <f>IF(B598="", "", "UBERON:colon")</f>
        <v>0</v>
      </c>
      <c r="F598" s="1">
        <f>IF(B598="", "", "rat gut metagenome")</f>
        <v>0</v>
      </c>
      <c r="G598" s="1">
        <f>IF(B598="", "", "1436733")</f>
        <v>0</v>
      </c>
    </row>
    <row r="599" spans="1:7">
      <c r="A599">
        <f>IF(COUNTBLANK(B599:G599)&lt;&gt;COLUMNS(B599:G599),598,"")</f>
        <v>0</v>
      </c>
      <c r="C599" s="1">
        <f>IF(B599="", "", "UBERON:gastrointestinal tract")</f>
        <v>0</v>
      </c>
      <c r="D599" s="1">
        <f>IF(B599="", "", "UBERON:feces")</f>
        <v>0</v>
      </c>
      <c r="E599" s="1">
        <f>IF(B599="", "", "UBERON:colon")</f>
        <v>0</v>
      </c>
      <c r="F599" s="1">
        <f>IF(B599="", "", "rat gut metagenome")</f>
        <v>0</v>
      </c>
      <c r="G599" s="1">
        <f>IF(B599="", "", "1436733")</f>
        <v>0</v>
      </c>
    </row>
    <row r="600" spans="1:7">
      <c r="A600">
        <f>IF(COUNTBLANK(B600:G600)&lt;&gt;COLUMNS(B600:G600),599,"")</f>
        <v>0</v>
      </c>
      <c r="C600" s="1">
        <f>IF(B600="", "", "UBERON:gastrointestinal tract")</f>
        <v>0</v>
      </c>
      <c r="D600" s="1">
        <f>IF(B600="", "", "UBERON:feces")</f>
        <v>0</v>
      </c>
      <c r="E600" s="1">
        <f>IF(B600="", "", "UBERON:colon")</f>
        <v>0</v>
      </c>
      <c r="F600" s="1">
        <f>IF(B600="", "", "rat gut metagenome")</f>
        <v>0</v>
      </c>
      <c r="G600" s="1">
        <f>IF(B600="", "", "1436733")</f>
        <v>0</v>
      </c>
    </row>
    <row r="601" spans="1:7">
      <c r="A601">
        <f>IF(COUNTBLANK(B601:G601)&lt;&gt;COLUMNS(B601:G601),600,"")</f>
        <v>0</v>
      </c>
      <c r="C601" s="1">
        <f>IF(B601="", "", "UBERON:gastrointestinal tract")</f>
        <v>0</v>
      </c>
      <c r="D601" s="1">
        <f>IF(B601="", "", "UBERON:feces")</f>
        <v>0</v>
      </c>
      <c r="E601" s="1">
        <f>IF(B601="", "", "UBERON:colon")</f>
        <v>0</v>
      </c>
      <c r="F601" s="1">
        <f>IF(B601="", "", "rat gut metagenome")</f>
        <v>0</v>
      </c>
      <c r="G601" s="1">
        <f>IF(B601="", "", "1436733")</f>
        <v>0</v>
      </c>
    </row>
    <row r="602" spans="1:7">
      <c r="A602">
        <f>IF(COUNTBLANK(B602:G602)&lt;&gt;COLUMNS(B602:G602),601,"")</f>
        <v>0</v>
      </c>
      <c r="C602" s="1">
        <f>IF(B602="", "", "UBERON:gastrointestinal tract")</f>
        <v>0</v>
      </c>
      <c r="D602" s="1">
        <f>IF(B602="", "", "UBERON:feces")</f>
        <v>0</v>
      </c>
      <c r="E602" s="1">
        <f>IF(B602="", "", "UBERON:colon")</f>
        <v>0</v>
      </c>
      <c r="F602" s="1">
        <f>IF(B602="", "", "rat gut metagenome")</f>
        <v>0</v>
      </c>
      <c r="G602" s="1">
        <f>IF(B602="", "", "1436733")</f>
        <v>0</v>
      </c>
    </row>
    <row r="603" spans="1:7">
      <c r="A603">
        <f>IF(COUNTBLANK(B603:G603)&lt;&gt;COLUMNS(B603:G603),602,"")</f>
        <v>0</v>
      </c>
      <c r="C603" s="1">
        <f>IF(B603="", "", "UBERON:gastrointestinal tract")</f>
        <v>0</v>
      </c>
      <c r="D603" s="1">
        <f>IF(B603="", "", "UBERON:feces")</f>
        <v>0</v>
      </c>
      <c r="E603" s="1">
        <f>IF(B603="", "", "UBERON:colon")</f>
        <v>0</v>
      </c>
      <c r="F603" s="1">
        <f>IF(B603="", "", "rat gut metagenome")</f>
        <v>0</v>
      </c>
      <c r="G603" s="1">
        <f>IF(B603="", "", "1436733")</f>
        <v>0</v>
      </c>
    </row>
    <row r="604" spans="1:7">
      <c r="A604">
        <f>IF(COUNTBLANK(B604:G604)&lt;&gt;COLUMNS(B604:G604),603,"")</f>
        <v>0</v>
      </c>
      <c r="C604" s="1">
        <f>IF(B604="", "", "UBERON:gastrointestinal tract")</f>
        <v>0</v>
      </c>
      <c r="D604" s="1">
        <f>IF(B604="", "", "UBERON:feces")</f>
        <v>0</v>
      </c>
      <c r="E604" s="1">
        <f>IF(B604="", "", "UBERON:colon")</f>
        <v>0</v>
      </c>
      <c r="F604" s="1">
        <f>IF(B604="", "", "rat gut metagenome")</f>
        <v>0</v>
      </c>
      <c r="G604" s="1">
        <f>IF(B604="", "", "1436733")</f>
        <v>0</v>
      </c>
    </row>
    <row r="605" spans="1:7">
      <c r="A605">
        <f>IF(COUNTBLANK(B605:G605)&lt;&gt;COLUMNS(B605:G605),604,"")</f>
        <v>0</v>
      </c>
      <c r="C605" s="1">
        <f>IF(B605="", "", "UBERON:gastrointestinal tract")</f>
        <v>0</v>
      </c>
      <c r="D605" s="1">
        <f>IF(B605="", "", "UBERON:feces")</f>
        <v>0</v>
      </c>
      <c r="E605" s="1">
        <f>IF(B605="", "", "UBERON:colon")</f>
        <v>0</v>
      </c>
      <c r="F605" s="1">
        <f>IF(B605="", "", "rat gut metagenome")</f>
        <v>0</v>
      </c>
      <c r="G605" s="1">
        <f>IF(B605="", "", "1436733")</f>
        <v>0</v>
      </c>
    </row>
    <row r="606" spans="1:7">
      <c r="A606">
        <f>IF(COUNTBLANK(B606:G606)&lt;&gt;COLUMNS(B606:G606),605,"")</f>
        <v>0</v>
      </c>
      <c r="C606" s="1">
        <f>IF(B606="", "", "UBERON:gastrointestinal tract")</f>
        <v>0</v>
      </c>
      <c r="D606" s="1">
        <f>IF(B606="", "", "UBERON:feces")</f>
        <v>0</v>
      </c>
      <c r="E606" s="1">
        <f>IF(B606="", "", "UBERON:colon")</f>
        <v>0</v>
      </c>
      <c r="F606" s="1">
        <f>IF(B606="", "", "rat gut metagenome")</f>
        <v>0</v>
      </c>
      <c r="G606" s="1">
        <f>IF(B606="", "", "1436733")</f>
        <v>0</v>
      </c>
    </row>
    <row r="607" spans="1:7">
      <c r="A607">
        <f>IF(COUNTBLANK(B607:G607)&lt;&gt;COLUMNS(B607:G607),606,"")</f>
        <v>0</v>
      </c>
      <c r="C607" s="1">
        <f>IF(B607="", "", "UBERON:gastrointestinal tract")</f>
        <v>0</v>
      </c>
      <c r="D607" s="1">
        <f>IF(B607="", "", "UBERON:feces")</f>
        <v>0</v>
      </c>
      <c r="E607" s="1">
        <f>IF(B607="", "", "UBERON:colon")</f>
        <v>0</v>
      </c>
      <c r="F607" s="1">
        <f>IF(B607="", "", "rat gut metagenome")</f>
        <v>0</v>
      </c>
      <c r="G607" s="1">
        <f>IF(B607="", "", "1436733")</f>
        <v>0</v>
      </c>
    </row>
    <row r="608" spans="1:7">
      <c r="A608">
        <f>IF(COUNTBLANK(B608:G608)&lt;&gt;COLUMNS(B608:G608),607,"")</f>
        <v>0</v>
      </c>
      <c r="C608" s="1">
        <f>IF(B608="", "", "UBERON:gastrointestinal tract")</f>
        <v>0</v>
      </c>
      <c r="D608" s="1">
        <f>IF(B608="", "", "UBERON:feces")</f>
        <v>0</v>
      </c>
      <c r="E608" s="1">
        <f>IF(B608="", "", "UBERON:colon")</f>
        <v>0</v>
      </c>
      <c r="F608" s="1">
        <f>IF(B608="", "", "rat gut metagenome")</f>
        <v>0</v>
      </c>
      <c r="G608" s="1">
        <f>IF(B608="", "", "1436733")</f>
        <v>0</v>
      </c>
    </row>
    <row r="609" spans="1:7">
      <c r="A609">
        <f>IF(COUNTBLANK(B609:G609)&lt;&gt;COLUMNS(B609:G609),608,"")</f>
        <v>0</v>
      </c>
      <c r="C609" s="1">
        <f>IF(B609="", "", "UBERON:gastrointestinal tract")</f>
        <v>0</v>
      </c>
      <c r="D609" s="1">
        <f>IF(B609="", "", "UBERON:feces")</f>
        <v>0</v>
      </c>
      <c r="E609" s="1">
        <f>IF(B609="", "", "UBERON:colon")</f>
        <v>0</v>
      </c>
      <c r="F609" s="1">
        <f>IF(B609="", "", "rat gut metagenome")</f>
        <v>0</v>
      </c>
      <c r="G609" s="1">
        <f>IF(B609="", "", "1436733")</f>
        <v>0</v>
      </c>
    </row>
    <row r="610" spans="1:7">
      <c r="A610">
        <f>IF(COUNTBLANK(B610:G610)&lt;&gt;COLUMNS(B610:G610),609,"")</f>
        <v>0</v>
      </c>
      <c r="C610" s="1">
        <f>IF(B610="", "", "UBERON:gastrointestinal tract")</f>
        <v>0</v>
      </c>
      <c r="D610" s="1">
        <f>IF(B610="", "", "UBERON:feces")</f>
        <v>0</v>
      </c>
      <c r="E610" s="1">
        <f>IF(B610="", "", "UBERON:colon")</f>
        <v>0</v>
      </c>
      <c r="F610" s="1">
        <f>IF(B610="", "", "rat gut metagenome")</f>
        <v>0</v>
      </c>
      <c r="G610" s="1">
        <f>IF(B610="", "", "1436733")</f>
        <v>0</v>
      </c>
    </row>
    <row r="611" spans="1:7">
      <c r="A611">
        <f>IF(COUNTBLANK(B611:G611)&lt;&gt;COLUMNS(B611:G611),610,"")</f>
        <v>0</v>
      </c>
      <c r="C611" s="1">
        <f>IF(B611="", "", "UBERON:gastrointestinal tract")</f>
        <v>0</v>
      </c>
      <c r="D611" s="1">
        <f>IF(B611="", "", "UBERON:feces")</f>
        <v>0</v>
      </c>
      <c r="E611" s="1">
        <f>IF(B611="", "", "UBERON:colon")</f>
        <v>0</v>
      </c>
      <c r="F611" s="1">
        <f>IF(B611="", "", "rat gut metagenome")</f>
        <v>0</v>
      </c>
      <c r="G611" s="1">
        <f>IF(B611="", "", "1436733")</f>
        <v>0</v>
      </c>
    </row>
    <row r="612" spans="1:7">
      <c r="A612">
        <f>IF(COUNTBLANK(B612:G612)&lt;&gt;COLUMNS(B612:G612),611,"")</f>
        <v>0</v>
      </c>
      <c r="C612" s="1">
        <f>IF(B612="", "", "UBERON:gastrointestinal tract")</f>
        <v>0</v>
      </c>
      <c r="D612" s="1">
        <f>IF(B612="", "", "UBERON:feces")</f>
        <v>0</v>
      </c>
      <c r="E612" s="1">
        <f>IF(B612="", "", "UBERON:colon")</f>
        <v>0</v>
      </c>
      <c r="F612" s="1">
        <f>IF(B612="", "", "rat gut metagenome")</f>
        <v>0</v>
      </c>
      <c r="G612" s="1">
        <f>IF(B612="", "", "1436733")</f>
        <v>0</v>
      </c>
    </row>
    <row r="613" spans="1:7">
      <c r="A613">
        <f>IF(COUNTBLANK(B613:G613)&lt;&gt;COLUMNS(B613:G613),612,"")</f>
        <v>0</v>
      </c>
      <c r="C613" s="1">
        <f>IF(B613="", "", "UBERON:gastrointestinal tract")</f>
        <v>0</v>
      </c>
      <c r="D613" s="1">
        <f>IF(B613="", "", "UBERON:feces")</f>
        <v>0</v>
      </c>
      <c r="E613" s="1">
        <f>IF(B613="", "", "UBERON:colon")</f>
        <v>0</v>
      </c>
      <c r="F613" s="1">
        <f>IF(B613="", "", "rat gut metagenome")</f>
        <v>0</v>
      </c>
      <c r="G613" s="1">
        <f>IF(B613="", "", "1436733")</f>
        <v>0</v>
      </c>
    </row>
    <row r="614" spans="1:7">
      <c r="A614">
        <f>IF(COUNTBLANK(B614:G614)&lt;&gt;COLUMNS(B614:G614),613,"")</f>
        <v>0</v>
      </c>
      <c r="C614" s="1">
        <f>IF(B614="", "", "UBERON:gastrointestinal tract")</f>
        <v>0</v>
      </c>
      <c r="D614" s="1">
        <f>IF(B614="", "", "UBERON:feces")</f>
        <v>0</v>
      </c>
      <c r="E614" s="1">
        <f>IF(B614="", "", "UBERON:colon")</f>
        <v>0</v>
      </c>
      <c r="F614" s="1">
        <f>IF(B614="", "", "rat gut metagenome")</f>
        <v>0</v>
      </c>
      <c r="G614" s="1">
        <f>IF(B614="", "", "1436733")</f>
        <v>0</v>
      </c>
    </row>
    <row r="615" spans="1:7">
      <c r="A615">
        <f>IF(COUNTBLANK(B615:G615)&lt;&gt;COLUMNS(B615:G615),614,"")</f>
        <v>0</v>
      </c>
      <c r="C615" s="1">
        <f>IF(B615="", "", "UBERON:gastrointestinal tract")</f>
        <v>0</v>
      </c>
      <c r="D615" s="1">
        <f>IF(B615="", "", "UBERON:feces")</f>
        <v>0</v>
      </c>
      <c r="E615" s="1">
        <f>IF(B615="", "", "UBERON:colon")</f>
        <v>0</v>
      </c>
      <c r="F615" s="1">
        <f>IF(B615="", "", "rat gut metagenome")</f>
        <v>0</v>
      </c>
      <c r="G615" s="1">
        <f>IF(B615="", "", "1436733")</f>
        <v>0</v>
      </c>
    </row>
    <row r="616" spans="1:7">
      <c r="A616">
        <f>IF(COUNTBLANK(B616:G616)&lt;&gt;COLUMNS(B616:G616),615,"")</f>
        <v>0</v>
      </c>
      <c r="C616" s="1">
        <f>IF(B616="", "", "UBERON:gastrointestinal tract")</f>
        <v>0</v>
      </c>
      <c r="D616" s="1">
        <f>IF(B616="", "", "UBERON:feces")</f>
        <v>0</v>
      </c>
      <c r="E616" s="1">
        <f>IF(B616="", "", "UBERON:colon")</f>
        <v>0</v>
      </c>
      <c r="F616" s="1">
        <f>IF(B616="", "", "rat gut metagenome")</f>
        <v>0</v>
      </c>
      <c r="G616" s="1">
        <f>IF(B616="", "", "1436733")</f>
        <v>0</v>
      </c>
    </row>
    <row r="617" spans="1:7">
      <c r="A617">
        <f>IF(COUNTBLANK(B617:G617)&lt;&gt;COLUMNS(B617:G617),616,"")</f>
        <v>0</v>
      </c>
      <c r="C617" s="1">
        <f>IF(B617="", "", "UBERON:gastrointestinal tract")</f>
        <v>0</v>
      </c>
      <c r="D617" s="1">
        <f>IF(B617="", "", "UBERON:feces")</f>
        <v>0</v>
      </c>
      <c r="E617" s="1">
        <f>IF(B617="", "", "UBERON:colon")</f>
        <v>0</v>
      </c>
      <c r="F617" s="1">
        <f>IF(B617="", "", "rat gut metagenome")</f>
        <v>0</v>
      </c>
      <c r="G617" s="1">
        <f>IF(B617="", "", "1436733")</f>
        <v>0</v>
      </c>
    </row>
    <row r="618" spans="1:7">
      <c r="A618">
        <f>IF(COUNTBLANK(B618:G618)&lt;&gt;COLUMNS(B618:G618),617,"")</f>
        <v>0</v>
      </c>
      <c r="C618" s="1">
        <f>IF(B618="", "", "UBERON:gastrointestinal tract")</f>
        <v>0</v>
      </c>
      <c r="D618" s="1">
        <f>IF(B618="", "", "UBERON:feces")</f>
        <v>0</v>
      </c>
      <c r="E618" s="1">
        <f>IF(B618="", "", "UBERON:colon")</f>
        <v>0</v>
      </c>
      <c r="F618" s="1">
        <f>IF(B618="", "", "rat gut metagenome")</f>
        <v>0</v>
      </c>
      <c r="G618" s="1">
        <f>IF(B618="", "", "1436733")</f>
        <v>0</v>
      </c>
    </row>
    <row r="619" spans="1:7">
      <c r="A619">
        <f>IF(COUNTBLANK(B619:G619)&lt;&gt;COLUMNS(B619:G619),618,"")</f>
        <v>0</v>
      </c>
      <c r="C619" s="1">
        <f>IF(B619="", "", "UBERON:gastrointestinal tract")</f>
        <v>0</v>
      </c>
      <c r="D619" s="1">
        <f>IF(B619="", "", "UBERON:feces")</f>
        <v>0</v>
      </c>
      <c r="E619" s="1">
        <f>IF(B619="", "", "UBERON:colon")</f>
        <v>0</v>
      </c>
      <c r="F619" s="1">
        <f>IF(B619="", "", "rat gut metagenome")</f>
        <v>0</v>
      </c>
      <c r="G619" s="1">
        <f>IF(B619="", "", "1436733")</f>
        <v>0</v>
      </c>
    </row>
    <row r="620" spans="1:7">
      <c r="A620">
        <f>IF(COUNTBLANK(B620:G620)&lt;&gt;COLUMNS(B620:G620),619,"")</f>
        <v>0</v>
      </c>
      <c r="C620" s="1">
        <f>IF(B620="", "", "UBERON:gastrointestinal tract")</f>
        <v>0</v>
      </c>
      <c r="D620" s="1">
        <f>IF(B620="", "", "UBERON:feces")</f>
        <v>0</v>
      </c>
      <c r="E620" s="1">
        <f>IF(B620="", "", "UBERON:colon")</f>
        <v>0</v>
      </c>
      <c r="F620" s="1">
        <f>IF(B620="", "", "rat gut metagenome")</f>
        <v>0</v>
      </c>
      <c r="G620" s="1">
        <f>IF(B620="", "", "1436733")</f>
        <v>0</v>
      </c>
    </row>
    <row r="621" spans="1:7">
      <c r="A621">
        <f>IF(COUNTBLANK(B621:G621)&lt;&gt;COLUMNS(B621:G621),620,"")</f>
        <v>0</v>
      </c>
      <c r="C621" s="1">
        <f>IF(B621="", "", "UBERON:gastrointestinal tract")</f>
        <v>0</v>
      </c>
      <c r="D621" s="1">
        <f>IF(B621="", "", "UBERON:feces")</f>
        <v>0</v>
      </c>
      <c r="E621" s="1">
        <f>IF(B621="", "", "UBERON:colon")</f>
        <v>0</v>
      </c>
      <c r="F621" s="1">
        <f>IF(B621="", "", "rat gut metagenome")</f>
        <v>0</v>
      </c>
      <c r="G621" s="1">
        <f>IF(B621="", "", "1436733")</f>
        <v>0</v>
      </c>
    </row>
    <row r="622" spans="1:7">
      <c r="A622">
        <f>IF(COUNTBLANK(B622:G622)&lt;&gt;COLUMNS(B622:G622),621,"")</f>
        <v>0</v>
      </c>
      <c r="C622" s="1">
        <f>IF(B622="", "", "UBERON:gastrointestinal tract")</f>
        <v>0</v>
      </c>
      <c r="D622" s="1">
        <f>IF(B622="", "", "UBERON:feces")</f>
        <v>0</v>
      </c>
      <c r="E622" s="1">
        <f>IF(B622="", "", "UBERON:colon")</f>
        <v>0</v>
      </c>
      <c r="F622" s="1">
        <f>IF(B622="", "", "rat gut metagenome")</f>
        <v>0</v>
      </c>
      <c r="G622" s="1">
        <f>IF(B622="", "", "1436733")</f>
        <v>0</v>
      </c>
    </row>
    <row r="623" spans="1:7">
      <c r="A623">
        <f>IF(COUNTBLANK(B623:G623)&lt;&gt;COLUMNS(B623:G623),622,"")</f>
        <v>0</v>
      </c>
      <c r="C623" s="1">
        <f>IF(B623="", "", "UBERON:gastrointestinal tract")</f>
        <v>0</v>
      </c>
      <c r="D623" s="1">
        <f>IF(B623="", "", "UBERON:feces")</f>
        <v>0</v>
      </c>
      <c r="E623" s="1">
        <f>IF(B623="", "", "UBERON:colon")</f>
        <v>0</v>
      </c>
      <c r="F623" s="1">
        <f>IF(B623="", "", "rat gut metagenome")</f>
        <v>0</v>
      </c>
      <c r="G623" s="1">
        <f>IF(B623="", "", "1436733")</f>
        <v>0</v>
      </c>
    </row>
    <row r="624" spans="1:7">
      <c r="A624">
        <f>IF(COUNTBLANK(B624:G624)&lt;&gt;COLUMNS(B624:G624),623,"")</f>
        <v>0</v>
      </c>
      <c r="C624" s="1">
        <f>IF(B624="", "", "UBERON:gastrointestinal tract")</f>
        <v>0</v>
      </c>
      <c r="D624" s="1">
        <f>IF(B624="", "", "UBERON:feces")</f>
        <v>0</v>
      </c>
      <c r="E624" s="1">
        <f>IF(B624="", "", "UBERON:colon")</f>
        <v>0</v>
      </c>
      <c r="F624" s="1">
        <f>IF(B624="", "", "rat gut metagenome")</f>
        <v>0</v>
      </c>
      <c r="G624" s="1">
        <f>IF(B624="", "", "1436733")</f>
        <v>0</v>
      </c>
    </row>
    <row r="625" spans="1:7">
      <c r="A625">
        <f>IF(COUNTBLANK(B625:G625)&lt;&gt;COLUMNS(B625:G625),624,"")</f>
        <v>0</v>
      </c>
      <c r="C625" s="1">
        <f>IF(B625="", "", "UBERON:gastrointestinal tract")</f>
        <v>0</v>
      </c>
      <c r="D625" s="1">
        <f>IF(B625="", "", "UBERON:feces")</f>
        <v>0</v>
      </c>
      <c r="E625" s="1">
        <f>IF(B625="", "", "UBERON:colon")</f>
        <v>0</v>
      </c>
      <c r="F625" s="1">
        <f>IF(B625="", "", "rat gut metagenome")</f>
        <v>0</v>
      </c>
      <c r="G625" s="1">
        <f>IF(B625="", "", "1436733")</f>
        <v>0</v>
      </c>
    </row>
    <row r="626" spans="1:7">
      <c r="A626">
        <f>IF(COUNTBLANK(B626:G626)&lt;&gt;COLUMNS(B626:G626),625,"")</f>
        <v>0</v>
      </c>
      <c r="C626" s="1">
        <f>IF(B626="", "", "UBERON:gastrointestinal tract")</f>
        <v>0</v>
      </c>
      <c r="D626" s="1">
        <f>IF(B626="", "", "UBERON:feces")</f>
        <v>0</v>
      </c>
      <c r="E626" s="1">
        <f>IF(B626="", "", "UBERON:colon")</f>
        <v>0</v>
      </c>
      <c r="F626" s="1">
        <f>IF(B626="", "", "rat gut metagenome")</f>
        <v>0</v>
      </c>
      <c r="G626" s="1">
        <f>IF(B626="", "", "1436733")</f>
        <v>0</v>
      </c>
    </row>
    <row r="627" spans="1:7">
      <c r="A627">
        <f>IF(COUNTBLANK(B627:G627)&lt;&gt;COLUMNS(B627:G627),626,"")</f>
        <v>0</v>
      </c>
      <c r="C627" s="1">
        <f>IF(B627="", "", "UBERON:gastrointestinal tract")</f>
        <v>0</v>
      </c>
      <c r="D627" s="1">
        <f>IF(B627="", "", "UBERON:feces")</f>
        <v>0</v>
      </c>
      <c r="E627" s="1">
        <f>IF(B627="", "", "UBERON:colon")</f>
        <v>0</v>
      </c>
      <c r="F627" s="1">
        <f>IF(B627="", "", "rat gut metagenome")</f>
        <v>0</v>
      </c>
      <c r="G627" s="1">
        <f>IF(B627="", "", "1436733")</f>
        <v>0</v>
      </c>
    </row>
    <row r="628" spans="1:7">
      <c r="A628">
        <f>IF(COUNTBLANK(B628:G628)&lt;&gt;COLUMNS(B628:G628),627,"")</f>
        <v>0</v>
      </c>
      <c r="C628" s="1">
        <f>IF(B628="", "", "UBERON:gastrointestinal tract")</f>
        <v>0</v>
      </c>
      <c r="D628" s="1">
        <f>IF(B628="", "", "UBERON:feces")</f>
        <v>0</v>
      </c>
      <c r="E628" s="1">
        <f>IF(B628="", "", "UBERON:colon")</f>
        <v>0</v>
      </c>
      <c r="F628" s="1">
        <f>IF(B628="", "", "rat gut metagenome")</f>
        <v>0</v>
      </c>
      <c r="G628" s="1">
        <f>IF(B628="", "", "1436733")</f>
        <v>0</v>
      </c>
    </row>
    <row r="629" spans="1:7">
      <c r="A629">
        <f>IF(COUNTBLANK(B629:G629)&lt;&gt;COLUMNS(B629:G629),628,"")</f>
        <v>0</v>
      </c>
      <c r="C629" s="1">
        <f>IF(B629="", "", "UBERON:gastrointestinal tract")</f>
        <v>0</v>
      </c>
      <c r="D629" s="1">
        <f>IF(B629="", "", "UBERON:feces")</f>
        <v>0</v>
      </c>
      <c r="E629" s="1">
        <f>IF(B629="", "", "UBERON:colon")</f>
        <v>0</v>
      </c>
      <c r="F629" s="1">
        <f>IF(B629="", "", "rat gut metagenome")</f>
        <v>0</v>
      </c>
      <c r="G629" s="1">
        <f>IF(B629="", "", "1436733")</f>
        <v>0</v>
      </c>
    </row>
    <row r="630" spans="1:7">
      <c r="A630">
        <f>IF(COUNTBLANK(B630:G630)&lt;&gt;COLUMNS(B630:G630),629,"")</f>
        <v>0</v>
      </c>
      <c r="C630" s="1">
        <f>IF(B630="", "", "UBERON:gastrointestinal tract")</f>
        <v>0</v>
      </c>
      <c r="D630" s="1">
        <f>IF(B630="", "", "UBERON:feces")</f>
        <v>0</v>
      </c>
      <c r="E630" s="1">
        <f>IF(B630="", "", "UBERON:colon")</f>
        <v>0</v>
      </c>
      <c r="F630" s="1">
        <f>IF(B630="", "", "rat gut metagenome")</f>
        <v>0</v>
      </c>
      <c r="G630" s="1">
        <f>IF(B630="", "", "1436733")</f>
        <v>0</v>
      </c>
    </row>
    <row r="631" spans="1:7">
      <c r="A631">
        <f>IF(COUNTBLANK(B631:G631)&lt;&gt;COLUMNS(B631:G631),630,"")</f>
        <v>0</v>
      </c>
      <c r="C631" s="1">
        <f>IF(B631="", "", "UBERON:gastrointestinal tract")</f>
        <v>0</v>
      </c>
      <c r="D631" s="1">
        <f>IF(B631="", "", "UBERON:feces")</f>
        <v>0</v>
      </c>
      <c r="E631" s="1">
        <f>IF(B631="", "", "UBERON:colon")</f>
        <v>0</v>
      </c>
      <c r="F631" s="1">
        <f>IF(B631="", "", "rat gut metagenome")</f>
        <v>0</v>
      </c>
      <c r="G631" s="1">
        <f>IF(B631="", "", "1436733")</f>
        <v>0</v>
      </c>
    </row>
    <row r="632" spans="1:7">
      <c r="A632">
        <f>IF(COUNTBLANK(B632:G632)&lt;&gt;COLUMNS(B632:G632),631,"")</f>
        <v>0</v>
      </c>
      <c r="C632" s="1">
        <f>IF(B632="", "", "UBERON:gastrointestinal tract")</f>
        <v>0</v>
      </c>
      <c r="D632" s="1">
        <f>IF(B632="", "", "UBERON:feces")</f>
        <v>0</v>
      </c>
      <c r="E632" s="1">
        <f>IF(B632="", "", "UBERON:colon")</f>
        <v>0</v>
      </c>
      <c r="F632" s="1">
        <f>IF(B632="", "", "rat gut metagenome")</f>
        <v>0</v>
      </c>
      <c r="G632" s="1">
        <f>IF(B632="", "", "1436733")</f>
        <v>0</v>
      </c>
    </row>
    <row r="633" spans="1:7">
      <c r="A633">
        <f>IF(COUNTBLANK(B633:G633)&lt;&gt;COLUMNS(B633:G633),632,"")</f>
        <v>0</v>
      </c>
      <c r="C633" s="1">
        <f>IF(B633="", "", "UBERON:gastrointestinal tract")</f>
        <v>0</v>
      </c>
      <c r="D633" s="1">
        <f>IF(B633="", "", "UBERON:feces")</f>
        <v>0</v>
      </c>
      <c r="E633" s="1">
        <f>IF(B633="", "", "UBERON:colon")</f>
        <v>0</v>
      </c>
      <c r="F633" s="1">
        <f>IF(B633="", "", "rat gut metagenome")</f>
        <v>0</v>
      </c>
      <c r="G633" s="1">
        <f>IF(B633="", "", "1436733")</f>
        <v>0</v>
      </c>
    </row>
    <row r="634" spans="1:7">
      <c r="A634">
        <f>IF(COUNTBLANK(B634:G634)&lt;&gt;COLUMNS(B634:G634),633,"")</f>
        <v>0</v>
      </c>
      <c r="C634" s="1">
        <f>IF(B634="", "", "UBERON:gastrointestinal tract")</f>
        <v>0</v>
      </c>
      <c r="D634" s="1">
        <f>IF(B634="", "", "UBERON:feces")</f>
        <v>0</v>
      </c>
      <c r="E634" s="1">
        <f>IF(B634="", "", "UBERON:colon")</f>
        <v>0</v>
      </c>
      <c r="F634" s="1">
        <f>IF(B634="", "", "rat gut metagenome")</f>
        <v>0</v>
      </c>
      <c r="G634" s="1">
        <f>IF(B634="", "", "1436733")</f>
        <v>0</v>
      </c>
    </row>
    <row r="635" spans="1:7">
      <c r="A635">
        <f>IF(COUNTBLANK(B635:G635)&lt;&gt;COLUMNS(B635:G635),634,"")</f>
        <v>0</v>
      </c>
      <c r="C635" s="1">
        <f>IF(B635="", "", "UBERON:gastrointestinal tract")</f>
        <v>0</v>
      </c>
      <c r="D635" s="1">
        <f>IF(B635="", "", "UBERON:feces")</f>
        <v>0</v>
      </c>
      <c r="E635" s="1">
        <f>IF(B635="", "", "UBERON:colon")</f>
        <v>0</v>
      </c>
      <c r="F635" s="1">
        <f>IF(B635="", "", "rat gut metagenome")</f>
        <v>0</v>
      </c>
      <c r="G635" s="1">
        <f>IF(B635="", "", "1436733")</f>
        <v>0</v>
      </c>
    </row>
    <row r="636" spans="1:7">
      <c r="A636">
        <f>IF(COUNTBLANK(B636:G636)&lt;&gt;COLUMNS(B636:G636),635,"")</f>
        <v>0</v>
      </c>
      <c r="C636" s="1">
        <f>IF(B636="", "", "UBERON:gastrointestinal tract")</f>
        <v>0</v>
      </c>
      <c r="D636" s="1">
        <f>IF(B636="", "", "UBERON:feces")</f>
        <v>0</v>
      </c>
      <c r="E636" s="1">
        <f>IF(B636="", "", "UBERON:colon")</f>
        <v>0</v>
      </c>
      <c r="F636" s="1">
        <f>IF(B636="", "", "rat gut metagenome")</f>
        <v>0</v>
      </c>
      <c r="G636" s="1">
        <f>IF(B636="", "", "1436733")</f>
        <v>0</v>
      </c>
    </row>
    <row r="637" spans="1:7">
      <c r="A637">
        <f>IF(COUNTBLANK(B637:G637)&lt;&gt;COLUMNS(B637:G637),636,"")</f>
        <v>0</v>
      </c>
      <c r="C637" s="1">
        <f>IF(B637="", "", "UBERON:gastrointestinal tract")</f>
        <v>0</v>
      </c>
      <c r="D637" s="1">
        <f>IF(B637="", "", "UBERON:feces")</f>
        <v>0</v>
      </c>
      <c r="E637" s="1">
        <f>IF(B637="", "", "UBERON:colon")</f>
        <v>0</v>
      </c>
      <c r="F637" s="1">
        <f>IF(B637="", "", "rat gut metagenome")</f>
        <v>0</v>
      </c>
      <c r="G637" s="1">
        <f>IF(B637="", "", "1436733")</f>
        <v>0</v>
      </c>
    </row>
    <row r="638" spans="1:7">
      <c r="A638">
        <f>IF(COUNTBLANK(B638:G638)&lt;&gt;COLUMNS(B638:G638),637,"")</f>
        <v>0</v>
      </c>
      <c r="C638" s="1">
        <f>IF(B638="", "", "UBERON:gastrointestinal tract")</f>
        <v>0</v>
      </c>
      <c r="D638" s="1">
        <f>IF(B638="", "", "UBERON:feces")</f>
        <v>0</v>
      </c>
      <c r="E638" s="1">
        <f>IF(B638="", "", "UBERON:colon")</f>
        <v>0</v>
      </c>
      <c r="F638" s="1">
        <f>IF(B638="", "", "rat gut metagenome")</f>
        <v>0</v>
      </c>
      <c r="G638" s="1">
        <f>IF(B638="", "", "1436733")</f>
        <v>0</v>
      </c>
    </row>
    <row r="639" spans="1:7">
      <c r="A639">
        <f>IF(COUNTBLANK(B639:G639)&lt;&gt;COLUMNS(B639:G639),638,"")</f>
        <v>0</v>
      </c>
      <c r="C639" s="1">
        <f>IF(B639="", "", "UBERON:gastrointestinal tract")</f>
        <v>0</v>
      </c>
      <c r="D639" s="1">
        <f>IF(B639="", "", "UBERON:feces")</f>
        <v>0</v>
      </c>
      <c r="E639" s="1">
        <f>IF(B639="", "", "UBERON:colon")</f>
        <v>0</v>
      </c>
      <c r="F639" s="1">
        <f>IF(B639="", "", "rat gut metagenome")</f>
        <v>0</v>
      </c>
      <c r="G639" s="1">
        <f>IF(B639="", "", "1436733")</f>
        <v>0</v>
      </c>
    </row>
    <row r="640" spans="1:7">
      <c r="A640">
        <f>IF(COUNTBLANK(B640:G640)&lt;&gt;COLUMNS(B640:G640),639,"")</f>
        <v>0</v>
      </c>
      <c r="C640" s="1">
        <f>IF(B640="", "", "UBERON:gastrointestinal tract")</f>
        <v>0</v>
      </c>
      <c r="D640" s="1">
        <f>IF(B640="", "", "UBERON:feces")</f>
        <v>0</v>
      </c>
      <c r="E640" s="1">
        <f>IF(B640="", "", "UBERON:colon")</f>
        <v>0</v>
      </c>
      <c r="F640" s="1">
        <f>IF(B640="", "", "rat gut metagenome")</f>
        <v>0</v>
      </c>
      <c r="G640" s="1">
        <f>IF(B640="", "", "1436733")</f>
        <v>0</v>
      </c>
    </row>
    <row r="641" spans="1:7">
      <c r="A641">
        <f>IF(COUNTBLANK(B641:G641)&lt;&gt;COLUMNS(B641:G641),640,"")</f>
        <v>0</v>
      </c>
      <c r="C641" s="1">
        <f>IF(B641="", "", "UBERON:gastrointestinal tract")</f>
        <v>0</v>
      </c>
      <c r="D641" s="1">
        <f>IF(B641="", "", "UBERON:feces")</f>
        <v>0</v>
      </c>
      <c r="E641" s="1">
        <f>IF(B641="", "", "UBERON:colon")</f>
        <v>0</v>
      </c>
      <c r="F641" s="1">
        <f>IF(B641="", "", "rat gut metagenome")</f>
        <v>0</v>
      </c>
      <c r="G641" s="1">
        <f>IF(B641="", "", "1436733")</f>
        <v>0</v>
      </c>
    </row>
    <row r="642" spans="1:7">
      <c r="A642">
        <f>IF(COUNTBLANK(B642:G642)&lt;&gt;COLUMNS(B642:G642),641,"")</f>
        <v>0</v>
      </c>
      <c r="C642" s="1">
        <f>IF(B642="", "", "UBERON:gastrointestinal tract")</f>
        <v>0</v>
      </c>
      <c r="D642" s="1">
        <f>IF(B642="", "", "UBERON:feces")</f>
        <v>0</v>
      </c>
      <c r="E642" s="1">
        <f>IF(B642="", "", "UBERON:colon")</f>
        <v>0</v>
      </c>
      <c r="F642" s="1">
        <f>IF(B642="", "", "rat gut metagenome")</f>
        <v>0</v>
      </c>
      <c r="G642" s="1">
        <f>IF(B642="", "", "1436733")</f>
        <v>0</v>
      </c>
    </row>
    <row r="643" spans="1:7">
      <c r="A643">
        <f>IF(COUNTBLANK(B643:G643)&lt;&gt;COLUMNS(B643:G643),642,"")</f>
        <v>0</v>
      </c>
      <c r="C643" s="1">
        <f>IF(B643="", "", "UBERON:gastrointestinal tract")</f>
        <v>0</v>
      </c>
      <c r="D643" s="1">
        <f>IF(B643="", "", "UBERON:feces")</f>
        <v>0</v>
      </c>
      <c r="E643" s="1">
        <f>IF(B643="", "", "UBERON:colon")</f>
        <v>0</v>
      </c>
      <c r="F643" s="1">
        <f>IF(B643="", "", "rat gut metagenome")</f>
        <v>0</v>
      </c>
      <c r="G643" s="1">
        <f>IF(B643="", "", "1436733")</f>
        <v>0</v>
      </c>
    </row>
    <row r="644" spans="1:7">
      <c r="A644">
        <f>IF(COUNTBLANK(B644:G644)&lt;&gt;COLUMNS(B644:G644),643,"")</f>
        <v>0</v>
      </c>
      <c r="C644" s="1">
        <f>IF(B644="", "", "UBERON:gastrointestinal tract")</f>
        <v>0</v>
      </c>
      <c r="D644" s="1">
        <f>IF(B644="", "", "UBERON:feces")</f>
        <v>0</v>
      </c>
      <c r="E644" s="1">
        <f>IF(B644="", "", "UBERON:colon")</f>
        <v>0</v>
      </c>
      <c r="F644" s="1">
        <f>IF(B644="", "", "rat gut metagenome")</f>
        <v>0</v>
      </c>
      <c r="G644" s="1">
        <f>IF(B644="", "", "1436733")</f>
        <v>0</v>
      </c>
    </row>
    <row r="645" spans="1:7">
      <c r="A645">
        <f>IF(COUNTBLANK(B645:G645)&lt;&gt;COLUMNS(B645:G645),644,"")</f>
        <v>0</v>
      </c>
      <c r="C645" s="1">
        <f>IF(B645="", "", "UBERON:gastrointestinal tract")</f>
        <v>0</v>
      </c>
      <c r="D645" s="1">
        <f>IF(B645="", "", "UBERON:feces")</f>
        <v>0</v>
      </c>
      <c r="E645" s="1">
        <f>IF(B645="", "", "UBERON:colon")</f>
        <v>0</v>
      </c>
      <c r="F645" s="1">
        <f>IF(B645="", "", "rat gut metagenome")</f>
        <v>0</v>
      </c>
      <c r="G645" s="1">
        <f>IF(B645="", "", "1436733")</f>
        <v>0</v>
      </c>
    </row>
    <row r="646" spans="1:7">
      <c r="A646">
        <f>IF(COUNTBLANK(B646:G646)&lt;&gt;COLUMNS(B646:G646),645,"")</f>
        <v>0</v>
      </c>
      <c r="C646" s="1">
        <f>IF(B646="", "", "UBERON:gastrointestinal tract")</f>
        <v>0</v>
      </c>
      <c r="D646" s="1">
        <f>IF(B646="", "", "UBERON:feces")</f>
        <v>0</v>
      </c>
      <c r="E646" s="1">
        <f>IF(B646="", "", "UBERON:colon")</f>
        <v>0</v>
      </c>
      <c r="F646" s="1">
        <f>IF(B646="", "", "rat gut metagenome")</f>
        <v>0</v>
      </c>
      <c r="G646" s="1">
        <f>IF(B646="", "", "1436733")</f>
        <v>0</v>
      </c>
    </row>
    <row r="647" spans="1:7">
      <c r="A647">
        <f>IF(COUNTBLANK(B647:G647)&lt;&gt;COLUMNS(B647:G647),646,"")</f>
        <v>0</v>
      </c>
      <c r="C647" s="1">
        <f>IF(B647="", "", "UBERON:gastrointestinal tract")</f>
        <v>0</v>
      </c>
      <c r="D647" s="1">
        <f>IF(B647="", "", "UBERON:feces")</f>
        <v>0</v>
      </c>
      <c r="E647" s="1">
        <f>IF(B647="", "", "UBERON:colon")</f>
        <v>0</v>
      </c>
      <c r="F647" s="1">
        <f>IF(B647="", "", "rat gut metagenome")</f>
        <v>0</v>
      </c>
      <c r="G647" s="1">
        <f>IF(B647="", "", "1436733")</f>
        <v>0</v>
      </c>
    </row>
    <row r="648" spans="1:7">
      <c r="A648">
        <f>IF(COUNTBLANK(B648:G648)&lt;&gt;COLUMNS(B648:G648),647,"")</f>
        <v>0</v>
      </c>
      <c r="C648" s="1">
        <f>IF(B648="", "", "UBERON:gastrointestinal tract")</f>
        <v>0</v>
      </c>
      <c r="D648" s="1">
        <f>IF(B648="", "", "UBERON:feces")</f>
        <v>0</v>
      </c>
      <c r="E648" s="1">
        <f>IF(B648="", "", "UBERON:colon")</f>
        <v>0</v>
      </c>
      <c r="F648" s="1">
        <f>IF(B648="", "", "rat gut metagenome")</f>
        <v>0</v>
      </c>
      <c r="G648" s="1">
        <f>IF(B648="", "", "1436733")</f>
        <v>0</v>
      </c>
    </row>
    <row r="649" spans="1:7">
      <c r="A649">
        <f>IF(COUNTBLANK(B649:G649)&lt;&gt;COLUMNS(B649:G649),648,"")</f>
        <v>0</v>
      </c>
      <c r="C649" s="1">
        <f>IF(B649="", "", "UBERON:gastrointestinal tract")</f>
        <v>0</v>
      </c>
      <c r="D649" s="1">
        <f>IF(B649="", "", "UBERON:feces")</f>
        <v>0</v>
      </c>
      <c r="E649" s="1">
        <f>IF(B649="", "", "UBERON:colon")</f>
        <v>0</v>
      </c>
      <c r="F649" s="1">
        <f>IF(B649="", "", "rat gut metagenome")</f>
        <v>0</v>
      </c>
      <c r="G649" s="1">
        <f>IF(B649="", "", "1436733")</f>
        <v>0</v>
      </c>
    </row>
    <row r="650" spans="1:7">
      <c r="A650">
        <f>IF(COUNTBLANK(B650:G650)&lt;&gt;COLUMNS(B650:G650),649,"")</f>
        <v>0</v>
      </c>
      <c r="C650" s="1">
        <f>IF(B650="", "", "UBERON:gastrointestinal tract")</f>
        <v>0</v>
      </c>
      <c r="D650" s="1">
        <f>IF(B650="", "", "UBERON:feces")</f>
        <v>0</v>
      </c>
      <c r="E650" s="1">
        <f>IF(B650="", "", "UBERON:colon")</f>
        <v>0</v>
      </c>
      <c r="F650" s="1">
        <f>IF(B650="", "", "rat gut metagenome")</f>
        <v>0</v>
      </c>
      <c r="G650" s="1">
        <f>IF(B650="", "", "1436733")</f>
        <v>0</v>
      </c>
    </row>
    <row r="651" spans="1:7">
      <c r="A651">
        <f>IF(COUNTBLANK(B651:G651)&lt;&gt;COLUMNS(B651:G651),650,"")</f>
        <v>0</v>
      </c>
      <c r="C651" s="1">
        <f>IF(B651="", "", "UBERON:gastrointestinal tract")</f>
        <v>0</v>
      </c>
      <c r="D651" s="1">
        <f>IF(B651="", "", "UBERON:feces")</f>
        <v>0</v>
      </c>
      <c r="E651" s="1">
        <f>IF(B651="", "", "UBERON:colon")</f>
        <v>0</v>
      </c>
      <c r="F651" s="1">
        <f>IF(B651="", "", "rat gut metagenome")</f>
        <v>0</v>
      </c>
      <c r="G651" s="1">
        <f>IF(B651="", "", "1436733")</f>
        <v>0</v>
      </c>
    </row>
    <row r="652" spans="1:7">
      <c r="A652">
        <f>IF(COUNTBLANK(B652:G652)&lt;&gt;COLUMNS(B652:G652),651,"")</f>
        <v>0</v>
      </c>
      <c r="C652" s="1">
        <f>IF(B652="", "", "UBERON:gastrointestinal tract")</f>
        <v>0</v>
      </c>
      <c r="D652" s="1">
        <f>IF(B652="", "", "UBERON:feces")</f>
        <v>0</v>
      </c>
      <c r="E652" s="1">
        <f>IF(B652="", "", "UBERON:colon")</f>
        <v>0</v>
      </c>
      <c r="F652" s="1">
        <f>IF(B652="", "", "rat gut metagenome")</f>
        <v>0</v>
      </c>
      <c r="G652" s="1">
        <f>IF(B652="", "", "1436733")</f>
        <v>0</v>
      </c>
    </row>
    <row r="653" spans="1:7">
      <c r="A653">
        <f>IF(COUNTBLANK(B653:G653)&lt;&gt;COLUMNS(B653:G653),652,"")</f>
        <v>0</v>
      </c>
      <c r="C653" s="1">
        <f>IF(B653="", "", "UBERON:gastrointestinal tract")</f>
        <v>0</v>
      </c>
      <c r="D653" s="1">
        <f>IF(B653="", "", "UBERON:feces")</f>
        <v>0</v>
      </c>
      <c r="E653" s="1">
        <f>IF(B653="", "", "UBERON:colon")</f>
        <v>0</v>
      </c>
      <c r="F653" s="1">
        <f>IF(B653="", "", "rat gut metagenome")</f>
        <v>0</v>
      </c>
      <c r="G653" s="1">
        <f>IF(B653="", "", "1436733")</f>
        <v>0</v>
      </c>
    </row>
    <row r="654" spans="1:7">
      <c r="A654">
        <f>IF(COUNTBLANK(B654:G654)&lt;&gt;COLUMNS(B654:G654),653,"")</f>
        <v>0</v>
      </c>
      <c r="C654" s="1">
        <f>IF(B654="", "", "UBERON:gastrointestinal tract")</f>
        <v>0</v>
      </c>
      <c r="D654" s="1">
        <f>IF(B654="", "", "UBERON:feces")</f>
        <v>0</v>
      </c>
      <c r="E654" s="1">
        <f>IF(B654="", "", "UBERON:colon")</f>
        <v>0</v>
      </c>
      <c r="F654" s="1">
        <f>IF(B654="", "", "rat gut metagenome")</f>
        <v>0</v>
      </c>
      <c r="G654" s="1">
        <f>IF(B654="", "", "1436733")</f>
        <v>0</v>
      </c>
    </row>
    <row r="655" spans="1:7">
      <c r="A655">
        <f>IF(COUNTBLANK(B655:G655)&lt;&gt;COLUMNS(B655:G655),654,"")</f>
        <v>0</v>
      </c>
      <c r="C655" s="1">
        <f>IF(B655="", "", "UBERON:gastrointestinal tract")</f>
        <v>0</v>
      </c>
      <c r="D655" s="1">
        <f>IF(B655="", "", "UBERON:feces")</f>
        <v>0</v>
      </c>
      <c r="E655" s="1">
        <f>IF(B655="", "", "UBERON:colon")</f>
        <v>0</v>
      </c>
      <c r="F655" s="1">
        <f>IF(B655="", "", "rat gut metagenome")</f>
        <v>0</v>
      </c>
      <c r="G655" s="1">
        <f>IF(B655="", "", "1436733")</f>
        <v>0</v>
      </c>
    </row>
    <row r="656" spans="1:7">
      <c r="A656">
        <f>IF(COUNTBLANK(B656:G656)&lt;&gt;COLUMNS(B656:G656),655,"")</f>
        <v>0</v>
      </c>
      <c r="C656" s="1">
        <f>IF(B656="", "", "UBERON:gastrointestinal tract")</f>
        <v>0</v>
      </c>
      <c r="D656" s="1">
        <f>IF(B656="", "", "UBERON:feces")</f>
        <v>0</v>
      </c>
      <c r="E656" s="1">
        <f>IF(B656="", "", "UBERON:colon")</f>
        <v>0</v>
      </c>
      <c r="F656" s="1">
        <f>IF(B656="", "", "rat gut metagenome")</f>
        <v>0</v>
      </c>
      <c r="G656" s="1">
        <f>IF(B656="", "", "1436733")</f>
        <v>0</v>
      </c>
    </row>
    <row r="657" spans="1:7">
      <c r="A657">
        <f>IF(COUNTBLANK(B657:G657)&lt;&gt;COLUMNS(B657:G657),656,"")</f>
        <v>0</v>
      </c>
      <c r="C657" s="1">
        <f>IF(B657="", "", "UBERON:gastrointestinal tract")</f>
        <v>0</v>
      </c>
      <c r="D657" s="1">
        <f>IF(B657="", "", "UBERON:feces")</f>
        <v>0</v>
      </c>
      <c r="E657" s="1">
        <f>IF(B657="", "", "UBERON:colon")</f>
        <v>0</v>
      </c>
      <c r="F657" s="1">
        <f>IF(B657="", "", "rat gut metagenome")</f>
        <v>0</v>
      </c>
      <c r="G657" s="1">
        <f>IF(B657="", "", "1436733")</f>
        <v>0</v>
      </c>
    </row>
    <row r="658" spans="1:7">
      <c r="A658">
        <f>IF(COUNTBLANK(B658:G658)&lt;&gt;COLUMNS(B658:G658),657,"")</f>
        <v>0</v>
      </c>
      <c r="C658" s="1">
        <f>IF(B658="", "", "UBERON:gastrointestinal tract")</f>
        <v>0</v>
      </c>
      <c r="D658" s="1">
        <f>IF(B658="", "", "UBERON:feces")</f>
        <v>0</v>
      </c>
      <c r="E658" s="1">
        <f>IF(B658="", "", "UBERON:colon")</f>
        <v>0</v>
      </c>
      <c r="F658" s="1">
        <f>IF(B658="", "", "rat gut metagenome")</f>
        <v>0</v>
      </c>
      <c r="G658" s="1">
        <f>IF(B658="", "", "1436733")</f>
        <v>0</v>
      </c>
    </row>
    <row r="659" spans="1:7">
      <c r="A659">
        <f>IF(COUNTBLANK(B659:G659)&lt;&gt;COLUMNS(B659:G659),658,"")</f>
        <v>0</v>
      </c>
      <c r="C659" s="1">
        <f>IF(B659="", "", "UBERON:gastrointestinal tract")</f>
        <v>0</v>
      </c>
      <c r="D659" s="1">
        <f>IF(B659="", "", "UBERON:feces")</f>
        <v>0</v>
      </c>
      <c r="E659" s="1">
        <f>IF(B659="", "", "UBERON:colon")</f>
        <v>0</v>
      </c>
      <c r="F659" s="1">
        <f>IF(B659="", "", "rat gut metagenome")</f>
        <v>0</v>
      </c>
      <c r="G659" s="1">
        <f>IF(B659="", "", "1436733")</f>
        <v>0</v>
      </c>
    </row>
    <row r="660" spans="1:7">
      <c r="A660">
        <f>IF(COUNTBLANK(B660:G660)&lt;&gt;COLUMNS(B660:G660),659,"")</f>
        <v>0</v>
      </c>
      <c r="C660" s="1">
        <f>IF(B660="", "", "UBERON:gastrointestinal tract")</f>
        <v>0</v>
      </c>
      <c r="D660" s="1">
        <f>IF(B660="", "", "UBERON:feces")</f>
        <v>0</v>
      </c>
      <c r="E660" s="1">
        <f>IF(B660="", "", "UBERON:colon")</f>
        <v>0</v>
      </c>
      <c r="F660" s="1">
        <f>IF(B660="", "", "rat gut metagenome")</f>
        <v>0</v>
      </c>
      <c r="G660" s="1">
        <f>IF(B660="", "", "1436733")</f>
        <v>0</v>
      </c>
    </row>
    <row r="661" spans="1:7">
      <c r="A661">
        <f>IF(COUNTBLANK(B661:G661)&lt;&gt;COLUMNS(B661:G661),660,"")</f>
        <v>0</v>
      </c>
      <c r="C661" s="1">
        <f>IF(B661="", "", "UBERON:gastrointestinal tract")</f>
        <v>0</v>
      </c>
      <c r="D661" s="1">
        <f>IF(B661="", "", "UBERON:feces")</f>
        <v>0</v>
      </c>
      <c r="E661" s="1">
        <f>IF(B661="", "", "UBERON:colon")</f>
        <v>0</v>
      </c>
      <c r="F661" s="1">
        <f>IF(B661="", "", "rat gut metagenome")</f>
        <v>0</v>
      </c>
      <c r="G661" s="1">
        <f>IF(B661="", "", "1436733")</f>
        <v>0</v>
      </c>
    </row>
    <row r="662" spans="1:7">
      <c r="A662">
        <f>IF(COUNTBLANK(B662:G662)&lt;&gt;COLUMNS(B662:G662),661,"")</f>
        <v>0</v>
      </c>
      <c r="C662" s="1">
        <f>IF(B662="", "", "UBERON:gastrointestinal tract")</f>
        <v>0</v>
      </c>
      <c r="D662" s="1">
        <f>IF(B662="", "", "UBERON:feces")</f>
        <v>0</v>
      </c>
      <c r="E662" s="1">
        <f>IF(B662="", "", "UBERON:colon")</f>
        <v>0</v>
      </c>
      <c r="F662" s="1">
        <f>IF(B662="", "", "rat gut metagenome")</f>
        <v>0</v>
      </c>
      <c r="G662" s="1">
        <f>IF(B662="", "", "1436733")</f>
        <v>0</v>
      </c>
    </row>
    <row r="663" spans="1:7">
      <c r="A663">
        <f>IF(COUNTBLANK(B663:G663)&lt;&gt;COLUMNS(B663:G663),662,"")</f>
        <v>0</v>
      </c>
      <c r="C663" s="1">
        <f>IF(B663="", "", "UBERON:gastrointestinal tract")</f>
        <v>0</v>
      </c>
      <c r="D663" s="1">
        <f>IF(B663="", "", "UBERON:feces")</f>
        <v>0</v>
      </c>
      <c r="E663" s="1">
        <f>IF(B663="", "", "UBERON:colon")</f>
        <v>0</v>
      </c>
      <c r="F663" s="1">
        <f>IF(B663="", "", "rat gut metagenome")</f>
        <v>0</v>
      </c>
      <c r="G663" s="1">
        <f>IF(B663="", "", "1436733")</f>
        <v>0</v>
      </c>
    </row>
    <row r="664" spans="1:7">
      <c r="A664">
        <f>IF(COUNTBLANK(B664:G664)&lt;&gt;COLUMNS(B664:G664),663,"")</f>
        <v>0</v>
      </c>
      <c r="C664" s="1">
        <f>IF(B664="", "", "UBERON:gastrointestinal tract")</f>
        <v>0</v>
      </c>
      <c r="D664" s="1">
        <f>IF(B664="", "", "UBERON:feces")</f>
        <v>0</v>
      </c>
      <c r="E664" s="1">
        <f>IF(B664="", "", "UBERON:colon")</f>
        <v>0</v>
      </c>
      <c r="F664" s="1">
        <f>IF(B664="", "", "rat gut metagenome")</f>
        <v>0</v>
      </c>
      <c r="G664" s="1">
        <f>IF(B664="", "", "1436733")</f>
        <v>0</v>
      </c>
    </row>
    <row r="665" spans="1:7">
      <c r="A665">
        <f>IF(COUNTBLANK(B665:G665)&lt;&gt;COLUMNS(B665:G665),664,"")</f>
        <v>0</v>
      </c>
      <c r="C665" s="1">
        <f>IF(B665="", "", "UBERON:gastrointestinal tract")</f>
        <v>0</v>
      </c>
      <c r="D665" s="1">
        <f>IF(B665="", "", "UBERON:feces")</f>
        <v>0</v>
      </c>
      <c r="E665" s="1">
        <f>IF(B665="", "", "UBERON:colon")</f>
        <v>0</v>
      </c>
      <c r="F665" s="1">
        <f>IF(B665="", "", "rat gut metagenome")</f>
        <v>0</v>
      </c>
      <c r="G665" s="1">
        <f>IF(B665="", "", "1436733")</f>
        <v>0</v>
      </c>
    </row>
    <row r="666" spans="1:7">
      <c r="A666">
        <f>IF(COUNTBLANK(B666:G666)&lt;&gt;COLUMNS(B666:G666),665,"")</f>
        <v>0</v>
      </c>
      <c r="C666" s="1">
        <f>IF(B666="", "", "UBERON:gastrointestinal tract")</f>
        <v>0</v>
      </c>
      <c r="D666" s="1">
        <f>IF(B666="", "", "UBERON:feces")</f>
        <v>0</v>
      </c>
      <c r="E666" s="1">
        <f>IF(B666="", "", "UBERON:colon")</f>
        <v>0</v>
      </c>
      <c r="F666" s="1">
        <f>IF(B666="", "", "rat gut metagenome")</f>
        <v>0</v>
      </c>
      <c r="G666" s="1">
        <f>IF(B666="", "", "1436733")</f>
        <v>0</v>
      </c>
    </row>
    <row r="667" spans="1:7">
      <c r="A667">
        <f>IF(COUNTBLANK(B667:G667)&lt;&gt;COLUMNS(B667:G667),666,"")</f>
        <v>0</v>
      </c>
      <c r="C667" s="1">
        <f>IF(B667="", "", "UBERON:gastrointestinal tract")</f>
        <v>0</v>
      </c>
      <c r="D667" s="1">
        <f>IF(B667="", "", "UBERON:feces")</f>
        <v>0</v>
      </c>
      <c r="E667" s="1">
        <f>IF(B667="", "", "UBERON:colon")</f>
        <v>0</v>
      </c>
      <c r="F667" s="1">
        <f>IF(B667="", "", "rat gut metagenome")</f>
        <v>0</v>
      </c>
      <c r="G667" s="1">
        <f>IF(B667="", "", "1436733")</f>
        <v>0</v>
      </c>
    </row>
    <row r="668" spans="1:7">
      <c r="A668">
        <f>IF(COUNTBLANK(B668:G668)&lt;&gt;COLUMNS(B668:G668),667,"")</f>
        <v>0</v>
      </c>
      <c r="C668" s="1">
        <f>IF(B668="", "", "UBERON:gastrointestinal tract")</f>
        <v>0</v>
      </c>
      <c r="D668" s="1">
        <f>IF(B668="", "", "UBERON:feces")</f>
        <v>0</v>
      </c>
      <c r="E668" s="1">
        <f>IF(B668="", "", "UBERON:colon")</f>
        <v>0</v>
      </c>
      <c r="F668" s="1">
        <f>IF(B668="", "", "rat gut metagenome")</f>
        <v>0</v>
      </c>
      <c r="G668" s="1">
        <f>IF(B668="", "", "1436733")</f>
        <v>0</v>
      </c>
    </row>
    <row r="669" spans="1:7">
      <c r="A669">
        <f>IF(COUNTBLANK(B669:G669)&lt;&gt;COLUMNS(B669:G669),668,"")</f>
        <v>0</v>
      </c>
      <c r="C669" s="1">
        <f>IF(B669="", "", "UBERON:gastrointestinal tract")</f>
        <v>0</v>
      </c>
      <c r="D669" s="1">
        <f>IF(B669="", "", "UBERON:feces")</f>
        <v>0</v>
      </c>
      <c r="E669" s="1">
        <f>IF(B669="", "", "UBERON:colon")</f>
        <v>0</v>
      </c>
      <c r="F669" s="1">
        <f>IF(B669="", "", "rat gut metagenome")</f>
        <v>0</v>
      </c>
      <c r="G669" s="1">
        <f>IF(B669="", "", "1436733")</f>
        <v>0</v>
      </c>
    </row>
    <row r="670" spans="1:7">
      <c r="A670">
        <f>IF(COUNTBLANK(B670:G670)&lt;&gt;COLUMNS(B670:G670),669,"")</f>
        <v>0</v>
      </c>
      <c r="C670" s="1">
        <f>IF(B670="", "", "UBERON:gastrointestinal tract")</f>
        <v>0</v>
      </c>
      <c r="D670" s="1">
        <f>IF(B670="", "", "UBERON:feces")</f>
        <v>0</v>
      </c>
      <c r="E670" s="1">
        <f>IF(B670="", "", "UBERON:colon")</f>
        <v>0</v>
      </c>
      <c r="F670" s="1">
        <f>IF(B670="", "", "rat gut metagenome")</f>
        <v>0</v>
      </c>
      <c r="G670" s="1">
        <f>IF(B670="", "", "1436733")</f>
        <v>0</v>
      </c>
    </row>
    <row r="671" spans="1:7">
      <c r="A671">
        <f>IF(COUNTBLANK(B671:G671)&lt;&gt;COLUMNS(B671:G671),670,"")</f>
        <v>0</v>
      </c>
      <c r="C671" s="1">
        <f>IF(B671="", "", "UBERON:gastrointestinal tract")</f>
        <v>0</v>
      </c>
      <c r="D671" s="1">
        <f>IF(B671="", "", "UBERON:feces")</f>
        <v>0</v>
      </c>
      <c r="E671" s="1">
        <f>IF(B671="", "", "UBERON:colon")</f>
        <v>0</v>
      </c>
      <c r="F671" s="1">
        <f>IF(B671="", "", "rat gut metagenome")</f>
        <v>0</v>
      </c>
      <c r="G671" s="1">
        <f>IF(B671="", "", "1436733")</f>
        <v>0</v>
      </c>
    </row>
    <row r="672" spans="1:7">
      <c r="A672">
        <f>IF(COUNTBLANK(B672:G672)&lt;&gt;COLUMNS(B672:G672),671,"")</f>
        <v>0</v>
      </c>
      <c r="C672" s="1">
        <f>IF(B672="", "", "UBERON:gastrointestinal tract")</f>
        <v>0</v>
      </c>
      <c r="D672" s="1">
        <f>IF(B672="", "", "UBERON:feces")</f>
        <v>0</v>
      </c>
      <c r="E672" s="1">
        <f>IF(B672="", "", "UBERON:colon")</f>
        <v>0</v>
      </c>
      <c r="F672" s="1">
        <f>IF(B672="", "", "rat gut metagenome")</f>
        <v>0</v>
      </c>
      <c r="G672" s="1">
        <f>IF(B672="", "", "1436733")</f>
        <v>0</v>
      </c>
    </row>
    <row r="673" spans="1:7">
      <c r="A673">
        <f>IF(COUNTBLANK(B673:G673)&lt;&gt;COLUMNS(B673:G673),672,"")</f>
        <v>0</v>
      </c>
      <c r="C673" s="1">
        <f>IF(B673="", "", "UBERON:gastrointestinal tract")</f>
        <v>0</v>
      </c>
      <c r="D673" s="1">
        <f>IF(B673="", "", "UBERON:feces")</f>
        <v>0</v>
      </c>
      <c r="E673" s="1">
        <f>IF(B673="", "", "UBERON:colon")</f>
        <v>0</v>
      </c>
      <c r="F673" s="1">
        <f>IF(B673="", "", "rat gut metagenome")</f>
        <v>0</v>
      </c>
      <c r="G673" s="1">
        <f>IF(B673="", "", "1436733")</f>
        <v>0</v>
      </c>
    </row>
    <row r="674" spans="1:7">
      <c r="A674">
        <f>IF(COUNTBLANK(B674:G674)&lt;&gt;COLUMNS(B674:G674),673,"")</f>
        <v>0</v>
      </c>
      <c r="C674" s="1">
        <f>IF(B674="", "", "UBERON:gastrointestinal tract")</f>
        <v>0</v>
      </c>
      <c r="D674" s="1">
        <f>IF(B674="", "", "UBERON:feces")</f>
        <v>0</v>
      </c>
      <c r="E674" s="1">
        <f>IF(B674="", "", "UBERON:colon")</f>
        <v>0</v>
      </c>
      <c r="F674" s="1">
        <f>IF(B674="", "", "rat gut metagenome")</f>
        <v>0</v>
      </c>
      <c r="G674" s="1">
        <f>IF(B674="", "", "1436733")</f>
        <v>0</v>
      </c>
    </row>
    <row r="675" spans="1:7">
      <c r="A675">
        <f>IF(COUNTBLANK(B675:G675)&lt;&gt;COLUMNS(B675:G675),674,"")</f>
        <v>0</v>
      </c>
      <c r="C675" s="1">
        <f>IF(B675="", "", "UBERON:gastrointestinal tract")</f>
        <v>0</v>
      </c>
      <c r="D675" s="1">
        <f>IF(B675="", "", "UBERON:feces")</f>
        <v>0</v>
      </c>
      <c r="E675" s="1">
        <f>IF(B675="", "", "UBERON:colon")</f>
        <v>0</v>
      </c>
      <c r="F675" s="1">
        <f>IF(B675="", "", "rat gut metagenome")</f>
        <v>0</v>
      </c>
      <c r="G675" s="1">
        <f>IF(B675="", "", "1436733")</f>
        <v>0</v>
      </c>
    </row>
    <row r="676" spans="1:7">
      <c r="A676">
        <f>IF(COUNTBLANK(B676:G676)&lt;&gt;COLUMNS(B676:G676),675,"")</f>
        <v>0</v>
      </c>
      <c r="C676" s="1">
        <f>IF(B676="", "", "UBERON:gastrointestinal tract")</f>
        <v>0</v>
      </c>
      <c r="D676" s="1">
        <f>IF(B676="", "", "UBERON:feces")</f>
        <v>0</v>
      </c>
      <c r="E676" s="1">
        <f>IF(B676="", "", "UBERON:colon")</f>
        <v>0</v>
      </c>
      <c r="F676" s="1">
        <f>IF(B676="", "", "rat gut metagenome")</f>
        <v>0</v>
      </c>
      <c r="G676" s="1">
        <f>IF(B676="", "", "1436733")</f>
        <v>0</v>
      </c>
    </row>
    <row r="677" spans="1:7">
      <c r="A677">
        <f>IF(COUNTBLANK(B677:G677)&lt;&gt;COLUMNS(B677:G677),676,"")</f>
        <v>0</v>
      </c>
      <c r="C677" s="1">
        <f>IF(B677="", "", "UBERON:gastrointestinal tract")</f>
        <v>0</v>
      </c>
      <c r="D677" s="1">
        <f>IF(B677="", "", "UBERON:feces")</f>
        <v>0</v>
      </c>
      <c r="E677" s="1">
        <f>IF(B677="", "", "UBERON:colon")</f>
        <v>0</v>
      </c>
      <c r="F677" s="1">
        <f>IF(B677="", "", "rat gut metagenome")</f>
        <v>0</v>
      </c>
      <c r="G677" s="1">
        <f>IF(B677="", "", "1436733")</f>
        <v>0</v>
      </c>
    </row>
    <row r="678" spans="1:7">
      <c r="A678">
        <f>IF(COUNTBLANK(B678:G678)&lt;&gt;COLUMNS(B678:G678),677,"")</f>
        <v>0</v>
      </c>
      <c r="C678" s="1">
        <f>IF(B678="", "", "UBERON:gastrointestinal tract")</f>
        <v>0</v>
      </c>
      <c r="D678" s="1">
        <f>IF(B678="", "", "UBERON:feces")</f>
        <v>0</v>
      </c>
      <c r="E678" s="1">
        <f>IF(B678="", "", "UBERON:colon")</f>
        <v>0</v>
      </c>
      <c r="F678" s="1">
        <f>IF(B678="", "", "rat gut metagenome")</f>
        <v>0</v>
      </c>
      <c r="G678" s="1">
        <f>IF(B678="", "", "1436733")</f>
        <v>0</v>
      </c>
    </row>
    <row r="679" spans="1:7">
      <c r="A679">
        <f>IF(COUNTBLANK(B679:G679)&lt;&gt;COLUMNS(B679:G679),678,"")</f>
        <v>0</v>
      </c>
      <c r="C679" s="1">
        <f>IF(B679="", "", "UBERON:gastrointestinal tract")</f>
        <v>0</v>
      </c>
      <c r="D679" s="1">
        <f>IF(B679="", "", "UBERON:feces")</f>
        <v>0</v>
      </c>
      <c r="E679" s="1">
        <f>IF(B679="", "", "UBERON:colon")</f>
        <v>0</v>
      </c>
      <c r="F679" s="1">
        <f>IF(B679="", "", "rat gut metagenome")</f>
        <v>0</v>
      </c>
      <c r="G679" s="1">
        <f>IF(B679="", "", "1436733")</f>
        <v>0</v>
      </c>
    </row>
    <row r="680" spans="1:7">
      <c r="A680">
        <f>IF(COUNTBLANK(B680:G680)&lt;&gt;COLUMNS(B680:G680),679,"")</f>
        <v>0</v>
      </c>
      <c r="C680" s="1">
        <f>IF(B680="", "", "UBERON:gastrointestinal tract")</f>
        <v>0</v>
      </c>
      <c r="D680" s="1">
        <f>IF(B680="", "", "UBERON:feces")</f>
        <v>0</v>
      </c>
      <c r="E680" s="1">
        <f>IF(B680="", "", "UBERON:colon")</f>
        <v>0</v>
      </c>
      <c r="F680" s="1">
        <f>IF(B680="", "", "rat gut metagenome")</f>
        <v>0</v>
      </c>
      <c r="G680" s="1">
        <f>IF(B680="", "", "1436733")</f>
        <v>0</v>
      </c>
    </row>
    <row r="681" spans="1:7">
      <c r="A681">
        <f>IF(COUNTBLANK(B681:G681)&lt;&gt;COLUMNS(B681:G681),680,"")</f>
        <v>0</v>
      </c>
      <c r="C681" s="1">
        <f>IF(B681="", "", "UBERON:gastrointestinal tract")</f>
        <v>0</v>
      </c>
      <c r="D681" s="1">
        <f>IF(B681="", "", "UBERON:feces")</f>
        <v>0</v>
      </c>
      <c r="E681" s="1">
        <f>IF(B681="", "", "UBERON:colon")</f>
        <v>0</v>
      </c>
      <c r="F681" s="1">
        <f>IF(B681="", "", "rat gut metagenome")</f>
        <v>0</v>
      </c>
      <c r="G681" s="1">
        <f>IF(B681="", "", "1436733")</f>
        <v>0</v>
      </c>
    </row>
    <row r="682" spans="1:7">
      <c r="A682">
        <f>IF(COUNTBLANK(B682:G682)&lt;&gt;COLUMNS(B682:G682),681,"")</f>
        <v>0</v>
      </c>
      <c r="C682" s="1">
        <f>IF(B682="", "", "UBERON:gastrointestinal tract")</f>
        <v>0</v>
      </c>
      <c r="D682" s="1">
        <f>IF(B682="", "", "UBERON:feces")</f>
        <v>0</v>
      </c>
      <c r="E682" s="1">
        <f>IF(B682="", "", "UBERON:colon")</f>
        <v>0</v>
      </c>
      <c r="F682" s="1">
        <f>IF(B682="", "", "rat gut metagenome")</f>
        <v>0</v>
      </c>
      <c r="G682" s="1">
        <f>IF(B682="", "", "1436733")</f>
        <v>0</v>
      </c>
    </row>
    <row r="683" spans="1:7">
      <c r="A683">
        <f>IF(COUNTBLANK(B683:G683)&lt;&gt;COLUMNS(B683:G683),682,"")</f>
        <v>0</v>
      </c>
      <c r="C683" s="1">
        <f>IF(B683="", "", "UBERON:gastrointestinal tract")</f>
        <v>0</v>
      </c>
      <c r="D683" s="1">
        <f>IF(B683="", "", "UBERON:feces")</f>
        <v>0</v>
      </c>
      <c r="E683" s="1">
        <f>IF(B683="", "", "UBERON:colon")</f>
        <v>0</v>
      </c>
      <c r="F683" s="1">
        <f>IF(B683="", "", "rat gut metagenome")</f>
        <v>0</v>
      </c>
      <c r="G683" s="1">
        <f>IF(B683="", "", "1436733")</f>
        <v>0</v>
      </c>
    </row>
    <row r="684" spans="1:7">
      <c r="A684">
        <f>IF(COUNTBLANK(B684:G684)&lt;&gt;COLUMNS(B684:G684),683,"")</f>
        <v>0</v>
      </c>
      <c r="C684" s="1">
        <f>IF(B684="", "", "UBERON:gastrointestinal tract")</f>
        <v>0</v>
      </c>
      <c r="D684" s="1">
        <f>IF(B684="", "", "UBERON:feces")</f>
        <v>0</v>
      </c>
      <c r="E684" s="1">
        <f>IF(B684="", "", "UBERON:colon")</f>
        <v>0</v>
      </c>
      <c r="F684" s="1">
        <f>IF(B684="", "", "rat gut metagenome")</f>
        <v>0</v>
      </c>
      <c r="G684" s="1">
        <f>IF(B684="", "", "1436733")</f>
        <v>0</v>
      </c>
    </row>
    <row r="685" spans="1:7">
      <c r="A685">
        <f>IF(COUNTBLANK(B685:G685)&lt;&gt;COLUMNS(B685:G685),684,"")</f>
        <v>0</v>
      </c>
      <c r="C685" s="1">
        <f>IF(B685="", "", "UBERON:gastrointestinal tract")</f>
        <v>0</v>
      </c>
      <c r="D685" s="1">
        <f>IF(B685="", "", "UBERON:feces")</f>
        <v>0</v>
      </c>
      <c r="E685" s="1">
        <f>IF(B685="", "", "UBERON:colon")</f>
        <v>0</v>
      </c>
      <c r="F685" s="1">
        <f>IF(B685="", "", "rat gut metagenome")</f>
        <v>0</v>
      </c>
      <c r="G685" s="1">
        <f>IF(B685="", "", "1436733")</f>
        <v>0</v>
      </c>
    </row>
    <row r="686" spans="1:7">
      <c r="A686">
        <f>IF(COUNTBLANK(B686:G686)&lt;&gt;COLUMNS(B686:G686),685,"")</f>
        <v>0</v>
      </c>
      <c r="C686" s="1">
        <f>IF(B686="", "", "UBERON:gastrointestinal tract")</f>
        <v>0</v>
      </c>
      <c r="D686" s="1">
        <f>IF(B686="", "", "UBERON:feces")</f>
        <v>0</v>
      </c>
      <c r="E686" s="1">
        <f>IF(B686="", "", "UBERON:colon")</f>
        <v>0</v>
      </c>
      <c r="F686" s="1">
        <f>IF(B686="", "", "rat gut metagenome")</f>
        <v>0</v>
      </c>
      <c r="G686" s="1">
        <f>IF(B686="", "", "1436733")</f>
        <v>0</v>
      </c>
    </row>
    <row r="687" spans="1:7">
      <c r="A687">
        <f>IF(COUNTBLANK(B687:G687)&lt;&gt;COLUMNS(B687:G687),686,"")</f>
        <v>0</v>
      </c>
      <c r="C687" s="1">
        <f>IF(B687="", "", "UBERON:gastrointestinal tract")</f>
        <v>0</v>
      </c>
      <c r="D687" s="1">
        <f>IF(B687="", "", "UBERON:feces")</f>
        <v>0</v>
      </c>
      <c r="E687" s="1">
        <f>IF(B687="", "", "UBERON:colon")</f>
        <v>0</v>
      </c>
      <c r="F687" s="1">
        <f>IF(B687="", "", "rat gut metagenome")</f>
        <v>0</v>
      </c>
      <c r="G687" s="1">
        <f>IF(B687="", "", "1436733")</f>
        <v>0</v>
      </c>
    </row>
    <row r="688" spans="1:7">
      <c r="A688">
        <f>IF(COUNTBLANK(B688:G688)&lt;&gt;COLUMNS(B688:G688),687,"")</f>
        <v>0</v>
      </c>
      <c r="C688" s="1">
        <f>IF(B688="", "", "UBERON:gastrointestinal tract")</f>
        <v>0</v>
      </c>
      <c r="D688" s="1">
        <f>IF(B688="", "", "UBERON:feces")</f>
        <v>0</v>
      </c>
      <c r="E688" s="1">
        <f>IF(B688="", "", "UBERON:colon")</f>
        <v>0</v>
      </c>
      <c r="F688" s="1">
        <f>IF(B688="", "", "rat gut metagenome")</f>
        <v>0</v>
      </c>
      <c r="G688" s="1">
        <f>IF(B688="", "", "1436733")</f>
        <v>0</v>
      </c>
    </row>
    <row r="689" spans="1:7">
      <c r="A689">
        <f>IF(COUNTBLANK(B689:G689)&lt;&gt;COLUMNS(B689:G689),688,"")</f>
        <v>0</v>
      </c>
      <c r="C689" s="1">
        <f>IF(B689="", "", "UBERON:gastrointestinal tract")</f>
        <v>0</v>
      </c>
      <c r="D689" s="1">
        <f>IF(B689="", "", "UBERON:feces")</f>
        <v>0</v>
      </c>
      <c r="E689" s="1">
        <f>IF(B689="", "", "UBERON:colon")</f>
        <v>0</v>
      </c>
      <c r="F689" s="1">
        <f>IF(B689="", "", "rat gut metagenome")</f>
        <v>0</v>
      </c>
      <c r="G689" s="1">
        <f>IF(B689="", "", "1436733")</f>
        <v>0</v>
      </c>
    </row>
    <row r="690" spans="1:7">
      <c r="A690">
        <f>IF(COUNTBLANK(B690:G690)&lt;&gt;COLUMNS(B690:G690),689,"")</f>
        <v>0</v>
      </c>
      <c r="C690" s="1">
        <f>IF(B690="", "", "UBERON:gastrointestinal tract")</f>
        <v>0</v>
      </c>
      <c r="D690" s="1">
        <f>IF(B690="", "", "UBERON:feces")</f>
        <v>0</v>
      </c>
      <c r="E690" s="1">
        <f>IF(B690="", "", "UBERON:colon")</f>
        <v>0</v>
      </c>
      <c r="F690" s="1">
        <f>IF(B690="", "", "rat gut metagenome")</f>
        <v>0</v>
      </c>
      <c r="G690" s="1">
        <f>IF(B690="", "", "1436733")</f>
        <v>0</v>
      </c>
    </row>
    <row r="691" spans="1:7">
      <c r="A691">
        <f>IF(COUNTBLANK(B691:G691)&lt;&gt;COLUMNS(B691:G691),690,"")</f>
        <v>0</v>
      </c>
      <c r="C691" s="1">
        <f>IF(B691="", "", "UBERON:gastrointestinal tract")</f>
        <v>0</v>
      </c>
      <c r="D691" s="1">
        <f>IF(B691="", "", "UBERON:feces")</f>
        <v>0</v>
      </c>
      <c r="E691" s="1">
        <f>IF(B691="", "", "UBERON:colon")</f>
        <v>0</v>
      </c>
      <c r="F691" s="1">
        <f>IF(B691="", "", "rat gut metagenome")</f>
        <v>0</v>
      </c>
      <c r="G691" s="1">
        <f>IF(B691="", "", "1436733")</f>
        <v>0</v>
      </c>
    </row>
    <row r="692" spans="1:7">
      <c r="A692">
        <f>IF(COUNTBLANK(B692:G692)&lt;&gt;COLUMNS(B692:G692),691,"")</f>
        <v>0</v>
      </c>
      <c r="C692" s="1">
        <f>IF(B692="", "", "UBERON:gastrointestinal tract")</f>
        <v>0</v>
      </c>
      <c r="D692" s="1">
        <f>IF(B692="", "", "UBERON:feces")</f>
        <v>0</v>
      </c>
      <c r="E692" s="1">
        <f>IF(B692="", "", "UBERON:colon")</f>
        <v>0</v>
      </c>
      <c r="F692" s="1">
        <f>IF(B692="", "", "rat gut metagenome")</f>
        <v>0</v>
      </c>
      <c r="G692" s="1">
        <f>IF(B692="", "", "1436733")</f>
        <v>0</v>
      </c>
    </row>
    <row r="693" spans="1:7">
      <c r="A693">
        <f>IF(COUNTBLANK(B693:G693)&lt;&gt;COLUMNS(B693:G693),692,"")</f>
        <v>0</v>
      </c>
      <c r="C693" s="1">
        <f>IF(B693="", "", "UBERON:gastrointestinal tract")</f>
        <v>0</v>
      </c>
      <c r="D693" s="1">
        <f>IF(B693="", "", "UBERON:feces")</f>
        <v>0</v>
      </c>
      <c r="E693" s="1">
        <f>IF(B693="", "", "UBERON:colon")</f>
        <v>0</v>
      </c>
      <c r="F693" s="1">
        <f>IF(B693="", "", "rat gut metagenome")</f>
        <v>0</v>
      </c>
      <c r="G693" s="1">
        <f>IF(B693="", "", "1436733")</f>
        <v>0</v>
      </c>
    </row>
    <row r="694" spans="1:7">
      <c r="A694">
        <f>IF(COUNTBLANK(B694:G694)&lt;&gt;COLUMNS(B694:G694),693,"")</f>
        <v>0</v>
      </c>
      <c r="C694" s="1">
        <f>IF(B694="", "", "UBERON:gastrointestinal tract")</f>
        <v>0</v>
      </c>
      <c r="D694" s="1">
        <f>IF(B694="", "", "UBERON:feces")</f>
        <v>0</v>
      </c>
      <c r="E694" s="1">
        <f>IF(B694="", "", "UBERON:colon")</f>
        <v>0</v>
      </c>
      <c r="F694" s="1">
        <f>IF(B694="", "", "rat gut metagenome")</f>
        <v>0</v>
      </c>
      <c r="G694" s="1">
        <f>IF(B694="", "", "1436733")</f>
        <v>0</v>
      </c>
    </row>
    <row r="695" spans="1:7">
      <c r="A695">
        <f>IF(COUNTBLANK(B695:G695)&lt;&gt;COLUMNS(B695:G695),694,"")</f>
        <v>0</v>
      </c>
      <c r="C695" s="1">
        <f>IF(B695="", "", "UBERON:gastrointestinal tract")</f>
        <v>0</v>
      </c>
      <c r="D695" s="1">
        <f>IF(B695="", "", "UBERON:feces")</f>
        <v>0</v>
      </c>
      <c r="E695" s="1">
        <f>IF(B695="", "", "UBERON:colon")</f>
        <v>0</v>
      </c>
      <c r="F695" s="1">
        <f>IF(B695="", "", "rat gut metagenome")</f>
        <v>0</v>
      </c>
      <c r="G695" s="1">
        <f>IF(B695="", "", "1436733")</f>
        <v>0</v>
      </c>
    </row>
    <row r="696" spans="1:7">
      <c r="A696">
        <f>IF(COUNTBLANK(B696:G696)&lt;&gt;COLUMNS(B696:G696),695,"")</f>
        <v>0</v>
      </c>
      <c r="C696" s="1">
        <f>IF(B696="", "", "UBERON:gastrointestinal tract")</f>
        <v>0</v>
      </c>
      <c r="D696" s="1">
        <f>IF(B696="", "", "UBERON:feces")</f>
        <v>0</v>
      </c>
      <c r="E696" s="1">
        <f>IF(B696="", "", "UBERON:colon")</f>
        <v>0</v>
      </c>
      <c r="F696" s="1">
        <f>IF(B696="", "", "rat gut metagenome")</f>
        <v>0</v>
      </c>
      <c r="G696" s="1">
        <f>IF(B696="", "", "1436733")</f>
        <v>0</v>
      </c>
    </row>
    <row r="697" spans="1:7">
      <c r="A697">
        <f>IF(COUNTBLANK(B697:G697)&lt;&gt;COLUMNS(B697:G697),696,"")</f>
        <v>0</v>
      </c>
      <c r="C697" s="1">
        <f>IF(B697="", "", "UBERON:gastrointestinal tract")</f>
        <v>0</v>
      </c>
      <c r="D697" s="1">
        <f>IF(B697="", "", "UBERON:feces")</f>
        <v>0</v>
      </c>
      <c r="E697" s="1">
        <f>IF(B697="", "", "UBERON:colon")</f>
        <v>0</v>
      </c>
      <c r="F697" s="1">
        <f>IF(B697="", "", "rat gut metagenome")</f>
        <v>0</v>
      </c>
      <c r="G697" s="1">
        <f>IF(B697="", "", "1436733")</f>
        <v>0</v>
      </c>
    </row>
    <row r="698" spans="1:7">
      <c r="A698">
        <f>IF(COUNTBLANK(B698:G698)&lt;&gt;COLUMNS(B698:G698),697,"")</f>
        <v>0</v>
      </c>
      <c r="C698" s="1">
        <f>IF(B698="", "", "UBERON:gastrointestinal tract")</f>
        <v>0</v>
      </c>
      <c r="D698" s="1">
        <f>IF(B698="", "", "UBERON:feces")</f>
        <v>0</v>
      </c>
      <c r="E698" s="1">
        <f>IF(B698="", "", "UBERON:colon")</f>
        <v>0</v>
      </c>
      <c r="F698" s="1">
        <f>IF(B698="", "", "rat gut metagenome")</f>
        <v>0</v>
      </c>
      <c r="G698" s="1">
        <f>IF(B698="", "", "1436733")</f>
        <v>0</v>
      </c>
    </row>
    <row r="699" spans="1:7">
      <c r="A699">
        <f>IF(COUNTBLANK(B699:G699)&lt;&gt;COLUMNS(B699:G699),698,"")</f>
        <v>0</v>
      </c>
      <c r="C699" s="1">
        <f>IF(B699="", "", "UBERON:gastrointestinal tract")</f>
        <v>0</v>
      </c>
      <c r="D699" s="1">
        <f>IF(B699="", "", "UBERON:feces")</f>
        <v>0</v>
      </c>
      <c r="E699" s="1">
        <f>IF(B699="", "", "UBERON:colon")</f>
        <v>0</v>
      </c>
      <c r="F699" s="1">
        <f>IF(B699="", "", "rat gut metagenome")</f>
        <v>0</v>
      </c>
      <c r="G699" s="1">
        <f>IF(B699="", "", "1436733")</f>
        <v>0</v>
      </c>
    </row>
    <row r="700" spans="1:7">
      <c r="A700">
        <f>IF(COUNTBLANK(B700:G700)&lt;&gt;COLUMNS(B700:G700),699,"")</f>
        <v>0</v>
      </c>
      <c r="C700" s="1">
        <f>IF(B700="", "", "UBERON:gastrointestinal tract")</f>
        <v>0</v>
      </c>
      <c r="D700" s="1">
        <f>IF(B700="", "", "UBERON:feces")</f>
        <v>0</v>
      </c>
      <c r="E700" s="1">
        <f>IF(B700="", "", "UBERON:colon")</f>
        <v>0</v>
      </c>
      <c r="F700" s="1">
        <f>IF(B700="", "", "rat gut metagenome")</f>
        <v>0</v>
      </c>
      <c r="G700" s="1">
        <f>IF(B700="", "", "1436733")</f>
        <v>0</v>
      </c>
    </row>
    <row r="701" spans="1:7">
      <c r="A701">
        <f>IF(COUNTBLANK(B701:G701)&lt;&gt;COLUMNS(B701:G701),700,"")</f>
        <v>0</v>
      </c>
      <c r="C701" s="1">
        <f>IF(B701="", "", "UBERON:gastrointestinal tract")</f>
        <v>0</v>
      </c>
      <c r="D701" s="1">
        <f>IF(B701="", "", "UBERON:feces")</f>
        <v>0</v>
      </c>
      <c r="E701" s="1">
        <f>IF(B701="", "", "UBERON:colon")</f>
        <v>0</v>
      </c>
      <c r="F701" s="1">
        <f>IF(B701="", "", "rat gut metagenome")</f>
        <v>0</v>
      </c>
      <c r="G701" s="1">
        <f>IF(B701="", "", "1436733")</f>
        <v>0</v>
      </c>
    </row>
    <row r="702" spans="1:7">
      <c r="A702">
        <f>IF(COUNTBLANK(B702:G702)&lt;&gt;COLUMNS(B702:G702),701,"")</f>
        <v>0</v>
      </c>
      <c r="C702" s="1">
        <f>IF(B702="", "", "UBERON:gastrointestinal tract")</f>
        <v>0</v>
      </c>
      <c r="D702" s="1">
        <f>IF(B702="", "", "UBERON:feces")</f>
        <v>0</v>
      </c>
      <c r="E702" s="1">
        <f>IF(B702="", "", "UBERON:colon")</f>
        <v>0</v>
      </c>
      <c r="F702" s="1">
        <f>IF(B702="", "", "rat gut metagenome")</f>
        <v>0</v>
      </c>
      <c r="G702" s="1">
        <f>IF(B702="", "", "1436733")</f>
        <v>0</v>
      </c>
    </row>
    <row r="703" spans="1:7">
      <c r="A703">
        <f>IF(COUNTBLANK(B703:G703)&lt;&gt;COLUMNS(B703:G703),702,"")</f>
        <v>0</v>
      </c>
      <c r="C703" s="1">
        <f>IF(B703="", "", "UBERON:gastrointestinal tract")</f>
        <v>0</v>
      </c>
      <c r="D703" s="1">
        <f>IF(B703="", "", "UBERON:feces")</f>
        <v>0</v>
      </c>
      <c r="E703" s="1">
        <f>IF(B703="", "", "UBERON:colon")</f>
        <v>0</v>
      </c>
      <c r="F703" s="1">
        <f>IF(B703="", "", "rat gut metagenome")</f>
        <v>0</v>
      </c>
      <c r="G703" s="1">
        <f>IF(B703="", "", "1436733")</f>
        <v>0</v>
      </c>
    </row>
    <row r="704" spans="1:7">
      <c r="A704">
        <f>IF(COUNTBLANK(B704:G704)&lt;&gt;COLUMNS(B704:G704),703,"")</f>
        <v>0</v>
      </c>
      <c r="C704" s="1">
        <f>IF(B704="", "", "UBERON:gastrointestinal tract")</f>
        <v>0</v>
      </c>
      <c r="D704" s="1">
        <f>IF(B704="", "", "UBERON:feces")</f>
        <v>0</v>
      </c>
      <c r="E704" s="1">
        <f>IF(B704="", "", "UBERON:colon")</f>
        <v>0</v>
      </c>
      <c r="F704" s="1">
        <f>IF(B704="", "", "rat gut metagenome")</f>
        <v>0</v>
      </c>
      <c r="G704" s="1">
        <f>IF(B704="", "", "1436733")</f>
        <v>0</v>
      </c>
    </row>
    <row r="705" spans="1:7">
      <c r="A705">
        <f>IF(COUNTBLANK(B705:G705)&lt;&gt;COLUMNS(B705:G705),704,"")</f>
        <v>0</v>
      </c>
      <c r="C705" s="1">
        <f>IF(B705="", "", "UBERON:gastrointestinal tract")</f>
        <v>0</v>
      </c>
      <c r="D705" s="1">
        <f>IF(B705="", "", "UBERON:feces")</f>
        <v>0</v>
      </c>
      <c r="E705" s="1">
        <f>IF(B705="", "", "UBERON:colon")</f>
        <v>0</v>
      </c>
      <c r="F705" s="1">
        <f>IF(B705="", "", "rat gut metagenome")</f>
        <v>0</v>
      </c>
      <c r="G705" s="1">
        <f>IF(B705="", "", "1436733")</f>
        <v>0</v>
      </c>
    </row>
    <row r="706" spans="1:7">
      <c r="A706">
        <f>IF(COUNTBLANK(B706:G706)&lt;&gt;COLUMNS(B706:G706),705,"")</f>
        <v>0</v>
      </c>
      <c r="C706" s="1">
        <f>IF(B706="", "", "UBERON:gastrointestinal tract")</f>
        <v>0</v>
      </c>
      <c r="D706" s="1">
        <f>IF(B706="", "", "UBERON:feces")</f>
        <v>0</v>
      </c>
      <c r="E706" s="1">
        <f>IF(B706="", "", "UBERON:colon")</f>
        <v>0</v>
      </c>
      <c r="F706" s="1">
        <f>IF(B706="", "", "rat gut metagenome")</f>
        <v>0</v>
      </c>
      <c r="G706" s="1">
        <f>IF(B706="", "", "1436733")</f>
        <v>0</v>
      </c>
    </row>
    <row r="707" spans="1:7">
      <c r="A707">
        <f>IF(COUNTBLANK(B707:G707)&lt;&gt;COLUMNS(B707:G707),706,"")</f>
        <v>0</v>
      </c>
      <c r="C707" s="1">
        <f>IF(B707="", "", "UBERON:gastrointestinal tract")</f>
        <v>0</v>
      </c>
      <c r="D707" s="1">
        <f>IF(B707="", "", "UBERON:feces")</f>
        <v>0</v>
      </c>
      <c r="E707" s="1">
        <f>IF(B707="", "", "UBERON:colon")</f>
        <v>0</v>
      </c>
      <c r="F707" s="1">
        <f>IF(B707="", "", "rat gut metagenome")</f>
        <v>0</v>
      </c>
      <c r="G707" s="1">
        <f>IF(B707="", "", "1436733")</f>
        <v>0</v>
      </c>
    </row>
    <row r="708" spans="1:7">
      <c r="A708">
        <f>IF(COUNTBLANK(B708:G708)&lt;&gt;COLUMNS(B708:G708),707,"")</f>
        <v>0</v>
      </c>
      <c r="C708" s="1">
        <f>IF(B708="", "", "UBERON:gastrointestinal tract")</f>
        <v>0</v>
      </c>
      <c r="D708" s="1">
        <f>IF(B708="", "", "UBERON:feces")</f>
        <v>0</v>
      </c>
      <c r="E708" s="1">
        <f>IF(B708="", "", "UBERON:colon")</f>
        <v>0</v>
      </c>
      <c r="F708" s="1">
        <f>IF(B708="", "", "rat gut metagenome")</f>
        <v>0</v>
      </c>
      <c r="G708" s="1">
        <f>IF(B708="", "", "1436733")</f>
        <v>0</v>
      </c>
    </row>
    <row r="709" spans="1:7">
      <c r="A709">
        <f>IF(COUNTBLANK(B709:G709)&lt;&gt;COLUMNS(B709:G709),708,"")</f>
        <v>0</v>
      </c>
      <c r="C709" s="1">
        <f>IF(B709="", "", "UBERON:gastrointestinal tract")</f>
        <v>0</v>
      </c>
      <c r="D709" s="1">
        <f>IF(B709="", "", "UBERON:feces")</f>
        <v>0</v>
      </c>
      <c r="E709" s="1">
        <f>IF(B709="", "", "UBERON:colon")</f>
        <v>0</v>
      </c>
      <c r="F709" s="1">
        <f>IF(B709="", "", "rat gut metagenome")</f>
        <v>0</v>
      </c>
      <c r="G709" s="1">
        <f>IF(B709="", "", "1436733")</f>
        <v>0</v>
      </c>
    </row>
    <row r="710" spans="1:7">
      <c r="A710">
        <f>IF(COUNTBLANK(B710:G710)&lt;&gt;COLUMNS(B710:G710),709,"")</f>
        <v>0</v>
      </c>
      <c r="C710" s="1">
        <f>IF(B710="", "", "UBERON:gastrointestinal tract")</f>
        <v>0</v>
      </c>
      <c r="D710" s="1">
        <f>IF(B710="", "", "UBERON:feces")</f>
        <v>0</v>
      </c>
      <c r="E710" s="1">
        <f>IF(B710="", "", "UBERON:colon")</f>
        <v>0</v>
      </c>
      <c r="F710" s="1">
        <f>IF(B710="", "", "rat gut metagenome")</f>
        <v>0</v>
      </c>
      <c r="G710" s="1">
        <f>IF(B710="", "", "1436733")</f>
        <v>0</v>
      </c>
    </row>
    <row r="711" spans="1:7">
      <c r="A711">
        <f>IF(COUNTBLANK(B711:G711)&lt;&gt;COLUMNS(B711:G711),710,"")</f>
        <v>0</v>
      </c>
      <c r="C711" s="1">
        <f>IF(B711="", "", "UBERON:gastrointestinal tract")</f>
        <v>0</v>
      </c>
      <c r="D711" s="1">
        <f>IF(B711="", "", "UBERON:feces")</f>
        <v>0</v>
      </c>
      <c r="E711" s="1">
        <f>IF(B711="", "", "UBERON:colon")</f>
        <v>0</v>
      </c>
      <c r="F711" s="1">
        <f>IF(B711="", "", "rat gut metagenome")</f>
        <v>0</v>
      </c>
      <c r="G711" s="1">
        <f>IF(B711="", "", "1436733")</f>
        <v>0</v>
      </c>
    </row>
    <row r="712" spans="1:7">
      <c r="A712">
        <f>IF(COUNTBLANK(B712:G712)&lt;&gt;COLUMNS(B712:G712),711,"")</f>
        <v>0</v>
      </c>
      <c r="C712" s="1">
        <f>IF(B712="", "", "UBERON:gastrointestinal tract")</f>
        <v>0</v>
      </c>
      <c r="D712" s="1">
        <f>IF(B712="", "", "UBERON:feces")</f>
        <v>0</v>
      </c>
      <c r="E712" s="1">
        <f>IF(B712="", "", "UBERON:colon")</f>
        <v>0</v>
      </c>
      <c r="F712" s="1">
        <f>IF(B712="", "", "rat gut metagenome")</f>
        <v>0</v>
      </c>
      <c r="G712" s="1">
        <f>IF(B712="", "", "1436733")</f>
        <v>0</v>
      </c>
    </row>
    <row r="713" spans="1:7">
      <c r="A713">
        <f>IF(COUNTBLANK(B713:G713)&lt;&gt;COLUMNS(B713:G713),712,"")</f>
        <v>0</v>
      </c>
      <c r="C713" s="1">
        <f>IF(B713="", "", "UBERON:gastrointestinal tract")</f>
        <v>0</v>
      </c>
      <c r="D713" s="1">
        <f>IF(B713="", "", "UBERON:feces")</f>
        <v>0</v>
      </c>
      <c r="E713" s="1">
        <f>IF(B713="", "", "UBERON:colon")</f>
        <v>0</v>
      </c>
      <c r="F713" s="1">
        <f>IF(B713="", "", "rat gut metagenome")</f>
        <v>0</v>
      </c>
      <c r="G713" s="1">
        <f>IF(B713="", "", "1436733")</f>
        <v>0</v>
      </c>
    </row>
    <row r="714" spans="1:7">
      <c r="A714">
        <f>IF(COUNTBLANK(B714:G714)&lt;&gt;COLUMNS(B714:G714),713,"")</f>
        <v>0</v>
      </c>
      <c r="C714" s="1">
        <f>IF(B714="", "", "UBERON:gastrointestinal tract")</f>
        <v>0</v>
      </c>
      <c r="D714" s="1">
        <f>IF(B714="", "", "UBERON:feces")</f>
        <v>0</v>
      </c>
      <c r="E714" s="1">
        <f>IF(B714="", "", "UBERON:colon")</f>
        <v>0</v>
      </c>
      <c r="F714" s="1">
        <f>IF(B714="", "", "rat gut metagenome")</f>
        <v>0</v>
      </c>
      <c r="G714" s="1">
        <f>IF(B714="", "", "1436733")</f>
        <v>0</v>
      </c>
    </row>
    <row r="715" spans="1:7">
      <c r="A715">
        <f>IF(COUNTBLANK(B715:G715)&lt;&gt;COLUMNS(B715:G715),714,"")</f>
        <v>0</v>
      </c>
      <c r="C715" s="1">
        <f>IF(B715="", "", "UBERON:gastrointestinal tract")</f>
        <v>0</v>
      </c>
      <c r="D715" s="1">
        <f>IF(B715="", "", "UBERON:feces")</f>
        <v>0</v>
      </c>
      <c r="E715" s="1">
        <f>IF(B715="", "", "UBERON:colon")</f>
        <v>0</v>
      </c>
      <c r="F715" s="1">
        <f>IF(B715="", "", "rat gut metagenome")</f>
        <v>0</v>
      </c>
      <c r="G715" s="1">
        <f>IF(B715="", "", "1436733")</f>
        <v>0</v>
      </c>
    </row>
    <row r="716" spans="1:7">
      <c r="A716">
        <f>IF(COUNTBLANK(B716:G716)&lt;&gt;COLUMNS(B716:G716),715,"")</f>
        <v>0</v>
      </c>
      <c r="C716" s="1">
        <f>IF(B716="", "", "UBERON:gastrointestinal tract")</f>
        <v>0</v>
      </c>
      <c r="D716" s="1">
        <f>IF(B716="", "", "UBERON:feces")</f>
        <v>0</v>
      </c>
      <c r="E716" s="1">
        <f>IF(B716="", "", "UBERON:colon")</f>
        <v>0</v>
      </c>
      <c r="F716" s="1">
        <f>IF(B716="", "", "rat gut metagenome")</f>
        <v>0</v>
      </c>
      <c r="G716" s="1">
        <f>IF(B716="", "", "1436733")</f>
        <v>0</v>
      </c>
    </row>
    <row r="717" spans="1:7">
      <c r="A717">
        <f>IF(COUNTBLANK(B717:G717)&lt;&gt;COLUMNS(B717:G717),716,"")</f>
        <v>0</v>
      </c>
      <c r="C717" s="1">
        <f>IF(B717="", "", "UBERON:gastrointestinal tract")</f>
        <v>0</v>
      </c>
      <c r="D717" s="1">
        <f>IF(B717="", "", "UBERON:feces")</f>
        <v>0</v>
      </c>
      <c r="E717" s="1">
        <f>IF(B717="", "", "UBERON:colon")</f>
        <v>0</v>
      </c>
      <c r="F717" s="1">
        <f>IF(B717="", "", "rat gut metagenome")</f>
        <v>0</v>
      </c>
      <c r="G717" s="1">
        <f>IF(B717="", "", "1436733")</f>
        <v>0</v>
      </c>
    </row>
    <row r="718" spans="1:7">
      <c r="A718">
        <f>IF(COUNTBLANK(B718:G718)&lt;&gt;COLUMNS(B718:G718),717,"")</f>
        <v>0</v>
      </c>
      <c r="C718" s="1">
        <f>IF(B718="", "", "UBERON:gastrointestinal tract")</f>
        <v>0</v>
      </c>
      <c r="D718" s="1">
        <f>IF(B718="", "", "UBERON:feces")</f>
        <v>0</v>
      </c>
      <c r="E718" s="1">
        <f>IF(B718="", "", "UBERON:colon")</f>
        <v>0</v>
      </c>
      <c r="F718" s="1">
        <f>IF(B718="", "", "rat gut metagenome")</f>
        <v>0</v>
      </c>
      <c r="G718" s="1">
        <f>IF(B718="", "", "1436733")</f>
        <v>0</v>
      </c>
    </row>
    <row r="719" spans="1:7">
      <c r="A719">
        <f>IF(COUNTBLANK(B719:G719)&lt;&gt;COLUMNS(B719:G719),718,"")</f>
        <v>0</v>
      </c>
      <c r="C719" s="1">
        <f>IF(B719="", "", "UBERON:gastrointestinal tract")</f>
        <v>0</v>
      </c>
      <c r="D719" s="1">
        <f>IF(B719="", "", "UBERON:feces")</f>
        <v>0</v>
      </c>
      <c r="E719" s="1">
        <f>IF(B719="", "", "UBERON:colon")</f>
        <v>0</v>
      </c>
      <c r="F719" s="1">
        <f>IF(B719="", "", "rat gut metagenome")</f>
        <v>0</v>
      </c>
      <c r="G719" s="1">
        <f>IF(B719="", "", "1436733")</f>
        <v>0</v>
      </c>
    </row>
    <row r="720" spans="1:7">
      <c r="A720">
        <f>IF(COUNTBLANK(B720:G720)&lt;&gt;COLUMNS(B720:G720),719,"")</f>
        <v>0</v>
      </c>
      <c r="C720" s="1">
        <f>IF(B720="", "", "UBERON:gastrointestinal tract")</f>
        <v>0</v>
      </c>
      <c r="D720" s="1">
        <f>IF(B720="", "", "UBERON:feces")</f>
        <v>0</v>
      </c>
      <c r="E720" s="1">
        <f>IF(B720="", "", "UBERON:colon")</f>
        <v>0</v>
      </c>
      <c r="F720" s="1">
        <f>IF(B720="", "", "rat gut metagenome")</f>
        <v>0</v>
      </c>
      <c r="G720" s="1">
        <f>IF(B720="", "", "1436733")</f>
        <v>0</v>
      </c>
    </row>
    <row r="721" spans="1:7">
      <c r="A721">
        <f>IF(COUNTBLANK(B721:G721)&lt;&gt;COLUMNS(B721:G721),720,"")</f>
        <v>0</v>
      </c>
      <c r="C721" s="1">
        <f>IF(B721="", "", "UBERON:gastrointestinal tract")</f>
        <v>0</v>
      </c>
      <c r="D721" s="1">
        <f>IF(B721="", "", "UBERON:feces")</f>
        <v>0</v>
      </c>
      <c r="E721" s="1">
        <f>IF(B721="", "", "UBERON:colon")</f>
        <v>0</v>
      </c>
      <c r="F721" s="1">
        <f>IF(B721="", "", "rat gut metagenome")</f>
        <v>0</v>
      </c>
      <c r="G721" s="1">
        <f>IF(B721="", "", "1436733")</f>
        <v>0</v>
      </c>
    </row>
    <row r="722" spans="1:7">
      <c r="A722">
        <f>IF(COUNTBLANK(B722:G722)&lt;&gt;COLUMNS(B722:G722),721,"")</f>
        <v>0</v>
      </c>
      <c r="C722" s="1">
        <f>IF(B722="", "", "UBERON:gastrointestinal tract")</f>
        <v>0</v>
      </c>
      <c r="D722" s="1">
        <f>IF(B722="", "", "UBERON:feces")</f>
        <v>0</v>
      </c>
      <c r="E722" s="1">
        <f>IF(B722="", "", "UBERON:colon")</f>
        <v>0</v>
      </c>
      <c r="F722" s="1">
        <f>IF(B722="", "", "rat gut metagenome")</f>
        <v>0</v>
      </c>
      <c r="G722" s="1">
        <f>IF(B722="", "", "1436733")</f>
        <v>0</v>
      </c>
    </row>
    <row r="723" spans="1:7">
      <c r="A723">
        <f>IF(COUNTBLANK(B723:G723)&lt;&gt;COLUMNS(B723:G723),722,"")</f>
        <v>0</v>
      </c>
      <c r="C723" s="1">
        <f>IF(B723="", "", "UBERON:gastrointestinal tract")</f>
        <v>0</v>
      </c>
      <c r="D723" s="1">
        <f>IF(B723="", "", "UBERON:feces")</f>
        <v>0</v>
      </c>
      <c r="E723" s="1">
        <f>IF(B723="", "", "UBERON:colon")</f>
        <v>0</v>
      </c>
      <c r="F723" s="1">
        <f>IF(B723="", "", "rat gut metagenome")</f>
        <v>0</v>
      </c>
      <c r="G723" s="1">
        <f>IF(B723="", "", "1436733")</f>
        <v>0</v>
      </c>
    </row>
    <row r="724" spans="1:7">
      <c r="A724">
        <f>IF(COUNTBLANK(B724:G724)&lt;&gt;COLUMNS(B724:G724),723,"")</f>
        <v>0</v>
      </c>
      <c r="C724" s="1">
        <f>IF(B724="", "", "UBERON:gastrointestinal tract")</f>
        <v>0</v>
      </c>
      <c r="D724" s="1">
        <f>IF(B724="", "", "UBERON:feces")</f>
        <v>0</v>
      </c>
      <c r="E724" s="1">
        <f>IF(B724="", "", "UBERON:colon")</f>
        <v>0</v>
      </c>
      <c r="F724" s="1">
        <f>IF(B724="", "", "rat gut metagenome")</f>
        <v>0</v>
      </c>
      <c r="G724" s="1">
        <f>IF(B724="", "", "1436733")</f>
        <v>0</v>
      </c>
    </row>
    <row r="725" spans="1:7">
      <c r="A725">
        <f>IF(COUNTBLANK(B725:G725)&lt;&gt;COLUMNS(B725:G725),724,"")</f>
        <v>0</v>
      </c>
      <c r="C725" s="1">
        <f>IF(B725="", "", "UBERON:gastrointestinal tract")</f>
        <v>0</v>
      </c>
      <c r="D725" s="1">
        <f>IF(B725="", "", "UBERON:feces")</f>
        <v>0</v>
      </c>
      <c r="E725" s="1">
        <f>IF(B725="", "", "UBERON:colon")</f>
        <v>0</v>
      </c>
      <c r="F725" s="1">
        <f>IF(B725="", "", "rat gut metagenome")</f>
        <v>0</v>
      </c>
      <c r="G725" s="1">
        <f>IF(B725="", "", "1436733")</f>
        <v>0</v>
      </c>
    </row>
    <row r="726" spans="1:7">
      <c r="A726">
        <f>IF(COUNTBLANK(B726:G726)&lt;&gt;COLUMNS(B726:G726),725,"")</f>
        <v>0</v>
      </c>
      <c r="C726" s="1">
        <f>IF(B726="", "", "UBERON:gastrointestinal tract")</f>
        <v>0</v>
      </c>
      <c r="D726" s="1">
        <f>IF(B726="", "", "UBERON:feces")</f>
        <v>0</v>
      </c>
      <c r="E726" s="1">
        <f>IF(B726="", "", "UBERON:colon")</f>
        <v>0</v>
      </c>
      <c r="F726" s="1">
        <f>IF(B726="", "", "rat gut metagenome")</f>
        <v>0</v>
      </c>
      <c r="G726" s="1">
        <f>IF(B726="", "", "1436733")</f>
        <v>0</v>
      </c>
    </row>
    <row r="727" spans="1:7">
      <c r="A727">
        <f>IF(COUNTBLANK(B727:G727)&lt;&gt;COLUMNS(B727:G727),726,"")</f>
        <v>0</v>
      </c>
      <c r="C727" s="1">
        <f>IF(B727="", "", "UBERON:gastrointestinal tract")</f>
        <v>0</v>
      </c>
      <c r="D727" s="1">
        <f>IF(B727="", "", "UBERON:feces")</f>
        <v>0</v>
      </c>
      <c r="E727" s="1">
        <f>IF(B727="", "", "UBERON:colon")</f>
        <v>0</v>
      </c>
      <c r="F727" s="1">
        <f>IF(B727="", "", "rat gut metagenome")</f>
        <v>0</v>
      </c>
      <c r="G727" s="1">
        <f>IF(B727="", "", "1436733")</f>
        <v>0</v>
      </c>
    </row>
    <row r="728" spans="1:7">
      <c r="A728">
        <f>IF(COUNTBLANK(B728:G728)&lt;&gt;COLUMNS(B728:G728),727,"")</f>
        <v>0</v>
      </c>
      <c r="C728" s="1">
        <f>IF(B728="", "", "UBERON:gastrointestinal tract")</f>
        <v>0</v>
      </c>
      <c r="D728" s="1">
        <f>IF(B728="", "", "UBERON:feces")</f>
        <v>0</v>
      </c>
      <c r="E728" s="1">
        <f>IF(B728="", "", "UBERON:colon")</f>
        <v>0</v>
      </c>
      <c r="F728" s="1">
        <f>IF(B728="", "", "rat gut metagenome")</f>
        <v>0</v>
      </c>
      <c r="G728" s="1">
        <f>IF(B728="", "", "1436733")</f>
        <v>0</v>
      </c>
    </row>
    <row r="729" spans="1:7">
      <c r="A729">
        <f>IF(COUNTBLANK(B729:G729)&lt;&gt;COLUMNS(B729:G729),728,"")</f>
        <v>0</v>
      </c>
      <c r="C729" s="1">
        <f>IF(B729="", "", "UBERON:gastrointestinal tract")</f>
        <v>0</v>
      </c>
      <c r="D729" s="1">
        <f>IF(B729="", "", "UBERON:feces")</f>
        <v>0</v>
      </c>
      <c r="E729" s="1">
        <f>IF(B729="", "", "UBERON:colon")</f>
        <v>0</v>
      </c>
      <c r="F729" s="1">
        <f>IF(B729="", "", "rat gut metagenome")</f>
        <v>0</v>
      </c>
      <c r="G729" s="1">
        <f>IF(B729="", "", "1436733")</f>
        <v>0</v>
      </c>
    </row>
    <row r="730" spans="1:7">
      <c r="A730">
        <f>IF(COUNTBLANK(B730:G730)&lt;&gt;COLUMNS(B730:G730),729,"")</f>
        <v>0</v>
      </c>
      <c r="C730" s="1">
        <f>IF(B730="", "", "UBERON:gastrointestinal tract")</f>
        <v>0</v>
      </c>
      <c r="D730" s="1">
        <f>IF(B730="", "", "UBERON:feces")</f>
        <v>0</v>
      </c>
      <c r="E730" s="1">
        <f>IF(B730="", "", "UBERON:colon")</f>
        <v>0</v>
      </c>
      <c r="F730" s="1">
        <f>IF(B730="", "", "rat gut metagenome")</f>
        <v>0</v>
      </c>
      <c r="G730" s="1">
        <f>IF(B730="", "", "1436733")</f>
        <v>0</v>
      </c>
    </row>
    <row r="731" spans="1:7">
      <c r="A731">
        <f>IF(COUNTBLANK(B731:G731)&lt;&gt;COLUMNS(B731:G731),730,"")</f>
        <v>0</v>
      </c>
      <c r="C731" s="1">
        <f>IF(B731="", "", "UBERON:gastrointestinal tract")</f>
        <v>0</v>
      </c>
      <c r="D731" s="1">
        <f>IF(B731="", "", "UBERON:feces")</f>
        <v>0</v>
      </c>
      <c r="E731" s="1">
        <f>IF(B731="", "", "UBERON:colon")</f>
        <v>0</v>
      </c>
      <c r="F731" s="1">
        <f>IF(B731="", "", "rat gut metagenome")</f>
        <v>0</v>
      </c>
      <c r="G731" s="1">
        <f>IF(B731="", "", "1436733")</f>
        <v>0</v>
      </c>
    </row>
    <row r="732" spans="1:7">
      <c r="A732">
        <f>IF(COUNTBLANK(B732:G732)&lt;&gt;COLUMNS(B732:G732),731,"")</f>
        <v>0</v>
      </c>
      <c r="C732" s="1">
        <f>IF(B732="", "", "UBERON:gastrointestinal tract")</f>
        <v>0</v>
      </c>
      <c r="D732" s="1">
        <f>IF(B732="", "", "UBERON:feces")</f>
        <v>0</v>
      </c>
      <c r="E732" s="1">
        <f>IF(B732="", "", "UBERON:colon")</f>
        <v>0</v>
      </c>
      <c r="F732" s="1">
        <f>IF(B732="", "", "rat gut metagenome")</f>
        <v>0</v>
      </c>
      <c r="G732" s="1">
        <f>IF(B732="", "", "1436733")</f>
        <v>0</v>
      </c>
    </row>
    <row r="733" spans="1:7">
      <c r="A733">
        <f>IF(COUNTBLANK(B733:G733)&lt;&gt;COLUMNS(B733:G733),732,"")</f>
        <v>0</v>
      </c>
      <c r="C733" s="1">
        <f>IF(B733="", "", "UBERON:gastrointestinal tract")</f>
        <v>0</v>
      </c>
      <c r="D733" s="1">
        <f>IF(B733="", "", "UBERON:feces")</f>
        <v>0</v>
      </c>
      <c r="E733" s="1">
        <f>IF(B733="", "", "UBERON:colon")</f>
        <v>0</v>
      </c>
      <c r="F733" s="1">
        <f>IF(B733="", "", "rat gut metagenome")</f>
        <v>0</v>
      </c>
      <c r="G733" s="1">
        <f>IF(B733="", "", "1436733")</f>
        <v>0</v>
      </c>
    </row>
    <row r="734" spans="1:7">
      <c r="A734">
        <f>IF(COUNTBLANK(B734:G734)&lt;&gt;COLUMNS(B734:G734),733,"")</f>
        <v>0</v>
      </c>
      <c r="C734" s="1">
        <f>IF(B734="", "", "UBERON:gastrointestinal tract")</f>
        <v>0</v>
      </c>
      <c r="D734" s="1">
        <f>IF(B734="", "", "UBERON:feces")</f>
        <v>0</v>
      </c>
      <c r="E734" s="1">
        <f>IF(B734="", "", "UBERON:colon")</f>
        <v>0</v>
      </c>
      <c r="F734" s="1">
        <f>IF(B734="", "", "rat gut metagenome")</f>
        <v>0</v>
      </c>
      <c r="G734" s="1">
        <f>IF(B734="", "", "1436733")</f>
        <v>0</v>
      </c>
    </row>
    <row r="735" spans="1:7">
      <c r="A735">
        <f>IF(COUNTBLANK(B735:G735)&lt;&gt;COLUMNS(B735:G735),734,"")</f>
        <v>0</v>
      </c>
      <c r="C735" s="1">
        <f>IF(B735="", "", "UBERON:gastrointestinal tract")</f>
        <v>0</v>
      </c>
      <c r="D735" s="1">
        <f>IF(B735="", "", "UBERON:feces")</f>
        <v>0</v>
      </c>
      <c r="E735" s="1">
        <f>IF(B735="", "", "UBERON:colon")</f>
        <v>0</v>
      </c>
      <c r="F735" s="1">
        <f>IF(B735="", "", "rat gut metagenome")</f>
        <v>0</v>
      </c>
      <c r="G735" s="1">
        <f>IF(B735="", "", "1436733")</f>
        <v>0</v>
      </c>
    </row>
    <row r="736" spans="1:7">
      <c r="A736">
        <f>IF(COUNTBLANK(B736:G736)&lt;&gt;COLUMNS(B736:G736),735,"")</f>
        <v>0</v>
      </c>
      <c r="C736" s="1">
        <f>IF(B736="", "", "UBERON:gastrointestinal tract")</f>
        <v>0</v>
      </c>
      <c r="D736" s="1">
        <f>IF(B736="", "", "UBERON:feces")</f>
        <v>0</v>
      </c>
      <c r="E736" s="1">
        <f>IF(B736="", "", "UBERON:colon")</f>
        <v>0</v>
      </c>
      <c r="F736" s="1">
        <f>IF(B736="", "", "rat gut metagenome")</f>
        <v>0</v>
      </c>
      <c r="G736" s="1">
        <f>IF(B736="", "", "1436733")</f>
        <v>0</v>
      </c>
    </row>
    <row r="737" spans="1:7">
      <c r="A737">
        <f>IF(COUNTBLANK(B737:G737)&lt;&gt;COLUMNS(B737:G737),736,"")</f>
        <v>0</v>
      </c>
      <c r="C737" s="1">
        <f>IF(B737="", "", "UBERON:gastrointestinal tract")</f>
        <v>0</v>
      </c>
      <c r="D737" s="1">
        <f>IF(B737="", "", "UBERON:feces")</f>
        <v>0</v>
      </c>
      <c r="E737" s="1">
        <f>IF(B737="", "", "UBERON:colon")</f>
        <v>0</v>
      </c>
      <c r="F737" s="1">
        <f>IF(B737="", "", "rat gut metagenome")</f>
        <v>0</v>
      </c>
      <c r="G737" s="1">
        <f>IF(B737="", "", "1436733")</f>
        <v>0</v>
      </c>
    </row>
    <row r="738" spans="1:7">
      <c r="A738">
        <f>IF(COUNTBLANK(B738:G738)&lt;&gt;COLUMNS(B738:G738),737,"")</f>
        <v>0</v>
      </c>
      <c r="C738" s="1">
        <f>IF(B738="", "", "UBERON:gastrointestinal tract")</f>
        <v>0</v>
      </c>
      <c r="D738" s="1">
        <f>IF(B738="", "", "UBERON:feces")</f>
        <v>0</v>
      </c>
      <c r="E738" s="1">
        <f>IF(B738="", "", "UBERON:colon")</f>
        <v>0</v>
      </c>
      <c r="F738" s="1">
        <f>IF(B738="", "", "rat gut metagenome")</f>
        <v>0</v>
      </c>
      <c r="G738" s="1">
        <f>IF(B738="", "", "1436733")</f>
        <v>0</v>
      </c>
    </row>
    <row r="739" spans="1:7">
      <c r="A739">
        <f>IF(COUNTBLANK(B739:G739)&lt;&gt;COLUMNS(B739:G739),738,"")</f>
        <v>0</v>
      </c>
      <c r="C739" s="1">
        <f>IF(B739="", "", "UBERON:gastrointestinal tract")</f>
        <v>0</v>
      </c>
      <c r="D739" s="1">
        <f>IF(B739="", "", "UBERON:feces")</f>
        <v>0</v>
      </c>
      <c r="E739" s="1">
        <f>IF(B739="", "", "UBERON:colon")</f>
        <v>0</v>
      </c>
      <c r="F739" s="1">
        <f>IF(B739="", "", "rat gut metagenome")</f>
        <v>0</v>
      </c>
      <c r="G739" s="1">
        <f>IF(B739="", "", "1436733")</f>
        <v>0</v>
      </c>
    </row>
    <row r="740" spans="1:7">
      <c r="A740">
        <f>IF(COUNTBLANK(B740:G740)&lt;&gt;COLUMNS(B740:G740),739,"")</f>
        <v>0</v>
      </c>
      <c r="C740" s="1">
        <f>IF(B740="", "", "UBERON:gastrointestinal tract")</f>
        <v>0</v>
      </c>
      <c r="D740" s="1">
        <f>IF(B740="", "", "UBERON:feces")</f>
        <v>0</v>
      </c>
      <c r="E740" s="1">
        <f>IF(B740="", "", "UBERON:colon")</f>
        <v>0</v>
      </c>
      <c r="F740" s="1">
        <f>IF(B740="", "", "rat gut metagenome")</f>
        <v>0</v>
      </c>
      <c r="G740" s="1">
        <f>IF(B740="", "", "1436733")</f>
        <v>0</v>
      </c>
    </row>
    <row r="741" spans="1:7">
      <c r="A741">
        <f>IF(COUNTBLANK(B741:G741)&lt;&gt;COLUMNS(B741:G741),740,"")</f>
        <v>0</v>
      </c>
      <c r="C741" s="1">
        <f>IF(B741="", "", "UBERON:gastrointestinal tract")</f>
        <v>0</v>
      </c>
      <c r="D741" s="1">
        <f>IF(B741="", "", "UBERON:feces")</f>
        <v>0</v>
      </c>
      <c r="E741" s="1">
        <f>IF(B741="", "", "UBERON:colon")</f>
        <v>0</v>
      </c>
      <c r="F741" s="1">
        <f>IF(B741="", "", "rat gut metagenome")</f>
        <v>0</v>
      </c>
      <c r="G741" s="1">
        <f>IF(B741="", "", "1436733")</f>
        <v>0</v>
      </c>
    </row>
    <row r="742" spans="1:7">
      <c r="A742">
        <f>IF(COUNTBLANK(B742:G742)&lt;&gt;COLUMNS(B742:G742),741,"")</f>
        <v>0</v>
      </c>
      <c r="C742" s="1">
        <f>IF(B742="", "", "UBERON:gastrointestinal tract")</f>
        <v>0</v>
      </c>
      <c r="D742" s="1">
        <f>IF(B742="", "", "UBERON:feces")</f>
        <v>0</v>
      </c>
      <c r="E742" s="1">
        <f>IF(B742="", "", "UBERON:colon")</f>
        <v>0</v>
      </c>
      <c r="F742" s="1">
        <f>IF(B742="", "", "rat gut metagenome")</f>
        <v>0</v>
      </c>
      <c r="G742" s="1">
        <f>IF(B742="", "", "1436733")</f>
        <v>0</v>
      </c>
    </row>
    <row r="743" spans="1:7">
      <c r="A743">
        <f>IF(COUNTBLANK(B743:G743)&lt;&gt;COLUMNS(B743:G743),742,"")</f>
        <v>0</v>
      </c>
      <c r="C743" s="1">
        <f>IF(B743="", "", "UBERON:gastrointestinal tract")</f>
        <v>0</v>
      </c>
      <c r="D743" s="1">
        <f>IF(B743="", "", "UBERON:feces")</f>
        <v>0</v>
      </c>
      <c r="E743" s="1">
        <f>IF(B743="", "", "UBERON:colon")</f>
        <v>0</v>
      </c>
      <c r="F743" s="1">
        <f>IF(B743="", "", "rat gut metagenome")</f>
        <v>0</v>
      </c>
      <c r="G743" s="1">
        <f>IF(B743="", "", "1436733")</f>
        <v>0</v>
      </c>
    </row>
    <row r="744" spans="1:7">
      <c r="A744">
        <f>IF(COUNTBLANK(B744:G744)&lt;&gt;COLUMNS(B744:G744),743,"")</f>
        <v>0</v>
      </c>
      <c r="C744" s="1">
        <f>IF(B744="", "", "UBERON:gastrointestinal tract")</f>
        <v>0</v>
      </c>
      <c r="D744" s="1">
        <f>IF(B744="", "", "UBERON:feces")</f>
        <v>0</v>
      </c>
      <c r="E744" s="1">
        <f>IF(B744="", "", "UBERON:colon")</f>
        <v>0</v>
      </c>
      <c r="F744" s="1">
        <f>IF(B744="", "", "rat gut metagenome")</f>
        <v>0</v>
      </c>
      <c r="G744" s="1">
        <f>IF(B744="", "", "1436733")</f>
        <v>0</v>
      </c>
    </row>
    <row r="745" spans="1:7">
      <c r="A745">
        <f>IF(COUNTBLANK(B745:G745)&lt;&gt;COLUMNS(B745:G745),744,"")</f>
        <v>0</v>
      </c>
      <c r="C745" s="1">
        <f>IF(B745="", "", "UBERON:gastrointestinal tract")</f>
        <v>0</v>
      </c>
      <c r="D745" s="1">
        <f>IF(B745="", "", "UBERON:feces")</f>
        <v>0</v>
      </c>
      <c r="E745" s="1">
        <f>IF(B745="", "", "UBERON:colon")</f>
        <v>0</v>
      </c>
      <c r="F745" s="1">
        <f>IF(B745="", "", "rat gut metagenome")</f>
        <v>0</v>
      </c>
      <c r="G745" s="1">
        <f>IF(B745="", "", "1436733")</f>
        <v>0</v>
      </c>
    </row>
    <row r="746" spans="1:7">
      <c r="A746">
        <f>IF(COUNTBLANK(B746:G746)&lt;&gt;COLUMNS(B746:G746),745,"")</f>
        <v>0</v>
      </c>
      <c r="C746" s="1">
        <f>IF(B746="", "", "UBERON:gastrointestinal tract")</f>
        <v>0</v>
      </c>
      <c r="D746" s="1">
        <f>IF(B746="", "", "UBERON:feces")</f>
        <v>0</v>
      </c>
      <c r="E746" s="1">
        <f>IF(B746="", "", "UBERON:colon")</f>
        <v>0</v>
      </c>
      <c r="F746" s="1">
        <f>IF(B746="", "", "rat gut metagenome")</f>
        <v>0</v>
      </c>
      <c r="G746" s="1">
        <f>IF(B746="", "", "1436733")</f>
        <v>0</v>
      </c>
    </row>
    <row r="747" spans="1:7">
      <c r="A747">
        <f>IF(COUNTBLANK(B747:G747)&lt;&gt;COLUMNS(B747:G747),746,"")</f>
        <v>0</v>
      </c>
      <c r="C747" s="1">
        <f>IF(B747="", "", "UBERON:gastrointestinal tract")</f>
        <v>0</v>
      </c>
      <c r="D747" s="1">
        <f>IF(B747="", "", "UBERON:feces")</f>
        <v>0</v>
      </c>
      <c r="E747" s="1">
        <f>IF(B747="", "", "UBERON:colon")</f>
        <v>0</v>
      </c>
      <c r="F747" s="1">
        <f>IF(B747="", "", "rat gut metagenome")</f>
        <v>0</v>
      </c>
      <c r="G747" s="1">
        <f>IF(B747="", "", "1436733")</f>
        <v>0</v>
      </c>
    </row>
    <row r="748" spans="1:7">
      <c r="A748">
        <f>IF(COUNTBLANK(B748:G748)&lt;&gt;COLUMNS(B748:G748),747,"")</f>
        <v>0</v>
      </c>
      <c r="C748" s="1">
        <f>IF(B748="", "", "UBERON:gastrointestinal tract")</f>
        <v>0</v>
      </c>
      <c r="D748" s="1">
        <f>IF(B748="", "", "UBERON:feces")</f>
        <v>0</v>
      </c>
      <c r="E748" s="1">
        <f>IF(B748="", "", "UBERON:colon")</f>
        <v>0</v>
      </c>
      <c r="F748" s="1">
        <f>IF(B748="", "", "rat gut metagenome")</f>
        <v>0</v>
      </c>
      <c r="G748" s="1">
        <f>IF(B748="", "", "1436733")</f>
        <v>0</v>
      </c>
    </row>
    <row r="749" spans="1:7">
      <c r="A749">
        <f>IF(COUNTBLANK(B749:G749)&lt;&gt;COLUMNS(B749:G749),748,"")</f>
        <v>0</v>
      </c>
      <c r="C749" s="1">
        <f>IF(B749="", "", "UBERON:gastrointestinal tract")</f>
        <v>0</v>
      </c>
      <c r="D749" s="1">
        <f>IF(B749="", "", "UBERON:feces")</f>
        <v>0</v>
      </c>
      <c r="E749" s="1">
        <f>IF(B749="", "", "UBERON:colon")</f>
        <v>0</v>
      </c>
      <c r="F749" s="1">
        <f>IF(B749="", "", "rat gut metagenome")</f>
        <v>0</v>
      </c>
      <c r="G749" s="1">
        <f>IF(B749="", "", "1436733")</f>
        <v>0</v>
      </c>
    </row>
    <row r="750" spans="1:7">
      <c r="A750">
        <f>IF(COUNTBLANK(B750:G750)&lt;&gt;COLUMNS(B750:G750),749,"")</f>
        <v>0</v>
      </c>
      <c r="C750" s="1">
        <f>IF(B750="", "", "UBERON:gastrointestinal tract")</f>
        <v>0</v>
      </c>
      <c r="D750" s="1">
        <f>IF(B750="", "", "UBERON:feces")</f>
        <v>0</v>
      </c>
      <c r="E750" s="1">
        <f>IF(B750="", "", "UBERON:colon")</f>
        <v>0</v>
      </c>
      <c r="F750" s="1">
        <f>IF(B750="", "", "rat gut metagenome")</f>
        <v>0</v>
      </c>
      <c r="G750" s="1">
        <f>IF(B750="", "", "1436733")</f>
        <v>0</v>
      </c>
    </row>
    <row r="751" spans="1:7">
      <c r="A751">
        <f>IF(COUNTBLANK(B751:G751)&lt;&gt;COLUMNS(B751:G751),750,"")</f>
        <v>0</v>
      </c>
      <c r="C751" s="1">
        <f>IF(B751="", "", "UBERON:gastrointestinal tract")</f>
        <v>0</v>
      </c>
      <c r="D751" s="1">
        <f>IF(B751="", "", "UBERON:feces")</f>
        <v>0</v>
      </c>
      <c r="E751" s="1">
        <f>IF(B751="", "", "UBERON:colon")</f>
        <v>0</v>
      </c>
      <c r="F751" s="1">
        <f>IF(B751="", "", "rat gut metagenome")</f>
        <v>0</v>
      </c>
      <c r="G751" s="1">
        <f>IF(B751="", "", "1436733")</f>
        <v>0</v>
      </c>
    </row>
    <row r="752" spans="1:7">
      <c r="A752">
        <f>IF(COUNTBLANK(B752:G752)&lt;&gt;COLUMNS(B752:G752),751,"")</f>
        <v>0</v>
      </c>
      <c r="C752" s="1">
        <f>IF(B752="", "", "UBERON:gastrointestinal tract")</f>
        <v>0</v>
      </c>
      <c r="D752" s="1">
        <f>IF(B752="", "", "UBERON:feces")</f>
        <v>0</v>
      </c>
      <c r="E752" s="1">
        <f>IF(B752="", "", "UBERON:colon")</f>
        <v>0</v>
      </c>
      <c r="F752" s="1">
        <f>IF(B752="", "", "rat gut metagenome")</f>
        <v>0</v>
      </c>
      <c r="G752" s="1">
        <f>IF(B752="", "", "1436733")</f>
        <v>0</v>
      </c>
    </row>
    <row r="753" spans="1:7">
      <c r="A753">
        <f>IF(COUNTBLANK(B753:G753)&lt;&gt;COLUMNS(B753:G753),752,"")</f>
        <v>0</v>
      </c>
      <c r="C753" s="1">
        <f>IF(B753="", "", "UBERON:gastrointestinal tract")</f>
        <v>0</v>
      </c>
      <c r="D753" s="1">
        <f>IF(B753="", "", "UBERON:feces")</f>
        <v>0</v>
      </c>
      <c r="E753" s="1">
        <f>IF(B753="", "", "UBERON:colon")</f>
        <v>0</v>
      </c>
      <c r="F753" s="1">
        <f>IF(B753="", "", "rat gut metagenome")</f>
        <v>0</v>
      </c>
      <c r="G753" s="1">
        <f>IF(B753="", "", "1436733")</f>
        <v>0</v>
      </c>
    </row>
    <row r="754" spans="1:7">
      <c r="A754">
        <f>IF(COUNTBLANK(B754:G754)&lt;&gt;COLUMNS(B754:G754),753,"")</f>
        <v>0</v>
      </c>
      <c r="C754" s="1">
        <f>IF(B754="", "", "UBERON:gastrointestinal tract")</f>
        <v>0</v>
      </c>
      <c r="D754" s="1">
        <f>IF(B754="", "", "UBERON:feces")</f>
        <v>0</v>
      </c>
      <c r="E754" s="1">
        <f>IF(B754="", "", "UBERON:colon")</f>
        <v>0</v>
      </c>
      <c r="F754" s="1">
        <f>IF(B754="", "", "rat gut metagenome")</f>
        <v>0</v>
      </c>
      <c r="G754" s="1">
        <f>IF(B754="", "", "1436733")</f>
        <v>0</v>
      </c>
    </row>
    <row r="755" spans="1:7">
      <c r="A755">
        <f>IF(COUNTBLANK(B755:G755)&lt;&gt;COLUMNS(B755:G755),754,"")</f>
        <v>0</v>
      </c>
      <c r="C755" s="1">
        <f>IF(B755="", "", "UBERON:gastrointestinal tract")</f>
        <v>0</v>
      </c>
      <c r="D755" s="1">
        <f>IF(B755="", "", "UBERON:feces")</f>
        <v>0</v>
      </c>
      <c r="E755" s="1">
        <f>IF(B755="", "", "UBERON:colon")</f>
        <v>0</v>
      </c>
      <c r="F755" s="1">
        <f>IF(B755="", "", "rat gut metagenome")</f>
        <v>0</v>
      </c>
      <c r="G755" s="1">
        <f>IF(B755="", "", "1436733")</f>
        <v>0</v>
      </c>
    </row>
    <row r="756" spans="1:7">
      <c r="A756">
        <f>IF(COUNTBLANK(B756:G756)&lt;&gt;COLUMNS(B756:G756),755,"")</f>
        <v>0</v>
      </c>
      <c r="C756" s="1">
        <f>IF(B756="", "", "UBERON:gastrointestinal tract")</f>
        <v>0</v>
      </c>
      <c r="D756" s="1">
        <f>IF(B756="", "", "UBERON:feces")</f>
        <v>0</v>
      </c>
      <c r="E756" s="1">
        <f>IF(B756="", "", "UBERON:colon")</f>
        <v>0</v>
      </c>
      <c r="F756" s="1">
        <f>IF(B756="", "", "rat gut metagenome")</f>
        <v>0</v>
      </c>
      <c r="G756" s="1">
        <f>IF(B756="", "", "1436733")</f>
        <v>0</v>
      </c>
    </row>
    <row r="757" spans="1:7">
      <c r="A757">
        <f>IF(COUNTBLANK(B757:G757)&lt;&gt;COLUMNS(B757:G757),756,"")</f>
        <v>0</v>
      </c>
      <c r="C757" s="1">
        <f>IF(B757="", "", "UBERON:gastrointestinal tract")</f>
        <v>0</v>
      </c>
      <c r="D757" s="1">
        <f>IF(B757="", "", "UBERON:feces")</f>
        <v>0</v>
      </c>
      <c r="E757" s="1">
        <f>IF(B757="", "", "UBERON:colon")</f>
        <v>0</v>
      </c>
      <c r="F757" s="1">
        <f>IF(B757="", "", "rat gut metagenome")</f>
        <v>0</v>
      </c>
      <c r="G757" s="1">
        <f>IF(B757="", "", "1436733")</f>
        <v>0</v>
      </c>
    </row>
    <row r="758" spans="1:7">
      <c r="A758">
        <f>IF(COUNTBLANK(B758:G758)&lt;&gt;COLUMNS(B758:G758),757,"")</f>
        <v>0</v>
      </c>
      <c r="C758" s="1">
        <f>IF(B758="", "", "UBERON:gastrointestinal tract")</f>
        <v>0</v>
      </c>
      <c r="D758" s="1">
        <f>IF(B758="", "", "UBERON:feces")</f>
        <v>0</v>
      </c>
      <c r="E758" s="1">
        <f>IF(B758="", "", "UBERON:colon")</f>
        <v>0</v>
      </c>
      <c r="F758" s="1">
        <f>IF(B758="", "", "rat gut metagenome")</f>
        <v>0</v>
      </c>
      <c r="G758" s="1">
        <f>IF(B758="", "", "1436733")</f>
        <v>0</v>
      </c>
    </row>
    <row r="759" spans="1:7">
      <c r="A759">
        <f>IF(COUNTBLANK(B759:G759)&lt;&gt;COLUMNS(B759:G759),758,"")</f>
        <v>0</v>
      </c>
      <c r="C759" s="1">
        <f>IF(B759="", "", "UBERON:gastrointestinal tract")</f>
        <v>0</v>
      </c>
      <c r="D759" s="1">
        <f>IF(B759="", "", "UBERON:feces")</f>
        <v>0</v>
      </c>
      <c r="E759" s="1">
        <f>IF(B759="", "", "UBERON:colon")</f>
        <v>0</v>
      </c>
      <c r="F759" s="1">
        <f>IF(B759="", "", "rat gut metagenome")</f>
        <v>0</v>
      </c>
      <c r="G759" s="1">
        <f>IF(B759="", "", "1436733")</f>
        <v>0</v>
      </c>
    </row>
    <row r="760" spans="1:7">
      <c r="A760">
        <f>IF(COUNTBLANK(B760:G760)&lt;&gt;COLUMNS(B760:G760),759,"")</f>
        <v>0</v>
      </c>
      <c r="C760" s="1">
        <f>IF(B760="", "", "UBERON:gastrointestinal tract")</f>
        <v>0</v>
      </c>
      <c r="D760" s="1">
        <f>IF(B760="", "", "UBERON:feces")</f>
        <v>0</v>
      </c>
      <c r="E760" s="1">
        <f>IF(B760="", "", "UBERON:colon")</f>
        <v>0</v>
      </c>
      <c r="F760" s="1">
        <f>IF(B760="", "", "rat gut metagenome")</f>
        <v>0</v>
      </c>
      <c r="G760" s="1">
        <f>IF(B760="", "", "1436733")</f>
        <v>0</v>
      </c>
    </row>
    <row r="761" spans="1:7">
      <c r="A761">
        <f>IF(COUNTBLANK(B761:G761)&lt;&gt;COLUMNS(B761:G761),760,"")</f>
        <v>0</v>
      </c>
      <c r="C761" s="1">
        <f>IF(B761="", "", "UBERON:gastrointestinal tract")</f>
        <v>0</v>
      </c>
      <c r="D761" s="1">
        <f>IF(B761="", "", "UBERON:feces")</f>
        <v>0</v>
      </c>
      <c r="E761" s="1">
        <f>IF(B761="", "", "UBERON:colon")</f>
        <v>0</v>
      </c>
      <c r="F761" s="1">
        <f>IF(B761="", "", "rat gut metagenome")</f>
        <v>0</v>
      </c>
      <c r="G761" s="1">
        <f>IF(B761="", "", "1436733")</f>
        <v>0</v>
      </c>
    </row>
    <row r="762" spans="1:7">
      <c r="A762">
        <f>IF(COUNTBLANK(B762:G762)&lt;&gt;COLUMNS(B762:G762),761,"")</f>
        <v>0</v>
      </c>
      <c r="C762" s="1">
        <f>IF(B762="", "", "UBERON:gastrointestinal tract")</f>
        <v>0</v>
      </c>
      <c r="D762" s="1">
        <f>IF(B762="", "", "UBERON:feces")</f>
        <v>0</v>
      </c>
      <c r="E762" s="1">
        <f>IF(B762="", "", "UBERON:colon")</f>
        <v>0</v>
      </c>
      <c r="F762" s="1">
        <f>IF(B762="", "", "rat gut metagenome")</f>
        <v>0</v>
      </c>
      <c r="G762" s="1">
        <f>IF(B762="", "", "1436733")</f>
        <v>0</v>
      </c>
    </row>
    <row r="763" spans="1:7">
      <c r="A763">
        <f>IF(COUNTBLANK(B763:G763)&lt;&gt;COLUMNS(B763:G763),762,"")</f>
        <v>0</v>
      </c>
      <c r="C763" s="1">
        <f>IF(B763="", "", "UBERON:gastrointestinal tract")</f>
        <v>0</v>
      </c>
      <c r="D763" s="1">
        <f>IF(B763="", "", "UBERON:feces")</f>
        <v>0</v>
      </c>
      <c r="E763" s="1">
        <f>IF(B763="", "", "UBERON:colon")</f>
        <v>0</v>
      </c>
      <c r="F763" s="1">
        <f>IF(B763="", "", "rat gut metagenome")</f>
        <v>0</v>
      </c>
      <c r="G763" s="1">
        <f>IF(B763="", "", "1436733")</f>
        <v>0</v>
      </c>
    </row>
    <row r="764" spans="1:7">
      <c r="A764">
        <f>IF(COUNTBLANK(B764:G764)&lt;&gt;COLUMNS(B764:G764),763,"")</f>
        <v>0</v>
      </c>
      <c r="C764" s="1">
        <f>IF(B764="", "", "UBERON:gastrointestinal tract")</f>
        <v>0</v>
      </c>
      <c r="D764" s="1">
        <f>IF(B764="", "", "UBERON:feces")</f>
        <v>0</v>
      </c>
      <c r="E764" s="1">
        <f>IF(B764="", "", "UBERON:colon")</f>
        <v>0</v>
      </c>
      <c r="F764" s="1">
        <f>IF(B764="", "", "rat gut metagenome")</f>
        <v>0</v>
      </c>
      <c r="G764" s="1">
        <f>IF(B764="", "", "1436733")</f>
        <v>0</v>
      </c>
    </row>
    <row r="765" spans="1:7">
      <c r="A765">
        <f>IF(COUNTBLANK(B765:G765)&lt;&gt;COLUMNS(B765:G765),764,"")</f>
        <v>0</v>
      </c>
      <c r="C765" s="1">
        <f>IF(B765="", "", "UBERON:gastrointestinal tract")</f>
        <v>0</v>
      </c>
      <c r="D765" s="1">
        <f>IF(B765="", "", "UBERON:feces")</f>
        <v>0</v>
      </c>
      <c r="E765" s="1">
        <f>IF(B765="", "", "UBERON:colon")</f>
        <v>0</v>
      </c>
      <c r="F765" s="1">
        <f>IF(B765="", "", "rat gut metagenome")</f>
        <v>0</v>
      </c>
      <c r="G765" s="1">
        <f>IF(B765="", "", "1436733")</f>
        <v>0</v>
      </c>
    </row>
    <row r="766" spans="1:7">
      <c r="A766">
        <f>IF(COUNTBLANK(B766:G766)&lt;&gt;COLUMNS(B766:G766),765,"")</f>
        <v>0</v>
      </c>
      <c r="C766" s="1">
        <f>IF(B766="", "", "UBERON:gastrointestinal tract")</f>
        <v>0</v>
      </c>
      <c r="D766" s="1">
        <f>IF(B766="", "", "UBERON:feces")</f>
        <v>0</v>
      </c>
      <c r="E766" s="1">
        <f>IF(B766="", "", "UBERON:colon")</f>
        <v>0</v>
      </c>
      <c r="F766" s="1">
        <f>IF(B766="", "", "rat gut metagenome")</f>
        <v>0</v>
      </c>
      <c r="G766" s="1">
        <f>IF(B766="", "", "1436733")</f>
        <v>0</v>
      </c>
    </row>
    <row r="767" spans="1:7">
      <c r="A767">
        <f>IF(COUNTBLANK(B767:G767)&lt;&gt;COLUMNS(B767:G767),766,"")</f>
        <v>0</v>
      </c>
      <c r="C767" s="1">
        <f>IF(B767="", "", "UBERON:gastrointestinal tract")</f>
        <v>0</v>
      </c>
      <c r="D767" s="1">
        <f>IF(B767="", "", "UBERON:feces")</f>
        <v>0</v>
      </c>
      <c r="E767" s="1">
        <f>IF(B767="", "", "UBERON:colon")</f>
        <v>0</v>
      </c>
      <c r="F767" s="1">
        <f>IF(B767="", "", "rat gut metagenome")</f>
        <v>0</v>
      </c>
      <c r="G767" s="1">
        <f>IF(B767="", "", "1436733")</f>
        <v>0</v>
      </c>
    </row>
    <row r="768" spans="1:7">
      <c r="A768">
        <f>IF(COUNTBLANK(B768:G768)&lt;&gt;COLUMNS(B768:G768),767,"")</f>
        <v>0</v>
      </c>
      <c r="C768" s="1">
        <f>IF(B768="", "", "UBERON:gastrointestinal tract")</f>
        <v>0</v>
      </c>
      <c r="D768" s="1">
        <f>IF(B768="", "", "UBERON:feces")</f>
        <v>0</v>
      </c>
      <c r="E768" s="1">
        <f>IF(B768="", "", "UBERON:colon")</f>
        <v>0</v>
      </c>
      <c r="F768" s="1">
        <f>IF(B768="", "", "rat gut metagenome")</f>
        <v>0</v>
      </c>
      <c r="G768" s="1">
        <f>IF(B768="", "", "1436733")</f>
        <v>0</v>
      </c>
    </row>
    <row r="769" spans="1:7">
      <c r="A769">
        <f>IF(COUNTBLANK(B769:G769)&lt;&gt;COLUMNS(B769:G769),768,"")</f>
        <v>0</v>
      </c>
      <c r="C769" s="1">
        <f>IF(B769="", "", "UBERON:gastrointestinal tract")</f>
        <v>0</v>
      </c>
      <c r="D769" s="1">
        <f>IF(B769="", "", "UBERON:feces")</f>
        <v>0</v>
      </c>
      <c r="E769" s="1">
        <f>IF(B769="", "", "UBERON:colon")</f>
        <v>0</v>
      </c>
      <c r="F769" s="1">
        <f>IF(B769="", "", "rat gut metagenome")</f>
        <v>0</v>
      </c>
      <c r="G769" s="1">
        <f>IF(B769="", "", "1436733")</f>
        <v>0</v>
      </c>
    </row>
    <row r="770" spans="1:7">
      <c r="A770">
        <f>IF(COUNTBLANK(B770:G770)&lt;&gt;COLUMNS(B770:G770),769,"")</f>
        <v>0</v>
      </c>
      <c r="C770" s="1">
        <f>IF(B770="", "", "UBERON:gastrointestinal tract")</f>
        <v>0</v>
      </c>
      <c r="D770" s="1">
        <f>IF(B770="", "", "UBERON:feces")</f>
        <v>0</v>
      </c>
      <c r="E770" s="1">
        <f>IF(B770="", "", "UBERON:colon")</f>
        <v>0</v>
      </c>
      <c r="F770" s="1">
        <f>IF(B770="", "", "rat gut metagenome")</f>
        <v>0</v>
      </c>
      <c r="G770" s="1">
        <f>IF(B770="", "", "1436733")</f>
        <v>0</v>
      </c>
    </row>
    <row r="771" spans="1:7">
      <c r="A771">
        <f>IF(COUNTBLANK(B771:G771)&lt;&gt;COLUMNS(B771:G771),770,"")</f>
        <v>0</v>
      </c>
      <c r="C771" s="1">
        <f>IF(B771="", "", "UBERON:gastrointestinal tract")</f>
        <v>0</v>
      </c>
      <c r="D771" s="1">
        <f>IF(B771="", "", "UBERON:feces")</f>
        <v>0</v>
      </c>
      <c r="E771" s="1">
        <f>IF(B771="", "", "UBERON:colon")</f>
        <v>0</v>
      </c>
      <c r="F771" s="1">
        <f>IF(B771="", "", "rat gut metagenome")</f>
        <v>0</v>
      </c>
      <c r="G771" s="1">
        <f>IF(B771="", "", "1436733")</f>
        <v>0</v>
      </c>
    </row>
    <row r="772" spans="1:7">
      <c r="A772">
        <f>IF(COUNTBLANK(B772:G772)&lt;&gt;COLUMNS(B772:G772),771,"")</f>
        <v>0</v>
      </c>
      <c r="C772" s="1">
        <f>IF(B772="", "", "UBERON:gastrointestinal tract")</f>
        <v>0</v>
      </c>
      <c r="D772" s="1">
        <f>IF(B772="", "", "UBERON:feces")</f>
        <v>0</v>
      </c>
      <c r="E772" s="1">
        <f>IF(B772="", "", "UBERON:colon")</f>
        <v>0</v>
      </c>
      <c r="F772" s="1">
        <f>IF(B772="", "", "rat gut metagenome")</f>
        <v>0</v>
      </c>
      <c r="G772" s="1">
        <f>IF(B772="", "", "1436733")</f>
        <v>0</v>
      </c>
    </row>
    <row r="773" spans="1:7">
      <c r="A773">
        <f>IF(COUNTBLANK(B773:G773)&lt;&gt;COLUMNS(B773:G773),772,"")</f>
        <v>0</v>
      </c>
      <c r="C773" s="1">
        <f>IF(B773="", "", "UBERON:gastrointestinal tract")</f>
        <v>0</v>
      </c>
      <c r="D773" s="1">
        <f>IF(B773="", "", "UBERON:feces")</f>
        <v>0</v>
      </c>
      <c r="E773" s="1">
        <f>IF(B773="", "", "UBERON:colon")</f>
        <v>0</v>
      </c>
      <c r="F773" s="1">
        <f>IF(B773="", "", "rat gut metagenome")</f>
        <v>0</v>
      </c>
      <c r="G773" s="1">
        <f>IF(B773="", "", "1436733")</f>
        <v>0</v>
      </c>
    </row>
    <row r="774" spans="1:7">
      <c r="A774">
        <f>IF(COUNTBLANK(B774:G774)&lt;&gt;COLUMNS(B774:G774),773,"")</f>
        <v>0</v>
      </c>
      <c r="C774" s="1">
        <f>IF(B774="", "", "UBERON:gastrointestinal tract")</f>
        <v>0</v>
      </c>
      <c r="D774" s="1">
        <f>IF(B774="", "", "UBERON:feces")</f>
        <v>0</v>
      </c>
      <c r="E774" s="1">
        <f>IF(B774="", "", "UBERON:colon")</f>
        <v>0</v>
      </c>
      <c r="F774" s="1">
        <f>IF(B774="", "", "rat gut metagenome")</f>
        <v>0</v>
      </c>
      <c r="G774" s="1">
        <f>IF(B774="", "", "1436733")</f>
        <v>0</v>
      </c>
    </row>
    <row r="775" spans="1:7">
      <c r="A775">
        <f>IF(COUNTBLANK(B775:G775)&lt;&gt;COLUMNS(B775:G775),774,"")</f>
        <v>0</v>
      </c>
      <c r="C775" s="1">
        <f>IF(B775="", "", "UBERON:gastrointestinal tract")</f>
        <v>0</v>
      </c>
      <c r="D775" s="1">
        <f>IF(B775="", "", "UBERON:feces")</f>
        <v>0</v>
      </c>
      <c r="E775" s="1">
        <f>IF(B775="", "", "UBERON:colon")</f>
        <v>0</v>
      </c>
      <c r="F775" s="1">
        <f>IF(B775="", "", "rat gut metagenome")</f>
        <v>0</v>
      </c>
      <c r="G775" s="1">
        <f>IF(B775="", "", "1436733")</f>
        <v>0</v>
      </c>
    </row>
    <row r="776" spans="1:7">
      <c r="A776">
        <f>IF(COUNTBLANK(B776:G776)&lt;&gt;COLUMNS(B776:G776),775,"")</f>
        <v>0</v>
      </c>
      <c r="C776" s="1">
        <f>IF(B776="", "", "UBERON:gastrointestinal tract")</f>
        <v>0</v>
      </c>
      <c r="D776" s="1">
        <f>IF(B776="", "", "UBERON:feces")</f>
        <v>0</v>
      </c>
      <c r="E776" s="1">
        <f>IF(B776="", "", "UBERON:colon")</f>
        <v>0</v>
      </c>
      <c r="F776" s="1">
        <f>IF(B776="", "", "rat gut metagenome")</f>
        <v>0</v>
      </c>
      <c r="G776" s="1">
        <f>IF(B776="", "", "1436733")</f>
        <v>0</v>
      </c>
    </row>
    <row r="777" spans="1:7">
      <c r="A777">
        <f>IF(COUNTBLANK(B777:G777)&lt;&gt;COLUMNS(B777:G777),776,"")</f>
        <v>0</v>
      </c>
      <c r="C777" s="1">
        <f>IF(B777="", "", "UBERON:gastrointestinal tract")</f>
        <v>0</v>
      </c>
      <c r="D777" s="1">
        <f>IF(B777="", "", "UBERON:feces")</f>
        <v>0</v>
      </c>
      <c r="E777" s="1">
        <f>IF(B777="", "", "UBERON:colon")</f>
        <v>0</v>
      </c>
      <c r="F777" s="1">
        <f>IF(B777="", "", "rat gut metagenome")</f>
        <v>0</v>
      </c>
      <c r="G777" s="1">
        <f>IF(B777="", "", "1436733")</f>
        <v>0</v>
      </c>
    </row>
    <row r="778" spans="1:7">
      <c r="A778">
        <f>IF(COUNTBLANK(B778:G778)&lt;&gt;COLUMNS(B778:G778),777,"")</f>
        <v>0</v>
      </c>
      <c r="C778" s="1">
        <f>IF(B778="", "", "UBERON:gastrointestinal tract")</f>
        <v>0</v>
      </c>
      <c r="D778" s="1">
        <f>IF(B778="", "", "UBERON:feces")</f>
        <v>0</v>
      </c>
      <c r="E778" s="1">
        <f>IF(B778="", "", "UBERON:colon")</f>
        <v>0</v>
      </c>
      <c r="F778" s="1">
        <f>IF(B778="", "", "rat gut metagenome")</f>
        <v>0</v>
      </c>
      <c r="G778" s="1">
        <f>IF(B778="", "", "1436733")</f>
        <v>0</v>
      </c>
    </row>
    <row r="779" spans="1:7">
      <c r="A779">
        <f>IF(COUNTBLANK(B779:G779)&lt;&gt;COLUMNS(B779:G779),778,"")</f>
        <v>0</v>
      </c>
      <c r="C779" s="1">
        <f>IF(B779="", "", "UBERON:gastrointestinal tract")</f>
        <v>0</v>
      </c>
      <c r="D779" s="1">
        <f>IF(B779="", "", "UBERON:feces")</f>
        <v>0</v>
      </c>
      <c r="E779" s="1">
        <f>IF(B779="", "", "UBERON:colon")</f>
        <v>0</v>
      </c>
      <c r="F779" s="1">
        <f>IF(B779="", "", "rat gut metagenome")</f>
        <v>0</v>
      </c>
      <c r="G779" s="1">
        <f>IF(B779="", "", "1436733")</f>
        <v>0</v>
      </c>
    </row>
    <row r="780" spans="1:7">
      <c r="A780">
        <f>IF(COUNTBLANK(B780:G780)&lt;&gt;COLUMNS(B780:G780),779,"")</f>
        <v>0</v>
      </c>
      <c r="C780" s="1">
        <f>IF(B780="", "", "UBERON:gastrointestinal tract")</f>
        <v>0</v>
      </c>
      <c r="D780" s="1">
        <f>IF(B780="", "", "UBERON:feces")</f>
        <v>0</v>
      </c>
      <c r="E780" s="1">
        <f>IF(B780="", "", "UBERON:colon")</f>
        <v>0</v>
      </c>
      <c r="F780" s="1">
        <f>IF(B780="", "", "rat gut metagenome")</f>
        <v>0</v>
      </c>
      <c r="G780" s="1">
        <f>IF(B780="", "", "1436733")</f>
        <v>0</v>
      </c>
    </row>
    <row r="781" spans="1:7">
      <c r="A781">
        <f>IF(COUNTBLANK(B781:G781)&lt;&gt;COLUMNS(B781:G781),780,"")</f>
        <v>0</v>
      </c>
      <c r="C781" s="1">
        <f>IF(B781="", "", "UBERON:gastrointestinal tract")</f>
        <v>0</v>
      </c>
      <c r="D781" s="1">
        <f>IF(B781="", "", "UBERON:feces")</f>
        <v>0</v>
      </c>
      <c r="E781" s="1">
        <f>IF(B781="", "", "UBERON:colon")</f>
        <v>0</v>
      </c>
      <c r="F781" s="1">
        <f>IF(B781="", "", "rat gut metagenome")</f>
        <v>0</v>
      </c>
      <c r="G781" s="1">
        <f>IF(B781="", "", "1436733")</f>
        <v>0</v>
      </c>
    </row>
    <row r="782" spans="1:7">
      <c r="A782">
        <f>IF(COUNTBLANK(B782:G782)&lt;&gt;COLUMNS(B782:G782),781,"")</f>
        <v>0</v>
      </c>
      <c r="C782" s="1">
        <f>IF(B782="", "", "UBERON:gastrointestinal tract")</f>
        <v>0</v>
      </c>
      <c r="D782" s="1">
        <f>IF(B782="", "", "UBERON:feces")</f>
        <v>0</v>
      </c>
      <c r="E782" s="1">
        <f>IF(B782="", "", "UBERON:colon")</f>
        <v>0</v>
      </c>
      <c r="F782" s="1">
        <f>IF(B782="", "", "rat gut metagenome")</f>
        <v>0</v>
      </c>
      <c r="G782" s="1">
        <f>IF(B782="", "", "1436733")</f>
        <v>0</v>
      </c>
    </row>
    <row r="783" spans="1:7">
      <c r="A783">
        <f>IF(COUNTBLANK(B783:G783)&lt;&gt;COLUMNS(B783:G783),782,"")</f>
        <v>0</v>
      </c>
      <c r="C783" s="1">
        <f>IF(B783="", "", "UBERON:gastrointestinal tract")</f>
        <v>0</v>
      </c>
      <c r="D783" s="1">
        <f>IF(B783="", "", "UBERON:feces")</f>
        <v>0</v>
      </c>
      <c r="E783" s="1">
        <f>IF(B783="", "", "UBERON:colon")</f>
        <v>0</v>
      </c>
      <c r="F783" s="1">
        <f>IF(B783="", "", "rat gut metagenome")</f>
        <v>0</v>
      </c>
      <c r="G783" s="1">
        <f>IF(B783="", "", "1436733")</f>
        <v>0</v>
      </c>
    </row>
    <row r="784" spans="1:7">
      <c r="A784">
        <f>IF(COUNTBLANK(B784:G784)&lt;&gt;COLUMNS(B784:G784),783,"")</f>
        <v>0</v>
      </c>
      <c r="C784" s="1">
        <f>IF(B784="", "", "UBERON:gastrointestinal tract")</f>
        <v>0</v>
      </c>
      <c r="D784" s="1">
        <f>IF(B784="", "", "UBERON:feces")</f>
        <v>0</v>
      </c>
      <c r="E784" s="1">
        <f>IF(B784="", "", "UBERON:colon")</f>
        <v>0</v>
      </c>
      <c r="F784" s="1">
        <f>IF(B784="", "", "rat gut metagenome")</f>
        <v>0</v>
      </c>
      <c r="G784" s="1">
        <f>IF(B784="", "", "1436733")</f>
        <v>0</v>
      </c>
    </row>
    <row r="785" spans="1:7">
      <c r="A785">
        <f>IF(COUNTBLANK(B785:G785)&lt;&gt;COLUMNS(B785:G785),784,"")</f>
        <v>0</v>
      </c>
      <c r="C785" s="1">
        <f>IF(B785="", "", "UBERON:gastrointestinal tract")</f>
        <v>0</v>
      </c>
      <c r="D785" s="1">
        <f>IF(B785="", "", "UBERON:feces")</f>
        <v>0</v>
      </c>
      <c r="E785" s="1">
        <f>IF(B785="", "", "UBERON:colon")</f>
        <v>0</v>
      </c>
      <c r="F785" s="1">
        <f>IF(B785="", "", "rat gut metagenome")</f>
        <v>0</v>
      </c>
      <c r="G785" s="1">
        <f>IF(B785="", "", "1436733")</f>
        <v>0</v>
      </c>
    </row>
    <row r="786" spans="1:7">
      <c r="A786">
        <f>IF(COUNTBLANK(B786:G786)&lt;&gt;COLUMNS(B786:G786),785,"")</f>
        <v>0</v>
      </c>
      <c r="C786" s="1">
        <f>IF(B786="", "", "UBERON:gastrointestinal tract")</f>
        <v>0</v>
      </c>
      <c r="D786" s="1">
        <f>IF(B786="", "", "UBERON:feces")</f>
        <v>0</v>
      </c>
      <c r="E786" s="1">
        <f>IF(B786="", "", "UBERON:colon")</f>
        <v>0</v>
      </c>
      <c r="F786" s="1">
        <f>IF(B786="", "", "rat gut metagenome")</f>
        <v>0</v>
      </c>
      <c r="G786" s="1">
        <f>IF(B786="", "", "1436733")</f>
        <v>0</v>
      </c>
    </row>
    <row r="787" spans="1:7">
      <c r="A787">
        <f>IF(COUNTBLANK(B787:G787)&lt;&gt;COLUMNS(B787:G787),786,"")</f>
        <v>0</v>
      </c>
      <c r="C787" s="1">
        <f>IF(B787="", "", "UBERON:gastrointestinal tract")</f>
        <v>0</v>
      </c>
      <c r="D787" s="1">
        <f>IF(B787="", "", "UBERON:feces")</f>
        <v>0</v>
      </c>
      <c r="E787" s="1">
        <f>IF(B787="", "", "UBERON:colon")</f>
        <v>0</v>
      </c>
      <c r="F787" s="1">
        <f>IF(B787="", "", "rat gut metagenome")</f>
        <v>0</v>
      </c>
      <c r="G787" s="1">
        <f>IF(B787="", "", "1436733")</f>
        <v>0</v>
      </c>
    </row>
    <row r="788" spans="1:7">
      <c r="A788">
        <f>IF(COUNTBLANK(B788:G788)&lt;&gt;COLUMNS(B788:G788),787,"")</f>
        <v>0</v>
      </c>
      <c r="C788" s="1">
        <f>IF(B788="", "", "UBERON:gastrointestinal tract")</f>
        <v>0</v>
      </c>
      <c r="D788" s="1">
        <f>IF(B788="", "", "UBERON:feces")</f>
        <v>0</v>
      </c>
      <c r="E788" s="1">
        <f>IF(B788="", "", "UBERON:colon")</f>
        <v>0</v>
      </c>
      <c r="F788" s="1">
        <f>IF(B788="", "", "rat gut metagenome")</f>
        <v>0</v>
      </c>
      <c r="G788" s="1">
        <f>IF(B788="", "", "1436733")</f>
        <v>0</v>
      </c>
    </row>
    <row r="789" spans="1:7">
      <c r="A789">
        <f>IF(COUNTBLANK(B789:G789)&lt;&gt;COLUMNS(B789:G789),788,"")</f>
        <v>0</v>
      </c>
      <c r="C789" s="1">
        <f>IF(B789="", "", "UBERON:gastrointestinal tract")</f>
        <v>0</v>
      </c>
      <c r="D789" s="1">
        <f>IF(B789="", "", "UBERON:feces")</f>
        <v>0</v>
      </c>
      <c r="E789" s="1">
        <f>IF(B789="", "", "UBERON:colon")</f>
        <v>0</v>
      </c>
      <c r="F789" s="1">
        <f>IF(B789="", "", "rat gut metagenome")</f>
        <v>0</v>
      </c>
      <c r="G789" s="1">
        <f>IF(B789="", "", "1436733")</f>
        <v>0</v>
      </c>
    </row>
    <row r="790" spans="1:7">
      <c r="A790">
        <f>IF(COUNTBLANK(B790:G790)&lt;&gt;COLUMNS(B790:G790),789,"")</f>
        <v>0</v>
      </c>
      <c r="C790" s="1">
        <f>IF(B790="", "", "UBERON:gastrointestinal tract")</f>
        <v>0</v>
      </c>
      <c r="D790" s="1">
        <f>IF(B790="", "", "UBERON:feces")</f>
        <v>0</v>
      </c>
      <c r="E790" s="1">
        <f>IF(B790="", "", "UBERON:colon")</f>
        <v>0</v>
      </c>
      <c r="F790" s="1">
        <f>IF(B790="", "", "rat gut metagenome")</f>
        <v>0</v>
      </c>
      <c r="G790" s="1">
        <f>IF(B790="", "", "1436733")</f>
        <v>0</v>
      </c>
    </row>
    <row r="791" spans="1:7">
      <c r="A791">
        <f>IF(COUNTBLANK(B791:G791)&lt;&gt;COLUMNS(B791:G791),790,"")</f>
        <v>0</v>
      </c>
      <c r="C791" s="1">
        <f>IF(B791="", "", "UBERON:gastrointestinal tract")</f>
        <v>0</v>
      </c>
      <c r="D791" s="1">
        <f>IF(B791="", "", "UBERON:feces")</f>
        <v>0</v>
      </c>
      <c r="E791" s="1">
        <f>IF(B791="", "", "UBERON:colon")</f>
        <v>0</v>
      </c>
      <c r="F791" s="1">
        <f>IF(B791="", "", "rat gut metagenome")</f>
        <v>0</v>
      </c>
      <c r="G791" s="1">
        <f>IF(B791="", "", "1436733")</f>
        <v>0</v>
      </c>
    </row>
    <row r="792" spans="1:7">
      <c r="A792">
        <f>IF(COUNTBLANK(B792:G792)&lt;&gt;COLUMNS(B792:G792),791,"")</f>
        <v>0</v>
      </c>
      <c r="C792" s="1">
        <f>IF(B792="", "", "UBERON:gastrointestinal tract")</f>
        <v>0</v>
      </c>
      <c r="D792" s="1">
        <f>IF(B792="", "", "UBERON:feces")</f>
        <v>0</v>
      </c>
      <c r="E792" s="1">
        <f>IF(B792="", "", "UBERON:colon")</f>
        <v>0</v>
      </c>
      <c r="F792" s="1">
        <f>IF(B792="", "", "rat gut metagenome")</f>
        <v>0</v>
      </c>
      <c r="G792" s="1">
        <f>IF(B792="", "", "1436733")</f>
        <v>0</v>
      </c>
    </row>
    <row r="793" spans="1:7">
      <c r="A793">
        <f>IF(COUNTBLANK(B793:G793)&lt;&gt;COLUMNS(B793:G793),792,"")</f>
        <v>0</v>
      </c>
      <c r="C793" s="1">
        <f>IF(B793="", "", "UBERON:gastrointestinal tract")</f>
        <v>0</v>
      </c>
      <c r="D793" s="1">
        <f>IF(B793="", "", "UBERON:feces")</f>
        <v>0</v>
      </c>
      <c r="E793" s="1">
        <f>IF(B793="", "", "UBERON:colon")</f>
        <v>0</v>
      </c>
      <c r="F793" s="1">
        <f>IF(B793="", "", "rat gut metagenome")</f>
        <v>0</v>
      </c>
      <c r="G793" s="1">
        <f>IF(B793="", "", "1436733")</f>
        <v>0</v>
      </c>
    </row>
    <row r="794" spans="1:7">
      <c r="A794">
        <f>IF(COUNTBLANK(B794:G794)&lt;&gt;COLUMNS(B794:G794),793,"")</f>
        <v>0</v>
      </c>
      <c r="C794" s="1">
        <f>IF(B794="", "", "UBERON:gastrointestinal tract")</f>
        <v>0</v>
      </c>
      <c r="D794" s="1">
        <f>IF(B794="", "", "UBERON:feces")</f>
        <v>0</v>
      </c>
      <c r="E794" s="1">
        <f>IF(B794="", "", "UBERON:colon")</f>
        <v>0</v>
      </c>
      <c r="F794" s="1">
        <f>IF(B794="", "", "rat gut metagenome")</f>
        <v>0</v>
      </c>
      <c r="G794" s="1">
        <f>IF(B794="", "", "1436733")</f>
        <v>0</v>
      </c>
    </row>
    <row r="795" spans="1:7">
      <c r="A795">
        <f>IF(COUNTBLANK(B795:G795)&lt;&gt;COLUMNS(B795:G795),794,"")</f>
        <v>0</v>
      </c>
      <c r="C795" s="1">
        <f>IF(B795="", "", "UBERON:gastrointestinal tract")</f>
        <v>0</v>
      </c>
      <c r="D795" s="1">
        <f>IF(B795="", "", "UBERON:feces")</f>
        <v>0</v>
      </c>
      <c r="E795" s="1">
        <f>IF(B795="", "", "UBERON:colon")</f>
        <v>0</v>
      </c>
      <c r="F795" s="1">
        <f>IF(B795="", "", "rat gut metagenome")</f>
        <v>0</v>
      </c>
      <c r="G795" s="1">
        <f>IF(B795="", "", "1436733")</f>
        <v>0</v>
      </c>
    </row>
    <row r="796" spans="1:7">
      <c r="A796">
        <f>IF(COUNTBLANK(B796:G796)&lt;&gt;COLUMNS(B796:G796),795,"")</f>
        <v>0</v>
      </c>
      <c r="C796" s="1">
        <f>IF(B796="", "", "UBERON:gastrointestinal tract")</f>
        <v>0</v>
      </c>
      <c r="D796" s="1">
        <f>IF(B796="", "", "UBERON:feces")</f>
        <v>0</v>
      </c>
      <c r="E796" s="1">
        <f>IF(B796="", "", "UBERON:colon")</f>
        <v>0</v>
      </c>
      <c r="F796" s="1">
        <f>IF(B796="", "", "rat gut metagenome")</f>
        <v>0</v>
      </c>
      <c r="G796" s="1">
        <f>IF(B796="", "", "1436733")</f>
        <v>0</v>
      </c>
    </row>
    <row r="797" spans="1:7">
      <c r="A797">
        <f>IF(COUNTBLANK(B797:G797)&lt;&gt;COLUMNS(B797:G797),796,"")</f>
        <v>0</v>
      </c>
      <c r="C797" s="1">
        <f>IF(B797="", "", "UBERON:gastrointestinal tract")</f>
        <v>0</v>
      </c>
      <c r="D797" s="1">
        <f>IF(B797="", "", "UBERON:feces")</f>
        <v>0</v>
      </c>
      <c r="E797" s="1">
        <f>IF(B797="", "", "UBERON:colon")</f>
        <v>0</v>
      </c>
      <c r="F797" s="1">
        <f>IF(B797="", "", "rat gut metagenome")</f>
        <v>0</v>
      </c>
      <c r="G797" s="1">
        <f>IF(B797="", "", "1436733")</f>
        <v>0</v>
      </c>
    </row>
    <row r="798" spans="1:7">
      <c r="A798">
        <f>IF(COUNTBLANK(B798:G798)&lt;&gt;COLUMNS(B798:G798),797,"")</f>
        <v>0</v>
      </c>
      <c r="C798" s="1">
        <f>IF(B798="", "", "UBERON:gastrointestinal tract")</f>
        <v>0</v>
      </c>
      <c r="D798" s="1">
        <f>IF(B798="", "", "UBERON:feces")</f>
        <v>0</v>
      </c>
      <c r="E798" s="1">
        <f>IF(B798="", "", "UBERON:colon")</f>
        <v>0</v>
      </c>
      <c r="F798" s="1">
        <f>IF(B798="", "", "rat gut metagenome")</f>
        <v>0</v>
      </c>
      <c r="G798" s="1">
        <f>IF(B798="", "", "1436733")</f>
        <v>0</v>
      </c>
    </row>
    <row r="799" spans="1:7">
      <c r="A799">
        <f>IF(COUNTBLANK(B799:G799)&lt;&gt;COLUMNS(B799:G799),798,"")</f>
        <v>0</v>
      </c>
      <c r="C799" s="1">
        <f>IF(B799="", "", "UBERON:gastrointestinal tract")</f>
        <v>0</v>
      </c>
      <c r="D799" s="1">
        <f>IF(B799="", "", "UBERON:feces")</f>
        <v>0</v>
      </c>
      <c r="E799" s="1">
        <f>IF(B799="", "", "UBERON:colon")</f>
        <v>0</v>
      </c>
      <c r="F799" s="1">
        <f>IF(B799="", "", "rat gut metagenome")</f>
        <v>0</v>
      </c>
      <c r="G799" s="1">
        <f>IF(B799="", "", "1436733")</f>
        <v>0</v>
      </c>
    </row>
    <row r="800" spans="1:7">
      <c r="A800">
        <f>IF(COUNTBLANK(B800:G800)&lt;&gt;COLUMNS(B800:G800),799,"")</f>
        <v>0</v>
      </c>
      <c r="C800" s="1">
        <f>IF(B800="", "", "UBERON:gastrointestinal tract")</f>
        <v>0</v>
      </c>
      <c r="D800" s="1">
        <f>IF(B800="", "", "UBERON:feces")</f>
        <v>0</v>
      </c>
      <c r="E800" s="1">
        <f>IF(B800="", "", "UBERON:colon")</f>
        <v>0</v>
      </c>
      <c r="F800" s="1">
        <f>IF(B800="", "", "rat gut metagenome")</f>
        <v>0</v>
      </c>
      <c r="G800" s="1">
        <f>IF(B800="", "", "1436733")</f>
        <v>0</v>
      </c>
    </row>
    <row r="801" spans="1:7">
      <c r="A801">
        <f>IF(COUNTBLANK(B801:G801)&lt;&gt;COLUMNS(B801:G801),800,"")</f>
        <v>0</v>
      </c>
      <c r="C801" s="1">
        <f>IF(B801="", "", "UBERON:gastrointestinal tract")</f>
        <v>0</v>
      </c>
      <c r="D801" s="1">
        <f>IF(B801="", "", "UBERON:feces")</f>
        <v>0</v>
      </c>
      <c r="E801" s="1">
        <f>IF(B801="", "", "UBERON:colon")</f>
        <v>0</v>
      </c>
      <c r="F801" s="1">
        <f>IF(B801="", "", "rat gut metagenome")</f>
        <v>0</v>
      </c>
      <c r="G801" s="1">
        <f>IF(B801="", "", "1436733")</f>
        <v>0</v>
      </c>
    </row>
    <row r="802" spans="1:7">
      <c r="A802">
        <f>IF(COUNTBLANK(B802:G802)&lt;&gt;COLUMNS(B802:G802),801,"")</f>
        <v>0</v>
      </c>
      <c r="C802" s="1">
        <f>IF(B802="", "", "UBERON:gastrointestinal tract")</f>
        <v>0</v>
      </c>
      <c r="D802" s="1">
        <f>IF(B802="", "", "UBERON:feces")</f>
        <v>0</v>
      </c>
      <c r="E802" s="1">
        <f>IF(B802="", "", "UBERON:colon")</f>
        <v>0</v>
      </c>
      <c r="F802" s="1">
        <f>IF(B802="", "", "rat gut metagenome")</f>
        <v>0</v>
      </c>
      <c r="G802" s="1">
        <f>IF(B802="", "", "1436733")</f>
        <v>0</v>
      </c>
    </row>
    <row r="803" spans="1:7">
      <c r="A803">
        <f>IF(COUNTBLANK(B803:G803)&lt;&gt;COLUMNS(B803:G803),802,"")</f>
        <v>0</v>
      </c>
      <c r="C803" s="1">
        <f>IF(B803="", "", "UBERON:gastrointestinal tract")</f>
        <v>0</v>
      </c>
      <c r="D803" s="1">
        <f>IF(B803="", "", "UBERON:feces")</f>
        <v>0</v>
      </c>
      <c r="E803" s="1">
        <f>IF(B803="", "", "UBERON:colon")</f>
        <v>0</v>
      </c>
      <c r="F803" s="1">
        <f>IF(B803="", "", "rat gut metagenome")</f>
        <v>0</v>
      </c>
      <c r="G803" s="1">
        <f>IF(B803="", "", "1436733")</f>
        <v>0</v>
      </c>
    </row>
    <row r="804" spans="1:7">
      <c r="A804">
        <f>IF(COUNTBLANK(B804:G804)&lt;&gt;COLUMNS(B804:G804),803,"")</f>
        <v>0</v>
      </c>
      <c r="C804" s="1">
        <f>IF(B804="", "", "UBERON:gastrointestinal tract")</f>
        <v>0</v>
      </c>
      <c r="D804" s="1">
        <f>IF(B804="", "", "UBERON:feces")</f>
        <v>0</v>
      </c>
      <c r="E804" s="1">
        <f>IF(B804="", "", "UBERON:colon")</f>
        <v>0</v>
      </c>
      <c r="F804" s="1">
        <f>IF(B804="", "", "rat gut metagenome")</f>
        <v>0</v>
      </c>
      <c r="G804" s="1">
        <f>IF(B804="", "", "1436733")</f>
        <v>0</v>
      </c>
    </row>
    <row r="805" spans="1:7">
      <c r="A805">
        <f>IF(COUNTBLANK(B805:G805)&lt;&gt;COLUMNS(B805:G805),804,"")</f>
        <v>0</v>
      </c>
      <c r="C805" s="1">
        <f>IF(B805="", "", "UBERON:gastrointestinal tract")</f>
        <v>0</v>
      </c>
      <c r="D805" s="1">
        <f>IF(B805="", "", "UBERON:feces")</f>
        <v>0</v>
      </c>
      <c r="E805" s="1">
        <f>IF(B805="", "", "UBERON:colon")</f>
        <v>0</v>
      </c>
      <c r="F805" s="1">
        <f>IF(B805="", "", "rat gut metagenome")</f>
        <v>0</v>
      </c>
      <c r="G805" s="1">
        <f>IF(B805="", "", "1436733")</f>
        <v>0</v>
      </c>
    </row>
    <row r="806" spans="1:7">
      <c r="A806">
        <f>IF(COUNTBLANK(B806:G806)&lt;&gt;COLUMNS(B806:G806),805,"")</f>
        <v>0</v>
      </c>
      <c r="C806" s="1">
        <f>IF(B806="", "", "UBERON:gastrointestinal tract")</f>
        <v>0</v>
      </c>
      <c r="D806" s="1">
        <f>IF(B806="", "", "UBERON:feces")</f>
        <v>0</v>
      </c>
      <c r="E806" s="1">
        <f>IF(B806="", "", "UBERON:colon")</f>
        <v>0</v>
      </c>
      <c r="F806" s="1">
        <f>IF(B806="", "", "rat gut metagenome")</f>
        <v>0</v>
      </c>
      <c r="G806" s="1">
        <f>IF(B806="", "", "1436733")</f>
        <v>0</v>
      </c>
    </row>
    <row r="807" spans="1:7">
      <c r="A807">
        <f>IF(COUNTBLANK(B807:G807)&lt;&gt;COLUMNS(B807:G807),806,"")</f>
        <v>0</v>
      </c>
      <c r="C807" s="1">
        <f>IF(B807="", "", "UBERON:gastrointestinal tract")</f>
        <v>0</v>
      </c>
      <c r="D807" s="1">
        <f>IF(B807="", "", "UBERON:feces")</f>
        <v>0</v>
      </c>
      <c r="E807" s="1">
        <f>IF(B807="", "", "UBERON:colon")</f>
        <v>0</v>
      </c>
      <c r="F807" s="1">
        <f>IF(B807="", "", "rat gut metagenome")</f>
        <v>0</v>
      </c>
      <c r="G807" s="1">
        <f>IF(B807="", "", "1436733")</f>
        <v>0</v>
      </c>
    </row>
    <row r="808" spans="1:7">
      <c r="A808">
        <f>IF(COUNTBLANK(B808:G808)&lt;&gt;COLUMNS(B808:G808),807,"")</f>
        <v>0</v>
      </c>
      <c r="C808" s="1">
        <f>IF(B808="", "", "UBERON:gastrointestinal tract")</f>
        <v>0</v>
      </c>
      <c r="D808" s="1">
        <f>IF(B808="", "", "UBERON:feces")</f>
        <v>0</v>
      </c>
      <c r="E808" s="1">
        <f>IF(B808="", "", "UBERON:colon")</f>
        <v>0</v>
      </c>
      <c r="F808" s="1">
        <f>IF(B808="", "", "rat gut metagenome")</f>
        <v>0</v>
      </c>
      <c r="G808" s="1">
        <f>IF(B808="", "", "1436733")</f>
        <v>0</v>
      </c>
    </row>
    <row r="809" spans="1:7">
      <c r="A809">
        <f>IF(COUNTBLANK(B809:G809)&lt;&gt;COLUMNS(B809:G809),808,"")</f>
        <v>0</v>
      </c>
      <c r="C809" s="1">
        <f>IF(B809="", "", "UBERON:gastrointestinal tract")</f>
        <v>0</v>
      </c>
      <c r="D809" s="1">
        <f>IF(B809="", "", "UBERON:feces")</f>
        <v>0</v>
      </c>
      <c r="E809" s="1">
        <f>IF(B809="", "", "UBERON:colon")</f>
        <v>0</v>
      </c>
      <c r="F809" s="1">
        <f>IF(B809="", "", "rat gut metagenome")</f>
        <v>0</v>
      </c>
      <c r="G809" s="1">
        <f>IF(B809="", "", "1436733")</f>
        <v>0</v>
      </c>
    </row>
    <row r="810" spans="1:7">
      <c r="A810">
        <f>IF(COUNTBLANK(B810:G810)&lt;&gt;COLUMNS(B810:G810),809,"")</f>
        <v>0</v>
      </c>
      <c r="C810" s="1">
        <f>IF(B810="", "", "UBERON:gastrointestinal tract")</f>
        <v>0</v>
      </c>
      <c r="D810" s="1">
        <f>IF(B810="", "", "UBERON:feces")</f>
        <v>0</v>
      </c>
      <c r="E810" s="1">
        <f>IF(B810="", "", "UBERON:colon")</f>
        <v>0</v>
      </c>
      <c r="F810" s="1">
        <f>IF(B810="", "", "rat gut metagenome")</f>
        <v>0</v>
      </c>
      <c r="G810" s="1">
        <f>IF(B810="", "", "1436733")</f>
        <v>0</v>
      </c>
    </row>
    <row r="811" spans="1:7">
      <c r="A811">
        <f>IF(COUNTBLANK(B811:G811)&lt;&gt;COLUMNS(B811:G811),810,"")</f>
        <v>0</v>
      </c>
      <c r="C811" s="1">
        <f>IF(B811="", "", "UBERON:gastrointestinal tract")</f>
        <v>0</v>
      </c>
      <c r="D811" s="1">
        <f>IF(B811="", "", "UBERON:feces")</f>
        <v>0</v>
      </c>
      <c r="E811" s="1">
        <f>IF(B811="", "", "UBERON:colon")</f>
        <v>0</v>
      </c>
      <c r="F811" s="1">
        <f>IF(B811="", "", "rat gut metagenome")</f>
        <v>0</v>
      </c>
      <c r="G811" s="1">
        <f>IF(B811="", "", "1436733")</f>
        <v>0</v>
      </c>
    </row>
    <row r="812" spans="1:7">
      <c r="A812">
        <f>IF(COUNTBLANK(B812:G812)&lt;&gt;COLUMNS(B812:G812),811,"")</f>
        <v>0</v>
      </c>
      <c r="C812" s="1">
        <f>IF(B812="", "", "UBERON:gastrointestinal tract")</f>
        <v>0</v>
      </c>
      <c r="D812" s="1">
        <f>IF(B812="", "", "UBERON:feces")</f>
        <v>0</v>
      </c>
      <c r="E812" s="1">
        <f>IF(B812="", "", "UBERON:colon")</f>
        <v>0</v>
      </c>
      <c r="F812" s="1">
        <f>IF(B812="", "", "rat gut metagenome")</f>
        <v>0</v>
      </c>
      <c r="G812" s="1">
        <f>IF(B812="", "", "1436733")</f>
        <v>0</v>
      </c>
    </row>
    <row r="813" spans="1:7">
      <c r="A813">
        <f>IF(COUNTBLANK(B813:G813)&lt;&gt;COLUMNS(B813:G813),812,"")</f>
        <v>0</v>
      </c>
      <c r="C813" s="1">
        <f>IF(B813="", "", "UBERON:gastrointestinal tract")</f>
        <v>0</v>
      </c>
      <c r="D813" s="1">
        <f>IF(B813="", "", "UBERON:feces")</f>
        <v>0</v>
      </c>
      <c r="E813" s="1">
        <f>IF(B813="", "", "UBERON:colon")</f>
        <v>0</v>
      </c>
      <c r="F813" s="1">
        <f>IF(B813="", "", "rat gut metagenome")</f>
        <v>0</v>
      </c>
      <c r="G813" s="1">
        <f>IF(B813="", "", "1436733")</f>
        <v>0</v>
      </c>
    </row>
    <row r="814" spans="1:7">
      <c r="A814">
        <f>IF(COUNTBLANK(B814:G814)&lt;&gt;COLUMNS(B814:G814),813,"")</f>
        <v>0</v>
      </c>
      <c r="C814" s="1">
        <f>IF(B814="", "", "UBERON:gastrointestinal tract")</f>
        <v>0</v>
      </c>
      <c r="D814" s="1">
        <f>IF(B814="", "", "UBERON:feces")</f>
        <v>0</v>
      </c>
      <c r="E814" s="1">
        <f>IF(B814="", "", "UBERON:colon")</f>
        <v>0</v>
      </c>
      <c r="F814" s="1">
        <f>IF(B814="", "", "rat gut metagenome")</f>
        <v>0</v>
      </c>
      <c r="G814" s="1">
        <f>IF(B814="", "", "1436733")</f>
        <v>0</v>
      </c>
    </row>
    <row r="815" spans="1:7">
      <c r="A815">
        <f>IF(COUNTBLANK(B815:G815)&lt;&gt;COLUMNS(B815:G815),814,"")</f>
        <v>0</v>
      </c>
      <c r="C815" s="1">
        <f>IF(B815="", "", "UBERON:gastrointestinal tract")</f>
        <v>0</v>
      </c>
      <c r="D815" s="1">
        <f>IF(B815="", "", "UBERON:feces")</f>
        <v>0</v>
      </c>
      <c r="E815" s="1">
        <f>IF(B815="", "", "UBERON:colon")</f>
        <v>0</v>
      </c>
      <c r="F815" s="1">
        <f>IF(B815="", "", "rat gut metagenome")</f>
        <v>0</v>
      </c>
      <c r="G815" s="1">
        <f>IF(B815="", "", "1436733")</f>
        <v>0</v>
      </c>
    </row>
    <row r="816" spans="1:7">
      <c r="A816">
        <f>IF(COUNTBLANK(B816:G816)&lt;&gt;COLUMNS(B816:G816),815,"")</f>
        <v>0</v>
      </c>
      <c r="C816" s="1">
        <f>IF(B816="", "", "UBERON:gastrointestinal tract")</f>
        <v>0</v>
      </c>
      <c r="D816" s="1">
        <f>IF(B816="", "", "UBERON:feces")</f>
        <v>0</v>
      </c>
      <c r="E816" s="1">
        <f>IF(B816="", "", "UBERON:colon")</f>
        <v>0</v>
      </c>
      <c r="F816" s="1">
        <f>IF(B816="", "", "rat gut metagenome")</f>
        <v>0</v>
      </c>
      <c r="G816" s="1">
        <f>IF(B816="", "", "1436733")</f>
        <v>0</v>
      </c>
    </row>
    <row r="817" spans="1:7">
      <c r="A817">
        <f>IF(COUNTBLANK(B817:G817)&lt;&gt;COLUMNS(B817:G817),816,"")</f>
        <v>0</v>
      </c>
      <c r="C817" s="1">
        <f>IF(B817="", "", "UBERON:gastrointestinal tract")</f>
        <v>0</v>
      </c>
      <c r="D817" s="1">
        <f>IF(B817="", "", "UBERON:feces")</f>
        <v>0</v>
      </c>
      <c r="E817" s="1">
        <f>IF(B817="", "", "UBERON:colon")</f>
        <v>0</v>
      </c>
      <c r="F817" s="1">
        <f>IF(B817="", "", "rat gut metagenome")</f>
        <v>0</v>
      </c>
      <c r="G817" s="1">
        <f>IF(B817="", "", "1436733")</f>
        <v>0</v>
      </c>
    </row>
    <row r="818" spans="1:7">
      <c r="A818">
        <f>IF(COUNTBLANK(B818:G818)&lt;&gt;COLUMNS(B818:G818),817,"")</f>
        <v>0</v>
      </c>
      <c r="C818" s="1">
        <f>IF(B818="", "", "UBERON:gastrointestinal tract")</f>
        <v>0</v>
      </c>
      <c r="D818" s="1">
        <f>IF(B818="", "", "UBERON:feces")</f>
        <v>0</v>
      </c>
      <c r="E818" s="1">
        <f>IF(B818="", "", "UBERON:colon")</f>
        <v>0</v>
      </c>
      <c r="F818" s="1">
        <f>IF(B818="", "", "rat gut metagenome")</f>
        <v>0</v>
      </c>
      <c r="G818" s="1">
        <f>IF(B818="", "", "1436733")</f>
        <v>0</v>
      </c>
    </row>
    <row r="819" spans="1:7">
      <c r="A819">
        <f>IF(COUNTBLANK(B819:G819)&lt;&gt;COLUMNS(B819:G819),818,"")</f>
        <v>0</v>
      </c>
      <c r="C819" s="1">
        <f>IF(B819="", "", "UBERON:gastrointestinal tract")</f>
        <v>0</v>
      </c>
      <c r="D819" s="1">
        <f>IF(B819="", "", "UBERON:feces")</f>
        <v>0</v>
      </c>
      <c r="E819" s="1">
        <f>IF(B819="", "", "UBERON:colon")</f>
        <v>0</v>
      </c>
      <c r="F819" s="1">
        <f>IF(B819="", "", "rat gut metagenome")</f>
        <v>0</v>
      </c>
      <c r="G819" s="1">
        <f>IF(B819="", "", "1436733")</f>
        <v>0</v>
      </c>
    </row>
    <row r="820" spans="1:7">
      <c r="A820">
        <f>IF(COUNTBLANK(B820:G820)&lt;&gt;COLUMNS(B820:G820),819,"")</f>
        <v>0</v>
      </c>
      <c r="C820" s="1">
        <f>IF(B820="", "", "UBERON:gastrointestinal tract")</f>
        <v>0</v>
      </c>
      <c r="D820" s="1">
        <f>IF(B820="", "", "UBERON:feces")</f>
        <v>0</v>
      </c>
      <c r="E820" s="1">
        <f>IF(B820="", "", "UBERON:colon")</f>
        <v>0</v>
      </c>
      <c r="F820" s="1">
        <f>IF(B820="", "", "rat gut metagenome")</f>
        <v>0</v>
      </c>
      <c r="G820" s="1">
        <f>IF(B820="", "", "1436733")</f>
        <v>0</v>
      </c>
    </row>
    <row r="821" spans="1:7">
      <c r="A821">
        <f>IF(COUNTBLANK(B821:G821)&lt;&gt;COLUMNS(B821:G821),820,"")</f>
        <v>0</v>
      </c>
      <c r="C821" s="1">
        <f>IF(B821="", "", "UBERON:gastrointestinal tract")</f>
        <v>0</v>
      </c>
      <c r="D821" s="1">
        <f>IF(B821="", "", "UBERON:feces")</f>
        <v>0</v>
      </c>
      <c r="E821" s="1">
        <f>IF(B821="", "", "UBERON:colon")</f>
        <v>0</v>
      </c>
      <c r="F821" s="1">
        <f>IF(B821="", "", "rat gut metagenome")</f>
        <v>0</v>
      </c>
      <c r="G821" s="1">
        <f>IF(B821="", "", "1436733")</f>
        <v>0</v>
      </c>
    </row>
    <row r="822" spans="1:7">
      <c r="A822">
        <f>IF(COUNTBLANK(B822:G822)&lt;&gt;COLUMNS(B822:G822),821,"")</f>
        <v>0</v>
      </c>
      <c r="C822" s="1">
        <f>IF(B822="", "", "UBERON:gastrointestinal tract")</f>
        <v>0</v>
      </c>
      <c r="D822" s="1">
        <f>IF(B822="", "", "UBERON:feces")</f>
        <v>0</v>
      </c>
      <c r="E822" s="1">
        <f>IF(B822="", "", "UBERON:colon")</f>
        <v>0</v>
      </c>
      <c r="F822" s="1">
        <f>IF(B822="", "", "rat gut metagenome")</f>
        <v>0</v>
      </c>
      <c r="G822" s="1">
        <f>IF(B822="", "", "1436733")</f>
        <v>0</v>
      </c>
    </row>
    <row r="823" spans="1:7">
      <c r="A823">
        <f>IF(COUNTBLANK(B823:G823)&lt;&gt;COLUMNS(B823:G823),822,"")</f>
        <v>0</v>
      </c>
      <c r="C823" s="1">
        <f>IF(B823="", "", "UBERON:gastrointestinal tract")</f>
        <v>0</v>
      </c>
      <c r="D823" s="1">
        <f>IF(B823="", "", "UBERON:feces")</f>
        <v>0</v>
      </c>
      <c r="E823" s="1">
        <f>IF(B823="", "", "UBERON:colon")</f>
        <v>0</v>
      </c>
      <c r="F823" s="1">
        <f>IF(B823="", "", "rat gut metagenome")</f>
        <v>0</v>
      </c>
      <c r="G823" s="1">
        <f>IF(B823="", "", "1436733")</f>
        <v>0</v>
      </c>
    </row>
    <row r="824" spans="1:7">
      <c r="A824">
        <f>IF(COUNTBLANK(B824:G824)&lt;&gt;COLUMNS(B824:G824),823,"")</f>
        <v>0</v>
      </c>
      <c r="C824" s="1">
        <f>IF(B824="", "", "UBERON:gastrointestinal tract")</f>
        <v>0</v>
      </c>
      <c r="D824" s="1">
        <f>IF(B824="", "", "UBERON:feces")</f>
        <v>0</v>
      </c>
      <c r="E824" s="1">
        <f>IF(B824="", "", "UBERON:colon")</f>
        <v>0</v>
      </c>
      <c r="F824" s="1">
        <f>IF(B824="", "", "rat gut metagenome")</f>
        <v>0</v>
      </c>
      <c r="G824" s="1">
        <f>IF(B824="", "", "1436733")</f>
        <v>0</v>
      </c>
    </row>
    <row r="825" spans="1:7">
      <c r="A825">
        <f>IF(COUNTBLANK(B825:G825)&lt;&gt;COLUMNS(B825:G825),824,"")</f>
        <v>0</v>
      </c>
      <c r="C825" s="1">
        <f>IF(B825="", "", "UBERON:gastrointestinal tract")</f>
        <v>0</v>
      </c>
      <c r="D825" s="1">
        <f>IF(B825="", "", "UBERON:feces")</f>
        <v>0</v>
      </c>
      <c r="E825" s="1">
        <f>IF(B825="", "", "UBERON:colon")</f>
        <v>0</v>
      </c>
      <c r="F825" s="1">
        <f>IF(B825="", "", "rat gut metagenome")</f>
        <v>0</v>
      </c>
      <c r="G825" s="1">
        <f>IF(B825="", "", "1436733")</f>
        <v>0</v>
      </c>
    </row>
    <row r="826" spans="1:7">
      <c r="A826">
        <f>IF(COUNTBLANK(B826:G826)&lt;&gt;COLUMNS(B826:G826),825,"")</f>
        <v>0</v>
      </c>
      <c r="C826" s="1">
        <f>IF(B826="", "", "UBERON:gastrointestinal tract")</f>
        <v>0</v>
      </c>
      <c r="D826" s="1">
        <f>IF(B826="", "", "UBERON:feces")</f>
        <v>0</v>
      </c>
      <c r="E826" s="1">
        <f>IF(B826="", "", "UBERON:colon")</f>
        <v>0</v>
      </c>
      <c r="F826" s="1">
        <f>IF(B826="", "", "rat gut metagenome")</f>
        <v>0</v>
      </c>
      <c r="G826" s="1">
        <f>IF(B826="", "", "1436733")</f>
        <v>0</v>
      </c>
    </row>
    <row r="827" spans="1:7">
      <c r="A827">
        <f>IF(COUNTBLANK(B827:G827)&lt;&gt;COLUMNS(B827:G827),826,"")</f>
        <v>0</v>
      </c>
      <c r="C827" s="1">
        <f>IF(B827="", "", "UBERON:gastrointestinal tract")</f>
        <v>0</v>
      </c>
      <c r="D827" s="1">
        <f>IF(B827="", "", "UBERON:feces")</f>
        <v>0</v>
      </c>
      <c r="E827" s="1">
        <f>IF(B827="", "", "UBERON:colon")</f>
        <v>0</v>
      </c>
      <c r="F827" s="1">
        <f>IF(B827="", "", "rat gut metagenome")</f>
        <v>0</v>
      </c>
      <c r="G827" s="1">
        <f>IF(B827="", "", "1436733")</f>
        <v>0</v>
      </c>
    </row>
    <row r="828" spans="1:7">
      <c r="A828">
        <f>IF(COUNTBLANK(B828:G828)&lt;&gt;COLUMNS(B828:G828),827,"")</f>
        <v>0</v>
      </c>
      <c r="C828" s="1">
        <f>IF(B828="", "", "UBERON:gastrointestinal tract")</f>
        <v>0</v>
      </c>
      <c r="D828" s="1">
        <f>IF(B828="", "", "UBERON:feces")</f>
        <v>0</v>
      </c>
      <c r="E828" s="1">
        <f>IF(B828="", "", "UBERON:colon")</f>
        <v>0</v>
      </c>
      <c r="F828" s="1">
        <f>IF(B828="", "", "rat gut metagenome")</f>
        <v>0</v>
      </c>
      <c r="G828" s="1">
        <f>IF(B828="", "", "1436733")</f>
        <v>0</v>
      </c>
    </row>
    <row r="829" spans="1:7">
      <c r="A829">
        <f>IF(COUNTBLANK(B829:G829)&lt;&gt;COLUMNS(B829:G829),828,"")</f>
        <v>0</v>
      </c>
      <c r="C829" s="1">
        <f>IF(B829="", "", "UBERON:gastrointestinal tract")</f>
        <v>0</v>
      </c>
      <c r="D829" s="1">
        <f>IF(B829="", "", "UBERON:feces")</f>
        <v>0</v>
      </c>
      <c r="E829" s="1">
        <f>IF(B829="", "", "UBERON:colon")</f>
        <v>0</v>
      </c>
      <c r="F829" s="1">
        <f>IF(B829="", "", "rat gut metagenome")</f>
        <v>0</v>
      </c>
      <c r="G829" s="1">
        <f>IF(B829="", "", "1436733")</f>
        <v>0</v>
      </c>
    </row>
    <row r="830" spans="1:7">
      <c r="A830">
        <f>IF(COUNTBLANK(B830:G830)&lt;&gt;COLUMNS(B830:G830),829,"")</f>
        <v>0</v>
      </c>
      <c r="C830" s="1">
        <f>IF(B830="", "", "UBERON:gastrointestinal tract")</f>
        <v>0</v>
      </c>
      <c r="D830" s="1">
        <f>IF(B830="", "", "UBERON:feces")</f>
        <v>0</v>
      </c>
      <c r="E830" s="1">
        <f>IF(B830="", "", "UBERON:colon")</f>
        <v>0</v>
      </c>
      <c r="F830" s="1">
        <f>IF(B830="", "", "rat gut metagenome")</f>
        <v>0</v>
      </c>
      <c r="G830" s="1">
        <f>IF(B830="", "", "1436733")</f>
        <v>0</v>
      </c>
    </row>
    <row r="831" spans="1:7">
      <c r="A831">
        <f>IF(COUNTBLANK(B831:G831)&lt;&gt;COLUMNS(B831:G831),830,"")</f>
        <v>0</v>
      </c>
      <c r="C831" s="1">
        <f>IF(B831="", "", "UBERON:gastrointestinal tract")</f>
        <v>0</v>
      </c>
      <c r="D831" s="1">
        <f>IF(B831="", "", "UBERON:feces")</f>
        <v>0</v>
      </c>
      <c r="E831" s="1">
        <f>IF(B831="", "", "UBERON:colon")</f>
        <v>0</v>
      </c>
      <c r="F831" s="1">
        <f>IF(B831="", "", "rat gut metagenome")</f>
        <v>0</v>
      </c>
      <c r="G831" s="1">
        <f>IF(B831="", "", "1436733")</f>
        <v>0</v>
      </c>
    </row>
    <row r="832" spans="1:7">
      <c r="A832">
        <f>IF(COUNTBLANK(B832:G832)&lt;&gt;COLUMNS(B832:G832),831,"")</f>
        <v>0</v>
      </c>
      <c r="C832" s="1">
        <f>IF(B832="", "", "UBERON:gastrointestinal tract")</f>
        <v>0</v>
      </c>
      <c r="D832" s="1">
        <f>IF(B832="", "", "UBERON:feces")</f>
        <v>0</v>
      </c>
      <c r="E832" s="1">
        <f>IF(B832="", "", "UBERON:colon")</f>
        <v>0</v>
      </c>
      <c r="F832" s="1">
        <f>IF(B832="", "", "rat gut metagenome")</f>
        <v>0</v>
      </c>
      <c r="G832" s="1">
        <f>IF(B832="", "", "1436733")</f>
        <v>0</v>
      </c>
    </row>
    <row r="833" spans="1:7">
      <c r="A833">
        <f>IF(COUNTBLANK(B833:G833)&lt;&gt;COLUMNS(B833:G833),832,"")</f>
        <v>0</v>
      </c>
      <c r="C833" s="1">
        <f>IF(B833="", "", "UBERON:gastrointestinal tract")</f>
        <v>0</v>
      </c>
      <c r="D833" s="1">
        <f>IF(B833="", "", "UBERON:feces")</f>
        <v>0</v>
      </c>
      <c r="E833" s="1">
        <f>IF(B833="", "", "UBERON:colon")</f>
        <v>0</v>
      </c>
      <c r="F833" s="1">
        <f>IF(B833="", "", "rat gut metagenome")</f>
        <v>0</v>
      </c>
      <c r="G833" s="1">
        <f>IF(B833="", "", "1436733")</f>
        <v>0</v>
      </c>
    </row>
    <row r="834" spans="1:7">
      <c r="A834">
        <f>IF(COUNTBLANK(B834:G834)&lt;&gt;COLUMNS(B834:G834),833,"")</f>
        <v>0</v>
      </c>
      <c r="C834" s="1">
        <f>IF(B834="", "", "UBERON:gastrointestinal tract")</f>
        <v>0</v>
      </c>
      <c r="D834" s="1">
        <f>IF(B834="", "", "UBERON:feces")</f>
        <v>0</v>
      </c>
      <c r="E834" s="1">
        <f>IF(B834="", "", "UBERON:colon")</f>
        <v>0</v>
      </c>
      <c r="F834" s="1">
        <f>IF(B834="", "", "rat gut metagenome")</f>
        <v>0</v>
      </c>
      <c r="G834" s="1">
        <f>IF(B834="", "", "1436733")</f>
        <v>0</v>
      </c>
    </row>
    <row r="835" spans="1:7">
      <c r="A835">
        <f>IF(COUNTBLANK(B835:G835)&lt;&gt;COLUMNS(B835:G835),834,"")</f>
        <v>0</v>
      </c>
      <c r="C835" s="1">
        <f>IF(B835="", "", "UBERON:gastrointestinal tract")</f>
        <v>0</v>
      </c>
      <c r="D835" s="1">
        <f>IF(B835="", "", "UBERON:feces")</f>
        <v>0</v>
      </c>
      <c r="E835" s="1">
        <f>IF(B835="", "", "UBERON:colon")</f>
        <v>0</v>
      </c>
      <c r="F835" s="1">
        <f>IF(B835="", "", "rat gut metagenome")</f>
        <v>0</v>
      </c>
      <c r="G835" s="1">
        <f>IF(B835="", "", "1436733")</f>
        <v>0</v>
      </c>
    </row>
    <row r="836" spans="1:7">
      <c r="A836">
        <f>IF(COUNTBLANK(B836:G836)&lt;&gt;COLUMNS(B836:G836),835,"")</f>
        <v>0</v>
      </c>
      <c r="C836" s="1">
        <f>IF(B836="", "", "UBERON:gastrointestinal tract")</f>
        <v>0</v>
      </c>
      <c r="D836" s="1">
        <f>IF(B836="", "", "UBERON:feces")</f>
        <v>0</v>
      </c>
      <c r="E836" s="1">
        <f>IF(B836="", "", "UBERON:colon")</f>
        <v>0</v>
      </c>
      <c r="F836" s="1">
        <f>IF(B836="", "", "rat gut metagenome")</f>
        <v>0</v>
      </c>
      <c r="G836" s="1">
        <f>IF(B836="", "", "1436733")</f>
        <v>0</v>
      </c>
    </row>
    <row r="837" spans="1:7">
      <c r="A837">
        <f>IF(COUNTBLANK(B837:G837)&lt;&gt;COLUMNS(B837:G837),836,"")</f>
        <v>0</v>
      </c>
      <c r="C837" s="1">
        <f>IF(B837="", "", "UBERON:gastrointestinal tract")</f>
        <v>0</v>
      </c>
      <c r="D837" s="1">
        <f>IF(B837="", "", "UBERON:feces")</f>
        <v>0</v>
      </c>
      <c r="E837" s="1">
        <f>IF(B837="", "", "UBERON:colon")</f>
        <v>0</v>
      </c>
      <c r="F837" s="1">
        <f>IF(B837="", "", "rat gut metagenome")</f>
        <v>0</v>
      </c>
      <c r="G837" s="1">
        <f>IF(B837="", "", "1436733")</f>
        <v>0</v>
      </c>
    </row>
    <row r="838" spans="1:7">
      <c r="A838">
        <f>IF(COUNTBLANK(B838:G838)&lt;&gt;COLUMNS(B838:G838),837,"")</f>
        <v>0</v>
      </c>
      <c r="C838" s="1">
        <f>IF(B838="", "", "UBERON:gastrointestinal tract")</f>
        <v>0</v>
      </c>
      <c r="D838" s="1">
        <f>IF(B838="", "", "UBERON:feces")</f>
        <v>0</v>
      </c>
      <c r="E838" s="1">
        <f>IF(B838="", "", "UBERON:colon")</f>
        <v>0</v>
      </c>
      <c r="F838" s="1">
        <f>IF(B838="", "", "rat gut metagenome")</f>
        <v>0</v>
      </c>
      <c r="G838" s="1">
        <f>IF(B838="", "", "1436733")</f>
        <v>0</v>
      </c>
    </row>
    <row r="839" spans="1:7">
      <c r="A839">
        <f>IF(COUNTBLANK(B839:G839)&lt;&gt;COLUMNS(B839:G839),838,"")</f>
        <v>0</v>
      </c>
      <c r="C839" s="1">
        <f>IF(B839="", "", "UBERON:gastrointestinal tract")</f>
        <v>0</v>
      </c>
      <c r="D839" s="1">
        <f>IF(B839="", "", "UBERON:feces")</f>
        <v>0</v>
      </c>
      <c r="E839" s="1">
        <f>IF(B839="", "", "UBERON:colon")</f>
        <v>0</v>
      </c>
      <c r="F839" s="1">
        <f>IF(B839="", "", "rat gut metagenome")</f>
        <v>0</v>
      </c>
      <c r="G839" s="1">
        <f>IF(B839="", "", "1436733")</f>
        <v>0</v>
      </c>
    </row>
    <row r="840" spans="1:7">
      <c r="A840">
        <f>IF(COUNTBLANK(B840:G840)&lt;&gt;COLUMNS(B840:G840),839,"")</f>
        <v>0</v>
      </c>
      <c r="C840" s="1">
        <f>IF(B840="", "", "UBERON:gastrointestinal tract")</f>
        <v>0</v>
      </c>
      <c r="D840" s="1">
        <f>IF(B840="", "", "UBERON:feces")</f>
        <v>0</v>
      </c>
      <c r="E840" s="1">
        <f>IF(B840="", "", "UBERON:colon")</f>
        <v>0</v>
      </c>
      <c r="F840" s="1">
        <f>IF(B840="", "", "rat gut metagenome")</f>
        <v>0</v>
      </c>
      <c r="G840" s="1">
        <f>IF(B840="", "", "1436733")</f>
        <v>0</v>
      </c>
    </row>
    <row r="841" spans="1:7">
      <c r="A841">
        <f>IF(COUNTBLANK(B841:G841)&lt;&gt;COLUMNS(B841:G841),840,"")</f>
        <v>0</v>
      </c>
      <c r="C841" s="1">
        <f>IF(B841="", "", "UBERON:gastrointestinal tract")</f>
        <v>0</v>
      </c>
      <c r="D841" s="1">
        <f>IF(B841="", "", "UBERON:feces")</f>
        <v>0</v>
      </c>
      <c r="E841" s="1">
        <f>IF(B841="", "", "UBERON:colon")</f>
        <v>0</v>
      </c>
      <c r="F841" s="1">
        <f>IF(B841="", "", "rat gut metagenome")</f>
        <v>0</v>
      </c>
      <c r="G841" s="1">
        <f>IF(B841="", "", "1436733")</f>
        <v>0</v>
      </c>
    </row>
    <row r="842" spans="1:7">
      <c r="A842">
        <f>IF(COUNTBLANK(B842:G842)&lt;&gt;COLUMNS(B842:G842),841,"")</f>
        <v>0</v>
      </c>
      <c r="C842" s="1">
        <f>IF(B842="", "", "UBERON:gastrointestinal tract")</f>
        <v>0</v>
      </c>
      <c r="D842" s="1">
        <f>IF(B842="", "", "UBERON:feces")</f>
        <v>0</v>
      </c>
      <c r="E842" s="1">
        <f>IF(B842="", "", "UBERON:colon")</f>
        <v>0</v>
      </c>
      <c r="F842" s="1">
        <f>IF(B842="", "", "rat gut metagenome")</f>
        <v>0</v>
      </c>
      <c r="G842" s="1">
        <f>IF(B842="", "", "1436733")</f>
        <v>0</v>
      </c>
    </row>
    <row r="843" spans="1:7">
      <c r="A843">
        <f>IF(COUNTBLANK(B843:G843)&lt;&gt;COLUMNS(B843:G843),842,"")</f>
        <v>0</v>
      </c>
      <c r="C843" s="1">
        <f>IF(B843="", "", "UBERON:gastrointestinal tract")</f>
        <v>0</v>
      </c>
      <c r="D843" s="1">
        <f>IF(B843="", "", "UBERON:feces")</f>
        <v>0</v>
      </c>
      <c r="E843" s="1">
        <f>IF(B843="", "", "UBERON:colon")</f>
        <v>0</v>
      </c>
      <c r="F843" s="1">
        <f>IF(B843="", "", "rat gut metagenome")</f>
        <v>0</v>
      </c>
      <c r="G843" s="1">
        <f>IF(B843="", "", "1436733")</f>
        <v>0</v>
      </c>
    </row>
    <row r="844" spans="1:7">
      <c r="A844">
        <f>IF(COUNTBLANK(B844:G844)&lt;&gt;COLUMNS(B844:G844),843,"")</f>
        <v>0</v>
      </c>
      <c r="C844" s="1">
        <f>IF(B844="", "", "UBERON:gastrointestinal tract")</f>
        <v>0</v>
      </c>
      <c r="D844" s="1">
        <f>IF(B844="", "", "UBERON:feces")</f>
        <v>0</v>
      </c>
      <c r="E844" s="1">
        <f>IF(B844="", "", "UBERON:colon")</f>
        <v>0</v>
      </c>
      <c r="F844" s="1">
        <f>IF(B844="", "", "rat gut metagenome")</f>
        <v>0</v>
      </c>
      <c r="G844" s="1">
        <f>IF(B844="", "", "1436733")</f>
        <v>0</v>
      </c>
    </row>
    <row r="845" spans="1:7">
      <c r="A845">
        <f>IF(COUNTBLANK(B845:G845)&lt;&gt;COLUMNS(B845:G845),844,"")</f>
        <v>0</v>
      </c>
      <c r="C845" s="1">
        <f>IF(B845="", "", "UBERON:gastrointestinal tract")</f>
        <v>0</v>
      </c>
      <c r="D845" s="1">
        <f>IF(B845="", "", "UBERON:feces")</f>
        <v>0</v>
      </c>
      <c r="E845" s="1">
        <f>IF(B845="", "", "UBERON:colon")</f>
        <v>0</v>
      </c>
      <c r="F845" s="1">
        <f>IF(B845="", "", "rat gut metagenome")</f>
        <v>0</v>
      </c>
      <c r="G845" s="1">
        <f>IF(B845="", "", "1436733")</f>
        <v>0</v>
      </c>
    </row>
    <row r="846" spans="1:7">
      <c r="A846">
        <f>IF(COUNTBLANK(B846:G846)&lt;&gt;COLUMNS(B846:G846),845,"")</f>
        <v>0</v>
      </c>
      <c r="C846" s="1">
        <f>IF(B846="", "", "UBERON:gastrointestinal tract")</f>
        <v>0</v>
      </c>
      <c r="D846" s="1">
        <f>IF(B846="", "", "UBERON:feces")</f>
        <v>0</v>
      </c>
      <c r="E846" s="1">
        <f>IF(B846="", "", "UBERON:colon")</f>
        <v>0</v>
      </c>
      <c r="F846" s="1">
        <f>IF(B846="", "", "rat gut metagenome")</f>
        <v>0</v>
      </c>
      <c r="G846" s="1">
        <f>IF(B846="", "", "1436733")</f>
        <v>0</v>
      </c>
    </row>
    <row r="847" spans="1:7">
      <c r="A847">
        <f>IF(COUNTBLANK(B847:G847)&lt;&gt;COLUMNS(B847:G847),846,"")</f>
        <v>0</v>
      </c>
      <c r="C847" s="1">
        <f>IF(B847="", "", "UBERON:gastrointestinal tract")</f>
        <v>0</v>
      </c>
      <c r="D847" s="1">
        <f>IF(B847="", "", "UBERON:feces")</f>
        <v>0</v>
      </c>
      <c r="E847" s="1">
        <f>IF(B847="", "", "UBERON:colon")</f>
        <v>0</v>
      </c>
      <c r="F847" s="1">
        <f>IF(B847="", "", "rat gut metagenome")</f>
        <v>0</v>
      </c>
      <c r="G847" s="1">
        <f>IF(B847="", "", "1436733")</f>
        <v>0</v>
      </c>
    </row>
    <row r="848" spans="1:7">
      <c r="A848">
        <f>IF(COUNTBLANK(B848:G848)&lt;&gt;COLUMNS(B848:G848),847,"")</f>
        <v>0</v>
      </c>
      <c r="C848" s="1">
        <f>IF(B848="", "", "UBERON:gastrointestinal tract")</f>
        <v>0</v>
      </c>
      <c r="D848" s="1">
        <f>IF(B848="", "", "UBERON:feces")</f>
        <v>0</v>
      </c>
      <c r="E848" s="1">
        <f>IF(B848="", "", "UBERON:colon")</f>
        <v>0</v>
      </c>
      <c r="F848" s="1">
        <f>IF(B848="", "", "rat gut metagenome")</f>
        <v>0</v>
      </c>
      <c r="G848" s="1">
        <f>IF(B848="", "", "1436733")</f>
        <v>0</v>
      </c>
    </row>
    <row r="849" spans="1:7">
      <c r="A849">
        <f>IF(COUNTBLANK(B849:G849)&lt;&gt;COLUMNS(B849:G849),848,"")</f>
        <v>0</v>
      </c>
      <c r="C849" s="1">
        <f>IF(B849="", "", "UBERON:gastrointestinal tract")</f>
        <v>0</v>
      </c>
      <c r="D849" s="1">
        <f>IF(B849="", "", "UBERON:feces")</f>
        <v>0</v>
      </c>
      <c r="E849" s="1">
        <f>IF(B849="", "", "UBERON:colon")</f>
        <v>0</v>
      </c>
      <c r="F849" s="1">
        <f>IF(B849="", "", "rat gut metagenome")</f>
        <v>0</v>
      </c>
      <c r="G849" s="1">
        <f>IF(B849="", "", "1436733")</f>
        <v>0</v>
      </c>
    </row>
    <row r="850" spans="1:7">
      <c r="A850">
        <f>IF(COUNTBLANK(B850:G850)&lt;&gt;COLUMNS(B850:G850),849,"")</f>
        <v>0</v>
      </c>
      <c r="C850" s="1">
        <f>IF(B850="", "", "UBERON:gastrointestinal tract")</f>
        <v>0</v>
      </c>
      <c r="D850" s="1">
        <f>IF(B850="", "", "UBERON:feces")</f>
        <v>0</v>
      </c>
      <c r="E850" s="1">
        <f>IF(B850="", "", "UBERON:colon")</f>
        <v>0</v>
      </c>
      <c r="F850" s="1">
        <f>IF(B850="", "", "rat gut metagenome")</f>
        <v>0</v>
      </c>
      <c r="G850" s="1">
        <f>IF(B850="", "", "1436733")</f>
        <v>0</v>
      </c>
    </row>
    <row r="851" spans="1:7">
      <c r="A851">
        <f>IF(COUNTBLANK(B851:G851)&lt;&gt;COLUMNS(B851:G851),850,"")</f>
        <v>0</v>
      </c>
      <c r="C851" s="1">
        <f>IF(B851="", "", "UBERON:gastrointestinal tract")</f>
        <v>0</v>
      </c>
      <c r="D851" s="1">
        <f>IF(B851="", "", "UBERON:feces")</f>
        <v>0</v>
      </c>
      <c r="E851" s="1">
        <f>IF(B851="", "", "UBERON:colon")</f>
        <v>0</v>
      </c>
      <c r="F851" s="1">
        <f>IF(B851="", "", "rat gut metagenome")</f>
        <v>0</v>
      </c>
      <c r="G851" s="1">
        <f>IF(B851="", "", "1436733")</f>
        <v>0</v>
      </c>
    </row>
    <row r="852" spans="1:7">
      <c r="A852">
        <f>IF(COUNTBLANK(B852:G852)&lt;&gt;COLUMNS(B852:G852),851,"")</f>
        <v>0</v>
      </c>
      <c r="C852" s="1">
        <f>IF(B852="", "", "UBERON:gastrointestinal tract")</f>
        <v>0</v>
      </c>
      <c r="D852" s="1">
        <f>IF(B852="", "", "UBERON:feces")</f>
        <v>0</v>
      </c>
      <c r="E852" s="1">
        <f>IF(B852="", "", "UBERON:colon")</f>
        <v>0</v>
      </c>
      <c r="F852" s="1">
        <f>IF(B852="", "", "rat gut metagenome")</f>
        <v>0</v>
      </c>
      <c r="G852" s="1">
        <f>IF(B852="", "", "1436733")</f>
        <v>0</v>
      </c>
    </row>
    <row r="853" spans="1:7">
      <c r="A853">
        <f>IF(COUNTBLANK(B853:G853)&lt;&gt;COLUMNS(B853:G853),852,"")</f>
        <v>0</v>
      </c>
      <c r="C853" s="1">
        <f>IF(B853="", "", "UBERON:gastrointestinal tract")</f>
        <v>0</v>
      </c>
      <c r="D853" s="1">
        <f>IF(B853="", "", "UBERON:feces")</f>
        <v>0</v>
      </c>
      <c r="E853" s="1">
        <f>IF(B853="", "", "UBERON:colon")</f>
        <v>0</v>
      </c>
      <c r="F853" s="1">
        <f>IF(B853="", "", "rat gut metagenome")</f>
        <v>0</v>
      </c>
      <c r="G853" s="1">
        <f>IF(B853="", "", "1436733")</f>
        <v>0</v>
      </c>
    </row>
    <row r="854" spans="1:7">
      <c r="A854">
        <f>IF(COUNTBLANK(B854:G854)&lt;&gt;COLUMNS(B854:G854),853,"")</f>
        <v>0</v>
      </c>
      <c r="C854" s="1">
        <f>IF(B854="", "", "UBERON:gastrointestinal tract")</f>
        <v>0</v>
      </c>
      <c r="D854" s="1">
        <f>IF(B854="", "", "UBERON:feces")</f>
        <v>0</v>
      </c>
      <c r="E854" s="1">
        <f>IF(B854="", "", "UBERON:colon")</f>
        <v>0</v>
      </c>
      <c r="F854" s="1">
        <f>IF(B854="", "", "rat gut metagenome")</f>
        <v>0</v>
      </c>
      <c r="G854" s="1">
        <f>IF(B854="", "", "1436733")</f>
        <v>0</v>
      </c>
    </row>
    <row r="855" spans="1:7">
      <c r="A855">
        <f>IF(COUNTBLANK(B855:G855)&lt;&gt;COLUMNS(B855:G855),854,"")</f>
        <v>0</v>
      </c>
      <c r="C855" s="1">
        <f>IF(B855="", "", "UBERON:gastrointestinal tract")</f>
        <v>0</v>
      </c>
      <c r="D855" s="1">
        <f>IF(B855="", "", "UBERON:feces")</f>
        <v>0</v>
      </c>
      <c r="E855" s="1">
        <f>IF(B855="", "", "UBERON:colon")</f>
        <v>0</v>
      </c>
      <c r="F855" s="1">
        <f>IF(B855="", "", "rat gut metagenome")</f>
        <v>0</v>
      </c>
      <c r="G855" s="1">
        <f>IF(B855="", "", "1436733")</f>
        <v>0</v>
      </c>
    </row>
    <row r="856" spans="1:7">
      <c r="A856">
        <f>IF(COUNTBLANK(B856:G856)&lt;&gt;COLUMNS(B856:G856),855,"")</f>
        <v>0</v>
      </c>
      <c r="C856" s="1">
        <f>IF(B856="", "", "UBERON:gastrointestinal tract")</f>
        <v>0</v>
      </c>
      <c r="D856" s="1">
        <f>IF(B856="", "", "UBERON:feces")</f>
        <v>0</v>
      </c>
      <c r="E856" s="1">
        <f>IF(B856="", "", "UBERON:colon")</f>
        <v>0</v>
      </c>
      <c r="F856" s="1">
        <f>IF(B856="", "", "rat gut metagenome")</f>
        <v>0</v>
      </c>
      <c r="G856" s="1">
        <f>IF(B856="", "", "1436733")</f>
        <v>0</v>
      </c>
    </row>
    <row r="857" spans="1:7">
      <c r="A857">
        <f>IF(COUNTBLANK(B857:G857)&lt;&gt;COLUMNS(B857:G857),856,"")</f>
        <v>0</v>
      </c>
      <c r="C857" s="1">
        <f>IF(B857="", "", "UBERON:gastrointestinal tract")</f>
        <v>0</v>
      </c>
      <c r="D857" s="1">
        <f>IF(B857="", "", "UBERON:feces")</f>
        <v>0</v>
      </c>
      <c r="E857" s="1">
        <f>IF(B857="", "", "UBERON:colon")</f>
        <v>0</v>
      </c>
      <c r="F857" s="1">
        <f>IF(B857="", "", "rat gut metagenome")</f>
        <v>0</v>
      </c>
      <c r="G857" s="1">
        <f>IF(B857="", "", "1436733")</f>
        <v>0</v>
      </c>
    </row>
    <row r="858" spans="1:7">
      <c r="A858">
        <f>IF(COUNTBLANK(B858:G858)&lt;&gt;COLUMNS(B858:G858),857,"")</f>
        <v>0</v>
      </c>
      <c r="C858" s="1">
        <f>IF(B858="", "", "UBERON:gastrointestinal tract")</f>
        <v>0</v>
      </c>
      <c r="D858" s="1">
        <f>IF(B858="", "", "UBERON:feces")</f>
        <v>0</v>
      </c>
      <c r="E858" s="1">
        <f>IF(B858="", "", "UBERON:colon")</f>
        <v>0</v>
      </c>
      <c r="F858" s="1">
        <f>IF(B858="", "", "rat gut metagenome")</f>
        <v>0</v>
      </c>
      <c r="G858" s="1">
        <f>IF(B858="", "", "1436733")</f>
        <v>0</v>
      </c>
    </row>
    <row r="859" spans="1:7">
      <c r="A859">
        <f>IF(COUNTBLANK(B859:G859)&lt;&gt;COLUMNS(B859:G859),858,"")</f>
        <v>0</v>
      </c>
      <c r="C859" s="1">
        <f>IF(B859="", "", "UBERON:gastrointestinal tract")</f>
        <v>0</v>
      </c>
      <c r="D859" s="1">
        <f>IF(B859="", "", "UBERON:feces")</f>
        <v>0</v>
      </c>
      <c r="E859" s="1">
        <f>IF(B859="", "", "UBERON:colon")</f>
        <v>0</v>
      </c>
      <c r="F859" s="1">
        <f>IF(B859="", "", "rat gut metagenome")</f>
        <v>0</v>
      </c>
      <c r="G859" s="1">
        <f>IF(B859="", "", "1436733")</f>
        <v>0</v>
      </c>
    </row>
    <row r="860" spans="1:7">
      <c r="A860">
        <f>IF(COUNTBLANK(B860:G860)&lt;&gt;COLUMNS(B860:G860),859,"")</f>
        <v>0</v>
      </c>
      <c r="C860" s="1">
        <f>IF(B860="", "", "UBERON:gastrointestinal tract")</f>
        <v>0</v>
      </c>
      <c r="D860" s="1">
        <f>IF(B860="", "", "UBERON:feces")</f>
        <v>0</v>
      </c>
      <c r="E860" s="1">
        <f>IF(B860="", "", "UBERON:colon")</f>
        <v>0</v>
      </c>
      <c r="F860" s="1">
        <f>IF(B860="", "", "rat gut metagenome")</f>
        <v>0</v>
      </c>
      <c r="G860" s="1">
        <f>IF(B860="", "", "1436733")</f>
        <v>0</v>
      </c>
    </row>
    <row r="861" spans="1:7">
      <c r="A861">
        <f>IF(COUNTBLANK(B861:G861)&lt;&gt;COLUMNS(B861:G861),860,"")</f>
        <v>0</v>
      </c>
      <c r="C861" s="1">
        <f>IF(B861="", "", "UBERON:gastrointestinal tract")</f>
        <v>0</v>
      </c>
      <c r="D861" s="1">
        <f>IF(B861="", "", "UBERON:feces")</f>
        <v>0</v>
      </c>
      <c r="E861" s="1">
        <f>IF(B861="", "", "UBERON:colon")</f>
        <v>0</v>
      </c>
      <c r="F861" s="1">
        <f>IF(B861="", "", "rat gut metagenome")</f>
        <v>0</v>
      </c>
      <c r="G861" s="1">
        <f>IF(B861="", "", "1436733")</f>
        <v>0</v>
      </c>
    </row>
    <row r="862" spans="1:7">
      <c r="A862">
        <f>IF(COUNTBLANK(B862:G862)&lt;&gt;COLUMNS(B862:G862),861,"")</f>
        <v>0</v>
      </c>
      <c r="C862" s="1">
        <f>IF(B862="", "", "UBERON:gastrointestinal tract")</f>
        <v>0</v>
      </c>
      <c r="D862" s="1">
        <f>IF(B862="", "", "UBERON:feces")</f>
        <v>0</v>
      </c>
      <c r="E862" s="1">
        <f>IF(B862="", "", "UBERON:colon")</f>
        <v>0</v>
      </c>
      <c r="F862" s="1">
        <f>IF(B862="", "", "rat gut metagenome")</f>
        <v>0</v>
      </c>
      <c r="G862" s="1">
        <f>IF(B862="", "", "1436733")</f>
        <v>0</v>
      </c>
    </row>
    <row r="863" spans="1:7">
      <c r="A863">
        <f>IF(COUNTBLANK(B863:G863)&lt;&gt;COLUMNS(B863:G863),862,"")</f>
        <v>0</v>
      </c>
      <c r="C863" s="1">
        <f>IF(B863="", "", "UBERON:gastrointestinal tract")</f>
        <v>0</v>
      </c>
      <c r="D863" s="1">
        <f>IF(B863="", "", "UBERON:feces")</f>
        <v>0</v>
      </c>
      <c r="E863" s="1">
        <f>IF(B863="", "", "UBERON:colon")</f>
        <v>0</v>
      </c>
      <c r="F863" s="1">
        <f>IF(B863="", "", "rat gut metagenome")</f>
        <v>0</v>
      </c>
      <c r="G863" s="1">
        <f>IF(B863="", "", "1436733")</f>
        <v>0</v>
      </c>
    </row>
    <row r="864" spans="1:7">
      <c r="A864">
        <f>IF(COUNTBLANK(B864:G864)&lt;&gt;COLUMNS(B864:G864),863,"")</f>
        <v>0</v>
      </c>
      <c r="C864" s="1">
        <f>IF(B864="", "", "UBERON:gastrointestinal tract")</f>
        <v>0</v>
      </c>
      <c r="D864" s="1">
        <f>IF(B864="", "", "UBERON:feces")</f>
        <v>0</v>
      </c>
      <c r="E864" s="1">
        <f>IF(B864="", "", "UBERON:colon")</f>
        <v>0</v>
      </c>
      <c r="F864" s="1">
        <f>IF(B864="", "", "rat gut metagenome")</f>
        <v>0</v>
      </c>
      <c r="G864" s="1">
        <f>IF(B864="", "", "1436733")</f>
        <v>0</v>
      </c>
    </row>
    <row r="865" spans="1:7">
      <c r="A865">
        <f>IF(COUNTBLANK(B865:G865)&lt;&gt;COLUMNS(B865:G865),864,"")</f>
        <v>0</v>
      </c>
      <c r="C865" s="1">
        <f>IF(B865="", "", "UBERON:gastrointestinal tract")</f>
        <v>0</v>
      </c>
      <c r="D865" s="1">
        <f>IF(B865="", "", "UBERON:feces")</f>
        <v>0</v>
      </c>
      <c r="E865" s="1">
        <f>IF(B865="", "", "UBERON:colon")</f>
        <v>0</v>
      </c>
      <c r="F865" s="1">
        <f>IF(B865="", "", "rat gut metagenome")</f>
        <v>0</v>
      </c>
      <c r="G865" s="1">
        <f>IF(B865="", "", "1436733")</f>
        <v>0</v>
      </c>
    </row>
    <row r="866" spans="1:7">
      <c r="A866">
        <f>IF(COUNTBLANK(B866:G866)&lt;&gt;COLUMNS(B866:G866),865,"")</f>
        <v>0</v>
      </c>
      <c r="C866" s="1">
        <f>IF(B866="", "", "UBERON:gastrointestinal tract")</f>
        <v>0</v>
      </c>
      <c r="D866" s="1">
        <f>IF(B866="", "", "UBERON:feces")</f>
        <v>0</v>
      </c>
      <c r="E866" s="1">
        <f>IF(B866="", "", "UBERON:colon")</f>
        <v>0</v>
      </c>
      <c r="F866" s="1">
        <f>IF(B866="", "", "rat gut metagenome")</f>
        <v>0</v>
      </c>
      <c r="G866" s="1">
        <f>IF(B866="", "", "1436733")</f>
        <v>0</v>
      </c>
    </row>
    <row r="867" spans="1:7">
      <c r="A867">
        <f>IF(COUNTBLANK(B867:G867)&lt;&gt;COLUMNS(B867:G867),866,"")</f>
        <v>0</v>
      </c>
      <c r="C867" s="1">
        <f>IF(B867="", "", "UBERON:gastrointestinal tract")</f>
        <v>0</v>
      </c>
      <c r="D867" s="1">
        <f>IF(B867="", "", "UBERON:feces")</f>
        <v>0</v>
      </c>
      <c r="E867" s="1">
        <f>IF(B867="", "", "UBERON:colon")</f>
        <v>0</v>
      </c>
      <c r="F867" s="1">
        <f>IF(B867="", "", "rat gut metagenome")</f>
        <v>0</v>
      </c>
      <c r="G867" s="1">
        <f>IF(B867="", "", "1436733")</f>
        <v>0</v>
      </c>
    </row>
    <row r="868" spans="1:7">
      <c r="A868">
        <f>IF(COUNTBLANK(B868:G868)&lt;&gt;COLUMNS(B868:G868),867,"")</f>
        <v>0</v>
      </c>
      <c r="C868" s="1">
        <f>IF(B868="", "", "UBERON:gastrointestinal tract")</f>
        <v>0</v>
      </c>
      <c r="D868" s="1">
        <f>IF(B868="", "", "UBERON:feces")</f>
        <v>0</v>
      </c>
      <c r="E868" s="1">
        <f>IF(B868="", "", "UBERON:colon")</f>
        <v>0</v>
      </c>
      <c r="F868" s="1">
        <f>IF(B868="", "", "rat gut metagenome")</f>
        <v>0</v>
      </c>
      <c r="G868" s="1">
        <f>IF(B868="", "", "1436733")</f>
        <v>0</v>
      </c>
    </row>
    <row r="869" spans="1:7">
      <c r="A869">
        <f>IF(COUNTBLANK(B869:G869)&lt;&gt;COLUMNS(B869:G869),868,"")</f>
        <v>0</v>
      </c>
      <c r="C869" s="1">
        <f>IF(B869="", "", "UBERON:gastrointestinal tract")</f>
        <v>0</v>
      </c>
      <c r="D869" s="1">
        <f>IF(B869="", "", "UBERON:feces")</f>
        <v>0</v>
      </c>
      <c r="E869" s="1">
        <f>IF(B869="", "", "UBERON:colon")</f>
        <v>0</v>
      </c>
      <c r="F869" s="1">
        <f>IF(B869="", "", "rat gut metagenome")</f>
        <v>0</v>
      </c>
      <c r="G869" s="1">
        <f>IF(B869="", "", "1436733")</f>
        <v>0</v>
      </c>
    </row>
    <row r="870" spans="1:7">
      <c r="A870">
        <f>IF(COUNTBLANK(B870:G870)&lt;&gt;COLUMNS(B870:G870),869,"")</f>
        <v>0</v>
      </c>
      <c r="C870" s="1">
        <f>IF(B870="", "", "UBERON:gastrointestinal tract")</f>
        <v>0</v>
      </c>
      <c r="D870" s="1">
        <f>IF(B870="", "", "UBERON:feces")</f>
        <v>0</v>
      </c>
      <c r="E870" s="1">
        <f>IF(B870="", "", "UBERON:colon")</f>
        <v>0</v>
      </c>
      <c r="F870" s="1">
        <f>IF(B870="", "", "rat gut metagenome")</f>
        <v>0</v>
      </c>
      <c r="G870" s="1">
        <f>IF(B870="", "", "1436733")</f>
        <v>0</v>
      </c>
    </row>
    <row r="871" spans="1:7">
      <c r="A871">
        <f>IF(COUNTBLANK(B871:G871)&lt;&gt;COLUMNS(B871:G871),870,"")</f>
        <v>0</v>
      </c>
      <c r="C871" s="1">
        <f>IF(B871="", "", "UBERON:gastrointestinal tract")</f>
        <v>0</v>
      </c>
      <c r="D871" s="1">
        <f>IF(B871="", "", "UBERON:feces")</f>
        <v>0</v>
      </c>
      <c r="E871" s="1">
        <f>IF(B871="", "", "UBERON:colon")</f>
        <v>0</v>
      </c>
      <c r="F871" s="1">
        <f>IF(B871="", "", "rat gut metagenome")</f>
        <v>0</v>
      </c>
      <c r="G871" s="1">
        <f>IF(B871="", "", "1436733")</f>
        <v>0</v>
      </c>
    </row>
    <row r="872" spans="1:7">
      <c r="A872">
        <f>IF(COUNTBLANK(B872:G872)&lt;&gt;COLUMNS(B872:G872),871,"")</f>
        <v>0</v>
      </c>
      <c r="C872" s="1">
        <f>IF(B872="", "", "UBERON:gastrointestinal tract")</f>
        <v>0</v>
      </c>
      <c r="D872" s="1">
        <f>IF(B872="", "", "UBERON:feces")</f>
        <v>0</v>
      </c>
      <c r="E872" s="1">
        <f>IF(B872="", "", "UBERON:colon")</f>
        <v>0</v>
      </c>
      <c r="F872" s="1">
        <f>IF(B872="", "", "rat gut metagenome")</f>
        <v>0</v>
      </c>
      <c r="G872" s="1">
        <f>IF(B872="", "", "1436733")</f>
        <v>0</v>
      </c>
    </row>
    <row r="873" spans="1:7">
      <c r="A873">
        <f>IF(COUNTBLANK(B873:G873)&lt;&gt;COLUMNS(B873:G873),872,"")</f>
        <v>0</v>
      </c>
      <c r="C873" s="1">
        <f>IF(B873="", "", "UBERON:gastrointestinal tract")</f>
        <v>0</v>
      </c>
      <c r="D873" s="1">
        <f>IF(B873="", "", "UBERON:feces")</f>
        <v>0</v>
      </c>
      <c r="E873" s="1">
        <f>IF(B873="", "", "UBERON:colon")</f>
        <v>0</v>
      </c>
      <c r="F873" s="1">
        <f>IF(B873="", "", "rat gut metagenome")</f>
        <v>0</v>
      </c>
      <c r="G873" s="1">
        <f>IF(B873="", "", "1436733")</f>
        <v>0</v>
      </c>
    </row>
    <row r="874" spans="1:7">
      <c r="A874">
        <f>IF(COUNTBLANK(B874:G874)&lt;&gt;COLUMNS(B874:G874),873,"")</f>
        <v>0</v>
      </c>
      <c r="C874" s="1">
        <f>IF(B874="", "", "UBERON:gastrointestinal tract")</f>
        <v>0</v>
      </c>
      <c r="D874" s="1">
        <f>IF(B874="", "", "UBERON:feces")</f>
        <v>0</v>
      </c>
      <c r="E874" s="1">
        <f>IF(B874="", "", "UBERON:colon")</f>
        <v>0</v>
      </c>
      <c r="F874" s="1">
        <f>IF(B874="", "", "rat gut metagenome")</f>
        <v>0</v>
      </c>
      <c r="G874" s="1">
        <f>IF(B874="", "", "1436733")</f>
        <v>0</v>
      </c>
    </row>
    <row r="875" spans="1:7">
      <c r="A875">
        <f>IF(COUNTBLANK(B875:G875)&lt;&gt;COLUMNS(B875:G875),874,"")</f>
        <v>0</v>
      </c>
      <c r="C875" s="1">
        <f>IF(B875="", "", "UBERON:gastrointestinal tract")</f>
        <v>0</v>
      </c>
      <c r="D875" s="1">
        <f>IF(B875="", "", "UBERON:feces")</f>
        <v>0</v>
      </c>
      <c r="E875" s="1">
        <f>IF(B875="", "", "UBERON:colon")</f>
        <v>0</v>
      </c>
      <c r="F875" s="1">
        <f>IF(B875="", "", "rat gut metagenome")</f>
        <v>0</v>
      </c>
      <c r="G875" s="1">
        <f>IF(B875="", "", "1436733")</f>
        <v>0</v>
      </c>
    </row>
    <row r="876" spans="1:7">
      <c r="A876">
        <f>IF(COUNTBLANK(B876:G876)&lt;&gt;COLUMNS(B876:G876),875,"")</f>
        <v>0</v>
      </c>
      <c r="C876" s="1">
        <f>IF(B876="", "", "UBERON:gastrointestinal tract")</f>
        <v>0</v>
      </c>
      <c r="D876" s="1">
        <f>IF(B876="", "", "UBERON:feces")</f>
        <v>0</v>
      </c>
      <c r="E876" s="1">
        <f>IF(B876="", "", "UBERON:colon")</f>
        <v>0</v>
      </c>
      <c r="F876" s="1">
        <f>IF(B876="", "", "rat gut metagenome")</f>
        <v>0</v>
      </c>
      <c r="G876" s="1">
        <f>IF(B876="", "", "1436733")</f>
        <v>0</v>
      </c>
    </row>
    <row r="877" spans="1:7">
      <c r="A877">
        <f>IF(COUNTBLANK(B877:G877)&lt;&gt;COLUMNS(B877:G877),876,"")</f>
        <v>0</v>
      </c>
      <c r="C877" s="1">
        <f>IF(B877="", "", "UBERON:gastrointestinal tract")</f>
        <v>0</v>
      </c>
      <c r="D877" s="1">
        <f>IF(B877="", "", "UBERON:feces")</f>
        <v>0</v>
      </c>
      <c r="E877" s="1">
        <f>IF(B877="", "", "UBERON:colon")</f>
        <v>0</v>
      </c>
      <c r="F877" s="1">
        <f>IF(B877="", "", "rat gut metagenome")</f>
        <v>0</v>
      </c>
      <c r="G877" s="1">
        <f>IF(B877="", "", "1436733")</f>
        <v>0</v>
      </c>
    </row>
    <row r="878" spans="1:7">
      <c r="A878">
        <f>IF(COUNTBLANK(B878:G878)&lt;&gt;COLUMNS(B878:G878),877,"")</f>
        <v>0</v>
      </c>
      <c r="C878" s="1">
        <f>IF(B878="", "", "UBERON:gastrointestinal tract")</f>
        <v>0</v>
      </c>
      <c r="D878" s="1">
        <f>IF(B878="", "", "UBERON:feces")</f>
        <v>0</v>
      </c>
      <c r="E878" s="1">
        <f>IF(B878="", "", "UBERON:colon")</f>
        <v>0</v>
      </c>
      <c r="F878" s="1">
        <f>IF(B878="", "", "rat gut metagenome")</f>
        <v>0</v>
      </c>
      <c r="G878" s="1">
        <f>IF(B878="", "", "1436733")</f>
        <v>0</v>
      </c>
    </row>
    <row r="879" spans="1:7">
      <c r="A879">
        <f>IF(COUNTBLANK(B879:G879)&lt;&gt;COLUMNS(B879:G879),878,"")</f>
        <v>0</v>
      </c>
      <c r="C879" s="1">
        <f>IF(B879="", "", "UBERON:gastrointestinal tract")</f>
        <v>0</v>
      </c>
      <c r="D879" s="1">
        <f>IF(B879="", "", "UBERON:feces")</f>
        <v>0</v>
      </c>
      <c r="E879" s="1">
        <f>IF(B879="", "", "UBERON:colon")</f>
        <v>0</v>
      </c>
      <c r="F879" s="1">
        <f>IF(B879="", "", "rat gut metagenome")</f>
        <v>0</v>
      </c>
      <c r="G879" s="1">
        <f>IF(B879="", "", "1436733")</f>
        <v>0</v>
      </c>
    </row>
    <row r="880" spans="1:7">
      <c r="A880">
        <f>IF(COUNTBLANK(B880:G880)&lt;&gt;COLUMNS(B880:G880),879,"")</f>
        <v>0</v>
      </c>
      <c r="C880" s="1">
        <f>IF(B880="", "", "UBERON:gastrointestinal tract")</f>
        <v>0</v>
      </c>
      <c r="D880" s="1">
        <f>IF(B880="", "", "UBERON:feces")</f>
        <v>0</v>
      </c>
      <c r="E880" s="1">
        <f>IF(B880="", "", "UBERON:colon")</f>
        <v>0</v>
      </c>
      <c r="F880" s="1">
        <f>IF(B880="", "", "rat gut metagenome")</f>
        <v>0</v>
      </c>
      <c r="G880" s="1">
        <f>IF(B880="", "", "1436733")</f>
        <v>0</v>
      </c>
    </row>
    <row r="881" spans="1:7">
      <c r="A881">
        <f>IF(COUNTBLANK(B881:G881)&lt;&gt;COLUMNS(B881:G881),880,"")</f>
        <v>0</v>
      </c>
      <c r="C881" s="1">
        <f>IF(B881="", "", "UBERON:gastrointestinal tract")</f>
        <v>0</v>
      </c>
      <c r="D881" s="1">
        <f>IF(B881="", "", "UBERON:feces")</f>
        <v>0</v>
      </c>
      <c r="E881" s="1">
        <f>IF(B881="", "", "UBERON:colon")</f>
        <v>0</v>
      </c>
      <c r="F881" s="1">
        <f>IF(B881="", "", "rat gut metagenome")</f>
        <v>0</v>
      </c>
      <c r="G881" s="1">
        <f>IF(B881="", "", "1436733")</f>
        <v>0</v>
      </c>
    </row>
    <row r="882" spans="1:7">
      <c r="A882">
        <f>IF(COUNTBLANK(B882:G882)&lt;&gt;COLUMNS(B882:G882),881,"")</f>
        <v>0</v>
      </c>
      <c r="C882" s="1">
        <f>IF(B882="", "", "UBERON:gastrointestinal tract")</f>
        <v>0</v>
      </c>
      <c r="D882" s="1">
        <f>IF(B882="", "", "UBERON:feces")</f>
        <v>0</v>
      </c>
      <c r="E882" s="1">
        <f>IF(B882="", "", "UBERON:colon")</f>
        <v>0</v>
      </c>
      <c r="F882" s="1">
        <f>IF(B882="", "", "rat gut metagenome")</f>
        <v>0</v>
      </c>
      <c r="G882" s="1">
        <f>IF(B882="", "", "1436733")</f>
        <v>0</v>
      </c>
    </row>
    <row r="883" spans="1:7">
      <c r="A883">
        <f>IF(COUNTBLANK(B883:G883)&lt;&gt;COLUMNS(B883:G883),882,"")</f>
        <v>0</v>
      </c>
      <c r="C883" s="1">
        <f>IF(B883="", "", "UBERON:gastrointestinal tract")</f>
        <v>0</v>
      </c>
      <c r="D883" s="1">
        <f>IF(B883="", "", "UBERON:feces")</f>
        <v>0</v>
      </c>
      <c r="E883" s="1">
        <f>IF(B883="", "", "UBERON:colon")</f>
        <v>0</v>
      </c>
      <c r="F883" s="1">
        <f>IF(B883="", "", "rat gut metagenome")</f>
        <v>0</v>
      </c>
      <c r="G883" s="1">
        <f>IF(B883="", "", "1436733")</f>
        <v>0</v>
      </c>
    </row>
    <row r="884" spans="1:7">
      <c r="A884">
        <f>IF(COUNTBLANK(B884:G884)&lt;&gt;COLUMNS(B884:G884),883,"")</f>
        <v>0</v>
      </c>
      <c r="C884" s="1">
        <f>IF(B884="", "", "UBERON:gastrointestinal tract")</f>
        <v>0</v>
      </c>
      <c r="D884" s="1">
        <f>IF(B884="", "", "UBERON:feces")</f>
        <v>0</v>
      </c>
      <c r="E884" s="1">
        <f>IF(B884="", "", "UBERON:colon")</f>
        <v>0</v>
      </c>
      <c r="F884" s="1">
        <f>IF(B884="", "", "rat gut metagenome")</f>
        <v>0</v>
      </c>
      <c r="G884" s="1">
        <f>IF(B884="", "", "1436733")</f>
        <v>0</v>
      </c>
    </row>
    <row r="885" spans="1:7">
      <c r="A885">
        <f>IF(COUNTBLANK(B885:G885)&lt;&gt;COLUMNS(B885:G885),884,"")</f>
        <v>0</v>
      </c>
      <c r="C885" s="1">
        <f>IF(B885="", "", "UBERON:gastrointestinal tract")</f>
        <v>0</v>
      </c>
      <c r="D885" s="1">
        <f>IF(B885="", "", "UBERON:feces")</f>
        <v>0</v>
      </c>
      <c r="E885" s="1">
        <f>IF(B885="", "", "UBERON:colon")</f>
        <v>0</v>
      </c>
      <c r="F885" s="1">
        <f>IF(B885="", "", "rat gut metagenome")</f>
        <v>0</v>
      </c>
      <c r="G885" s="1">
        <f>IF(B885="", "", "1436733")</f>
        <v>0</v>
      </c>
    </row>
    <row r="886" spans="1:7">
      <c r="A886">
        <f>IF(COUNTBLANK(B886:G886)&lt;&gt;COLUMNS(B886:G886),885,"")</f>
        <v>0</v>
      </c>
      <c r="C886" s="1">
        <f>IF(B886="", "", "UBERON:gastrointestinal tract")</f>
        <v>0</v>
      </c>
      <c r="D886" s="1">
        <f>IF(B886="", "", "UBERON:feces")</f>
        <v>0</v>
      </c>
      <c r="E886" s="1">
        <f>IF(B886="", "", "UBERON:colon")</f>
        <v>0</v>
      </c>
      <c r="F886" s="1">
        <f>IF(B886="", "", "rat gut metagenome")</f>
        <v>0</v>
      </c>
      <c r="G886" s="1">
        <f>IF(B886="", "", "1436733")</f>
        <v>0</v>
      </c>
    </row>
    <row r="887" spans="1:7">
      <c r="A887">
        <f>IF(COUNTBLANK(B887:G887)&lt;&gt;COLUMNS(B887:G887),886,"")</f>
        <v>0</v>
      </c>
      <c r="C887" s="1">
        <f>IF(B887="", "", "UBERON:gastrointestinal tract")</f>
        <v>0</v>
      </c>
      <c r="D887" s="1">
        <f>IF(B887="", "", "UBERON:feces")</f>
        <v>0</v>
      </c>
      <c r="E887" s="1">
        <f>IF(B887="", "", "UBERON:colon")</f>
        <v>0</v>
      </c>
      <c r="F887" s="1">
        <f>IF(B887="", "", "rat gut metagenome")</f>
        <v>0</v>
      </c>
      <c r="G887" s="1">
        <f>IF(B887="", "", "1436733")</f>
        <v>0</v>
      </c>
    </row>
    <row r="888" spans="1:7">
      <c r="A888">
        <f>IF(COUNTBLANK(B888:G888)&lt;&gt;COLUMNS(B888:G888),887,"")</f>
        <v>0</v>
      </c>
      <c r="C888" s="1">
        <f>IF(B888="", "", "UBERON:gastrointestinal tract")</f>
        <v>0</v>
      </c>
      <c r="D888" s="1">
        <f>IF(B888="", "", "UBERON:feces")</f>
        <v>0</v>
      </c>
      <c r="E888" s="1">
        <f>IF(B888="", "", "UBERON:colon")</f>
        <v>0</v>
      </c>
      <c r="F888" s="1">
        <f>IF(B888="", "", "rat gut metagenome")</f>
        <v>0</v>
      </c>
      <c r="G888" s="1">
        <f>IF(B888="", "", "1436733")</f>
        <v>0</v>
      </c>
    </row>
    <row r="889" spans="1:7">
      <c r="A889">
        <f>IF(COUNTBLANK(B889:G889)&lt;&gt;COLUMNS(B889:G889),888,"")</f>
        <v>0</v>
      </c>
      <c r="C889" s="1">
        <f>IF(B889="", "", "UBERON:gastrointestinal tract")</f>
        <v>0</v>
      </c>
      <c r="D889" s="1">
        <f>IF(B889="", "", "UBERON:feces")</f>
        <v>0</v>
      </c>
      <c r="E889" s="1">
        <f>IF(B889="", "", "UBERON:colon")</f>
        <v>0</v>
      </c>
      <c r="F889" s="1">
        <f>IF(B889="", "", "rat gut metagenome")</f>
        <v>0</v>
      </c>
      <c r="G889" s="1">
        <f>IF(B889="", "", "1436733")</f>
        <v>0</v>
      </c>
    </row>
    <row r="890" spans="1:7">
      <c r="A890">
        <f>IF(COUNTBLANK(B890:G890)&lt;&gt;COLUMNS(B890:G890),889,"")</f>
        <v>0</v>
      </c>
      <c r="C890" s="1">
        <f>IF(B890="", "", "UBERON:gastrointestinal tract")</f>
        <v>0</v>
      </c>
      <c r="D890" s="1">
        <f>IF(B890="", "", "UBERON:feces")</f>
        <v>0</v>
      </c>
      <c r="E890" s="1">
        <f>IF(B890="", "", "UBERON:colon")</f>
        <v>0</v>
      </c>
      <c r="F890" s="1">
        <f>IF(B890="", "", "rat gut metagenome")</f>
        <v>0</v>
      </c>
      <c r="G890" s="1">
        <f>IF(B890="", "", "1436733")</f>
        <v>0</v>
      </c>
    </row>
    <row r="891" spans="1:7">
      <c r="A891">
        <f>IF(COUNTBLANK(B891:G891)&lt;&gt;COLUMNS(B891:G891),890,"")</f>
        <v>0</v>
      </c>
      <c r="C891" s="1">
        <f>IF(B891="", "", "UBERON:gastrointestinal tract")</f>
        <v>0</v>
      </c>
      <c r="D891" s="1">
        <f>IF(B891="", "", "UBERON:feces")</f>
        <v>0</v>
      </c>
      <c r="E891" s="1">
        <f>IF(B891="", "", "UBERON:colon")</f>
        <v>0</v>
      </c>
      <c r="F891" s="1">
        <f>IF(B891="", "", "rat gut metagenome")</f>
        <v>0</v>
      </c>
      <c r="G891" s="1">
        <f>IF(B891="", "", "1436733")</f>
        <v>0</v>
      </c>
    </row>
    <row r="892" spans="1:7">
      <c r="A892">
        <f>IF(COUNTBLANK(B892:G892)&lt;&gt;COLUMNS(B892:G892),891,"")</f>
        <v>0</v>
      </c>
      <c r="C892" s="1">
        <f>IF(B892="", "", "UBERON:gastrointestinal tract")</f>
        <v>0</v>
      </c>
      <c r="D892" s="1">
        <f>IF(B892="", "", "UBERON:feces")</f>
        <v>0</v>
      </c>
      <c r="E892" s="1">
        <f>IF(B892="", "", "UBERON:colon")</f>
        <v>0</v>
      </c>
      <c r="F892" s="1">
        <f>IF(B892="", "", "rat gut metagenome")</f>
        <v>0</v>
      </c>
      <c r="G892" s="1">
        <f>IF(B892="", "", "1436733")</f>
        <v>0</v>
      </c>
    </row>
    <row r="893" spans="1:7">
      <c r="A893">
        <f>IF(COUNTBLANK(B893:G893)&lt;&gt;COLUMNS(B893:G893),892,"")</f>
        <v>0</v>
      </c>
      <c r="C893" s="1">
        <f>IF(B893="", "", "UBERON:gastrointestinal tract")</f>
        <v>0</v>
      </c>
      <c r="D893" s="1">
        <f>IF(B893="", "", "UBERON:feces")</f>
        <v>0</v>
      </c>
      <c r="E893" s="1">
        <f>IF(B893="", "", "UBERON:colon")</f>
        <v>0</v>
      </c>
      <c r="F893" s="1">
        <f>IF(B893="", "", "rat gut metagenome")</f>
        <v>0</v>
      </c>
      <c r="G893" s="1">
        <f>IF(B893="", "", "1436733")</f>
        <v>0</v>
      </c>
    </row>
    <row r="894" spans="1:7">
      <c r="A894">
        <f>IF(COUNTBLANK(B894:G894)&lt;&gt;COLUMNS(B894:G894),893,"")</f>
        <v>0</v>
      </c>
      <c r="C894" s="1">
        <f>IF(B894="", "", "UBERON:gastrointestinal tract")</f>
        <v>0</v>
      </c>
      <c r="D894" s="1">
        <f>IF(B894="", "", "UBERON:feces")</f>
        <v>0</v>
      </c>
      <c r="E894" s="1">
        <f>IF(B894="", "", "UBERON:colon")</f>
        <v>0</v>
      </c>
      <c r="F894" s="1">
        <f>IF(B894="", "", "rat gut metagenome")</f>
        <v>0</v>
      </c>
      <c r="G894" s="1">
        <f>IF(B894="", "", "1436733")</f>
        <v>0</v>
      </c>
    </row>
    <row r="895" spans="1:7">
      <c r="A895">
        <f>IF(COUNTBLANK(B895:G895)&lt;&gt;COLUMNS(B895:G895),894,"")</f>
        <v>0</v>
      </c>
      <c r="C895" s="1">
        <f>IF(B895="", "", "UBERON:gastrointestinal tract")</f>
        <v>0</v>
      </c>
      <c r="D895" s="1">
        <f>IF(B895="", "", "UBERON:feces")</f>
        <v>0</v>
      </c>
      <c r="E895" s="1">
        <f>IF(B895="", "", "UBERON:colon")</f>
        <v>0</v>
      </c>
      <c r="F895" s="1">
        <f>IF(B895="", "", "rat gut metagenome")</f>
        <v>0</v>
      </c>
      <c r="G895" s="1">
        <f>IF(B895="", "", "1436733")</f>
        <v>0</v>
      </c>
    </row>
    <row r="896" spans="1:7">
      <c r="A896">
        <f>IF(COUNTBLANK(B896:G896)&lt;&gt;COLUMNS(B896:G896),895,"")</f>
        <v>0</v>
      </c>
      <c r="C896" s="1">
        <f>IF(B896="", "", "UBERON:gastrointestinal tract")</f>
        <v>0</v>
      </c>
      <c r="D896" s="1">
        <f>IF(B896="", "", "UBERON:feces")</f>
        <v>0</v>
      </c>
      <c r="E896" s="1">
        <f>IF(B896="", "", "UBERON:colon")</f>
        <v>0</v>
      </c>
      <c r="F896" s="1">
        <f>IF(B896="", "", "rat gut metagenome")</f>
        <v>0</v>
      </c>
      <c r="G896" s="1">
        <f>IF(B896="", "", "1436733")</f>
        <v>0</v>
      </c>
    </row>
    <row r="897" spans="1:7">
      <c r="A897">
        <f>IF(COUNTBLANK(B897:G897)&lt;&gt;COLUMNS(B897:G897),896,"")</f>
        <v>0</v>
      </c>
      <c r="C897" s="1">
        <f>IF(B897="", "", "UBERON:gastrointestinal tract")</f>
        <v>0</v>
      </c>
      <c r="D897" s="1">
        <f>IF(B897="", "", "UBERON:feces")</f>
        <v>0</v>
      </c>
      <c r="E897" s="1">
        <f>IF(B897="", "", "UBERON:colon")</f>
        <v>0</v>
      </c>
      <c r="F897" s="1">
        <f>IF(B897="", "", "rat gut metagenome")</f>
        <v>0</v>
      </c>
      <c r="G897" s="1">
        <f>IF(B897="", "", "1436733")</f>
        <v>0</v>
      </c>
    </row>
    <row r="898" spans="1:7">
      <c r="A898">
        <f>IF(COUNTBLANK(B898:G898)&lt;&gt;COLUMNS(B898:G898),897,"")</f>
        <v>0</v>
      </c>
      <c r="C898" s="1">
        <f>IF(B898="", "", "UBERON:gastrointestinal tract")</f>
        <v>0</v>
      </c>
      <c r="D898" s="1">
        <f>IF(B898="", "", "UBERON:feces")</f>
        <v>0</v>
      </c>
      <c r="E898" s="1">
        <f>IF(B898="", "", "UBERON:colon")</f>
        <v>0</v>
      </c>
      <c r="F898" s="1">
        <f>IF(B898="", "", "rat gut metagenome")</f>
        <v>0</v>
      </c>
      <c r="G898" s="1">
        <f>IF(B898="", "", "1436733")</f>
        <v>0</v>
      </c>
    </row>
    <row r="899" spans="1:7">
      <c r="A899">
        <f>IF(COUNTBLANK(B899:G899)&lt;&gt;COLUMNS(B899:G899),898,"")</f>
        <v>0</v>
      </c>
      <c r="C899" s="1">
        <f>IF(B899="", "", "UBERON:gastrointestinal tract")</f>
        <v>0</v>
      </c>
      <c r="D899" s="1">
        <f>IF(B899="", "", "UBERON:feces")</f>
        <v>0</v>
      </c>
      <c r="E899" s="1">
        <f>IF(B899="", "", "UBERON:colon")</f>
        <v>0</v>
      </c>
      <c r="F899" s="1">
        <f>IF(B899="", "", "rat gut metagenome")</f>
        <v>0</v>
      </c>
      <c r="G899" s="1">
        <f>IF(B899="", "", "1436733")</f>
        <v>0</v>
      </c>
    </row>
    <row r="900" spans="1:7">
      <c r="A900">
        <f>IF(COUNTBLANK(B900:G900)&lt;&gt;COLUMNS(B900:G900),899,"")</f>
        <v>0</v>
      </c>
      <c r="C900" s="1">
        <f>IF(B900="", "", "UBERON:gastrointestinal tract")</f>
        <v>0</v>
      </c>
      <c r="D900" s="1">
        <f>IF(B900="", "", "UBERON:feces")</f>
        <v>0</v>
      </c>
      <c r="E900" s="1">
        <f>IF(B900="", "", "UBERON:colon")</f>
        <v>0</v>
      </c>
      <c r="F900" s="1">
        <f>IF(B900="", "", "rat gut metagenome")</f>
        <v>0</v>
      </c>
      <c r="G900" s="1">
        <f>IF(B900="", "", "1436733")</f>
        <v>0</v>
      </c>
    </row>
    <row r="901" spans="1:7">
      <c r="A901">
        <f>IF(COUNTBLANK(B901:G901)&lt;&gt;COLUMNS(B901:G901),900,"")</f>
        <v>0</v>
      </c>
      <c r="C901" s="1">
        <f>IF(B901="", "", "UBERON:gastrointestinal tract")</f>
        <v>0</v>
      </c>
      <c r="D901" s="1">
        <f>IF(B901="", "", "UBERON:feces")</f>
        <v>0</v>
      </c>
      <c r="E901" s="1">
        <f>IF(B901="", "", "UBERON:colon")</f>
        <v>0</v>
      </c>
      <c r="F901" s="1">
        <f>IF(B901="", "", "rat gut metagenome")</f>
        <v>0</v>
      </c>
      <c r="G901" s="1">
        <f>IF(B901="", "", "1436733")</f>
        <v>0</v>
      </c>
    </row>
    <row r="902" spans="1:7">
      <c r="A902">
        <f>IF(COUNTBLANK(B902:G902)&lt;&gt;COLUMNS(B902:G902),901,"")</f>
        <v>0</v>
      </c>
      <c r="C902" s="1">
        <f>IF(B902="", "", "UBERON:gastrointestinal tract")</f>
        <v>0</v>
      </c>
      <c r="D902" s="1">
        <f>IF(B902="", "", "UBERON:feces")</f>
        <v>0</v>
      </c>
      <c r="E902" s="1">
        <f>IF(B902="", "", "UBERON:colon")</f>
        <v>0</v>
      </c>
      <c r="F902" s="1">
        <f>IF(B902="", "", "rat gut metagenome")</f>
        <v>0</v>
      </c>
      <c r="G902" s="1">
        <f>IF(B902="", "", "1436733")</f>
        <v>0</v>
      </c>
    </row>
    <row r="903" spans="1:7">
      <c r="A903">
        <f>IF(COUNTBLANK(B903:G903)&lt;&gt;COLUMNS(B903:G903),902,"")</f>
        <v>0</v>
      </c>
      <c r="C903" s="1">
        <f>IF(B903="", "", "UBERON:gastrointestinal tract")</f>
        <v>0</v>
      </c>
      <c r="D903" s="1">
        <f>IF(B903="", "", "UBERON:feces")</f>
        <v>0</v>
      </c>
      <c r="E903" s="1">
        <f>IF(B903="", "", "UBERON:colon")</f>
        <v>0</v>
      </c>
      <c r="F903" s="1">
        <f>IF(B903="", "", "rat gut metagenome")</f>
        <v>0</v>
      </c>
      <c r="G903" s="1">
        <f>IF(B903="", "", "1436733")</f>
        <v>0</v>
      </c>
    </row>
    <row r="904" spans="1:7">
      <c r="A904">
        <f>IF(COUNTBLANK(B904:G904)&lt;&gt;COLUMNS(B904:G904),903,"")</f>
        <v>0</v>
      </c>
      <c r="C904" s="1">
        <f>IF(B904="", "", "UBERON:gastrointestinal tract")</f>
        <v>0</v>
      </c>
      <c r="D904" s="1">
        <f>IF(B904="", "", "UBERON:feces")</f>
        <v>0</v>
      </c>
      <c r="E904" s="1">
        <f>IF(B904="", "", "UBERON:colon")</f>
        <v>0</v>
      </c>
      <c r="F904" s="1">
        <f>IF(B904="", "", "rat gut metagenome")</f>
        <v>0</v>
      </c>
      <c r="G904" s="1">
        <f>IF(B904="", "", "1436733")</f>
        <v>0</v>
      </c>
    </row>
    <row r="905" spans="1:7">
      <c r="A905">
        <f>IF(COUNTBLANK(B905:G905)&lt;&gt;COLUMNS(B905:G905),904,"")</f>
        <v>0</v>
      </c>
      <c r="C905" s="1">
        <f>IF(B905="", "", "UBERON:gastrointestinal tract")</f>
        <v>0</v>
      </c>
      <c r="D905" s="1">
        <f>IF(B905="", "", "UBERON:feces")</f>
        <v>0</v>
      </c>
      <c r="E905" s="1">
        <f>IF(B905="", "", "UBERON:colon")</f>
        <v>0</v>
      </c>
      <c r="F905" s="1">
        <f>IF(B905="", "", "rat gut metagenome")</f>
        <v>0</v>
      </c>
      <c r="G905" s="1">
        <f>IF(B905="", "", "1436733")</f>
        <v>0</v>
      </c>
    </row>
    <row r="906" spans="1:7">
      <c r="A906">
        <f>IF(COUNTBLANK(B906:G906)&lt;&gt;COLUMNS(B906:G906),905,"")</f>
        <v>0</v>
      </c>
      <c r="C906" s="1">
        <f>IF(B906="", "", "UBERON:gastrointestinal tract")</f>
        <v>0</v>
      </c>
      <c r="D906" s="1">
        <f>IF(B906="", "", "UBERON:feces")</f>
        <v>0</v>
      </c>
      <c r="E906" s="1">
        <f>IF(B906="", "", "UBERON:colon")</f>
        <v>0</v>
      </c>
      <c r="F906" s="1">
        <f>IF(B906="", "", "rat gut metagenome")</f>
        <v>0</v>
      </c>
      <c r="G906" s="1">
        <f>IF(B906="", "", "1436733")</f>
        <v>0</v>
      </c>
    </row>
    <row r="907" spans="1:7">
      <c r="A907">
        <f>IF(COUNTBLANK(B907:G907)&lt;&gt;COLUMNS(B907:G907),906,"")</f>
        <v>0</v>
      </c>
      <c r="C907" s="1">
        <f>IF(B907="", "", "UBERON:gastrointestinal tract")</f>
        <v>0</v>
      </c>
      <c r="D907" s="1">
        <f>IF(B907="", "", "UBERON:feces")</f>
        <v>0</v>
      </c>
      <c r="E907" s="1">
        <f>IF(B907="", "", "UBERON:colon")</f>
        <v>0</v>
      </c>
      <c r="F907" s="1">
        <f>IF(B907="", "", "rat gut metagenome")</f>
        <v>0</v>
      </c>
      <c r="G907" s="1">
        <f>IF(B907="", "", "1436733")</f>
        <v>0</v>
      </c>
    </row>
    <row r="908" spans="1:7">
      <c r="A908">
        <f>IF(COUNTBLANK(B908:G908)&lt;&gt;COLUMNS(B908:G908),907,"")</f>
        <v>0</v>
      </c>
      <c r="C908" s="1">
        <f>IF(B908="", "", "UBERON:gastrointestinal tract")</f>
        <v>0</v>
      </c>
      <c r="D908" s="1">
        <f>IF(B908="", "", "UBERON:feces")</f>
        <v>0</v>
      </c>
      <c r="E908" s="1">
        <f>IF(B908="", "", "UBERON:colon")</f>
        <v>0</v>
      </c>
      <c r="F908" s="1">
        <f>IF(B908="", "", "rat gut metagenome")</f>
        <v>0</v>
      </c>
      <c r="G908" s="1">
        <f>IF(B908="", "", "1436733")</f>
        <v>0</v>
      </c>
    </row>
    <row r="909" spans="1:7">
      <c r="A909">
        <f>IF(COUNTBLANK(B909:G909)&lt;&gt;COLUMNS(B909:G909),908,"")</f>
        <v>0</v>
      </c>
      <c r="C909" s="1">
        <f>IF(B909="", "", "UBERON:gastrointestinal tract")</f>
        <v>0</v>
      </c>
      <c r="D909" s="1">
        <f>IF(B909="", "", "UBERON:feces")</f>
        <v>0</v>
      </c>
      <c r="E909" s="1">
        <f>IF(B909="", "", "UBERON:colon")</f>
        <v>0</v>
      </c>
      <c r="F909" s="1">
        <f>IF(B909="", "", "rat gut metagenome")</f>
        <v>0</v>
      </c>
      <c r="G909" s="1">
        <f>IF(B909="", "", "1436733")</f>
        <v>0</v>
      </c>
    </row>
    <row r="910" spans="1:7">
      <c r="A910">
        <f>IF(COUNTBLANK(B910:G910)&lt;&gt;COLUMNS(B910:G910),909,"")</f>
        <v>0</v>
      </c>
      <c r="C910" s="1">
        <f>IF(B910="", "", "UBERON:gastrointestinal tract")</f>
        <v>0</v>
      </c>
      <c r="D910" s="1">
        <f>IF(B910="", "", "UBERON:feces")</f>
        <v>0</v>
      </c>
      <c r="E910" s="1">
        <f>IF(B910="", "", "UBERON:colon")</f>
        <v>0</v>
      </c>
      <c r="F910" s="1">
        <f>IF(B910="", "", "rat gut metagenome")</f>
        <v>0</v>
      </c>
      <c r="G910" s="1">
        <f>IF(B910="", "", "1436733")</f>
        <v>0</v>
      </c>
    </row>
    <row r="911" spans="1:7">
      <c r="A911">
        <f>IF(COUNTBLANK(B911:G911)&lt;&gt;COLUMNS(B911:G911),910,"")</f>
        <v>0</v>
      </c>
      <c r="C911" s="1">
        <f>IF(B911="", "", "UBERON:gastrointestinal tract")</f>
        <v>0</v>
      </c>
      <c r="D911" s="1">
        <f>IF(B911="", "", "UBERON:feces")</f>
        <v>0</v>
      </c>
      <c r="E911" s="1">
        <f>IF(B911="", "", "UBERON:colon")</f>
        <v>0</v>
      </c>
      <c r="F911" s="1">
        <f>IF(B911="", "", "rat gut metagenome")</f>
        <v>0</v>
      </c>
      <c r="G911" s="1">
        <f>IF(B911="", "", "1436733")</f>
        <v>0</v>
      </c>
    </row>
    <row r="912" spans="1:7">
      <c r="A912">
        <f>IF(COUNTBLANK(B912:G912)&lt;&gt;COLUMNS(B912:G912),911,"")</f>
        <v>0</v>
      </c>
      <c r="C912" s="1">
        <f>IF(B912="", "", "UBERON:gastrointestinal tract")</f>
        <v>0</v>
      </c>
      <c r="D912" s="1">
        <f>IF(B912="", "", "UBERON:feces")</f>
        <v>0</v>
      </c>
      <c r="E912" s="1">
        <f>IF(B912="", "", "UBERON:colon")</f>
        <v>0</v>
      </c>
      <c r="F912" s="1">
        <f>IF(B912="", "", "rat gut metagenome")</f>
        <v>0</v>
      </c>
      <c r="G912" s="1">
        <f>IF(B912="", "", "1436733")</f>
        <v>0</v>
      </c>
    </row>
    <row r="913" spans="1:7">
      <c r="A913">
        <f>IF(COUNTBLANK(B913:G913)&lt;&gt;COLUMNS(B913:G913),912,"")</f>
        <v>0</v>
      </c>
      <c r="C913" s="1">
        <f>IF(B913="", "", "UBERON:gastrointestinal tract")</f>
        <v>0</v>
      </c>
      <c r="D913" s="1">
        <f>IF(B913="", "", "UBERON:feces")</f>
        <v>0</v>
      </c>
      <c r="E913" s="1">
        <f>IF(B913="", "", "UBERON:colon")</f>
        <v>0</v>
      </c>
      <c r="F913" s="1">
        <f>IF(B913="", "", "rat gut metagenome")</f>
        <v>0</v>
      </c>
      <c r="G913" s="1">
        <f>IF(B913="", "", "1436733")</f>
        <v>0</v>
      </c>
    </row>
    <row r="914" spans="1:7">
      <c r="A914">
        <f>IF(COUNTBLANK(B914:G914)&lt;&gt;COLUMNS(B914:G914),913,"")</f>
        <v>0</v>
      </c>
      <c r="C914" s="1">
        <f>IF(B914="", "", "UBERON:gastrointestinal tract")</f>
        <v>0</v>
      </c>
      <c r="D914" s="1">
        <f>IF(B914="", "", "UBERON:feces")</f>
        <v>0</v>
      </c>
      <c r="E914" s="1">
        <f>IF(B914="", "", "UBERON:colon")</f>
        <v>0</v>
      </c>
      <c r="F914" s="1">
        <f>IF(B914="", "", "rat gut metagenome")</f>
        <v>0</v>
      </c>
      <c r="G914" s="1">
        <f>IF(B914="", "", "1436733")</f>
        <v>0</v>
      </c>
    </row>
    <row r="915" spans="1:7">
      <c r="A915">
        <f>IF(COUNTBLANK(B915:G915)&lt;&gt;COLUMNS(B915:G915),914,"")</f>
        <v>0</v>
      </c>
      <c r="C915" s="1">
        <f>IF(B915="", "", "UBERON:gastrointestinal tract")</f>
        <v>0</v>
      </c>
      <c r="D915" s="1">
        <f>IF(B915="", "", "UBERON:feces")</f>
        <v>0</v>
      </c>
      <c r="E915" s="1">
        <f>IF(B915="", "", "UBERON:colon")</f>
        <v>0</v>
      </c>
      <c r="F915" s="1">
        <f>IF(B915="", "", "rat gut metagenome")</f>
        <v>0</v>
      </c>
      <c r="G915" s="1">
        <f>IF(B915="", "", "1436733")</f>
        <v>0</v>
      </c>
    </row>
    <row r="916" spans="1:7">
      <c r="A916">
        <f>IF(COUNTBLANK(B916:G916)&lt;&gt;COLUMNS(B916:G916),915,"")</f>
        <v>0</v>
      </c>
      <c r="C916" s="1">
        <f>IF(B916="", "", "UBERON:gastrointestinal tract")</f>
        <v>0</v>
      </c>
      <c r="D916" s="1">
        <f>IF(B916="", "", "UBERON:feces")</f>
        <v>0</v>
      </c>
      <c r="E916" s="1">
        <f>IF(B916="", "", "UBERON:colon")</f>
        <v>0</v>
      </c>
      <c r="F916" s="1">
        <f>IF(B916="", "", "rat gut metagenome")</f>
        <v>0</v>
      </c>
      <c r="G916" s="1">
        <f>IF(B916="", "", "1436733")</f>
        <v>0</v>
      </c>
    </row>
    <row r="917" spans="1:7">
      <c r="A917">
        <f>IF(COUNTBLANK(B917:G917)&lt;&gt;COLUMNS(B917:G917),916,"")</f>
        <v>0</v>
      </c>
      <c r="C917" s="1">
        <f>IF(B917="", "", "UBERON:gastrointestinal tract")</f>
        <v>0</v>
      </c>
      <c r="D917" s="1">
        <f>IF(B917="", "", "UBERON:feces")</f>
        <v>0</v>
      </c>
      <c r="E917" s="1">
        <f>IF(B917="", "", "UBERON:colon")</f>
        <v>0</v>
      </c>
      <c r="F917" s="1">
        <f>IF(B917="", "", "rat gut metagenome")</f>
        <v>0</v>
      </c>
      <c r="G917" s="1">
        <f>IF(B917="", "", "1436733")</f>
        <v>0</v>
      </c>
    </row>
    <row r="918" spans="1:7">
      <c r="A918">
        <f>IF(COUNTBLANK(B918:G918)&lt;&gt;COLUMNS(B918:G918),917,"")</f>
        <v>0</v>
      </c>
      <c r="C918" s="1">
        <f>IF(B918="", "", "UBERON:gastrointestinal tract")</f>
        <v>0</v>
      </c>
      <c r="D918" s="1">
        <f>IF(B918="", "", "UBERON:feces")</f>
        <v>0</v>
      </c>
      <c r="E918" s="1">
        <f>IF(B918="", "", "UBERON:colon")</f>
        <v>0</v>
      </c>
      <c r="F918" s="1">
        <f>IF(B918="", "", "rat gut metagenome")</f>
        <v>0</v>
      </c>
      <c r="G918" s="1">
        <f>IF(B918="", "", "1436733")</f>
        <v>0</v>
      </c>
    </row>
    <row r="919" spans="1:7">
      <c r="A919">
        <f>IF(COUNTBLANK(B919:G919)&lt;&gt;COLUMNS(B919:G919),918,"")</f>
        <v>0</v>
      </c>
      <c r="C919" s="1">
        <f>IF(B919="", "", "UBERON:gastrointestinal tract")</f>
        <v>0</v>
      </c>
      <c r="D919" s="1">
        <f>IF(B919="", "", "UBERON:feces")</f>
        <v>0</v>
      </c>
      <c r="E919" s="1">
        <f>IF(B919="", "", "UBERON:colon")</f>
        <v>0</v>
      </c>
      <c r="F919" s="1">
        <f>IF(B919="", "", "rat gut metagenome")</f>
        <v>0</v>
      </c>
      <c r="G919" s="1">
        <f>IF(B919="", "", "1436733")</f>
        <v>0</v>
      </c>
    </row>
    <row r="920" spans="1:7">
      <c r="A920">
        <f>IF(COUNTBLANK(B920:G920)&lt;&gt;COLUMNS(B920:G920),919,"")</f>
        <v>0</v>
      </c>
      <c r="C920" s="1">
        <f>IF(B920="", "", "UBERON:gastrointestinal tract")</f>
        <v>0</v>
      </c>
      <c r="D920" s="1">
        <f>IF(B920="", "", "UBERON:feces")</f>
        <v>0</v>
      </c>
      <c r="E920" s="1">
        <f>IF(B920="", "", "UBERON:colon")</f>
        <v>0</v>
      </c>
      <c r="F920" s="1">
        <f>IF(B920="", "", "rat gut metagenome")</f>
        <v>0</v>
      </c>
      <c r="G920" s="1">
        <f>IF(B920="", "", "1436733")</f>
        <v>0</v>
      </c>
    </row>
    <row r="921" spans="1:7">
      <c r="A921">
        <f>IF(COUNTBLANK(B921:G921)&lt;&gt;COLUMNS(B921:G921),920,"")</f>
        <v>0</v>
      </c>
      <c r="C921" s="1">
        <f>IF(B921="", "", "UBERON:gastrointestinal tract")</f>
        <v>0</v>
      </c>
      <c r="D921" s="1">
        <f>IF(B921="", "", "UBERON:feces")</f>
        <v>0</v>
      </c>
      <c r="E921" s="1">
        <f>IF(B921="", "", "UBERON:colon")</f>
        <v>0</v>
      </c>
      <c r="F921" s="1">
        <f>IF(B921="", "", "rat gut metagenome")</f>
        <v>0</v>
      </c>
      <c r="G921" s="1">
        <f>IF(B921="", "", "1436733")</f>
        <v>0</v>
      </c>
    </row>
    <row r="922" spans="1:7">
      <c r="A922">
        <f>IF(COUNTBLANK(B922:G922)&lt;&gt;COLUMNS(B922:G922),921,"")</f>
        <v>0</v>
      </c>
      <c r="C922" s="1">
        <f>IF(B922="", "", "UBERON:gastrointestinal tract")</f>
        <v>0</v>
      </c>
      <c r="D922" s="1">
        <f>IF(B922="", "", "UBERON:feces")</f>
        <v>0</v>
      </c>
      <c r="E922" s="1">
        <f>IF(B922="", "", "UBERON:colon")</f>
        <v>0</v>
      </c>
      <c r="F922" s="1">
        <f>IF(B922="", "", "rat gut metagenome")</f>
        <v>0</v>
      </c>
      <c r="G922" s="1">
        <f>IF(B922="", "", "1436733")</f>
        <v>0</v>
      </c>
    </row>
    <row r="923" spans="1:7">
      <c r="A923">
        <f>IF(COUNTBLANK(B923:G923)&lt;&gt;COLUMNS(B923:G923),922,"")</f>
        <v>0</v>
      </c>
      <c r="C923" s="1">
        <f>IF(B923="", "", "UBERON:gastrointestinal tract")</f>
        <v>0</v>
      </c>
      <c r="D923" s="1">
        <f>IF(B923="", "", "UBERON:feces")</f>
        <v>0</v>
      </c>
      <c r="E923" s="1">
        <f>IF(B923="", "", "UBERON:colon")</f>
        <v>0</v>
      </c>
      <c r="F923" s="1">
        <f>IF(B923="", "", "rat gut metagenome")</f>
        <v>0</v>
      </c>
      <c r="G923" s="1">
        <f>IF(B923="", "", "1436733")</f>
        <v>0</v>
      </c>
    </row>
    <row r="924" spans="1:7">
      <c r="A924">
        <f>IF(COUNTBLANK(B924:G924)&lt;&gt;COLUMNS(B924:G924),923,"")</f>
        <v>0</v>
      </c>
      <c r="C924" s="1">
        <f>IF(B924="", "", "UBERON:gastrointestinal tract")</f>
        <v>0</v>
      </c>
      <c r="D924" s="1">
        <f>IF(B924="", "", "UBERON:feces")</f>
        <v>0</v>
      </c>
      <c r="E924" s="1">
        <f>IF(B924="", "", "UBERON:colon")</f>
        <v>0</v>
      </c>
      <c r="F924" s="1">
        <f>IF(B924="", "", "rat gut metagenome")</f>
        <v>0</v>
      </c>
      <c r="G924" s="1">
        <f>IF(B924="", "", "1436733")</f>
        <v>0</v>
      </c>
    </row>
    <row r="925" spans="1:7">
      <c r="A925">
        <f>IF(COUNTBLANK(B925:G925)&lt;&gt;COLUMNS(B925:G925),924,"")</f>
        <v>0</v>
      </c>
      <c r="C925" s="1">
        <f>IF(B925="", "", "UBERON:gastrointestinal tract")</f>
        <v>0</v>
      </c>
      <c r="D925" s="1">
        <f>IF(B925="", "", "UBERON:feces")</f>
        <v>0</v>
      </c>
      <c r="E925" s="1">
        <f>IF(B925="", "", "UBERON:colon")</f>
        <v>0</v>
      </c>
      <c r="F925" s="1">
        <f>IF(B925="", "", "rat gut metagenome")</f>
        <v>0</v>
      </c>
      <c r="G925" s="1">
        <f>IF(B925="", "", "1436733")</f>
        <v>0</v>
      </c>
    </row>
    <row r="926" spans="1:7">
      <c r="A926">
        <f>IF(COUNTBLANK(B926:G926)&lt;&gt;COLUMNS(B926:G926),925,"")</f>
        <v>0</v>
      </c>
      <c r="C926" s="1">
        <f>IF(B926="", "", "UBERON:gastrointestinal tract")</f>
        <v>0</v>
      </c>
      <c r="D926" s="1">
        <f>IF(B926="", "", "UBERON:feces")</f>
        <v>0</v>
      </c>
      <c r="E926" s="1">
        <f>IF(B926="", "", "UBERON:colon")</f>
        <v>0</v>
      </c>
      <c r="F926" s="1">
        <f>IF(B926="", "", "rat gut metagenome")</f>
        <v>0</v>
      </c>
      <c r="G926" s="1">
        <f>IF(B926="", "", "1436733")</f>
        <v>0</v>
      </c>
    </row>
    <row r="927" spans="1:7">
      <c r="A927">
        <f>IF(COUNTBLANK(B927:G927)&lt;&gt;COLUMNS(B927:G927),926,"")</f>
        <v>0</v>
      </c>
      <c r="C927" s="1">
        <f>IF(B927="", "", "UBERON:gastrointestinal tract")</f>
        <v>0</v>
      </c>
      <c r="D927" s="1">
        <f>IF(B927="", "", "UBERON:feces")</f>
        <v>0</v>
      </c>
      <c r="E927" s="1">
        <f>IF(B927="", "", "UBERON:colon")</f>
        <v>0</v>
      </c>
      <c r="F927" s="1">
        <f>IF(B927="", "", "rat gut metagenome")</f>
        <v>0</v>
      </c>
      <c r="G927" s="1">
        <f>IF(B927="", "", "1436733")</f>
        <v>0</v>
      </c>
    </row>
    <row r="928" spans="1:7">
      <c r="A928">
        <f>IF(COUNTBLANK(B928:G928)&lt;&gt;COLUMNS(B928:G928),927,"")</f>
        <v>0</v>
      </c>
      <c r="C928" s="1">
        <f>IF(B928="", "", "UBERON:gastrointestinal tract")</f>
        <v>0</v>
      </c>
      <c r="D928" s="1">
        <f>IF(B928="", "", "UBERON:feces")</f>
        <v>0</v>
      </c>
      <c r="E928" s="1">
        <f>IF(B928="", "", "UBERON:colon")</f>
        <v>0</v>
      </c>
      <c r="F928" s="1">
        <f>IF(B928="", "", "rat gut metagenome")</f>
        <v>0</v>
      </c>
      <c r="G928" s="1">
        <f>IF(B928="", "", "1436733")</f>
        <v>0</v>
      </c>
    </row>
    <row r="929" spans="1:7">
      <c r="A929">
        <f>IF(COUNTBLANK(B929:G929)&lt;&gt;COLUMNS(B929:G929),928,"")</f>
        <v>0</v>
      </c>
      <c r="C929" s="1">
        <f>IF(B929="", "", "UBERON:gastrointestinal tract")</f>
        <v>0</v>
      </c>
      <c r="D929" s="1">
        <f>IF(B929="", "", "UBERON:feces")</f>
        <v>0</v>
      </c>
      <c r="E929" s="1">
        <f>IF(B929="", "", "UBERON:colon")</f>
        <v>0</v>
      </c>
      <c r="F929" s="1">
        <f>IF(B929="", "", "rat gut metagenome")</f>
        <v>0</v>
      </c>
      <c r="G929" s="1">
        <f>IF(B929="", "", "1436733")</f>
        <v>0</v>
      </c>
    </row>
    <row r="930" spans="1:7">
      <c r="A930">
        <f>IF(COUNTBLANK(B930:G930)&lt;&gt;COLUMNS(B930:G930),929,"")</f>
        <v>0</v>
      </c>
      <c r="C930" s="1">
        <f>IF(B930="", "", "UBERON:gastrointestinal tract")</f>
        <v>0</v>
      </c>
      <c r="D930" s="1">
        <f>IF(B930="", "", "UBERON:feces")</f>
        <v>0</v>
      </c>
      <c r="E930" s="1">
        <f>IF(B930="", "", "UBERON:colon")</f>
        <v>0</v>
      </c>
      <c r="F930" s="1">
        <f>IF(B930="", "", "rat gut metagenome")</f>
        <v>0</v>
      </c>
      <c r="G930" s="1">
        <f>IF(B930="", "", "1436733")</f>
        <v>0</v>
      </c>
    </row>
    <row r="931" spans="1:7">
      <c r="A931">
        <f>IF(COUNTBLANK(B931:G931)&lt;&gt;COLUMNS(B931:G931),930,"")</f>
        <v>0</v>
      </c>
      <c r="C931" s="1">
        <f>IF(B931="", "", "UBERON:gastrointestinal tract")</f>
        <v>0</v>
      </c>
      <c r="D931" s="1">
        <f>IF(B931="", "", "UBERON:feces")</f>
        <v>0</v>
      </c>
      <c r="E931" s="1">
        <f>IF(B931="", "", "UBERON:colon")</f>
        <v>0</v>
      </c>
      <c r="F931" s="1">
        <f>IF(B931="", "", "rat gut metagenome")</f>
        <v>0</v>
      </c>
      <c r="G931" s="1">
        <f>IF(B931="", "", "1436733")</f>
        <v>0</v>
      </c>
    </row>
    <row r="932" spans="1:7">
      <c r="A932">
        <f>IF(COUNTBLANK(B932:G932)&lt;&gt;COLUMNS(B932:G932),931,"")</f>
        <v>0</v>
      </c>
      <c r="C932" s="1">
        <f>IF(B932="", "", "UBERON:gastrointestinal tract")</f>
        <v>0</v>
      </c>
      <c r="D932" s="1">
        <f>IF(B932="", "", "UBERON:feces")</f>
        <v>0</v>
      </c>
      <c r="E932" s="1">
        <f>IF(B932="", "", "UBERON:colon")</f>
        <v>0</v>
      </c>
      <c r="F932" s="1">
        <f>IF(B932="", "", "rat gut metagenome")</f>
        <v>0</v>
      </c>
      <c r="G932" s="1">
        <f>IF(B932="", "", "1436733")</f>
        <v>0</v>
      </c>
    </row>
    <row r="933" spans="1:7">
      <c r="A933">
        <f>IF(COUNTBLANK(B933:G933)&lt;&gt;COLUMNS(B933:G933),932,"")</f>
        <v>0</v>
      </c>
      <c r="C933" s="1">
        <f>IF(B933="", "", "UBERON:gastrointestinal tract")</f>
        <v>0</v>
      </c>
      <c r="D933" s="1">
        <f>IF(B933="", "", "UBERON:feces")</f>
        <v>0</v>
      </c>
      <c r="E933" s="1">
        <f>IF(B933="", "", "UBERON:colon")</f>
        <v>0</v>
      </c>
      <c r="F933" s="1">
        <f>IF(B933="", "", "rat gut metagenome")</f>
        <v>0</v>
      </c>
      <c r="G933" s="1">
        <f>IF(B933="", "", "1436733")</f>
        <v>0</v>
      </c>
    </row>
    <row r="934" spans="1:7">
      <c r="A934">
        <f>IF(COUNTBLANK(B934:G934)&lt;&gt;COLUMNS(B934:G934),933,"")</f>
        <v>0</v>
      </c>
      <c r="C934" s="1">
        <f>IF(B934="", "", "UBERON:gastrointestinal tract")</f>
        <v>0</v>
      </c>
      <c r="D934" s="1">
        <f>IF(B934="", "", "UBERON:feces")</f>
        <v>0</v>
      </c>
      <c r="E934" s="1">
        <f>IF(B934="", "", "UBERON:colon")</f>
        <v>0</v>
      </c>
      <c r="F934" s="1">
        <f>IF(B934="", "", "rat gut metagenome")</f>
        <v>0</v>
      </c>
      <c r="G934" s="1">
        <f>IF(B934="", "", "1436733")</f>
        <v>0</v>
      </c>
    </row>
    <row r="935" spans="1:7">
      <c r="A935">
        <f>IF(COUNTBLANK(B935:G935)&lt;&gt;COLUMNS(B935:G935),934,"")</f>
        <v>0</v>
      </c>
      <c r="C935" s="1">
        <f>IF(B935="", "", "UBERON:gastrointestinal tract")</f>
        <v>0</v>
      </c>
      <c r="D935" s="1">
        <f>IF(B935="", "", "UBERON:feces")</f>
        <v>0</v>
      </c>
      <c r="E935" s="1">
        <f>IF(B935="", "", "UBERON:colon")</f>
        <v>0</v>
      </c>
      <c r="F935" s="1">
        <f>IF(B935="", "", "rat gut metagenome")</f>
        <v>0</v>
      </c>
      <c r="G935" s="1">
        <f>IF(B935="", "", "1436733")</f>
        <v>0</v>
      </c>
    </row>
    <row r="936" spans="1:7">
      <c r="A936">
        <f>IF(COUNTBLANK(B936:G936)&lt;&gt;COLUMNS(B936:G936),935,"")</f>
        <v>0</v>
      </c>
      <c r="C936" s="1">
        <f>IF(B936="", "", "UBERON:gastrointestinal tract")</f>
        <v>0</v>
      </c>
      <c r="D936" s="1">
        <f>IF(B936="", "", "UBERON:feces")</f>
        <v>0</v>
      </c>
      <c r="E936" s="1">
        <f>IF(B936="", "", "UBERON:colon")</f>
        <v>0</v>
      </c>
      <c r="F936" s="1">
        <f>IF(B936="", "", "rat gut metagenome")</f>
        <v>0</v>
      </c>
      <c r="G936" s="1">
        <f>IF(B936="", "", "1436733")</f>
        <v>0</v>
      </c>
    </row>
    <row r="937" spans="1:7">
      <c r="A937">
        <f>IF(COUNTBLANK(B937:G937)&lt;&gt;COLUMNS(B937:G937),936,"")</f>
        <v>0</v>
      </c>
      <c r="C937" s="1">
        <f>IF(B937="", "", "UBERON:gastrointestinal tract")</f>
        <v>0</v>
      </c>
      <c r="D937" s="1">
        <f>IF(B937="", "", "UBERON:feces")</f>
        <v>0</v>
      </c>
      <c r="E937" s="1">
        <f>IF(B937="", "", "UBERON:colon")</f>
        <v>0</v>
      </c>
      <c r="F937" s="1">
        <f>IF(B937="", "", "rat gut metagenome")</f>
        <v>0</v>
      </c>
      <c r="G937" s="1">
        <f>IF(B937="", "", "1436733")</f>
        <v>0</v>
      </c>
    </row>
    <row r="938" spans="1:7">
      <c r="A938">
        <f>IF(COUNTBLANK(B938:G938)&lt;&gt;COLUMNS(B938:G938),937,"")</f>
        <v>0</v>
      </c>
      <c r="C938" s="1">
        <f>IF(B938="", "", "UBERON:gastrointestinal tract")</f>
        <v>0</v>
      </c>
      <c r="D938" s="1">
        <f>IF(B938="", "", "UBERON:feces")</f>
        <v>0</v>
      </c>
      <c r="E938" s="1">
        <f>IF(B938="", "", "UBERON:colon")</f>
        <v>0</v>
      </c>
      <c r="F938" s="1">
        <f>IF(B938="", "", "rat gut metagenome")</f>
        <v>0</v>
      </c>
      <c r="G938" s="1">
        <f>IF(B938="", "", "1436733")</f>
        <v>0</v>
      </c>
    </row>
    <row r="939" spans="1:7">
      <c r="A939">
        <f>IF(COUNTBLANK(B939:G939)&lt;&gt;COLUMNS(B939:G939),938,"")</f>
        <v>0</v>
      </c>
      <c r="C939" s="1">
        <f>IF(B939="", "", "UBERON:gastrointestinal tract")</f>
        <v>0</v>
      </c>
      <c r="D939" s="1">
        <f>IF(B939="", "", "UBERON:feces")</f>
        <v>0</v>
      </c>
      <c r="E939" s="1">
        <f>IF(B939="", "", "UBERON:colon")</f>
        <v>0</v>
      </c>
      <c r="F939" s="1">
        <f>IF(B939="", "", "rat gut metagenome")</f>
        <v>0</v>
      </c>
      <c r="G939" s="1">
        <f>IF(B939="", "", "1436733")</f>
        <v>0</v>
      </c>
    </row>
    <row r="940" spans="1:7">
      <c r="A940">
        <f>IF(COUNTBLANK(B940:G940)&lt;&gt;COLUMNS(B940:G940),939,"")</f>
        <v>0</v>
      </c>
      <c r="C940" s="1">
        <f>IF(B940="", "", "UBERON:gastrointestinal tract")</f>
        <v>0</v>
      </c>
      <c r="D940" s="1">
        <f>IF(B940="", "", "UBERON:feces")</f>
        <v>0</v>
      </c>
      <c r="E940" s="1">
        <f>IF(B940="", "", "UBERON:colon")</f>
        <v>0</v>
      </c>
      <c r="F940" s="1">
        <f>IF(B940="", "", "rat gut metagenome")</f>
        <v>0</v>
      </c>
      <c r="G940" s="1">
        <f>IF(B940="", "", "1436733")</f>
        <v>0</v>
      </c>
    </row>
    <row r="941" spans="1:7">
      <c r="A941">
        <f>IF(COUNTBLANK(B941:G941)&lt;&gt;COLUMNS(B941:G941),940,"")</f>
        <v>0</v>
      </c>
      <c r="C941" s="1">
        <f>IF(B941="", "", "UBERON:gastrointestinal tract")</f>
        <v>0</v>
      </c>
      <c r="D941" s="1">
        <f>IF(B941="", "", "UBERON:feces")</f>
        <v>0</v>
      </c>
      <c r="E941" s="1">
        <f>IF(B941="", "", "UBERON:colon")</f>
        <v>0</v>
      </c>
      <c r="F941" s="1">
        <f>IF(B941="", "", "rat gut metagenome")</f>
        <v>0</v>
      </c>
      <c r="G941" s="1">
        <f>IF(B941="", "", "1436733")</f>
        <v>0</v>
      </c>
    </row>
    <row r="942" spans="1:7">
      <c r="A942">
        <f>IF(COUNTBLANK(B942:G942)&lt;&gt;COLUMNS(B942:G942),941,"")</f>
        <v>0</v>
      </c>
      <c r="C942" s="1">
        <f>IF(B942="", "", "UBERON:gastrointestinal tract")</f>
        <v>0</v>
      </c>
      <c r="D942" s="1">
        <f>IF(B942="", "", "UBERON:feces")</f>
        <v>0</v>
      </c>
      <c r="E942" s="1">
        <f>IF(B942="", "", "UBERON:colon")</f>
        <v>0</v>
      </c>
      <c r="F942" s="1">
        <f>IF(B942="", "", "rat gut metagenome")</f>
        <v>0</v>
      </c>
      <c r="G942" s="1">
        <f>IF(B942="", "", "1436733")</f>
        <v>0</v>
      </c>
    </row>
    <row r="943" spans="1:7">
      <c r="A943">
        <f>IF(COUNTBLANK(B943:G943)&lt;&gt;COLUMNS(B943:G943),942,"")</f>
        <v>0</v>
      </c>
      <c r="C943" s="1">
        <f>IF(B943="", "", "UBERON:gastrointestinal tract")</f>
        <v>0</v>
      </c>
      <c r="D943" s="1">
        <f>IF(B943="", "", "UBERON:feces")</f>
        <v>0</v>
      </c>
      <c r="E943" s="1">
        <f>IF(B943="", "", "UBERON:colon")</f>
        <v>0</v>
      </c>
      <c r="F943" s="1">
        <f>IF(B943="", "", "rat gut metagenome")</f>
        <v>0</v>
      </c>
      <c r="G943" s="1">
        <f>IF(B943="", "", "1436733")</f>
        <v>0</v>
      </c>
    </row>
    <row r="944" spans="1:7">
      <c r="A944">
        <f>IF(COUNTBLANK(B944:G944)&lt;&gt;COLUMNS(B944:G944),943,"")</f>
        <v>0</v>
      </c>
      <c r="C944" s="1">
        <f>IF(B944="", "", "UBERON:gastrointestinal tract")</f>
        <v>0</v>
      </c>
      <c r="D944" s="1">
        <f>IF(B944="", "", "UBERON:feces")</f>
        <v>0</v>
      </c>
      <c r="E944" s="1">
        <f>IF(B944="", "", "UBERON:colon")</f>
        <v>0</v>
      </c>
      <c r="F944" s="1">
        <f>IF(B944="", "", "rat gut metagenome")</f>
        <v>0</v>
      </c>
      <c r="G944" s="1">
        <f>IF(B944="", "", "1436733")</f>
        <v>0</v>
      </c>
    </row>
    <row r="945" spans="1:7">
      <c r="A945">
        <f>IF(COUNTBLANK(B945:G945)&lt;&gt;COLUMNS(B945:G945),944,"")</f>
        <v>0</v>
      </c>
      <c r="C945" s="1">
        <f>IF(B945="", "", "UBERON:gastrointestinal tract")</f>
        <v>0</v>
      </c>
      <c r="D945" s="1">
        <f>IF(B945="", "", "UBERON:feces")</f>
        <v>0</v>
      </c>
      <c r="E945" s="1">
        <f>IF(B945="", "", "UBERON:colon")</f>
        <v>0</v>
      </c>
      <c r="F945" s="1">
        <f>IF(B945="", "", "rat gut metagenome")</f>
        <v>0</v>
      </c>
      <c r="G945" s="1">
        <f>IF(B945="", "", "1436733")</f>
        <v>0</v>
      </c>
    </row>
    <row r="946" spans="1:7">
      <c r="A946">
        <f>IF(COUNTBLANK(B946:G946)&lt;&gt;COLUMNS(B946:G946),945,"")</f>
        <v>0</v>
      </c>
      <c r="C946" s="1">
        <f>IF(B946="", "", "UBERON:gastrointestinal tract")</f>
        <v>0</v>
      </c>
      <c r="D946" s="1">
        <f>IF(B946="", "", "UBERON:feces")</f>
        <v>0</v>
      </c>
      <c r="E946" s="1">
        <f>IF(B946="", "", "UBERON:colon")</f>
        <v>0</v>
      </c>
      <c r="F946" s="1">
        <f>IF(B946="", "", "rat gut metagenome")</f>
        <v>0</v>
      </c>
      <c r="G946" s="1">
        <f>IF(B946="", "", "1436733")</f>
        <v>0</v>
      </c>
    </row>
    <row r="947" spans="1:7">
      <c r="A947">
        <f>IF(COUNTBLANK(B947:G947)&lt;&gt;COLUMNS(B947:G947),946,"")</f>
        <v>0</v>
      </c>
      <c r="C947" s="1">
        <f>IF(B947="", "", "UBERON:gastrointestinal tract")</f>
        <v>0</v>
      </c>
      <c r="D947" s="1">
        <f>IF(B947="", "", "UBERON:feces")</f>
        <v>0</v>
      </c>
      <c r="E947" s="1">
        <f>IF(B947="", "", "UBERON:colon")</f>
        <v>0</v>
      </c>
      <c r="F947" s="1">
        <f>IF(B947="", "", "rat gut metagenome")</f>
        <v>0</v>
      </c>
      <c r="G947" s="1">
        <f>IF(B947="", "", "1436733")</f>
        <v>0</v>
      </c>
    </row>
    <row r="948" spans="1:7">
      <c r="A948">
        <f>IF(COUNTBLANK(B948:G948)&lt;&gt;COLUMNS(B948:G948),947,"")</f>
        <v>0</v>
      </c>
      <c r="C948" s="1">
        <f>IF(B948="", "", "UBERON:gastrointestinal tract")</f>
        <v>0</v>
      </c>
      <c r="D948" s="1">
        <f>IF(B948="", "", "UBERON:feces")</f>
        <v>0</v>
      </c>
      <c r="E948" s="1">
        <f>IF(B948="", "", "UBERON:colon")</f>
        <v>0</v>
      </c>
      <c r="F948" s="1">
        <f>IF(B948="", "", "rat gut metagenome")</f>
        <v>0</v>
      </c>
      <c r="G948" s="1">
        <f>IF(B948="", "", "1436733")</f>
        <v>0</v>
      </c>
    </row>
    <row r="949" spans="1:7">
      <c r="A949">
        <f>IF(COUNTBLANK(B949:G949)&lt;&gt;COLUMNS(B949:G949),948,"")</f>
        <v>0</v>
      </c>
      <c r="C949" s="1">
        <f>IF(B949="", "", "UBERON:gastrointestinal tract")</f>
        <v>0</v>
      </c>
      <c r="D949" s="1">
        <f>IF(B949="", "", "UBERON:feces")</f>
        <v>0</v>
      </c>
      <c r="E949" s="1">
        <f>IF(B949="", "", "UBERON:colon")</f>
        <v>0</v>
      </c>
      <c r="F949" s="1">
        <f>IF(B949="", "", "rat gut metagenome")</f>
        <v>0</v>
      </c>
      <c r="G949" s="1">
        <f>IF(B949="", "", "1436733")</f>
        <v>0</v>
      </c>
    </row>
    <row r="950" spans="1:7">
      <c r="A950">
        <f>IF(COUNTBLANK(B950:G950)&lt;&gt;COLUMNS(B950:G950),949,"")</f>
        <v>0</v>
      </c>
      <c r="C950" s="1">
        <f>IF(B950="", "", "UBERON:gastrointestinal tract")</f>
        <v>0</v>
      </c>
      <c r="D950" s="1">
        <f>IF(B950="", "", "UBERON:feces")</f>
        <v>0</v>
      </c>
      <c r="E950" s="1">
        <f>IF(B950="", "", "UBERON:colon")</f>
        <v>0</v>
      </c>
      <c r="F950" s="1">
        <f>IF(B950="", "", "rat gut metagenome")</f>
        <v>0</v>
      </c>
      <c r="G950" s="1">
        <f>IF(B950="", "", "1436733")</f>
        <v>0</v>
      </c>
    </row>
    <row r="951" spans="1:7">
      <c r="A951">
        <f>IF(COUNTBLANK(B951:G951)&lt;&gt;COLUMNS(B951:G951),950,"")</f>
        <v>0</v>
      </c>
      <c r="C951" s="1">
        <f>IF(B951="", "", "UBERON:gastrointestinal tract")</f>
        <v>0</v>
      </c>
      <c r="D951" s="1">
        <f>IF(B951="", "", "UBERON:feces")</f>
        <v>0</v>
      </c>
      <c r="E951" s="1">
        <f>IF(B951="", "", "UBERON:colon")</f>
        <v>0</v>
      </c>
      <c r="F951" s="1">
        <f>IF(B951="", "", "rat gut metagenome")</f>
        <v>0</v>
      </c>
      <c r="G951" s="1">
        <f>IF(B951="", "", "1436733")</f>
        <v>0</v>
      </c>
    </row>
    <row r="952" spans="1:7">
      <c r="A952">
        <f>IF(COUNTBLANK(B952:G952)&lt;&gt;COLUMNS(B952:G952),951,"")</f>
        <v>0</v>
      </c>
      <c r="C952" s="1">
        <f>IF(B952="", "", "UBERON:gastrointestinal tract")</f>
        <v>0</v>
      </c>
      <c r="D952" s="1">
        <f>IF(B952="", "", "UBERON:feces")</f>
        <v>0</v>
      </c>
      <c r="E952" s="1">
        <f>IF(B952="", "", "UBERON:colon")</f>
        <v>0</v>
      </c>
      <c r="F952" s="1">
        <f>IF(B952="", "", "rat gut metagenome")</f>
        <v>0</v>
      </c>
      <c r="G952" s="1">
        <f>IF(B952="", "", "1436733")</f>
        <v>0</v>
      </c>
    </row>
    <row r="953" spans="1:7">
      <c r="A953">
        <f>IF(COUNTBLANK(B953:G953)&lt;&gt;COLUMNS(B953:G953),952,"")</f>
        <v>0</v>
      </c>
      <c r="C953" s="1">
        <f>IF(B953="", "", "UBERON:gastrointestinal tract")</f>
        <v>0</v>
      </c>
      <c r="D953" s="1">
        <f>IF(B953="", "", "UBERON:feces")</f>
        <v>0</v>
      </c>
      <c r="E953" s="1">
        <f>IF(B953="", "", "UBERON:colon")</f>
        <v>0</v>
      </c>
      <c r="F953" s="1">
        <f>IF(B953="", "", "rat gut metagenome")</f>
        <v>0</v>
      </c>
      <c r="G953" s="1">
        <f>IF(B953="", "", "1436733")</f>
        <v>0</v>
      </c>
    </row>
    <row r="954" spans="1:7">
      <c r="A954">
        <f>IF(COUNTBLANK(B954:G954)&lt;&gt;COLUMNS(B954:G954),953,"")</f>
        <v>0</v>
      </c>
      <c r="C954" s="1">
        <f>IF(B954="", "", "UBERON:gastrointestinal tract")</f>
        <v>0</v>
      </c>
      <c r="D954" s="1">
        <f>IF(B954="", "", "UBERON:feces")</f>
        <v>0</v>
      </c>
      <c r="E954" s="1">
        <f>IF(B954="", "", "UBERON:colon")</f>
        <v>0</v>
      </c>
      <c r="F954" s="1">
        <f>IF(B954="", "", "rat gut metagenome")</f>
        <v>0</v>
      </c>
      <c r="G954" s="1">
        <f>IF(B954="", "", "1436733")</f>
        <v>0</v>
      </c>
    </row>
    <row r="955" spans="1:7">
      <c r="A955">
        <f>IF(COUNTBLANK(B955:G955)&lt;&gt;COLUMNS(B955:G955),954,"")</f>
        <v>0</v>
      </c>
      <c r="C955" s="1">
        <f>IF(B955="", "", "UBERON:gastrointestinal tract")</f>
        <v>0</v>
      </c>
      <c r="D955" s="1">
        <f>IF(B955="", "", "UBERON:feces")</f>
        <v>0</v>
      </c>
      <c r="E955" s="1">
        <f>IF(B955="", "", "UBERON:colon")</f>
        <v>0</v>
      </c>
      <c r="F955" s="1">
        <f>IF(B955="", "", "rat gut metagenome")</f>
        <v>0</v>
      </c>
      <c r="G955" s="1">
        <f>IF(B955="", "", "1436733")</f>
        <v>0</v>
      </c>
    </row>
    <row r="956" spans="1:7">
      <c r="A956">
        <f>IF(COUNTBLANK(B956:G956)&lt;&gt;COLUMNS(B956:G956),955,"")</f>
        <v>0</v>
      </c>
      <c r="C956" s="1">
        <f>IF(B956="", "", "UBERON:gastrointestinal tract")</f>
        <v>0</v>
      </c>
      <c r="D956" s="1">
        <f>IF(B956="", "", "UBERON:feces")</f>
        <v>0</v>
      </c>
      <c r="E956" s="1">
        <f>IF(B956="", "", "UBERON:colon")</f>
        <v>0</v>
      </c>
      <c r="F956" s="1">
        <f>IF(B956="", "", "rat gut metagenome")</f>
        <v>0</v>
      </c>
      <c r="G956" s="1">
        <f>IF(B956="", "", "1436733")</f>
        <v>0</v>
      </c>
    </row>
    <row r="957" spans="1:7">
      <c r="A957">
        <f>IF(COUNTBLANK(B957:G957)&lt;&gt;COLUMNS(B957:G957),956,"")</f>
        <v>0</v>
      </c>
      <c r="C957" s="1">
        <f>IF(B957="", "", "UBERON:gastrointestinal tract")</f>
        <v>0</v>
      </c>
      <c r="D957" s="1">
        <f>IF(B957="", "", "UBERON:feces")</f>
        <v>0</v>
      </c>
      <c r="E957" s="1">
        <f>IF(B957="", "", "UBERON:colon")</f>
        <v>0</v>
      </c>
      <c r="F957" s="1">
        <f>IF(B957="", "", "rat gut metagenome")</f>
        <v>0</v>
      </c>
      <c r="G957" s="1">
        <f>IF(B957="", "", "1436733")</f>
        <v>0</v>
      </c>
    </row>
    <row r="958" spans="1:7">
      <c r="A958">
        <f>IF(COUNTBLANK(B958:G958)&lt;&gt;COLUMNS(B958:G958),957,"")</f>
        <v>0</v>
      </c>
      <c r="C958" s="1">
        <f>IF(B958="", "", "UBERON:gastrointestinal tract")</f>
        <v>0</v>
      </c>
      <c r="D958" s="1">
        <f>IF(B958="", "", "UBERON:feces")</f>
        <v>0</v>
      </c>
      <c r="E958" s="1">
        <f>IF(B958="", "", "UBERON:colon")</f>
        <v>0</v>
      </c>
      <c r="F958" s="1">
        <f>IF(B958="", "", "rat gut metagenome")</f>
        <v>0</v>
      </c>
      <c r="G958" s="1">
        <f>IF(B958="", "", "1436733")</f>
        <v>0</v>
      </c>
    </row>
    <row r="959" spans="1:7">
      <c r="A959">
        <f>IF(COUNTBLANK(B959:G959)&lt;&gt;COLUMNS(B959:G959),958,"")</f>
        <v>0</v>
      </c>
      <c r="C959" s="1">
        <f>IF(B959="", "", "UBERON:gastrointestinal tract")</f>
        <v>0</v>
      </c>
      <c r="D959" s="1">
        <f>IF(B959="", "", "UBERON:feces")</f>
        <v>0</v>
      </c>
      <c r="E959" s="1">
        <f>IF(B959="", "", "UBERON:colon")</f>
        <v>0</v>
      </c>
      <c r="F959" s="1">
        <f>IF(B959="", "", "rat gut metagenome")</f>
        <v>0</v>
      </c>
      <c r="G959" s="1">
        <f>IF(B959="", "", "1436733")</f>
        <v>0</v>
      </c>
    </row>
    <row r="960" spans="1:7">
      <c r="A960">
        <f>IF(COUNTBLANK(B960:G960)&lt;&gt;COLUMNS(B960:G960),959,"")</f>
        <v>0</v>
      </c>
      <c r="C960" s="1">
        <f>IF(B960="", "", "UBERON:gastrointestinal tract")</f>
        <v>0</v>
      </c>
      <c r="D960" s="1">
        <f>IF(B960="", "", "UBERON:feces")</f>
        <v>0</v>
      </c>
      <c r="E960" s="1">
        <f>IF(B960="", "", "UBERON:colon")</f>
        <v>0</v>
      </c>
      <c r="F960" s="1">
        <f>IF(B960="", "", "rat gut metagenome")</f>
        <v>0</v>
      </c>
      <c r="G960" s="1">
        <f>IF(B960="", "", "1436733")</f>
        <v>0</v>
      </c>
    </row>
    <row r="961" spans="1:7">
      <c r="A961">
        <f>IF(COUNTBLANK(B961:G961)&lt;&gt;COLUMNS(B961:G961),960,"")</f>
        <v>0</v>
      </c>
      <c r="C961" s="1">
        <f>IF(B961="", "", "UBERON:gastrointestinal tract")</f>
        <v>0</v>
      </c>
      <c r="D961" s="1">
        <f>IF(B961="", "", "UBERON:feces")</f>
        <v>0</v>
      </c>
      <c r="E961" s="1">
        <f>IF(B961="", "", "UBERON:colon")</f>
        <v>0</v>
      </c>
      <c r="F961" s="1">
        <f>IF(B961="", "", "rat gut metagenome")</f>
        <v>0</v>
      </c>
      <c r="G961" s="1">
        <f>IF(B961="", "", "1436733")</f>
        <v>0</v>
      </c>
    </row>
    <row r="962" spans="1:7">
      <c r="A962">
        <f>IF(COUNTBLANK(B962:G962)&lt;&gt;COLUMNS(B962:G962),961,"")</f>
        <v>0</v>
      </c>
      <c r="C962" s="1">
        <f>IF(B962="", "", "UBERON:gastrointestinal tract")</f>
        <v>0</v>
      </c>
      <c r="D962" s="1">
        <f>IF(B962="", "", "UBERON:feces")</f>
        <v>0</v>
      </c>
      <c r="E962" s="1">
        <f>IF(B962="", "", "UBERON:colon")</f>
        <v>0</v>
      </c>
      <c r="F962" s="1">
        <f>IF(B962="", "", "rat gut metagenome")</f>
        <v>0</v>
      </c>
      <c r="G962" s="1">
        <f>IF(B962="", "", "1436733")</f>
        <v>0</v>
      </c>
    </row>
    <row r="963" spans="1:7">
      <c r="A963">
        <f>IF(COUNTBLANK(B963:G963)&lt;&gt;COLUMNS(B963:G963),962,"")</f>
        <v>0</v>
      </c>
      <c r="C963" s="1">
        <f>IF(B963="", "", "UBERON:gastrointestinal tract")</f>
        <v>0</v>
      </c>
      <c r="D963" s="1">
        <f>IF(B963="", "", "UBERON:feces")</f>
        <v>0</v>
      </c>
      <c r="E963" s="1">
        <f>IF(B963="", "", "UBERON:colon")</f>
        <v>0</v>
      </c>
      <c r="F963" s="1">
        <f>IF(B963="", "", "rat gut metagenome")</f>
        <v>0</v>
      </c>
      <c r="G963" s="1">
        <f>IF(B963="", "", "1436733")</f>
        <v>0</v>
      </c>
    </row>
    <row r="964" spans="1:7">
      <c r="A964">
        <f>IF(COUNTBLANK(B964:G964)&lt;&gt;COLUMNS(B964:G964),963,"")</f>
        <v>0</v>
      </c>
      <c r="C964" s="1">
        <f>IF(B964="", "", "UBERON:gastrointestinal tract")</f>
        <v>0</v>
      </c>
      <c r="D964" s="1">
        <f>IF(B964="", "", "UBERON:feces")</f>
        <v>0</v>
      </c>
      <c r="E964" s="1">
        <f>IF(B964="", "", "UBERON:colon")</f>
        <v>0</v>
      </c>
      <c r="F964" s="1">
        <f>IF(B964="", "", "rat gut metagenome")</f>
        <v>0</v>
      </c>
      <c r="G964" s="1">
        <f>IF(B964="", "", "1436733")</f>
        <v>0</v>
      </c>
    </row>
    <row r="965" spans="1:7">
      <c r="A965">
        <f>IF(COUNTBLANK(B965:G965)&lt;&gt;COLUMNS(B965:G965),964,"")</f>
        <v>0</v>
      </c>
      <c r="C965" s="1">
        <f>IF(B965="", "", "UBERON:gastrointestinal tract")</f>
        <v>0</v>
      </c>
      <c r="D965" s="1">
        <f>IF(B965="", "", "UBERON:feces")</f>
        <v>0</v>
      </c>
      <c r="E965" s="1">
        <f>IF(B965="", "", "UBERON:colon")</f>
        <v>0</v>
      </c>
      <c r="F965" s="1">
        <f>IF(B965="", "", "rat gut metagenome")</f>
        <v>0</v>
      </c>
      <c r="G965" s="1">
        <f>IF(B965="", "", "1436733")</f>
        <v>0</v>
      </c>
    </row>
    <row r="966" spans="1:7">
      <c r="A966">
        <f>IF(COUNTBLANK(B966:G966)&lt;&gt;COLUMNS(B966:G966),965,"")</f>
        <v>0</v>
      </c>
      <c r="C966" s="1">
        <f>IF(B966="", "", "UBERON:gastrointestinal tract")</f>
        <v>0</v>
      </c>
      <c r="D966" s="1">
        <f>IF(B966="", "", "UBERON:feces")</f>
        <v>0</v>
      </c>
      <c r="E966" s="1">
        <f>IF(B966="", "", "UBERON:colon")</f>
        <v>0</v>
      </c>
      <c r="F966" s="1">
        <f>IF(B966="", "", "rat gut metagenome")</f>
        <v>0</v>
      </c>
      <c r="G966" s="1">
        <f>IF(B966="", "", "1436733")</f>
        <v>0</v>
      </c>
    </row>
    <row r="967" spans="1:7">
      <c r="A967">
        <f>IF(COUNTBLANK(B967:G967)&lt;&gt;COLUMNS(B967:G967),966,"")</f>
        <v>0</v>
      </c>
      <c r="C967" s="1">
        <f>IF(B967="", "", "UBERON:gastrointestinal tract")</f>
        <v>0</v>
      </c>
      <c r="D967" s="1">
        <f>IF(B967="", "", "UBERON:feces")</f>
        <v>0</v>
      </c>
      <c r="E967" s="1">
        <f>IF(B967="", "", "UBERON:colon")</f>
        <v>0</v>
      </c>
      <c r="F967" s="1">
        <f>IF(B967="", "", "rat gut metagenome")</f>
        <v>0</v>
      </c>
      <c r="G967" s="1">
        <f>IF(B967="", "", "1436733")</f>
        <v>0</v>
      </c>
    </row>
    <row r="968" spans="1:7">
      <c r="A968">
        <f>IF(COUNTBLANK(B968:G968)&lt;&gt;COLUMNS(B968:G968),967,"")</f>
        <v>0</v>
      </c>
      <c r="C968" s="1">
        <f>IF(B968="", "", "UBERON:gastrointestinal tract")</f>
        <v>0</v>
      </c>
      <c r="D968" s="1">
        <f>IF(B968="", "", "UBERON:feces")</f>
        <v>0</v>
      </c>
      <c r="E968" s="1">
        <f>IF(B968="", "", "UBERON:colon")</f>
        <v>0</v>
      </c>
      <c r="F968" s="1">
        <f>IF(B968="", "", "rat gut metagenome")</f>
        <v>0</v>
      </c>
      <c r="G968" s="1">
        <f>IF(B968="", "", "1436733")</f>
        <v>0</v>
      </c>
    </row>
    <row r="969" spans="1:7">
      <c r="A969">
        <f>IF(COUNTBLANK(B969:G969)&lt;&gt;COLUMNS(B969:G969),968,"")</f>
        <v>0</v>
      </c>
      <c r="C969" s="1">
        <f>IF(B969="", "", "UBERON:gastrointestinal tract")</f>
        <v>0</v>
      </c>
      <c r="D969" s="1">
        <f>IF(B969="", "", "UBERON:feces")</f>
        <v>0</v>
      </c>
      <c r="E969" s="1">
        <f>IF(B969="", "", "UBERON:colon")</f>
        <v>0</v>
      </c>
      <c r="F969" s="1">
        <f>IF(B969="", "", "rat gut metagenome")</f>
        <v>0</v>
      </c>
      <c r="G969" s="1">
        <f>IF(B969="", "", "1436733")</f>
        <v>0</v>
      </c>
    </row>
    <row r="970" spans="1:7">
      <c r="A970">
        <f>IF(COUNTBLANK(B970:G970)&lt;&gt;COLUMNS(B970:G970),969,"")</f>
        <v>0</v>
      </c>
      <c r="C970" s="1">
        <f>IF(B970="", "", "UBERON:gastrointestinal tract")</f>
        <v>0</v>
      </c>
      <c r="D970" s="1">
        <f>IF(B970="", "", "UBERON:feces")</f>
        <v>0</v>
      </c>
      <c r="E970" s="1">
        <f>IF(B970="", "", "UBERON:colon")</f>
        <v>0</v>
      </c>
      <c r="F970" s="1">
        <f>IF(B970="", "", "rat gut metagenome")</f>
        <v>0</v>
      </c>
      <c r="G970" s="1">
        <f>IF(B970="", "", "1436733")</f>
        <v>0</v>
      </c>
    </row>
    <row r="971" spans="1:7">
      <c r="A971">
        <f>IF(COUNTBLANK(B971:G971)&lt;&gt;COLUMNS(B971:G971),970,"")</f>
        <v>0</v>
      </c>
      <c r="C971" s="1">
        <f>IF(B971="", "", "UBERON:gastrointestinal tract")</f>
        <v>0</v>
      </c>
      <c r="D971" s="1">
        <f>IF(B971="", "", "UBERON:feces")</f>
        <v>0</v>
      </c>
      <c r="E971" s="1">
        <f>IF(B971="", "", "UBERON:colon")</f>
        <v>0</v>
      </c>
      <c r="F971" s="1">
        <f>IF(B971="", "", "rat gut metagenome")</f>
        <v>0</v>
      </c>
      <c r="G971" s="1">
        <f>IF(B971="", "", "1436733")</f>
        <v>0</v>
      </c>
    </row>
    <row r="972" spans="1:7">
      <c r="A972">
        <f>IF(COUNTBLANK(B972:G972)&lt;&gt;COLUMNS(B972:G972),971,"")</f>
        <v>0</v>
      </c>
      <c r="C972" s="1">
        <f>IF(B972="", "", "UBERON:gastrointestinal tract")</f>
        <v>0</v>
      </c>
      <c r="D972" s="1">
        <f>IF(B972="", "", "UBERON:feces")</f>
        <v>0</v>
      </c>
      <c r="E972" s="1">
        <f>IF(B972="", "", "UBERON:colon")</f>
        <v>0</v>
      </c>
      <c r="F972" s="1">
        <f>IF(B972="", "", "rat gut metagenome")</f>
        <v>0</v>
      </c>
      <c r="G972" s="1">
        <f>IF(B972="", "", "1436733")</f>
        <v>0</v>
      </c>
    </row>
    <row r="973" spans="1:7">
      <c r="A973">
        <f>IF(COUNTBLANK(B973:G973)&lt;&gt;COLUMNS(B973:G973),972,"")</f>
        <v>0</v>
      </c>
      <c r="C973" s="1">
        <f>IF(B973="", "", "UBERON:gastrointestinal tract")</f>
        <v>0</v>
      </c>
      <c r="D973" s="1">
        <f>IF(B973="", "", "UBERON:feces")</f>
        <v>0</v>
      </c>
      <c r="E973" s="1">
        <f>IF(B973="", "", "UBERON:colon")</f>
        <v>0</v>
      </c>
      <c r="F973" s="1">
        <f>IF(B973="", "", "rat gut metagenome")</f>
        <v>0</v>
      </c>
      <c r="G973" s="1">
        <f>IF(B973="", "", "1436733")</f>
        <v>0</v>
      </c>
    </row>
    <row r="974" spans="1:7">
      <c r="A974">
        <f>IF(COUNTBLANK(B974:G974)&lt;&gt;COLUMNS(B974:G974),973,"")</f>
        <v>0</v>
      </c>
      <c r="C974" s="1">
        <f>IF(B974="", "", "UBERON:gastrointestinal tract")</f>
        <v>0</v>
      </c>
      <c r="D974" s="1">
        <f>IF(B974="", "", "UBERON:feces")</f>
        <v>0</v>
      </c>
      <c r="E974" s="1">
        <f>IF(B974="", "", "UBERON:colon")</f>
        <v>0</v>
      </c>
      <c r="F974" s="1">
        <f>IF(B974="", "", "rat gut metagenome")</f>
        <v>0</v>
      </c>
      <c r="G974" s="1">
        <f>IF(B974="", "", "1436733")</f>
        <v>0</v>
      </c>
    </row>
    <row r="975" spans="1:7">
      <c r="A975">
        <f>IF(COUNTBLANK(B975:G975)&lt;&gt;COLUMNS(B975:G975),974,"")</f>
        <v>0</v>
      </c>
      <c r="C975" s="1">
        <f>IF(B975="", "", "UBERON:gastrointestinal tract")</f>
        <v>0</v>
      </c>
      <c r="D975" s="1">
        <f>IF(B975="", "", "UBERON:feces")</f>
        <v>0</v>
      </c>
      <c r="E975" s="1">
        <f>IF(B975="", "", "UBERON:colon")</f>
        <v>0</v>
      </c>
      <c r="F975" s="1">
        <f>IF(B975="", "", "rat gut metagenome")</f>
        <v>0</v>
      </c>
      <c r="G975" s="1">
        <f>IF(B975="", "", "1436733")</f>
        <v>0</v>
      </c>
    </row>
    <row r="976" spans="1:7">
      <c r="A976">
        <f>IF(COUNTBLANK(B976:G976)&lt;&gt;COLUMNS(B976:G976),975,"")</f>
        <v>0</v>
      </c>
      <c r="C976" s="1">
        <f>IF(B976="", "", "UBERON:gastrointestinal tract")</f>
        <v>0</v>
      </c>
      <c r="D976" s="1">
        <f>IF(B976="", "", "UBERON:feces")</f>
        <v>0</v>
      </c>
      <c r="E976" s="1">
        <f>IF(B976="", "", "UBERON:colon")</f>
        <v>0</v>
      </c>
      <c r="F976" s="1">
        <f>IF(B976="", "", "rat gut metagenome")</f>
        <v>0</v>
      </c>
      <c r="G976" s="1">
        <f>IF(B976="", "", "1436733")</f>
        <v>0</v>
      </c>
    </row>
    <row r="977" spans="1:7">
      <c r="A977">
        <f>IF(COUNTBLANK(B977:G977)&lt;&gt;COLUMNS(B977:G977),976,"")</f>
        <v>0</v>
      </c>
      <c r="C977" s="1">
        <f>IF(B977="", "", "UBERON:gastrointestinal tract")</f>
        <v>0</v>
      </c>
      <c r="D977" s="1">
        <f>IF(B977="", "", "UBERON:feces")</f>
        <v>0</v>
      </c>
      <c r="E977" s="1">
        <f>IF(B977="", "", "UBERON:colon")</f>
        <v>0</v>
      </c>
      <c r="F977" s="1">
        <f>IF(B977="", "", "rat gut metagenome")</f>
        <v>0</v>
      </c>
      <c r="G977" s="1">
        <f>IF(B977="", "", "1436733")</f>
        <v>0</v>
      </c>
    </row>
    <row r="978" spans="1:7">
      <c r="A978">
        <f>IF(COUNTBLANK(B978:G978)&lt;&gt;COLUMNS(B978:G978),977,"")</f>
        <v>0</v>
      </c>
      <c r="C978" s="1">
        <f>IF(B978="", "", "UBERON:gastrointestinal tract")</f>
        <v>0</v>
      </c>
      <c r="D978" s="1">
        <f>IF(B978="", "", "UBERON:feces")</f>
        <v>0</v>
      </c>
      <c r="E978" s="1">
        <f>IF(B978="", "", "UBERON:colon")</f>
        <v>0</v>
      </c>
      <c r="F978" s="1">
        <f>IF(B978="", "", "rat gut metagenome")</f>
        <v>0</v>
      </c>
      <c r="G978" s="1">
        <f>IF(B978="", "", "1436733")</f>
        <v>0</v>
      </c>
    </row>
    <row r="979" spans="1:7">
      <c r="A979">
        <f>IF(COUNTBLANK(B979:G979)&lt;&gt;COLUMNS(B979:G979),978,"")</f>
        <v>0</v>
      </c>
      <c r="C979" s="1">
        <f>IF(B979="", "", "UBERON:gastrointestinal tract")</f>
        <v>0</v>
      </c>
      <c r="D979" s="1">
        <f>IF(B979="", "", "UBERON:feces")</f>
        <v>0</v>
      </c>
      <c r="E979" s="1">
        <f>IF(B979="", "", "UBERON:colon")</f>
        <v>0</v>
      </c>
      <c r="F979" s="1">
        <f>IF(B979="", "", "rat gut metagenome")</f>
        <v>0</v>
      </c>
      <c r="G979" s="1">
        <f>IF(B979="", "", "1436733")</f>
        <v>0</v>
      </c>
    </row>
    <row r="980" spans="1:7">
      <c r="A980">
        <f>IF(COUNTBLANK(B980:G980)&lt;&gt;COLUMNS(B980:G980),979,"")</f>
        <v>0</v>
      </c>
      <c r="C980" s="1">
        <f>IF(B980="", "", "UBERON:gastrointestinal tract")</f>
        <v>0</v>
      </c>
      <c r="D980" s="1">
        <f>IF(B980="", "", "UBERON:feces")</f>
        <v>0</v>
      </c>
      <c r="E980" s="1">
        <f>IF(B980="", "", "UBERON:colon")</f>
        <v>0</v>
      </c>
      <c r="F980" s="1">
        <f>IF(B980="", "", "rat gut metagenome")</f>
        <v>0</v>
      </c>
      <c r="G980" s="1">
        <f>IF(B980="", "", "1436733")</f>
        <v>0</v>
      </c>
    </row>
    <row r="981" spans="1:7">
      <c r="A981">
        <f>IF(COUNTBLANK(B981:G981)&lt;&gt;COLUMNS(B981:G981),980,"")</f>
        <v>0</v>
      </c>
      <c r="C981" s="1">
        <f>IF(B981="", "", "UBERON:gastrointestinal tract")</f>
        <v>0</v>
      </c>
      <c r="D981" s="1">
        <f>IF(B981="", "", "UBERON:feces")</f>
        <v>0</v>
      </c>
      <c r="E981" s="1">
        <f>IF(B981="", "", "UBERON:colon")</f>
        <v>0</v>
      </c>
      <c r="F981" s="1">
        <f>IF(B981="", "", "rat gut metagenome")</f>
        <v>0</v>
      </c>
      <c r="G981" s="1">
        <f>IF(B981="", "", "1436733")</f>
        <v>0</v>
      </c>
    </row>
    <row r="982" spans="1:7">
      <c r="A982">
        <f>IF(COUNTBLANK(B982:G982)&lt;&gt;COLUMNS(B982:G982),981,"")</f>
        <v>0</v>
      </c>
      <c r="C982" s="1">
        <f>IF(B982="", "", "UBERON:gastrointestinal tract")</f>
        <v>0</v>
      </c>
      <c r="D982" s="1">
        <f>IF(B982="", "", "UBERON:feces")</f>
        <v>0</v>
      </c>
      <c r="E982" s="1">
        <f>IF(B982="", "", "UBERON:colon")</f>
        <v>0</v>
      </c>
      <c r="F982" s="1">
        <f>IF(B982="", "", "rat gut metagenome")</f>
        <v>0</v>
      </c>
      <c r="G982" s="1">
        <f>IF(B982="", "", "1436733")</f>
        <v>0</v>
      </c>
    </row>
    <row r="983" spans="1:7">
      <c r="A983">
        <f>IF(COUNTBLANK(B983:G983)&lt;&gt;COLUMNS(B983:G983),982,"")</f>
        <v>0</v>
      </c>
      <c r="C983" s="1">
        <f>IF(B983="", "", "UBERON:gastrointestinal tract")</f>
        <v>0</v>
      </c>
      <c r="D983" s="1">
        <f>IF(B983="", "", "UBERON:feces")</f>
        <v>0</v>
      </c>
      <c r="E983" s="1">
        <f>IF(B983="", "", "UBERON:colon")</f>
        <v>0</v>
      </c>
      <c r="F983" s="1">
        <f>IF(B983="", "", "rat gut metagenome")</f>
        <v>0</v>
      </c>
      <c r="G983" s="1">
        <f>IF(B983="", "", "1436733")</f>
        <v>0</v>
      </c>
    </row>
    <row r="984" spans="1:7">
      <c r="A984">
        <f>IF(COUNTBLANK(B984:G984)&lt;&gt;COLUMNS(B984:G984),983,"")</f>
        <v>0</v>
      </c>
      <c r="C984" s="1">
        <f>IF(B984="", "", "UBERON:gastrointestinal tract")</f>
        <v>0</v>
      </c>
      <c r="D984" s="1">
        <f>IF(B984="", "", "UBERON:feces")</f>
        <v>0</v>
      </c>
      <c r="E984" s="1">
        <f>IF(B984="", "", "UBERON:colon")</f>
        <v>0</v>
      </c>
      <c r="F984" s="1">
        <f>IF(B984="", "", "rat gut metagenome")</f>
        <v>0</v>
      </c>
      <c r="G984" s="1">
        <f>IF(B984="", "", "1436733")</f>
        <v>0</v>
      </c>
    </row>
    <row r="985" spans="1:7">
      <c r="A985">
        <f>IF(COUNTBLANK(B985:G985)&lt;&gt;COLUMNS(B985:G985),984,"")</f>
        <v>0</v>
      </c>
      <c r="C985" s="1">
        <f>IF(B985="", "", "UBERON:gastrointestinal tract")</f>
        <v>0</v>
      </c>
      <c r="D985" s="1">
        <f>IF(B985="", "", "UBERON:feces")</f>
        <v>0</v>
      </c>
      <c r="E985" s="1">
        <f>IF(B985="", "", "UBERON:colon")</f>
        <v>0</v>
      </c>
      <c r="F985" s="1">
        <f>IF(B985="", "", "rat gut metagenome")</f>
        <v>0</v>
      </c>
      <c r="G985" s="1">
        <f>IF(B985="", "", "1436733")</f>
        <v>0</v>
      </c>
    </row>
    <row r="986" spans="1:7">
      <c r="A986">
        <f>IF(COUNTBLANK(B986:G986)&lt;&gt;COLUMNS(B986:G986),985,"")</f>
        <v>0</v>
      </c>
      <c r="C986" s="1">
        <f>IF(B986="", "", "UBERON:gastrointestinal tract")</f>
        <v>0</v>
      </c>
      <c r="D986" s="1">
        <f>IF(B986="", "", "UBERON:feces")</f>
        <v>0</v>
      </c>
      <c r="E986" s="1">
        <f>IF(B986="", "", "UBERON:colon")</f>
        <v>0</v>
      </c>
      <c r="F986" s="1">
        <f>IF(B986="", "", "rat gut metagenome")</f>
        <v>0</v>
      </c>
      <c r="G986" s="1">
        <f>IF(B986="", "", "1436733")</f>
        <v>0</v>
      </c>
    </row>
    <row r="987" spans="1:7">
      <c r="A987">
        <f>IF(COUNTBLANK(B987:G987)&lt;&gt;COLUMNS(B987:G987),986,"")</f>
        <v>0</v>
      </c>
      <c r="C987" s="1">
        <f>IF(B987="", "", "UBERON:gastrointestinal tract")</f>
        <v>0</v>
      </c>
      <c r="D987" s="1">
        <f>IF(B987="", "", "UBERON:feces")</f>
        <v>0</v>
      </c>
      <c r="E987" s="1">
        <f>IF(B987="", "", "UBERON:colon")</f>
        <v>0</v>
      </c>
      <c r="F987" s="1">
        <f>IF(B987="", "", "rat gut metagenome")</f>
        <v>0</v>
      </c>
      <c r="G987" s="1">
        <f>IF(B987="", "", "1436733")</f>
        <v>0</v>
      </c>
    </row>
    <row r="988" spans="1:7">
      <c r="A988">
        <f>IF(COUNTBLANK(B988:G988)&lt;&gt;COLUMNS(B988:G988),987,"")</f>
        <v>0</v>
      </c>
      <c r="C988" s="1">
        <f>IF(B988="", "", "UBERON:gastrointestinal tract")</f>
        <v>0</v>
      </c>
      <c r="D988" s="1">
        <f>IF(B988="", "", "UBERON:feces")</f>
        <v>0</v>
      </c>
      <c r="E988" s="1">
        <f>IF(B988="", "", "UBERON:colon")</f>
        <v>0</v>
      </c>
      <c r="F988" s="1">
        <f>IF(B988="", "", "rat gut metagenome")</f>
        <v>0</v>
      </c>
      <c r="G988" s="1">
        <f>IF(B988="", "", "1436733")</f>
        <v>0</v>
      </c>
    </row>
    <row r="989" spans="1:7">
      <c r="A989">
        <f>IF(COUNTBLANK(B989:G989)&lt;&gt;COLUMNS(B989:G989),988,"")</f>
        <v>0</v>
      </c>
      <c r="C989" s="1">
        <f>IF(B989="", "", "UBERON:gastrointestinal tract")</f>
        <v>0</v>
      </c>
      <c r="D989" s="1">
        <f>IF(B989="", "", "UBERON:feces")</f>
        <v>0</v>
      </c>
      <c r="E989" s="1">
        <f>IF(B989="", "", "UBERON:colon")</f>
        <v>0</v>
      </c>
      <c r="F989" s="1">
        <f>IF(B989="", "", "rat gut metagenome")</f>
        <v>0</v>
      </c>
      <c r="G989" s="1">
        <f>IF(B989="", "", "1436733")</f>
        <v>0</v>
      </c>
    </row>
    <row r="990" spans="1:7">
      <c r="A990">
        <f>IF(COUNTBLANK(B990:G990)&lt;&gt;COLUMNS(B990:G990),989,"")</f>
        <v>0</v>
      </c>
      <c r="C990" s="1">
        <f>IF(B990="", "", "UBERON:gastrointestinal tract")</f>
        <v>0</v>
      </c>
      <c r="D990" s="1">
        <f>IF(B990="", "", "UBERON:feces")</f>
        <v>0</v>
      </c>
      <c r="E990" s="1">
        <f>IF(B990="", "", "UBERON:colon")</f>
        <v>0</v>
      </c>
      <c r="F990" s="1">
        <f>IF(B990="", "", "rat gut metagenome")</f>
        <v>0</v>
      </c>
      <c r="G990" s="1">
        <f>IF(B990="", "", "1436733")</f>
        <v>0</v>
      </c>
    </row>
    <row r="991" spans="1:7">
      <c r="A991">
        <f>IF(COUNTBLANK(B991:G991)&lt;&gt;COLUMNS(B991:G991),990,"")</f>
        <v>0</v>
      </c>
      <c r="C991" s="1">
        <f>IF(B991="", "", "UBERON:gastrointestinal tract")</f>
        <v>0</v>
      </c>
      <c r="D991" s="1">
        <f>IF(B991="", "", "UBERON:feces")</f>
        <v>0</v>
      </c>
      <c r="E991" s="1">
        <f>IF(B991="", "", "UBERON:colon")</f>
        <v>0</v>
      </c>
      <c r="F991" s="1">
        <f>IF(B991="", "", "rat gut metagenome")</f>
        <v>0</v>
      </c>
      <c r="G991" s="1">
        <f>IF(B991="", "", "1436733")</f>
        <v>0</v>
      </c>
    </row>
    <row r="992" spans="1:7">
      <c r="A992">
        <f>IF(COUNTBLANK(B992:G992)&lt;&gt;COLUMNS(B992:G992),991,"")</f>
        <v>0</v>
      </c>
      <c r="C992" s="1">
        <f>IF(B992="", "", "UBERON:gastrointestinal tract")</f>
        <v>0</v>
      </c>
      <c r="D992" s="1">
        <f>IF(B992="", "", "UBERON:feces")</f>
        <v>0</v>
      </c>
      <c r="E992" s="1">
        <f>IF(B992="", "", "UBERON:colon")</f>
        <v>0</v>
      </c>
      <c r="F992" s="1">
        <f>IF(B992="", "", "rat gut metagenome")</f>
        <v>0</v>
      </c>
      <c r="G992" s="1">
        <f>IF(B992="", "", "1436733")</f>
        <v>0</v>
      </c>
    </row>
    <row r="993" spans="1:7">
      <c r="A993">
        <f>IF(COUNTBLANK(B993:G993)&lt;&gt;COLUMNS(B993:G993),992,"")</f>
        <v>0</v>
      </c>
      <c r="C993" s="1">
        <f>IF(B993="", "", "UBERON:gastrointestinal tract")</f>
        <v>0</v>
      </c>
      <c r="D993" s="1">
        <f>IF(B993="", "", "UBERON:feces")</f>
        <v>0</v>
      </c>
      <c r="E993" s="1">
        <f>IF(B993="", "", "UBERON:colon")</f>
        <v>0</v>
      </c>
      <c r="F993" s="1">
        <f>IF(B993="", "", "rat gut metagenome")</f>
        <v>0</v>
      </c>
      <c r="G993" s="1">
        <f>IF(B993="", "", "1436733")</f>
        <v>0</v>
      </c>
    </row>
    <row r="994" spans="1:7">
      <c r="A994">
        <f>IF(COUNTBLANK(B994:G994)&lt;&gt;COLUMNS(B994:G994),993,"")</f>
        <v>0</v>
      </c>
      <c r="C994" s="1">
        <f>IF(B994="", "", "UBERON:gastrointestinal tract")</f>
        <v>0</v>
      </c>
      <c r="D994" s="1">
        <f>IF(B994="", "", "UBERON:feces")</f>
        <v>0</v>
      </c>
      <c r="E994" s="1">
        <f>IF(B994="", "", "UBERON:colon")</f>
        <v>0</v>
      </c>
      <c r="F994" s="1">
        <f>IF(B994="", "", "rat gut metagenome")</f>
        <v>0</v>
      </c>
      <c r="G994" s="1">
        <f>IF(B994="", "", "1436733")</f>
        <v>0</v>
      </c>
    </row>
    <row r="995" spans="1:7">
      <c r="A995">
        <f>IF(COUNTBLANK(B995:G995)&lt;&gt;COLUMNS(B995:G995),994,"")</f>
        <v>0</v>
      </c>
      <c r="C995" s="1">
        <f>IF(B995="", "", "UBERON:gastrointestinal tract")</f>
        <v>0</v>
      </c>
      <c r="D995" s="1">
        <f>IF(B995="", "", "UBERON:feces")</f>
        <v>0</v>
      </c>
      <c r="E995" s="1">
        <f>IF(B995="", "", "UBERON:colon")</f>
        <v>0</v>
      </c>
      <c r="F995" s="1">
        <f>IF(B995="", "", "rat gut metagenome")</f>
        <v>0</v>
      </c>
      <c r="G995" s="1">
        <f>IF(B995="", "", "1436733")</f>
        <v>0</v>
      </c>
    </row>
    <row r="996" spans="1:7">
      <c r="A996">
        <f>IF(COUNTBLANK(B996:G996)&lt;&gt;COLUMNS(B996:G996),995,"")</f>
        <v>0</v>
      </c>
      <c r="C996" s="1">
        <f>IF(B996="", "", "UBERON:gastrointestinal tract")</f>
        <v>0</v>
      </c>
      <c r="D996" s="1">
        <f>IF(B996="", "", "UBERON:feces")</f>
        <v>0</v>
      </c>
      <c r="E996" s="1">
        <f>IF(B996="", "", "UBERON:colon")</f>
        <v>0</v>
      </c>
      <c r="F996" s="1">
        <f>IF(B996="", "", "rat gut metagenome")</f>
        <v>0</v>
      </c>
      <c r="G996" s="1">
        <f>IF(B996="", "", "1436733")</f>
        <v>0</v>
      </c>
    </row>
    <row r="997" spans="1:7">
      <c r="A997">
        <f>IF(COUNTBLANK(B997:G997)&lt;&gt;COLUMNS(B997:G997),996,"")</f>
        <v>0</v>
      </c>
      <c r="C997" s="1">
        <f>IF(B997="", "", "UBERON:gastrointestinal tract")</f>
        <v>0</v>
      </c>
      <c r="D997" s="1">
        <f>IF(B997="", "", "UBERON:feces")</f>
        <v>0</v>
      </c>
      <c r="E997" s="1">
        <f>IF(B997="", "", "UBERON:colon")</f>
        <v>0</v>
      </c>
      <c r="F997" s="1">
        <f>IF(B997="", "", "rat gut metagenome")</f>
        <v>0</v>
      </c>
      <c r="G997" s="1">
        <f>IF(B997="", "", "1436733")</f>
        <v>0</v>
      </c>
    </row>
    <row r="998" spans="1:7">
      <c r="A998">
        <f>IF(COUNTBLANK(B998:G998)&lt;&gt;COLUMNS(B998:G998),997,"")</f>
        <v>0</v>
      </c>
      <c r="C998" s="1">
        <f>IF(B998="", "", "UBERON:gastrointestinal tract")</f>
        <v>0</v>
      </c>
      <c r="D998" s="1">
        <f>IF(B998="", "", "UBERON:feces")</f>
        <v>0</v>
      </c>
      <c r="E998" s="1">
        <f>IF(B998="", "", "UBERON:colon")</f>
        <v>0</v>
      </c>
      <c r="F998" s="1">
        <f>IF(B998="", "", "rat gut metagenome")</f>
        <v>0</v>
      </c>
      <c r="G998" s="1">
        <f>IF(B998="", "", "1436733")</f>
        <v>0</v>
      </c>
    </row>
    <row r="999" spans="1:7">
      <c r="A999">
        <f>IF(COUNTBLANK(B999:G999)&lt;&gt;COLUMNS(B999:G999),998,"")</f>
        <v>0</v>
      </c>
      <c r="C999" s="1">
        <f>IF(B999="", "", "UBERON:gastrointestinal tract")</f>
        <v>0</v>
      </c>
      <c r="D999" s="1">
        <f>IF(B999="", "", "UBERON:feces")</f>
        <v>0</v>
      </c>
      <c r="E999" s="1">
        <f>IF(B999="", "", "UBERON:colon")</f>
        <v>0</v>
      </c>
      <c r="F999" s="1">
        <f>IF(B999="", "", "rat gut metagenome")</f>
        <v>0</v>
      </c>
      <c r="G999" s="1">
        <f>IF(B999="", "", "1436733")</f>
        <v>0</v>
      </c>
    </row>
    <row r="1000" spans="1:7">
      <c r="A1000">
        <f>IF(COUNTBLANK(B1000:G1000)&lt;&gt;COLUMNS(B1000:G1000),999,"")</f>
        <v>0</v>
      </c>
      <c r="C1000" s="1">
        <f>IF(B1000="", "", "UBERON:gastrointestinal tract")</f>
        <v>0</v>
      </c>
      <c r="D1000" s="1">
        <f>IF(B1000="", "", "UBERON:feces")</f>
        <v>0</v>
      </c>
      <c r="E1000" s="1">
        <f>IF(B1000="", "", "UBERON:colon")</f>
        <v>0</v>
      </c>
      <c r="F1000" s="1">
        <f>IF(B1000="", "", "rat gut metagenome")</f>
        <v>0</v>
      </c>
      <c r="G1000" s="1">
        <f>IF(B1000="", "", "1436733")</f>
        <v>0</v>
      </c>
    </row>
    <row r="1001" spans="1:7">
      <c r="A1001">
        <f>IF(COUNTBLANK(B1001:G1001)&lt;&gt;COLUMNS(B1001:G1001),1000,"")</f>
        <v>0</v>
      </c>
      <c r="C1001" s="1">
        <f>IF(B1001="", "", "UBERON:gastrointestinal tract")</f>
        <v>0</v>
      </c>
      <c r="D1001" s="1">
        <f>IF(B1001="", "", "UBERON:feces")</f>
        <v>0</v>
      </c>
      <c r="E1001" s="1">
        <f>IF(B1001="", "", "UBERON:colon")</f>
        <v>0</v>
      </c>
      <c r="F1001" s="1">
        <f>IF(B1001="", "", "rat gut metagenome")</f>
        <v>0</v>
      </c>
      <c r="G1001" s="1">
        <f>IF(B1001="", "", "1436733")</f>
        <v>0</v>
      </c>
    </row>
    <row r="1002" spans="1:7">
      <c r="B1002" s="2" t="s">
        <v>2</v>
      </c>
    </row>
  </sheetData>
  <sheetProtection password="EE32" sheet="1" objects="1" scenarios="1" formatCells="0" formatColumns="0" formatRows="0"/>
  <dataValidations count="6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host_body_habitat" error="The host_body_habitat value entered is not valid. The value must be a string. The default value is UBERON:gastrointestinal tract." promptTitle="Enter host_body_habitat" prompt="The value must be a string. The default value is UBERON:gastrointestinal tract." sqref="C2:C1001">
      <formula1>(IF(C2="",FALSE,TRUE))</formula1>
    </dataValidation>
    <dataValidation type="custom" allowBlank="1" showInputMessage="1" showErrorMessage="1" errorTitle="Invalid host_body_product" error="The host_body_product value entered is not valid. The value must be a string. The default value is UBERON:feces." promptTitle="Enter host_body_product" prompt="The value must be a string. The default value is UBERON:feces." sqref="D2:D1001">
      <formula1>(IF(D2="",FALSE,TRUE))</formula1>
    </dataValidation>
    <dataValidation type="custom" allowBlank="1" showInputMessage="1" showErrorMessage="1" errorTitle="Invalid host_body_site" error="The host_body_site value entered is not valid. The value must be a string. The default value is UBERON:colon." promptTitle="Enter host_body_site" prompt="The value must be a string. The default value is UBERON:colon." sqref="E2:E1001">
      <formula1>(IF(E2="",FALSE,TRUE))</formula1>
    </dataValidation>
    <dataValidation type="list" allowBlank="1" showInputMessage="1" showErrorMessage="1" errorTitle="Invalid scientific_name" error="The scientific_name value entered is not valid. The value must be a string and must equal &quot;rat gut metagenome&quot;. The default value is rat gut metagenome." promptTitle="Enter scientific_name" prompt="The value must be a string and must equal &quot;rat gut metagenome&quot;. The default value is rat gut metagenome." sqref="F2:F1001">
      <formula1>"rat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G2:G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11" max="17" width="0" hidden="1" customWidth="1"/>
    <col min="18" max="23" width="0" hidden="1" customWidth="1"/>
  </cols>
  <sheetData>
    <row r="1" spans="1:23">
      <c r="A1" s="2" t="s">
        <v>1</v>
      </c>
      <c r="B1" s="2">
        <f>IF(B2=" ", " ", INDEX($R$1:$W$1, 1, MATCH(COLUMNS($R$1006:R1006),$R$1006:$W$1006,0)))</f>
        <v>0</v>
      </c>
      <c r="C1" s="2">
        <f>IF(C2=" ", " ", INDEX($R$1:$W$1, 1, MATCH(COLUMNS($R$1006:S1006),$R$1006:$W$1006,0)))</f>
        <v>0</v>
      </c>
      <c r="D1" s="2">
        <f>IF(D2=" ", " ", INDEX($R$1:$W$1, 1, MATCH(COLUMNS($R$1006:T1006),$R$1006:$W$1006,0)))</f>
        <v>0</v>
      </c>
      <c r="E1" s="2">
        <f>IF(E2=" ", " ", INDEX($R$1:$W$1, 1, MATCH(COLUMNS($R$1006:U1006),$R$1006:$W$1006,0)))</f>
        <v>0</v>
      </c>
      <c r="F1" s="2">
        <f>IF(F2=" ", " ", INDEX($R$1:$W$1, 1, MATCH(COLUMNS($R$1006:V1006),$R$1006:$W$1006,0)))</f>
        <v>0</v>
      </c>
      <c r="G1" s="2">
        <f>IF(G2=" ", " ", INDEX($R$1:$W$1, 1, MATCH(COLUMNS($R$1006:W1006),$R$1006:$W$1006,0)))</f>
        <v>0</v>
      </c>
      <c r="K1" s="2" t="s">
        <v>12</v>
      </c>
      <c r="L1" s="2" t="s">
        <v>11</v>
      </c>
      <c r="M1" s="2" t="s">
        <v>10</v>
      </c>
      <c r="N1" s="2" t="s">
        <v>9</v>
      </c>
      <c r="O1" s="2" t="s">
        <v>8</v>
      </c>
      <c r="P1" s="2" t="s">
        <v>1</v>
      </c>
      <c r="R1" s="2" t="s">
        <v>1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</row>
    <row r="2" spans="1:23">
      <c r="A2" s="4">
        <f>IF(B2=" "," ",HYPERLINK(CONCATENATE("#metadata!",ADDRESS(INDEX($M$2:$M$1001,MATCH(ROWS($K$2:K2),$K$2:$K$1001,0),0),1)),INDEX($P$2:$P$1001,MATCH(ROWS($K$2:K2),$K$2:$K$1001,0),0)))</f>
        <v>0</v>
      </c>
      <c r="B2" s="3">
        <f>IF(OR(INDEX($L$2:$L$1001,MATCH(ROWS($K$2:K2),$K$2:$K$1001,0),1)&gt;=100000,INDEX($R$1005:$W$1005,1,MATCH(COLUMNS($R$1006:R1006),$R$1006:$W$1006,0))&gt;=100000), " ",IF(INDEX($R$2:$W$1001,MATCH(ROWS($K$2:K2),$K$2:$K$1001,0),MATCH(COLUMNS($R$1006:R1006),$R$1006:$W$1006,0)), HYPERLINK("#",""), HYPERLINK(CONCATENATE("#Metadata!", ADDRESS(INDEX($M$2:$M$1001,MATCH(ROWS($K$2:K2),$K$2:$K$1001,0),0), INDEX($R$1004:$W$1004,1,MATCH(COLUMNS($R$1006:R1006),$R$1006:$W$1006,0)))),"Fix")))</f>
        <v>0</v>
      </c>
      <c r="C2" s="3">
        <f>IF(OR(INDEX($L$2:$L$1001,MATCH(ROWS($K$2:K2),$K$2:$K$1001,0),1)&gt;=100000,INDEX($R$1005:$W$1005,1,MATCH(COLUMNS($R$1006:S1006),$R$1006:$W$1006,0))&gt;=100000), " ",IF(INDEX($R$2:$W$1001,MATCH(ROWS($K$2:K2),$K$2:$K$1001,0),MATCH(COLUMNS($R$1006:S1006),$R$1006:$W$1006,0)), HYPERLINK("#",""), HYPERLINK(CONCATENATE("#Metadata!", ADDRESS(INDEX($M$2:$M$1001,MATCH(ROWS($K$2:K2),$K$2:$K$1001,0),0), INDEX($R$1004:$W$1004,1,MATCH(COLUMNS($R$1006:S1006),$R$1006:$W$1006,0)))),"Fix")))</f>
        <v>0</v>
      </c>
      <c r="D2" s="3">
        <f>IF(OR(INDEX($L$2:$L$1001,MATCH(ROWS($K$2:K2),$K$2:$K$1001,0),1)&gt;=100000,INDEX($R$1005:$W$1005,1,MATCH(COLUMNS($R$1006:T1006),$R$1006:$W$1006,0))&gt;=100000), " ",IF(INDEX($R$2:$W$1001,MATCH(ROWS($K$2:K2),$K$2:$K$1001,0),MATCH(COLUMNS($R$1006:T1006),$R$1006:$W$1006,0)), HYPERLINK("#",""), HYPERLINK(CONCATENATE("#Metadata!", ADDRESS(INDEX($M$2:$M$1001,MATCH(ROWS($K$2:K2),$K$2:$K$1001,0),0), INDEX($R$1004:$W$1004,1,MATCH(COLUMNS($R$1006:T1006),$R$1006:$W$1006,0)))),"Fix")))</f>
        <v>0</v>
      </c>
      <c r="E2" s="3">
        <f>IF(OR(INDEX($L$2:$L$1001,MATCH(ROWS($K$2:K2),$K$2:$K$1001,0),1)&gt;=100000,INDEX($R$1005:$W$1005,1,MATCH(COLUMNS($R$1006:U1006),$R$1006:$W$1006,0))&gt;=100000), " ",IF(INDEX($R$2:$W$1001,MATCH(ROWS($K$2:K2),$K$2:$K$1001,0),MATCH(COLUMNS($R$1006:U1006),$R$1006:$W$1006,0)), HYPERLINK("#",""), HYPERLINK(CONCATENATE("#Metadata!", ADDRESS(INDEX($M$2:$M$1001,MATCH(ROWS($K$2:K2),$K$2:$K$1001,0),0), INDEX($R$1004:$W$1004,1,MATCH(COLUMNS($R$1006:U1006),$R$1006:$W$1006,0)))),"Fix")))</f>
        <v>0</v>
      </c>
      <c r="F2" s="3">
        <f>IF(OR(INDEX($L$2:$L$1001,MATCH(ROWS($K$2:K2),$K$2:$K$1001,0),1)&gt;=100000,INDEX($R$1005:$W$1005,1,MATCH(COLUMNS($R$1006:V1006),$R$1006:$W$1006,0))&gt;=100000), " ",IF(INDEX($R$2:$W$1001,MATCH(ROWS($K$2:K2),$K$2:$K$1001,0),MATCH(COLUMNS($R$1006:V1006),$R$1006:$W$1006,0)), HYPERLINK("#",""), HYPERLINK(CONCATENATE("#Metadata!", ADDRESS(INDEX($M$2:$M$1001,MATCH(ROWS($K$2:K2),$K$2:$K$1001,0),0), INDEX($R$1004:$W$1004,1,MATCH(COLUMNS($R$1006:V1006),$R$1006:$W$1006,0)))),"Fix")))</f>
        <v>0</v>
      </c>
      <c r="G2" s="3">
        <f>IF(OR(INDEX($L$2:$L$1001,MATCH(ROWS($K$2:K2),$K$2:$K$1001,0),1)&gt;=100000,INDEX($R$1005:$W$1005,1,MATCH(COLUMNS($R$1006:W1006),$R$1006:$W$1006,0))&gt;=100000), " ",IF(INDEX($R$2:$W$1001,MATCH(ROWS($K$2:K2),$K$2:$K$1001,0),MATCH(COLUMNS($R$1006:W1006),$R$1006:$W$1006,0)), HYPERLINK("#",""), HYPERLINK(CONCATENATE("#Metadata!", ADDRESS(INDEX($M$2:$M$1001,MATCH(ROWS($K$2:K2),$K$2:$K$1001,0),0), INDEX($R$1004:$W$1004,1,MATCH(COLUMNS($R$1006:W1006),$R$1006:$W$1006,0)))),"Fix")))</f>
        <v>0</v>
      </c>
      <c r="K2">
        <f t="array" ref="K2:K1001">COUNTIF(L$2:L$1001,"&lt;="&amp;$L2:$L1001)</f>
        <v>0</v>
      </c>
      <c r="L2">
        <f t="array" ref="L2:L1001">INT(N2:N1001)*100000+$M$2:$M$1001</f>
        <v>0</v>
      </c>
      <c r="M2">
        <f t="array" ref="M2:M1001">ROW(Metadata!B2:B1001)</f>
        <v>0</v>
      </c>
      <c r="N2">
        <f>IF(O2,TRUE,AND(R2:W2))</f>
        <v>0</v>
      </c>
      <c r="O2">
        <f>COUNTBLANK(Metadata!B2:G2)=COLUMNS(Metadata!B2:G2)</f>
        <v>0</v>
      </c>
      <c r="P2">
        <f t="array" ref="P2:P1001">IF(Metadata!B2:B1001="","",Metadata!B2:B1001)</f>
        <v>0</v>
      </c>
      <c r="R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S2">
        <f>IF(Metadata!C2="",FALSE,TRUE)</f>
        <v>0</v>
      </c>
      <c r="T2">
        <f>IF(Metadata!D2="",FALSE,TRUE)</f>
        <v>0</v>
      </c>
      <c r="U2">
        <f>IF(Metadata!E2="",FALSE,TRUE)</f>
        <v>0</v>
      </c>
      <c r="V2">
        <f>AND(IF(Metadata!F2="",FALSE,TRUE),exact(Metadata!F2,"rat gut metagenome"))</f>
        <v>0</v>
      </c>
      <c r="W2">
        <f>AND(IF(Metadata!G2="",FALSE,TRUE),exact(Metadata!G2,"1436733"))</f>
        <v>0</v>
      </c>
    </row>
    <row r="3" spans="1:23">
      <c r="A3" s="4">
        <f>IF(B3=" "," ",HYPERLINK(CONCATENATE("#metadata!",ADDRESS(INDEX($M$2:$M$1001,MATCH(ROWS($K$2:K3),$K$2:$K$1001,0),0),1)),INDEX($P$2:$P$1001,MATCH(ROWS($K$2:K3),$K$2:$K$1001,0),0)))</f>
        <v>0</v>
      </c>
      <c r="B3" s="3">
        <f>IF(OR(INDEX($L$2:$L$1001,MATCH(ROWS($K$2:K3),$K$2:$K$1001,0),1)&gt;=100000,INDEX($R$1005:$W$1005,1,MATCH(COLUMNS($R$1006:R1006),$R$1006:$W$1006,0))&gt;=100000), " ",IF(INDEX($R$2:$W$1001,MATCH(ROWS($K$2:K3),$K$2:$K$1001,0),MATCH(COLUMNS($R$1006:R1006),$R$1006:$W$1006,0)), HYPERLINK("#",""), HYPERLINK(CONCATENATE("#Metadata!", ADDRESS(INDEX($M$2:$M$1001,MATCH(ROWS($K$2:K3),$K$2:$K$1001,0),0), INDEX($R$1004:$W$1004,1,MATCH(COLUMNS($R$1006:R1006),$R$1006:$W$1006,0)))),"Fix")))</f>
        <v>0</v>
      </c>
      <c r="C3" s="3">
        <f>IF(OR(INDEX($L$2:$L$1001,MATCH(ROWS($K$2:K3),$K$2:$K$1001,0),1)&gt;=100000,INDEX($R$1005:$W$1005,1,MATCH(COLUMNS($R$1006:S1006),$R$1006:$W$1006,0))&gt;=100000), " ",IF(INDEX($R$2:$W$1001,MATCH(ROWS($K$2:K3),$K$2:$K$1001,0),MATCH(COLUMNS($R$1006:S1006),$R$1006:$W$1006,0)), HYPERLINK("#",""), HYPERLINK(CONCATENATE("#Metadata!", ADDRESS(INDEX($M$2:$M$1001,MATCH(ROWS($K$2:K3),$K$2:$K$1001,0),0), INDEX($R$1004:$W$1004,1,MATCH(COLUMNS($R$1006:S1006),$R$1006:$W$1006,0)))),"Fix")))</f>
        <v>0</v>
      </c>
      <c r="D3" s="3">
        <f>IF(OR(INDEX($L$2:$L$1001,MATCH(ROWS($K$2:K3),$K$2:$K$1001,0),1)&gt;=100000,INDEX($R$1005:$W$1005,1,MATCH(COLUMNS($R$1006:T1006),$R$1006:$W$1006,0))&gt;=100000), " ",IF(INDEX($R$2:$W$1001,MATCH(ROWS($K$2:K3),$K$2:$K$1001,0),MATCH(COLUMNS($R$1006:T1006),$R$1006:$W$1006,0)), HYPERLINK("#",""), HYPERLINK(CONCATENATE("#Metadata!", ADDRESS(INDEX($M$2:$M$1001,MATCH(ROWS($K$2:K3),$K$2:$K$1001,0),0), INDEX($R$1004:$W$1004,1,MATCH(COLUMNS($R$1006:T1006),$R$1006:$W$1006,0)))),"Fix")))</f>
        <v>0</v>
      </c>
      <c r="E3" s="3">
        <f>IF(OR(INDEX($L$2:$L$1001,MATCH(ROWS($K$2:K3),$K$2:$K$1001,0),1)&gt;=100000,INDEX($R$1005:$W$1005,1,MATCH(COLUMNS($R$1006:U1006),$R$1006:$W$1006,0))&gt;=100000), " ",IF(INDEX($R$2:$W$1001,MATCH(ROWS($K$2:K3),$K$2:$K$1001,0),MATCH(COLUMNS($R$1006:U1006),$R$1006:$W$1006,0)), HYPERLINK("#",""), HYPERLINK(CONCATENATE("#Metadata!", ADDRESS(INDEX($M$2:$M$1001,MATCH(ROWS($K$2:K3),$K$2:$K$1001,0),0), INDEX($R$1004:$W$1004,1,MATCH(COLUMNS($R$1006:U1006),$R$1006:$W$1006,0)))),"Fix")))</f>
        <v>0</v>
      </c>
      <c r="F3" s="3">
        <f>IF(OR(INDEX($L$2:$L$1001,MATCH(ROWS($K$2:K3),$K$2:$K$1001,0),1)&gt;=100000,INDEX($R$1005:$W$1005,1,MATCH(COLUMNS($R$1006:V1006),$R$1006:$W$1006,0))&gt;=100000), " ",IF(INDEX($R$2:$W$1001,MATCH(ROWS($K$2:K3),$K$2:$K$1001,0),MATCH(COLUMNS($R$1006:V1006),$R$1006:$W$1006,0)), HYPERLINK("#",""), HYPERLINK(CONCATENATE("#Metadata!", ADDRESS(INDEX($M$2:$M$1001,MATCH(ROWS($K$2:K3),$K$2:$K$1001,0),0), INDEX($R$1004:$W$1004,1,MATCH(COLUMNS($R$1006:V1006),$R$1006:$W$1006,0)))),"Fix")))</f>
        <v>0</v>
      </c>
      <c r="G3" s="3">
        <f>IF(OR(INDEX($L$2:$L$1001,MATCH(ROWS($K$2:K3),$K$2:$K$1001,0),1)&gt;=100000,INDEX($R$1005:$W$1005,1,MATCH(COLUMNS($R$1006:W1006),$R$1006:$W$1006,0))&gt;=100000), " ",IF(INDEX($R$2:$W$1001,MATCH(ROWS($K$2:K3),$K$2:$K$1001,0),MATCH(COLUMNS($R$1006:W1006),$R$1006:$W$1006,0)), HYPERLINK("#",""), HYPERLINK(CONCATENATE("#Metadata!", ADDRESS(INDEX($M$2:$M$1001,MATCH(ROWS($K$2:K3),$K$2:$K$1001,0),0), INDEX($R$1004:$W$1004,1,MATCH(COLUMNS($R$1006:W1006),$R$1006:$W$1006,0)))),"Fix")))</f>
        <v>0</v>
      </c>
      <c r="K3">
        <v>0</v>
      </c>
      <c r="L3">
        <v>0</v>
      </c>
      <c r="M3">
        <v>0</v>
      </c>
      <c r="N3">
        <f>IF(O3,TRUE,AND(R3:W3))</f>
        <v>0</v>
      </c>
      <c r="O3">
        <f>COUNTBLANK(Metadata!B3:G3)=COLUMNS(Metadata!B3:G3)</f>
        <v>0</v>
      </c>
      <c r="P3">
        <v>0</v>
      </c>
      <c r="R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S3">
        <f>IF(Metadata!C3="",FALSE,TRUE)</f>
        <v>0</v>
      </c>
      <c r="T3">
        <f>IF(Metadata!D3="",FALSE,TRUE)</f>
        <v>0</v>
      </c>
      <c r="U3">
        <f>IF(Metadata!E3="",FALSE,TRUE)</f>
        <v>0</v>
      </c>
      <c r="V3">
        <f>AND(IF(Metadata!F3="",FALSE,TRUE),exact(Metadata!F3,"rat gut metagenome"))</f>
        <v>0</v>
      </c>
      <c r="W3">
        <f>AND(IF(Metadata!G3="",FALSE,TRUE),exact(Metadata!G3,"1436733"))</f>
        <v>0</v>
      </c>
    </row>
    <row r="4" spans="1:23">
      <c r="A4" s="4">
        <f>IF(B4=" "," ",HYPERLINK(CONCATENATE("#metadata!",ADDRESS(INDEX($M$2:$M$1001,MATCH(ROWS($K$2:K4),$K$2:$K$1001,0),0),1)),INDEX($P$2:$P$1001,MATCH(ROWS($K$2:K4),$K$2:$K$1001,0),0)))</f>
        <v>0</v>
      </c>
      <c r="B4" s="3">
        <f>IF(OR(INDEX($L$2:$L$1001,MATCH(ROWS($K$2:K4),$K$2:$K$1001,0),1)&gt;=100000,INDEX($R$1005:$W$1005,1,MATCH(COLUMNS($R$1006:R1006),$R$1006:$W$1006,0))&gt;=100000), " ",IF(INDEX($R$2:$W$1001,MATCH(ROWS($K$2:K4),$K$2:$K$1001,0),MATCH(COLUMNS($R$1006:R1006),$R$1006:$W$1006,0)), HYPERLINK("#",""), HYPERLINK(CONCATENATE("#Metadata!", ADDRESS(INDEX($M$2:$M$1001,MATCH(ROWS($K$2:K4),$K$2:$K$1001,0),0), INDEX($R$1004:$W$1004,1,MATCH(COLUMNS($R$1006:R1006),$R$1006:$W$1006,0)))),"Fix")))</f>
        <v>0</v>
      </c>
      <c r="C4" s="3">
        <f>IF(OR(INDEX($L$2:$L$1001,MATCH(ROWS($K$2:K4),$K$2:$K$1001,0),1)&gt;=100000,INDEX($R$1005:$W$1005,1,MATCH(COLUMNS($R$1006:S1006),$R$1006:$W$1006,0))&gt;=100000), " ",IF(INDEX($R$2:$W$1001,MATCH(ROWS($K$2:K4),$K$2:$K$1001,0),MATCH(COLUMNS($R$1006:S1006),$R$1006:$W$1006,0)), HYPERLINK("#",""), HYPERLINK(CONCATENATE("#Metadata!", ADDRESS(INDEX($M$2:$M$1001,MATCH(ROWS($K$2:K4),$K$2:$K$1001,0),0), INDEX($R$1004:$W$1004,1,MATCH(COLUMNS($R$1006:S1006),$R$1006:$W$1006,0)))),"Fix")))</f>
        <v>0</v>
      </c>
      <c r="D4" s="3">
        <f>IF(OR(INDEX($L$2:$L$1001,MATCH(ROWS($K$2:K4),$K$2:$K$1001,0),1)&gt;=100000,INDEX($R$1005:$W$1005,1,MATCH(COLUMNS($R$1006:T1006),$R$1006:$W$1006,0))&gt;=100000), " ",IF(INDEX($R$2:$W$1001,MATCH(ROWS($K$2:K4),$K$2:$K$1001,0),MATCH(COLUMNS($R$1006:T1006),$R$1006:$W$1006,0)), HYPERLINK("#",""), HYPERLINK(CONCATENATE("#Metadata!", ADDRESS(INDEX($M$2:$M$1001,MATCH(ROWS($K$2:K4),$K$2:$K$1001,0),0), INDEX($R$1004:$W$1004,1,MATCH(COLUMNS($R$1006:T1006),$R$1006:$W$1006,0)))),"Fix")))</f>
        <v>0</v>
      </c>
      <c r="E4" s="3">
        <f>IF(OR(INDEX($L$2:$L$1001,MATCH(ROWS($K$2:K4),$K$2:$K$1001,0),1)&gt;=100000,INDEX($R$1005:$W$1005,1,MATCH(COLUMNS($R$1006:U1006),$R$1006:$W$1006,0))&gt;=100000), " ",IF(INDEX($R$2:$W$1001,MATCH(ROWS($K$2:K4),$K$2:$K$1001,0),MATCH(COLUMNS($R$1006:U1006),$R$1006:$W$1006,0)), HYPERLINK("#",""), HYPERLINK(CONCATENATE("#Metadata!", ADDRESS(INDEX($M$2:$M$1001,MATCH(ROWS($K$2:K4),$K$2:$K$1001,0),0), INDEX($R$1004:$W$1004,1,MATCH(COLUMNS($R$1006:U1006),$R$1006:$W$1006,0)))),"Fix")))</f>
        <v>0</v>
      </c>
      <c r="F4" s="3">
        <f>IF(OR(INDEX($L$2:$L$1001,MATCH(ROWS($K$2:K4),$K$2:$K$1001,0),1)&gt;=100000,INDEX($R$1005:$W$1005,1,MATCH(COLUMNS($R$1006:V1006),$R$1006:$W$1006,0))&gt;=100000), " ",IF(INDEX($R$2:$W$1001,MATCH(ROWS($K$2:K4),$K$2:$K$1001,0),MATCH(COLUMNS($R$1006:V1006),$R$1006:$W$1006,0)), HYPERLINK("#",""), HYPERLINK(CONCATENATE("#Metadata!", ADDRESS(INDEX($M$2:$M$1001,MATCH(ROWS($K$2:K4),$K$2:$K$1001,0),0), INDEX($R$1004:$W$1004,1,MATCH(COLUMNS($R$1006:V1006),$R$1006:$W$1006,0)))),"Fix")))</f>
        <v>0</v>
      </c>
      <c r="G4" s="3">
        <f>IF(OR(INDEX($L$2:$L$1001,MATCH(ROWS($K$2:K4),$K$2:$K$1001,0),1)&gt;=100000,INDEX($R$1005:$W$1005,1,MATCH(COLUMNS($R$1006:W1006),$R$1006:$W$1006,0))&gt;=100000), " ",IF(INDEX($R$2:$W$1001,MATCH(ROWS($K$2:K4),$K$2:$K$1001,0),MATCH(COLUMNS($R$1006:W1006),$R$1006:$W$1006,0)), HYPERLINK("#",""), HYPERLINK(CONCATENATE("#Metadata!", ADDRESS(INDEX($M$2:$M$1001,MATCH(ROWS($K$2:K4),$K$2:$K$1001,0),0), INDEX($R$1004:$W$1004,1,MATCH(COLUMNS($R$1006:W1006),$R$1006:$W$1006,0)))),"Fix")))</f>
        <v>0</v>
      </c>
      <c r="K4">
        <v>0</v>
      </c>
      <c r="L4">
        <v>0</v>
      </c>
      <c r="M4">
        <v>0</v>
      </c>
      <c r="N4">
        <f>IF(O4,TRUE,AND(R4:W4))</f>
        <v>0</v>
      </c>
      <c r="O4">
        <f>COUNTBLANK(Metadata!B4:G4)=COLUMNS(Metadata!B4:G4)</f>
        <v>0</v>
      </c>
      <c r="P4">
        <v>0</v>
      </c>
      <c r="R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S4">
        <f>IF(Metadata!C4="",FALSE,TRUE)</f>
        <v>0</v>
      </c>
      <c r="T4">
        <f>IF(Metadata!D4="",FALSE,TRUE)</f>
        <v>0</v>
      </c>
      <c r="U4">
        <f>IF(Metadata!E4="",FALSE,TRUE)</f>
        <v>0</v>
      </c>
      <c r="V4">
        <f>AND(IF(Metadata!F4="",FALSE,TRUE),exact(Metadata!F4,"rat gut metagenome"))</f>
        <v>0</v>
      </c>
      <c r="W4">
        <f>AND(IF(Metadata!G4="",FALSE,TRUE),exact(Metadata!G4,"1436733"))</f>
        <v>0</v>
      </c>
    </row>
    <row r="5" spans="1:23">
      <c r="A5" s="4">
        <f>IF(B5=" "," ",HYPERLINK(CONCATENATE("#metadata!",ADDRESS(INDEX($M$2:$M$1001,MATCH(ROWS($K$2:K5),$K$2:$K$1001,0),0),1)),INDEX($P$2:$P$1001,MATCH(ROWS($K$2:K5),$K$2:$K$1001,0),0)))</f>
        <v>0</v>
      </c>
      <c r="B5" s="3">
        <f>IF(OR(INDEX($L$2:$L$1001,MATCH(ROWS($K$2:K5),$K$2:$K$1001,0),1)&gt;=100000,INDEX($R$1005:$W$1005,1,MATCH(COLUMNS($R$1006:R1006),$R$1006:$W$1006,0))&gt;=100000), " ",IF(INDEX($R$2:$W$1001,MATCH(ROWS($K$2:K5),$K$2:$K$1001,0),MATCH(COLUMNS($R$1006:R1006),$R$1006:$W$1006,0)), HYPERLINK("#",""), HYPERLINK(CONCATENATE("#Metadata!", ADDRESS(INDEX($M$2:$M$1001,MATCH(ROWS($K$2:K5),$K$2:$K$1001,0),0), INDEX($R$1004:$W$1004,1,MATCH(COLUMNS($R$1006:R1006),$R$1006:$W$1006,0)))),"Fix")))</f>
        <v>0</v>
      </c>
      <c r="C5" s="3">
        <f>IF(OR(INDEX($L$2:$L$1001,MATCH(ROWS($K$2:K5),$K$2:$K$1001,0),1)&gt;=100000,INDEX($R$1005:$W$1005,1,MATCH(COLUMNS($R$1006:S1006),$R$1006:$W$1006,0))&gt;=100000), " ",IF(INDEX($R$2:$W$1001,MATCH(ROWS($K$2:K5),$K$2:$K$1001,0),MATCH(COLUMNS($R$1006:S1006),$R$1006:$W$1006,0)), HYPERLINK("#",""), HYPERLINK(CONCATENATE("#Metadata!", ADDRESS(INDEX($M$2:$M$1001,MATCH(ROWS($K$2:K5),$K$2:$K$1001,0),0), INDEX($R$1004:$W$1004,1,MATCH(COLUMNS($R$1006:S1006),$R$1006:$W$1006,0)))),"Fix")))</f>
        <v>0</v>
      </c>
      <c r="D5" s="3">
        <f>IF(OR(INDEX($L$2:$L$1001,MATCH(ROWS($K$2:K5),$K$2:$K$1001,0),1)&gt;=100000,INDEX($R$1005:$W$1005,1,MATCH(COLUMNS($R$1006:T1006),$R$1006:$W$1006,0))&gt;=100000), " ",IF(INDEX($R$2:$W$1001,MATCH(ROWS($K$2:K5),$K$2:$K$1001,0),MATCH(COLUMNS($R$1006:T1006),$R$1006:$W$1006,0)), HYPERLINK("#",""), HYPERLINK(CONCATENATE("#Metadata!", ADDRESS(INDEX($M$2:$M$1001,MATCH(ROWS($K$2:K5),$K$2:$K$1001,0),0), INDEX($R$1004:$W$1004,1,MATCH(COLUMNS($R$1006:T1006),$R$1006:$W$1006,0)))),"Fix")))</f>
        <v>0</v>
      </c>
      <c r="E5" s="3">
        <f>IF(OR(INDEX($L$2:$L$1001,MATCH(ROWS($K$2:K5),$K$2:$K$1001,0),1)&gt;=100000,INDEX($R$1005:$W$1005,1,MATCH(COLUMNS($R$1006:U1006),$R$1006:$W$1006,0))&gt;=100000), " ",IF(INDEX($R$2:$W$1001,MATCH(ROWS($K$2:K5),$K$2:$K$1001,0),MATCH(COLUMNS($R$1006:U1006),$R$1006:$W$1006,0)), HYPERLINK("#",""), HYPERLINK(CONCATENATE("#Metadata!", ADDRESS(INDEX($M$2:$M$1001,MATCH(ROWS($K$2:K5),$K$2:$K$1001,0),0), INDEX($R$1004:$W$1004,1,MATCH(COLUMNS($R$1006:U1006),$R$1006:$W$1006,0)))),"Fix")))</f>
        <v>0</v>
      </c>
      <c r="F5" s="3">
        <f>IF(OR(INDEX($L$2:$L$1001,MATCH(ROWS($K$2:K5),$K$2:$K$1001,0),1)&gt;=100000,INDEX($R$1005:$W$1005,1,MATCH(COLUMNS($R$1006:V1006),$R$1006:$W$1006,0))&gt;=100000), " ",IF(INDEX($R$2:$W$1001,MATCH(ROWS($K$2:K5),$K$2:$K$1001,0),MATCH(COLUMNS($R$1006:V1006),$R$1006:$W$1006,0)), HYPERLINK("#",""), HYPERLINK(CONCATENATE("#Metadata!", ADDRESS(INDEX($M$2:$M$1001,MATCH(ROWS($K$2:K5),$K$2:$K$1001,0),0), INDEX($R$1004:$W$1004,1,MATCH(COLUMNS($R$1006:V1006),$R$1006:$W$1006,0)))),"Fix")))</f>
        <v>0</v>
      </c>
      <c r="G5" s="3">
        <f>IF(OR(INDEX($L$2:$L$1001,MATCH(ROWS($K$2:K5),$K$2:$K$1001,0),1)&gt;=100000,INDEX($R$1005:$W$1005,1,MATCH(COLUMNS($R$1006:W1006),$R$1006:$W$1006,0))&gt;=100000), " ",IF(INDEX($R$2:$W$1001,MATCH(ROWS($K$2:K5),$K$2:$K$1001,0),MATCH(COLUMNS($R$1006:W1006),$R$1006:$W$1006,0)), HYPERLINK("#",""), HYPERLINK(CONCATENATE("#Metadata!", ADDRESS(INDEX($M$2:$M$1001,MATCH(ROWS($K$2:K5),$K$2:$K$1001,0),0), INDEX($R$1004:$W$1004,1,MATCH(COLUMNS($R$1006:W1006),$R$1006:$W$1006,0)))),"Fix")))</f>
        <v>0</v>
      </c>
      <c r="K5">
        <v>0</v>
      </c>
      <c r="L5">
        <v>0</v>
      </c>
      <c r="M5">
        <v>0</v>
      </c>
      <c r="N5">
        <f>IF(O5,TRUE,AND(R5:W5))</f>
        <v>0</v>
      </c>
      <c r="O5">
        <f>COUNTBLANK(Metadata!B5:G5)=COLUMNS(Metadata!B5:G5)</f>
        <v>0</v>
      </c>
      <c r="P5">
        <v>0</v>
      </c>
      <c r="R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S5">
        <f>IF(Metadata!C5="",FALSE,TRUE)</f>
        <v>0</v>
      </c>
      <c r="T5">
        <f>IF(Metadata!D5="",FALSE,TRUE)</f>
        <v>0</v>
      </c>
      <c r="U5">
        <f>IF(Metadata!E5="",FALSE,TRUE)</f>
        <v>0</v>
      </c>
      <c r="V5">
        <f>AND(IF(Metadata!F5="",FALSE,TRUE),exact(Metadata!F5,"rat gut metagenome"))</f>
        <v>0</v>
      </c>
      <c r="W5">
        <f>AND(IF(Metadata!G5="",FALSE,TRUE),exact(Metadata!G5,"1436733"))</f>
        <v>0</v>
      </c>
    </row>
    <row r="6" spans="1:23">
      <c r="A6" s="4">
        <f>IF(B6=" "," ",HYPERLINK(CONCATENATE("#metadata!",ADDRESS(INDEX($M$2:$M$1001,MATCH(ROWS($K$2:K6),$K$2:$K$1001,0),0),1)),INDEX($P$2:$P$1001,MATCH(ROWS($K$2:K6),$K$2:$K$1001,0),0)))</f>
        <v>0</v>
      </c>
      <c r="B6" s="3">
        <f>IF(OR(INDEX($L$2:$L$1001,MATCH(ROWS($K$2:K6),$K$2:$K$1001,0),1)&gt;=100000,INDEX($R$1005:$W$1005,1,MATCH(COLUMNS($R$1006:R1006),$R$1006:$W$1006,0))&gt;=100000), " ",IF(INDEX($R$2:$W$1001,MATCH(ROWS($K$2:K6),$K$2:$K$1001,0),MATCH(COLUMNS($R$1006:R1006),$R$1006:$W$1006,0)), HYPERLINK("#",""), HYPERLINK(CONCATENATE("#Metadata!", ADDRESS(INDEX($M$2:$M$1001,MATCH(ROWS($K$2:K6),$K$2:$K$1001,0),0), INDEX($R$1004:$W$1004,1,MATCH(COLUMNS($R$1006:R1006),$R$1006:$W$1006,0)))),"Fix")))</f>
        <v>0</v>
      </c>
      <c r="C6" s="3">
        <f>IF(OR(INDEX($L$2:$L$1001,MATCH(ROWS($K$2:K6),$K$2:$K$1001,0),1)&gt;=100000,INDEX($R$1005:$W$1005,1,MATCH(COLUMNS($R$1006:S1006),$R$1006:$W$1006,0))&gt;=100000), " ",IF(INDEX($R$2:$W$1001,MATCH(ROWS($K$2:K6),$K$2:$K$1001,0),MATCH(COLUMNS($R$1006:S1006),$R$1006:$W$1006,0)), HYPERLINK("#",""), HYPERLINK(CONCATENATE("#Metadata!", ADDRESS(INDEX($M$2:$M$1001,MATCH(ROWS($K$2:K6),$K$2:$K$1001,0),0), INDEX($R$1004:$W$1004,1,MATCH(COLUMNS($R$1006:S1006),$R$1006:$W$1006,0)))),"Fix")))</f>
        <v>0</v>
      </c>
      <c r="D6" s="3">
        <f>IF(OR(INDEX($L$2:$L$1001,MATCH(ROWS($K$2:K6),$K$2:$K$1001,0),1)&gt;=100000,INDEX($R$1005:$W$1005,1,MATCH(COLUMNS($R$1006:T1006),$R$1006:$W$1006,0))&gt;=100000), " ",IF(INDEX($R$2:$W$1001,MATCH(ROWS($K$2:K6),$K$2:$K$1001,0),MATCH(COLUMNS($R$1006:T1006),$R$1006:$W$1006,0)), HYPERLINK("#",""), HYPERLINK(CONCATENATE("#Metadata!", ADDRESS(INDEX($M$2:$M$1001,MATCH(ROWS($K$2:K6),$K$2:$K$1001,0),0), INDEX($R$1004:$W$1004,1,MATCH(COLUMNS($R$1006:T1006),$R$1006:$W$1006,0)))),"Fix")))</f>
        <v>0</v>
      </c>
      <c r="E6" s="3">
        <f>IF(OR(INDEX($L$2:$L$1001,MATCH(ROWS($K$2:K6),$K$2:$K$1001,0),1)&gt;=100000,INDEX($R$1005:$W$1005,1,MATCH(COLUMNS($R$1006:U1006),$R$1006:$W$1006,0))&gt;=100000), " ",IF(INDEX($R$2:$W$1001,MATCH(ROWS($K$2:K6),$K$2:$K$1001,0),MATCH(COLUMNS($R$1006:U1006),$R$1006:$W$1006,0)), HYPERLINK("#",""), HYPERLINK(CONCATENATE("#Metadata!", ADDRESS(INDEX($M$2:$M$1001,MATCH(ROWS($K$2:K6),$K$2:$K$1001,0),0), INDEX($R$1004:$W$1004,1,MATCH(COLUMNS($R$1006:U1006),$R$1006:$W$1006,0)))),"Fix")))</f>
        <v>0</v>
      </c>
      <c r="F6" s="3">
        <f>IF(OR(INDEX($L$2:$L$1001,MATCH(ROWS($K$2:K6),$K$2:$K$1001,0),1)&gt;=100000,INDEX($R$1005:$W$1005,1,MATCH(COLUMNS($R$1006:V1006),$R$1006:$W$1006,0))&gt;=100000), " ",IF(INDEX($R$2:$W$1001,MATCH(ROWS($K$2:K6),$K$2:$K$1001,0),MATCH(COLUMNS($R$1006:V1006),$R$1006:$W$1006,0)), HYPERLINK("#",""), HYPERLINK(CONCATENATE("#Metadata!", ADDRESS(INDEX($M$2:$M$1001,MATCH(ROWS($K$2:K6),$K$2:$K$1001,0),0), INDEX($R$1004:$W$1004,1,MATCH(COLUMNS($R$1006:V1006),$R$1006:$W$1006,0)))),"Fix")))</f>
        <v>0</v>
      </c>
      <c r="G6" s="3">
        <f>IF(OR(INDEX($L$2:$L$1001,MATCH(ROWS($K$2:K6),$K$2:$K$1001,0),1)&gt;=100000,INDEX($R$1005:$W$1005,1,MATCH(COLUMNS($R$1006:W1006),$R$1006:$W$1006,0))&gt;=100000), " ",IF(INDEX($R$2:$W$1001,MATCH(ROWS($K$2:K6),$K$2:$K$1001,0),MATCH(COLUMNS($R$1006:W1006),$R$1006:$W$1006,0)), HYPERLINK("#",""), HYPERLINK(CONCATENATE("#Metadata!", ADDRESS(INDEX($M$2:$M$1001,MATCH(ROWS($K$2:K6),$K$2:$K$1001,0),0), INDEX($R$1004:$W$1004,1,MATCH(COLUMNS($R$1006:W1006),$R$1006:$W$1006,0)))),"Fix")))</f>
        <v>0</v>
      </c>
      <c r="K6">
        <v>0</v>
      </c>
      <c r="L6">
        <v>0</v>
      </c>
      <c r="M6">
        <v>0</v>
      </c>
      <c r="N6">
        <f>IF(O6,TRUE,AND(R6:W6))</f>
        <v>0</v>
      </c>
      <c r="O6">
        <f>COUNTBLANK(Metadata!B6:G6)=COLUMNS(Metadata!B6:G6)</f>
        <v>0</v>
      </c>
      <c r="P6">
        <v>0</v>
      </c>
      <c r="R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S6">
        <f>IF(Metadata!C6="",FALSE,TRUE)</f>
        <v>0</v>
      </c>
      <c r="T6">
        <f>IF(Metadata!D6="",FALSE,TRUE)</f>
        <v>0</v>
      </c>
      <c r="U6">
        <f>IF(Metadata!E6="",FALSE,TRUE)</f>
        <v>0</v>
      </c>
      <c r="V6">
        <f>AND(IF(Metadata!F6="",FALSE,TRUE),exact(Metadata!F6,"rat gut metagenome"))</f>
        <v>0</v>
      </c>
      <c r="W6">
        <f>AND(IF(Metadata!G6="",FALSE,TRUE),exact(Metadata!G6,"1436733"))</f>
        <v>0</v>
      </c>
    </row>
    <row r="7" spans="1:23">
      <c r="A7" s="4">
        <f>IF(B7=" "," ",HYPERLINK(CONCATENATE("#metadata!",ADDRESS(INDEX($M$2:$M$1001,MATCH(ROWS($K$2:K7),$K$2:$K$1001,0),0),1)),INDEX($P$2:$P$1001,MATCH(ROWS($K$2:K7),$K$2:$K$1001,0),0)))</f>
        <v>0</v>
      </c>
      <c r="B7" s="3">
        <f>IF(OR(INDEX($L$2:$L$1001,MATCH(ROWS($K$2:K7),$K$2:$K$1001,0),1)&gt;=100000,INDEX($R$1005:$W$1005,1,MATCH(COLUMNS($R$1006:R1006),$R$1006:$W$1006,0))&gt;=100000), " ",IF(INDEX($R$2:$W$1001,MATCH(ROWS($K$2:K7),$K$2:$K$1001,0),MATCH(COLUMNS($R$1006:R1006),$R$1006:$W$1006,0)), HYPERLINK("#",""), HYPERLINK(CONCATENATE("#Metadata!", ADDRESS(INDEX($M$2:$M$1001,MATCH(ROWS($K$2:K7),$K$2:$K$1001,0),0), INDEX($R$1004:$W$1004,1,MATCH(COLUMNS($R$1006:R1006),$R$1006:$W$1006,0)))),"Fix")))</f>
        <v>0</v>
      </c>
      <c r="C7" s="3">
        <f>IF(OR(INDEX($L$2:$L$1001,MATCH(ROWS($K$2:K7),$K$2:$K$1001,0),1)&gt;=100000,INDEX($R$1005:$W$1005,1,MATCH(COLUMNS($R$1006:S1006),$R$1006:$W$1006,0))&gt;=100000), " ",IF(INDEX($R$2:$W$1001,MATCH(ROWS($K$2:K7),$K$2:$K$1001,0),MATCH(COLUMNS($R$1006:S1006),$R$1006:$W$1006,0)), HYPERLINK("#",""), HYPERLINK(CONCATENATE("#Metadata!", ADDRESS(INDEX($M$2:$M$1001,MATCH(ROWS($K$2:K7),$K$2:$K$1001,0),0), INDEX($R$1004:$W$1004,1,MATCH(COLUMNS($R$1006:S1006),$R$1006:$W$1006,0)))),"Fix")))</f>
        <v>0</v>
      </c>
      <c r="D7" s="3">
        <f>IF(OR(INDEX($L$2:$L$1001,MATCH(ROWS($K$2:K7),$K$2:$K$1001,0),1)&gt;=100000,INDEX($R$1005:$W$1005,1,MATCH(COLUMNS($R$1006:T1006),$R$1006:$W$1006,0))&gt;=100000), " ",IF(INDEX($R$2:$W$1001,MATCH(ROWS($K$2:K7),$K$2:$K$1001,0),MATCH(COLUMNS($R$1006:T1006),$R$1006:$W$1006,0)), HYPERLINK("#",""), HYPERLINK(CONCATENATE("#Metadata!", ADDRESS(INDEX($M$2:$M$1001,MATCH(ROWS($K$2:K7),$K$2:$K$1001,0),0), INDEX($R$1004:$W$1004,1,MATCH(COLUMNS($R$1006:T1006),$R$1006:$W$1006,0)))),"Fix")))</f>
        <v>0</v>
      </c>
      <c r="E7" s="3">
        <f>IF(OR(INDEX($L$2:$L$1001,MATCH(ROWS($K$2:K7),$K$2:$K$1001,0),1)&gt;=100000,INDEX($R$1005:$W$1005,1,MATCH(COLUMNS($R$1006:U1006),$R$1006:$W$1006,0))&gt;=100000), " ",IF(INDEX($R$2:$W$1001,MATCH(ROWS($K$2:K7),$K$2:$K$1001,0),MATCH(COLUMNS($R$1006:U1006),$R$1006:$W$1006,0)), HYPERLINK("#",""), HYPERLINK(CONCATENATE("#Metadata!", ADDRESS(INDEX($M$2:$M$1001,MATCH(ROWS($K$2:K7),$K$2:$K$1001,0),0), INDEX($R$1004:$W$1004,1,MATCH(COLUMNS($R$1006:U1006),$R$1006:$W$1006,0)))),"Fix")))</f>
        <v>0</v>
      </c>
      <c r="F7" s="3">
        <f>IF(OR(INDEX($L$2:$L$1001,MATCH(ROWS($K$2:K7),$K$2:$K$1001,0),1)&gt;=100000,INDEX($R$1005:$W$1005,1,MATCH(COLUMNS($R$1006:V1006),$R$1006:$W$1006,0))&gt;=100000), " ",IF(INDEX($R$2:$W$1001,MATCH(ROWS($K$2:K7),$K$2:$K$1001,0),MATCH(COLUMNS($R$1006:V1006),$R$1006:$W$1006,0)), HYPERLINK("#",""), HYPERLINK(CONCATENATE("#Metadata!", ADDRESS(INDEX($M$2:$M$1001,MATCH(ROWS($K$2:K7),$K$2:$K$1001,0),0), INDEX($R$1004:$W$1004,1,MATCH(COLUMNS($R$1006:V1006),$R$1006:$W$1006,0)))),"Fix")))</f>
        <v>0</v>
      </c>
      <c r="G7" s="3">
        <f>IF(OR(INDEX($L$2:$L$1001,MATCH(ROWS($K$2:K7),$K$2:$K$1001,0),1)&gt;=100000,INDEX($R$1005:$W$1005,1,MATCH(COLUMNS($R$1006:W1006),$R$1006:$W$1006,0))&gt;=100000), " ",IF(INDEX($R$2:$W$1001,MATCH(ROWS($K$2:K7),$K$2:$K$1001,0),MATCH(COLUMNS($R$1006:W1006),$R$1006:$W$1006,0)), HYPERLINK("#",""), HYPERLINK(CONCATENATE("#Metadata!", ADDRESS(INDEX($M$2:$M$1001,MATCH(ROWS($K$2:K7),$K$2:$K$1001,0),0), INDEX($R$1004:$W$1004,1,MATCH(COLUMNS($R$1006:W1006),$R$1006:$W$1006,0)))),"Fix")))</f>
        <v>0</v>
      </c>
      <c r="K7">
        <v>0</v>
      </c>
      <c r="L7">
        <v>0</v>
      </c>
      <c r="M7">
        <v>0</v>
      </c>
      <c r="N7">
        <f>IF(O7,TRUE,AND(R7:W7))</f>
        <v>0</v>
      </c>
      <c r="O7">
        <f>COUNTBLANK(Metadata!B7:G7)=COLUMNS(Metadata!B7:G7)</f>
        <v>0</v>
      </c>
      <c r="P7">
        <v>0</v>
      </c>
      <c r="R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S7">
        <f>IF(Metadata!C7="",FALSE,TRUE)</f>
        <v>0</v>
      </c>
      <c r="T7">
        <f>IF(Metadata!D7="",FALSE,TRUE)</f>
        <v>0</v>
      </c>
      <c r="U7">
        <f>IF(Metadata!E7="",FALSE,TRUE)</f>
        <v>0</v>
      </c>
      <c r="V7">
        <f>AND(IF(Metadata!F7="",FALSE,TRUE),exact(Metadata!F7,"rat gut metagenome"))</f>
        <v>0</v>
      </c>
      <c r="W7">
        <f>AND(IF(Metadata!G7="",FALSE,TRUE),exact(Metadata!G7,"1436733"))</f>
        <v>0</v>
      </c>
    </row>
    <row r="8" spans="1:23">
      <c r="A8" s="4">
        <f>IF(B8=" "," ",HYPERLINK(CONCATENATE("#metadata!",ADDRESS(INDEX($M$2:$M$1001,MATCH(ROWS($K$2:K8),$K$2:$K$1001,0),0),1)),INDEX($P$2:$P$1001,MATCH(ROWS($K$2:K8),$K$2:$K$1001,0),0)))</f>
        <v>0</v>
      </c>
      <c r="B8" s="3">
        <f>IF(OR(INDEX($L$2:$L$1001,MATCH(ROWS($K$2:K8),$K$2:$K$1001,0),1)&gt;=100000,INDEX($R$1005:$W$1005,1,MATCH(COLUMNS($R$1006:R1006),$R$1006:$W$1006,0))&gt;=100000), " ",IF(INDEX($R$2:$W$1001,MATCH(ROWS($K$2:K8),$K$2:$K$1001,0),MATCH(COLUMNS($R$1006:R1006),$R$1006:$W$1006,0)), HYPERLINK("#",""), HYPERLINK(CONCATENATE("#Metadata!", ADDRESS(INDEX($M$2:$M$1001,MATCH(ROWS($K$2:K8),$K$2:$K$1001,0),0), INDEX($R$1004:$W$1004,1,MATCH(COLUMNS($R$1006:R1006),$R$1006:$W$1006,0)))),"Fix")))</f>
        <v>0</v>
      </c>
      <c r="C8" s="3">
        <f>IF(OR(INDEX($L$2:$L$1001,MATCH(ROWS($K$2:K8),$K$2:$K$1001,0),1)&gt;=100000,INDEX($R$1005:$W$1005,1,MATCH(COLUMNS($R$1006:S1006),$R$1006:$W$1006,0))&gt;=100000), " ",IF(INDEX($R$2:$W$1001,MATCH(ROWS($K$2:K8),$K$2:$K$1001,0),MATCH(COLUMNS($R$1006:S1006),$R$1006:$W$1006,0)), HYPERLINK("#",""), HYPERLINK(CONCATENATE("#Metadata!", ADDRESS(INDEX($M$2:$M$1001,MATCH(ROWS($K$2:K8),$K$2:$K$1001,0),0), INDEX($R$1004:$W$1004,1,MATCH(COLUMNS($R$1006:S1006),$R$1006:$W$1006,0)))),"Fix")))</f>
        <v>0</v>
      </c>
      <c r="D8" s="3">
        <f>IF(OR(INDEX($L$2:$L$1001,MATCH(ROWS($K$2:K8),$K$2:$K$1001,0),1)&gt;=100000,INDEX($R$1005:$W$1005,1,MATCH(COLUMNS($R$1006:T1006),$R$1006:$W$1006,0))&gt;=100000), " ",IF(INDEX($R$2:$W$1001,MATCH(ROWS($K$2:K8),$K$2:$K$1001,0),MATCH(COLUMNS($R$1006:T1006),$R$1006:$W$1006,0)), HYPERLINK("#",""), HYPERLINK(CONCATENATE("#Metadata!", ADDRESS(INDEX($M$2:$M$1001,MATCH(ROWS($K$2:K8),$K$2:$K$1001,0),0), INDEX($R$1004:$W$1004,1,MATCH(COLUMNS($R$1006:T1006),$R$1006:$W$1006,0)))),"Fix")))</f>
        <v>0</v>
      </c>
      <c r="E8" s="3">
        <f>IF(OR(INDEX($L$2:$L$1001,MATCH(ROWS($K$2:K8),$K$2:$K$1001,0),1)&gt;=100000,INDEX($R$1005:$W$1005,1,MATCH(COLUMNS($R$1006:U1006),$R$1006:$W$1006,0))&gt;=100000), " ",IF(INDEX($R$2:$W$1001,MATCH(ROWS($K$2:K8),$K$2:$K$1001,0),MATCH(COLUMNS($R$1006:U1006),$R$1006:$W$1006,0)), HYPERLINK("#",""), HYPERLINK(CONCATENATE("#Metadata!", ADDRESS(INDEX($M$2:$M$1001,MATCH(ROWS($K$2:K8),$K$2:$K$1001,0),0), INDEX($R$1004:$W$1004,1,MATCH(COLUMNS($R$1006:U1006),$R$1006:$W$1006,0)))),"Fix")))</f>
        <v>0</v>
      </c>
      <c r="F8" s="3">
        <f>IF(OR(INDEX($L$2:$L$1001,MATCH(ROWS($K$2:K8),$K$2:$K$1001,0),1)&gt;=100000,INDEX($R$1005:$W$1005,1,MATCH(COLUMNS($R$1006:V1006),$R$1006:$W$1006,0))&gt;=100000), " ",IF(INDEX($R$2:$W$1001,MATCH(ROWS($K$2:K8),$K$2:$K$1001,0),MATCH(COLUMNS($R$1006:V1006),$R$1006:$W$1006,0)), HYPERLINK("#",""), HYPERLINK(CONCATENATE("#Metadata!", ADDRESS(INDEX($M$2:$M$1001,MATCH(ROWS($K$2:K8),$K$2:$K$1001,0),0), INDEX($R$1004:$W$1004,1,MATCH(COLUMNS($R$1006:V1006),$R$1006:$W$1006,0)))),"Fix")))</f>
        <v>0</v>
      </c>
      <c r="G8" s="3">
        <f>IF(OR(INDEX($L$2:$L$1001,MATCH(ROWS($K$2:K8),$K$2:$K$1001,0),1)&gt;=100000,INDEX($R$1005:$W$1005,1,MATCH(COLUMNS($R$1006:W1006),$R$1006:$W$1006,0))&gt;=100000), " ",IF(INDEX($R$2:$W$1001,MATCH(ROWS($K$2:K8),$K$2:$K$1001,0),MATCH(COLUMNS($R$1006:W1006),$R$1006:$W$1006,0)), HYPERLINK("#",""), HYPERLINK(CONCATENATE("#Metadata!", ADDRESS(INDEX($M$2:$M$1001,MATCH(ROWS($K$2:K8),$K$2:$K$1001,0),0), INDEX($R$1004:$W$1004,1,MATCH(COLUMNS($R$1006:W1006),$R$1006:$W$1006,0)))),"Fix")))</f>
        <v>0</v>
      </c>
      <c r="K8">
        <v>0</v>
      </c>
      <c r="L8">
        <v>0</v>
      </c>
      <c r="M8">
        <v>0</v>
      </c>
      <c r="N8">
        <f>IF(O8,TRUE,AND(R8:W8))</f>
        <v>0</v>
      </c>
      <c r="O8">
        <f>COUNTBLANK(Metadata!B8:G8)=COLUMNS(Metadata!B8:G8)</f>
        <v>0</v>
      </c>
      <c r="P8">
        <v>0</v>
      </c>
      <c r="R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S8">
        <f>IF(Metadata!C8="",FALSE,TRUE)</f>
        <v>0</v>
      </c>
      <c r="T8">
        <f>IF(Metadata!D8="",FALSE,TRUE)</f>
        <v>0</v>
      </c>
      <c r="U8">
        <f>IF(Metadata!E8="",FALSE,TRUE)</f>
        <v>0</v>
      </c>
      <c r="V8">
        <f>AND(IF(Metadata!F8="",FALSE,TRUE),exact(Metadata!F8,"rat gut metagenome"))</f>
        <v>0</v>
      </c>
      <c r="W8">
        <f>AND(IF(Metadata!G8="",FALSE,TRUE),exact(Metadata!G8,"1436733"))</f>
        <v>0</v>
      </c>
    </row>
    <row r="9" spans="1:23">
      <c r="A9" s="4">
        <f>IF(B9=" "," ",HYPERLINK(CONCATENATE("#metadata!",ADDRESS(INDEX($M$2:$M$1001,MATCH(ROWS($K$2:K9),$K$2:$K$1001,0),0),1)),INDEX($P$2:$P$1001,MATCH(ROWS($K$2:K9),$K$2:$K$1001,0),0)))</f>
        <v>0</v>
      </c>
      <c r="B9" s="3">
        <f>IF(OR(INDEX($L$2:$L$1001,MATCH(ROWS($K$2:K9),$K$2:$K$1001,0),1)&gt;=100000,INDEX($R$1005:$W$1005,1,MATCH(COLUMNS($R$1006:R1006),$R$1006:$W$1006,0))&gt;=100000), " ",IF(INDEX($R$2:$W$1001,MATCH(ROWS($K$2:K9),$K$2:$K$1001,0),MATCH(COLUMNS($R$1006:R1006),$R$1006:$W$1006,0)), HYPERLINK("#",""), HYPERLINK(CONCATENATE("#Metadata!", ADDRESS(INDEX($M$2:$M$1001,MATCH(ROWS($K$2:K9),$K$2:$K$1001,0),0), INDEX($R$1004:$W$1004,1,MATCH(COLUMNS($R$1006:R1006),$R$1006:$W$1006,0)))),"Fix")))</f>
        <v>0</v>
      </c>
      <c r="C9" s="3">
        <f>IF(OR(INDEX($L$2:$L$1001,MATCH(ROWS($K$2:K9),$K$2:$K$1001,0),1)&gt;=100000,INDEX($R$1005:$W$1005,1,MATCH(COLUMNS($R$1006:S1006),$R$1006:$W$1006,0))&gt;=100000), " ",IF(INDEX($R$2:$W$1001,MATCH(ROWS($K$2:K9),$K$2:$K$1001,0),MATCH(COLUMNS($R$1006:S1006),$R$1006:$W$1006,0)), HYPERLINK("#",""), HYPERLINK(CONCATENATE("#Metadata!", ADDRESS(INDEX($M$2:$M$1001,MATCH(ROWS($K$2:K9),$K$2:$K$1001,0),0), INDEX($R$1004:$W$1004,1,MATCH(COLUMNS($R$1006:S1006),$R$1006:$W$1006,0)))),"Fix")))</f>
        <v>0</v>
      </c>
      <c r="D9" s="3">
        <f>IF(OR(INDEX($L$2:$L$1001,MATCH(ROWS($K$2:K9),$K$2:$K$1001,0),1)&gt;=100000,INDEX($R$1005:$W$1005,1,MATCH(COLUMNS($R$1006:T1006),$R$1006:$W$1006,0))&gt;=100000), " ",IF(INDEX($R$2:$W$1001,MATCH(ROWS($K$2:K9),$K$2:$K$1001,0),MATCH(COLUMNS($R$1006:T1006),$R$1006:$W$1006,0)), HYPERLINK("#",""), HYPERLINK(CONCATENATE("#Metadata!", ADDRESS(INDEX($M$2:$M$1001,MATCH(ROWS($K$2:K9),$K$2:$K$1001,0),0), INDEX($R$1004:$W$1004,1,MATCH(COLUMNS($R$1006:T1006),$R$1006:$W$1006,0)))),"Fix")))</f>
        <v>0</v>
      </c>
      <c r="E9" s="3">
        <f>IF(OR(INDEX($L$2:$L$1001,MATCH(ROWS($K$2:K9),$K$2:$K$1001,0),1)&gt;=100000,INDEX($R$1005:$W$1005,1,MATCH(COLUMNS($R$1006:U1006),$R$1006:$W$1006,0))&gt;=100000), " ",IF(INDEX($R$2:$W$1001,MATCH(ROWS($K$2:K9),$K$2:$K$1001,0),MATCH(COLUMNS($R$1006:U1006),$R$1006:$W$1006,0)), HYPERLINK("#",""), HYPERLINK(CONCATENATE("#Metadata!", ADDRESS(INDEX($M$2:$M$1001,MATCH(ROWS($K$2:K9),$K$2:$K$1001,0),0), INDEX($R$1004:$W$1004,1,MATCH(COLUMNS($R$1006:U1006),$R$1006:$W$1006,0)))),"Fix")))</f>
        <v>0</v>
      </c>
      <c r="F9" s="3">
        <f>IF(OR(INDEX($L$2:$L$1001,MATCH(ROWS($K$2:K9),$K$2:$K$1001,0),1)&gt;=100000,INDEX($R$1005:$W$1005,1,MATCH(COLUMNS($R$1006:V1006),$R$1006:$W$1006,0))&gt;=100000), " ",IF(INDEX($R$2:$W$1001,MATCH(ROWS($K$2:K9),$K$2:$K$1001,0),MATCH(COLUMNS($R$1006:V1006),$R$1006:$W$1006,0)), HYPERLINK("#",""), HYPERLINK(CONCATENATE("#Metadata!", ADDRESS(INDEX($M$2:$M$1001,MATCH(ROWS($K$2:K9),$K$2:$K$1001,0),0), INDEX($R$1004:$W$1004,1,MATCH(COLUMNS($R$1006:V1006),$R$1006:$W$1006,0)))),"Fix")))</f>
        <v>0</v>
      </c>
      <c r="G9" s="3">
        <f>IF(OR(INDEX($L$2:$L$1001,MATCH(ROWS($K$2:K9),$K$2:$K$1001,0),1)&gt;=100000,INDEX($R$1005:$W$1005,1,MATCH(COLUMNS($R$1006:W1006),$R$1006:$W$1006,0))&gt;=100000), " ",IF(INDEX($R$2:$W$1001,MATCH(ROWS($K$2:K9),$K$2:$K$1001,0),MATCH(COLUMNS($R$1006:W1006),$R$1006:$W$1006,0)), HYPERLINK("#",""), HYPERLINK(CONCATENATE("#Metadata!", ADDRESS(INDEX($M$2:$M$1001,MATCH(ROWS($K$2:K9),$K$2:$K$1001,0),0), INDEX($R$1004:$W$1004,1,MATCH(COLUMNS($R$1006:W1006),$R$1006:$W$1006,0)))),"Fix")))</f>
        <v>0</v>
      </c>
      <c r="K9">
        <v>0</v>
      </c>
      <c r="L9">
        <v>0</v>
      </c>
      <c r="M9">
        <v>0</v>
      </c>
      <c r="N9">
        <f>IF(O9,TRUE,AND(R9:W9))</f>
        <v>0</v>
      </c>
      <c r="O9">
        <f>COUNTBLANK(Metadata!B9:G9)=COLUMNS(Metadata!B9:G9)</f>
        <v>0</v>
      </c>
      <c r="P9">
        <v>0</v>
      </c>
      <c r="R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S9">
        <f>IF(Metadata!C9="",FALSE,TRUE)</f>
        <v>0</v>
      </c>
      <c r="T9">
        <f>IF(Metadata!D9="",FALSE,TRUE)</f>
        <v>0</v>
      </c>
      <c r="U9">
        <f>IF(Metadata!E9="",FALSE,TRUE)</f>
        <v>0</v>
      </c>
      <c r="V9">
        <f>AND(IF(Metadata!F9="",FALSE,TRUE),exact(Metadata!F9,"rat gut metagenome"))</f>
        <v>0</v>
      </c>
      <c r="W9">
        <f>AND(IF(Metadata!G9="",FALSE,TRUE),exact(Metadata!G9,"1436733"))</f>
        <v>0</v>
      </c>
    </row>
    <row r="10" spans="1:23">
      <c r="A10" s="4">
        <f>IF(B10=" "," ",HYPERLINK(CONCATENATE("#metadata!",ADDRESS(INDEX($M$2:$M$1001,MATCH(ROWS($K$2:K10),$K$2:$K$1001,0),0),1)),INDEX($P$2:$P$1001,MATCH(ROWS($K$2:K10),$K$2:$K$1001,0),0)))</f>
        <v>0</v>
      </c>
      <c r="B10" s="3">
        <f>IF(OR(INDEX($L$2:$L$1001,MATCH(ROWS($K$2:K10),$K$2:$K$1001,0),1)&gt;=100000,INDEX($R$1005:$W$1005,1,MATCH(COLUMNS($R$1006:R1006),$R$1006:$W$1006,0))&gt;=100000), " ",IF(INDEX($R$2:$W$1001,MATCH(ROWS($K$2:K10),$K$2:$K$1001,0),MATCH(COLUMNS($R$1006:R1006),$R$1006:$W$1006,0)), HYPERLINK("#",""), HYPERLINK(CONCATENATE("#Metadata!", ADDRESS(INDEX($M$2:$M$1001,MATCH(ROWS($K$2:K10),$K$2:$K$1001,0),0), INDEX($R$1004:$W$1004,1,MATCH(COLUMNS($R$1006:R1006),$R$1006:$W$1006,0)))),"Fix")))</f>
        <v>0</v>
      </c>
      <c r="C10" s="3">
        <f>IF(OR(INDEX($L$2:$L$1001,MATCH(ROWS($K$2:K10),$K$2:$K$1001,0),1)&gt;=100000,INDEX($R$1005:$W$1005,1,MATCH(COLUMNS($R$1006:S1006),$R$1006:$W$1006,0))&gt;=100000), " ",IF(INDEX($R$2:$W$1001,MATCH(ROWS($K$2:K10),$K$2:$K$1001,0),MATCH(COLUMNS($R$1006:S1006),$R$1006:$W$1006,0)), HYPERLINK("#",""), HYPERLINK(CONCATENATE("#Metadata!", ADDRESS(INDEX($M$2:$M$1001,MATCH(ROWS($K$2:K10),$K$2:$K$1001,0),0), INDEX($R$1004:$W$1004,1,MATCH(COLUMNS($R$1006:S1006),$R$1006:$W$1006,0)))),"Fix")))</f>
        <v>0</v>
      </c>
      <c r="D10" s="3">
        <f>IF(OR(INDEX($L$2:$L$1001,MATCH(ROWS($K$2:K10),$K$2:$K$1001,0),1)&gt;=100000,INDEX($R$1005:$W$1005,1,MATCH(COLUMNS($R$1006:T1006),$R$1006:$W$1006,0))&gt;=100000), " ",IF(INDEX($R$2:$W$1001,MATCH(ROWS($K$2:K10),$K$2:$K$1001,0),MATCH(COLUMNS($R$1006:T1006),$R$1006:$W$1006,0)), HYPERLINK("#",""), HYPERLINK(CONCATENATE("#Metadata!", ADDRESS(INDEX($M$2:$M$1001,MATCH(ROWS($K$2:K10),$K$2:$K$1001,0),0), INDEX($R$1004:$W$1004,1,MATCH(COLUMNS($R$1006:T1006),$R$1006:$W$1006,0)))),"Fix")))</f>
        <v>0</v>
      </c>
      <c r="E10" s="3">
        <f>IF(OR(INDEX($L$2:$L$1001,MATCH(ROWS($K$2:K10),$K$2:$K$1001,0),1)&gt;=100000,INDEX($R$1005:$W$1005,1,MATCH(COLUMNS($R$1006:U1006),$R$1006:$W$1006,0))&gt;=100000), " ",IF(INDEX($R$2:$W$1001,MATCH(ROWS($K$2:K10),$K$2:$K$1001,0),MATCH(COLUMNS($R$1006:U1006),$R$1006:$W$1006,0)), HYPERLINK("#",""), HYPERLINK(CONCATENATE("#Metadata!", ADDRESS(INDEX($M$2:$M$1001,MATCH(ROWS($K$2:K10),$K$2:$K$1001,0),0), INDEX($R$1004:$W$1004,1,MATCH(COLUMNS($R$1006:U1006),$R$1006:$W$1006,0)))),"Fix")))</f>
        <v>0</v>
      </c>
      <c r="F10" s="3">
        <f>IF(OR(INDEX($L$2:$L$1001,MATCH(ROWS($K$2:K10),$K$2:$K$1001,0),1)&gt;=100000,INDEX($R$1005:$W$1005,1,MATCH(COLUMNS($R$1006:V1006),$R$1006:$W$1006,0))&gt;=100000), " ",IF(INDEX($R$2:$W$1001,MATCH(ROWS($K$2:K10),$K$2:$K$1001,0),MATCH(COLUMNS($R$1006:V1006),$R$1006:$W$1006,0)), HYPERLINK("#",""), HYPERLINK(CONCATENATE("#Metadata!", ADDRESS(INDEX($M$2:$M$1001,MATCH(ROWS($K$2:K10),$K$2:$K$1001,0),0), INDEX($R$1004:$W$1004,1,MATCH(COLUMNS($R$1006:V1006),$R$1006:$W$1006,0)))),"Fix")))</f>
        <v>0</v>
      </c>
      <c r="G10" s="3">
        <f>IF(OR(INDEX($L$2:$L$1001,MATCH(ROWS($K$2:K10),$K$2:$K$1001,0),1)&gt;=100000,INDEX($R$1005:$W$1005,1,MATCH(COLUMNS($R$1006:W1006),$R$1006:$W$1006,0))&gt;=100000), " ",IF(INDEX($R$2:$W$1001,MATCH(ROWS($K$2:K10),$K$2:$K$1001,0),MATCH(COLUMNS($R$1006:W1006),$R$1006:$W$1006,0)), HYPERLINK("#",""), HYPERLINK(CONCATENATE("#Metadata!", ADDRESS(INDEX($M$2:$M$1001,MATCH(ROWS($K$2:K10),$K$2:$K$1001,0),0), INDEX($R$1004:$W$1004,1,MATCH(COLUMNS($R$1006:W1006),$R$1006:$W$1006,0)))),"Fix")))</f>
        <v>0</v>
      </c>
      <c r="K10">
        <v>0</v>
      </c>
      <c r="L10">
        <v>0</v>
      </c>
      <c r="M10">
        <v>0</v>
      </c>
      <c r="N10">
        <f>IF(O10,TRUE,AND(R10:W10))</f>
        <v>0</v>
      </c>
      <c r="O10">
        <f>COUNTBLANK(Metadata!B10:G10)=COLUMNS(Metadata!B10:G10)</f>
        <v>0</v>
      </c>
      <c r="P10">
        <v>0</v>
      </c>
      <c r="R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S10">
        <f>IF(Metadata!C10="",FALSE,TRUE)</f>
        <v>0</v>
      </c>
      <c r="T10">
        <f>IF(Metadata!D10="",FALSE,TRUE)</f>
        <v>0</v>
      </c>
      <c r="U10">
        <f>IF(Metadata!E10="",FALSE,TRUE)</f>
        <v>0</v>
      </c>
      <c r="V10">
        <f>AND(IF(Metadata!F10="",FALSE,TRUE),exact(Metadata!F10,"rat gut metagenome"))</f>
        <v>0</v>
      </c>
      <c r="W10">
        <f>AND(IF(Metadata!G10="",FALSE,TRUE),exact(Metadata!G10,"1436733"))</f>
        <v>0</v>
      </c>
    </row>
    <row r="11" spans="1:23">
      <c r="A11" s="4">
        <f>IF(B11=" "," ",HYPERLINK(CONCATENATE("#metadata!",ADDRESS(INDEX($M$2:$M$1001,MATCH(ROWS($K$2:K11),$K$2:$K$1001,0),0),1)),INDEX($P$2:$P$1001,MATCH(ROWS($K$2:K11),$K$2:$K$1001,0),0)))</f>
        <v>0</v>
      </c>
      <c r="B11" s="3">
        <f>IF(OR(INDEX($L$2:$L$1001,MATCH(ROWS($K$2:K11),$K$2:$K$1001,0),1)&gt;=100000,INDEX($R$1005:$W$1005,1,MATCH(COLUMNS($R$1006:R1006),$R$1006:$W$1006,0))&gt;=100000), " ",IF(INDEX($R$2:$W$1001,MATCH(ROWS($K$2:K11),$K$2:$K$1001,0),MATCH(COLUMNS($R$1006:R1006),$R$1006:$W$1006,0)), HYPERLINK("#",""), HYPERLINK(CONCATENATE("#Metadata!", ADDRESS(INDEX($M$2:$M$1001,MATCH(ROWS($K$2:K11),$K$2:$K$1001,0),0), INDEX($R$1004:$W$1004,1,MATCH(COLUMNS($R$1006:R1006),$R$1006:$W$1006,0)))),"Fix")))</f>
        <v>0</v>
      </c>
      <c r="C11" s="3">
        <f>IF(OR(INDEX($L$2:$L$1001,MATCH(ROWS($K$2:K11),$K$2:$K$1001,0),1)&gt;=100000,INDEX($R$1005:$W$1005,1,MATCH(COLUMNS($R$1006:S1006),$R$1006:$W$1006,0))&gt;=100000), " ",IF(INDEX($R$2:$W$1001,MATCH(ROWS($K$2:K11),$K$2:$K$1001,0),MATCH(COLUMNS($R$1006:S1006),$R$1006:$W$1006,0)), HYPERLINK("#",""), HYPERLINK(CONCATENATE("#Metadata!", ADDRESS(INDEX($M$2:$M$1001,MATCH(ROWS($K$2:K11),$K$2:$K$1001,0),0), INDEX($R$1004:$W$1004,1,MATCH(COLUMNS($R$1006:S1006),$R$1006:$W$1006,0)))),"Fix")))</f>
        <v>0</v>
      </c>
      <c r="D11" s="3">
        <f>IF(OR(INDEX($L$2:$L$1001,MATCH(ROWS($K$2:K11),$K$2:$K$1001,0),1)&gt;=100000,INDEX($R$1005:$W$1005,1,MATCH(COLUMNS($R$1006:T1006),$R$1006:$W$1006,0))&gt;=100000), " ",IF(INDEX($R$2:$W$1001,MATCH(ROWS($K$2:K11),$K$2:$K$1001,0),MATCH(COLUMNS($R$1006:T1006),$R$1006:$W$1006,0)), HYPERLINK("#",""), HYPERLINK(CONCATENATE("#Metadata!", ADDRESS(INDEX($M$2:$M$1001,MATCH(ROWS($K$2:K11),$K$2:$K$1001,0),0), INDEX($R$1004:$W$1004,1,MATCH(COLUMNS($R$1006:T1006),$R$1006:$W$1006,0)))),"Fix")))</f>
        <v>0</v>
      </c>
      <c r="E11" s="3">
        <f>IF(OR(INDEX($L$2:$L$1001,MATCH(ROWS($K$2:K11),$K$2:$K$1001,0),1)&gt;=100000,INDEX($R$1005:$W$1005,1,MATCH(COLUMNS($R$1006:U1006),$R$1006:$W$1006,0))&gt;=100000), " ",IF(INDEX($R$2:$W$1001,MATCH(ROWS($K$2:K11),$K$2:$K$1001,0),MATCH(COLUMNS($R$1006:U1006),$R$1006:$W$1006,0)), HYPERLINK("#",""), HYPERLINK(CONCATENATE("#Metadata!", ADDRESS(INDEX($M$2:$M$1001,MATCH(ROWS($K$2:K11),$K$2:$K$1001,0),0), INDEX($R$1004:$W$1004,1,MATCH(COLUMNS($R$1006:U1006),$R$1006:$W$1006,0)))),"Fix")))</f>
        <v>0</v>
      </c>
      <c r="F11" s="3">
        <f>IF(OR(INDEX($L$2:$L$1001,MATCH(ROWS($K$2:K11),$K$2:$K$1001,0),1)&gt;=100000,INDEX($R$1005:$W$1005,1,MATCH(COLUMNS($R$1006:V1006),$R$1006:$W$1006,0))&gt;=100000), " ",IF(INDEX($R$2:$W$1001,MATCH(ROWS($K$2:K11),$K$2:$K$1001,0),MATCH(COLUMNS($R$1006:V1006),$R$1006:$W$1006,0)), HYPERLINK("#",""), HYPERLINK(CONCATENATE("#Metadata!", ADDRESS(INDEX($M$2:$M$1001,MATCH(ROWS($K$2:K11),$K$2:$K$1001,0),0), INDEX($R$1004:$W$1004,1,MATCH(COLUMNS($R$1006:V1006),$R$1006:$W$1006,0)))),"Fix")))</f>
        <v>0</v>
      </c>
      <c r="G11" s="3">
        <f>IF(OR(INDEX($L$2:$L$1001,MATCH(ROWS($K$2:K11),$K$2:$K$1001,0),1)&gt;=100000,INDEX($R$1005:$W$1005,1,MATCH(COLUMNS($R$1006:W1006),$R$1006:$W$1006,0))&gt;=100000), " ",IF(INDEX($R$2:$W$1001,MATCH(ROWS($K$2:K11),$K$2:$K$1001,0),MATCH(COLUMNS($R$1006:W1006),$R$1006:$W$1006,0)), HYPERLINK("#",""), HYPERLINK(CONCATENATE("#Metadata!", ADDRESS(INDEX($M$2:$M$1001,MATCH(ROWS($K$2:K11),$K$2:$K$1001,0),0), INDEX($R$1004:$W$1004,1,MATCH(COLUMNS($R$1006:W1006),$R$1006:$W$1006,0)))),"Fix")))</f>
        <v>0</v>
      </c>
      <c r="K11">
        <v>0</v>
      </c>
      <c r="L11">
        <v>0</v>
      </c>
      <c r="M11">
        <v>0</v>
      </c>
      <c r="N11">
        <f>IF(O11,TRUE,AND(R11:W11))</f>
        <v>0</v>
      </c>
      <c r="O11">
        <f>COUNTBLANK(Metadata!B11:G11)=COLUMNS(Metadata!B11:G11)</f>
        <v>0</v>
      </c>
      <c r="P11">
        <v>0</v>
      </c>
      <c r="R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S11">
        <f>IF(Metadata!C11="",FALSE,TRUE)</f>
        <v>0</v>
      </c>
      <c r="T11">
        <f>IF(Metadata!D11="",FALSE,TRUE)</f>
        <v>0</v>
      </c>
      <c r="U11">
        <f>IF(Metadata!E11="",FALSE,TRUE)</f>
        <v>0</v>
      </c>
      <c r="V11">
        <f>AND(IF(Metadata!F11="",FALSE,TRUE),exact(Metadata!F11,"rat gut metagenome"))</f>
        <v>0</v>
      </c>
      <c r="W11">
        <f>AND(IF(Metadata!G11="",FALSE,TRUE),exact(Metadata!G11,"1436733"))</f>
        <v>0</v>
      </c>
    </row>
    <row r="12" spans="1:23">
      <c r="A12" s="4">
        <f>IF(B12=" "," ",HYPERLINK(CONCATENATE("#metadata!",ADDRESS(INDEX($M$2:$M$1001,MATCH(ROWS($K$2:K12),$K$2:$K$1001,0),0),1)),INDEX($P$2:$P$1001,MATCH(ROWS($K$2:K12),$K$2:$K$1001,0),0)))</f>
        <v>0</v>
      </c>
      <c r="B12" s="3">
        <f>IF(OR(INDEX($L$2:$L$1001,MATCH(ROWS($K$2:K12),$K$2:$K$1001,0),1)&gt;=100000,INDEX($R$1005:$W$1005,1,MATCH(COLUMNS($R$1006:R1006),$R$1006:$W$1006,0))&gt;=100000), " ",IF(INDEX($R$2:$W$1001,MATCH(ROWS($K$2:K12),$K$2:$K$1001,0),MATCH(COLUMNS($R$1006:R1006),$R$1006:$W$1006,0)), HYPERLINK("#",""), HYPERLINK(CONCATENATE("#Metadata!", ADDRESS(INDEX($M$2:$M$1001,MATCH(ROWS($K$2:K12),$K$2:$K$1001,0),0), INDEX($R$1004:$W$1004,1,MATCH(COLUMNS($R$1006:R1006),$R$1006:$W$1006,0)))),"Fix")))</f>
        <v>0</v>
      </c>
      <c r="C12" s="3">
        <f>IF(OR(INDEX($L$2:$L$1001,MATCH(ROWS($K$2:K12),$K$2:$K$1001,0),1)&gt;=100000,INDEX($R$1005:$W$1005,1,MATCH(COLUMNS($R$1006:S1006),$R$1006:$W$1006,0))&gt;=100000), " ",IF(INDEX($R$2:$W$1001,MATCH(ROWS($K$2:K12),$K$2:$K$1001,0),MATCH(COLUMNS($R$1006:S1006),$R$1006:$W$1006,0)), HYPERLINK("#",""), HYPERLINK(CONCATENATE("#Metadata!", ADDRESS(INDEX($M$2:$M$1001,MATCH(ROWS($K$2:K12),$K$2:$K$1001,0),0), INDEX($R$1004:$W$1004,1,MATCH(COLUMNS($R$1006:S1006),$R$1006:$W$1006,0)))),"Fix")))</f>
        <v>0</v>
      </c>
      <c r="D12" s="3">
        <f>IF(OR(INDEX($L$2:$L$1001,MATCH(ROWS($K$2:K12),$K$2:$K$1001,0),1)&gt;=100000,INDEX($R$1005:$W$1005,1,MATCH(COLUMNS($R$1006:T1006),$R$1006:$W$1006,0))&gt;=100000), " ",IF(INDEX($R$2:$W$1001,MATCH(ROWS($K$2:K12),$K$2:$K$1001,0),MATCH(COLUMNS($R$1006:T1006),$R$1006:$W$1006,0)), HYPERLINK("#",""), HYPERLINK(CONCATENATE("#Metadata!", ADDRESS(INDEX($M$2:$M$1001,MATCH(ROWS($K$2:K12),$K$2:$K$1001,0),0), INDEX($R$1004:$W$1004,1,MATCH(COLUMNS($R$1006:T1006),$R$1006:$W$1006,0)))),"Fix")))</f>
        <v>0</v>
      </c>
      <c r="E12" s="3">
        <f>IF(OR(INDEX($L$2:$L$1001,MATCH(ROWS($K$2:K12),$K$2:$K$1001,0),1)&gt;=100000,INDEX($R$1005:$W$1005,1,MATCH(COLUMNS($R$1006:U1006),$R$1006:$W$1006,0))&gt;=100000), " ",IF(INDEX($R$2:$W$1001,MATCH(ROWS($K$2:K12),$K$2:$K$1001,0),MATCH(COLUMNS($R$1006:U1006),$R$1006:$W$1006,0)), HYPERLINK("#",""), HYPERLINK(CONCATENATE("#Metadata!", ADDRESS(INDEX($M$2:$M$1001,MATCH(ROWS($K$2:K12),$K$2:$K$1001,0),0), INDEX($R$1004:$W$1004,1,MATCH(COLUMNS($R$1006:U1006),$R$1006:$W$1006,0)))),"Fix")))</f>
        <v>0</v>
      </c>
      <c r="F12" s="3">
        <f>IF(OR(INDEX($L$2:$L$1001,MATCH(ROWS($K$2:K12),$K$2:$K$1001,0),1)&gt;=100000,INDEX($R$1005:$W$1005,1,MATCH(COLUMNS($R$1006:V1006),$R$1006:$W$1006,0))&gt;=100000), " ",IF(INDEX($R$2:$W$1001,MATCH(ROWS($K$2:K12),$K$2:$K$1001,0),MATCH(COLUMNS($R$1006:V1006),$R$1006:$W$1006,0)), HYPERLINK("#",""), HYPERLINK(CONCATENATE("#Metadata!", ADDRESS(INDEX($M$2:$M$1001,MATCH(ROWS($K$2:K12),$K$2:$K$1001,0),0), INDEX($R$1004:$W$1004,1,MATCH(COLUMNS($R$1006:V1006),$R$1006:$W$1006,0)))),"Fix")))</f>
        <v>0</v>
      </c>
      <c r="G12" s="3">
        <f>IF(OR(INDEX($L$2:$L$1001,MATCH(ROWS($K$2:K12),$K$2:$K$1001,0),1)&gt;=100000,INDEX($R$1005:$W$1005,1,MATCH(COLUMNS($R$1006:W1006),$R$1006:$W$1006,0))&gt;=100000), " ",IF(INDEX($R$2:$W$1001,MATCH(ROWS($K$2:K12),$K$2:$K$1001,0),MATCH(COLUMNS($R$1006:W1006),$R$1006:$W$1006,0)), HYPERLINK("#",""), HYPERLINK(CONCATENATE("#Metadata!", ADDRESS(INDEX($M$2:$M$1001,MATCH(ROWS($K$2:K12),$K$2:$K$1001,0),0), INDEX($R$1004:$W$1004,1,MATCH(COLUMNS($R$1006:W1006),$R$1006:$W$1006,0)))),"Fix")))</f>
        <v>0</v>
      </c>
      <c r="K12">
        <v>0</v>
      </c>
      <c r="L12">
        <v>0</v>
      </c>
      <c r="M12">
        <v>0</v>
      </c>
      <c r="N12">
        <f>IF(O12,TRUE,AND(R12:W12))</f>
        <v>0</v>
      </c>
      <c r="O12">
        <f>COUNTBLANK(Metadata!B12:G12)=COLUMNS(Metadata!B12:G12)</f>
        <v>0</v>
      </c>
      <c r="P12">
        <v>0</v>
      </c>
      <c r="R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S12">
        <f>IF(Metadata!C12="",FALSE,TRUE)</f>
        <v>0</v>
      </c>
      <c r="T12">
        <f>IF(Metadata!D12="",FALSE,TRUE)</f>
        <v>0</v>
      </c>
      <c r="U12">
        <f>IF(Metadata!E12="",FALSE,TRUE)</f>
        <v>0</v>
      </c>
      <c r="V12">
        <f>AND(IF(Metadata!F12="",FALSE,TRUE),exact(Metadata!F12,"rat gut metagenome"))</f>
        <v>0</v>
      </c>
      <c r="W12">
        <f>AND(IF(Metadata!G12="",FALSE,TRUE),exact(Metadata!G12,"1436733"))</f>
        <v>0</v>
      </c>
    </row>
    <row r="13" spans="1:23">
      <c r="A13" s="4">
        <f>IF(B13=" "," ",HYPERLINK(CONCATENATE("#metadata!",ADDRESS(INDEX($M$2:$M$1001,MATCH(ROWS($K$2:K13),$K$2:$K$1001,0),0),1)),INDEX($P$2:$P$1001,MATCH(ROWS($K$2:K13),$K$2:$K$1001,0),0)))</f>
        <v>0</v>
      </c>
      <c r="B13" s="3">
        <f>IF(OR(INDEX($L$2:$L$1001,MATCH(ROWS($K$2:K13),$K$2:$K$1001,0),1)&gt;=100000,INDEX($R$1005:$W$1005,1,MATCH(COLUMNS($R$1006:R1006),$R$1006:$W$1006,0))&gt;=100000), " ",IF(INDEX($R$2:$W$1001,MATCH(ROWS($K$2:K13),$K$2:$K$1001,0),MATCH(COLUMNS($R$1006:R1006),$R$1006:$W$1006,0)), HYPERLINK("#",""), HYPERLINK(CONCATENATE("#Metadata!", ADDRESS(INDEX($M$2:$M$1001,MATCH(ROWS($K$2:K13),$K$2:$K$1001,0),0), INDEX($R$1004:$W$1004,1,MATCH(COLUMNS($R$1006:R1006),$R$1006:$W$1006,0)))),"Fix")))</f>
        <v>0</v>
      </c>
      <c r="C13" s="3">
        <f>IF(OR(INDEX($L$2:$L$1001,MATCH(ROWS($K$2:K13),$K$2:$K$1001,0),1)&gt;=100000,INDEX($R$1005:$W$1005,1,MATCH(COLUMNS($R$1006:S1006),$R$1006:$W$1006,0))&gt;=100000), " ",IF(INDEX($R$2:$W$1001,MATCH(ROWS($K$2:K13),$K$2:$K$1001,0),MATCH(COLUMNS($R$1006:S1006),$R$1006:$W$1006,0)), HYPERLINK("#",""), HYPERLINK(CONCATENATE("#Metadata!", ADDRESS(INDEX($M$2:$M$1001,MATCH(ROWS($K$2:K13),$K$2:$K$1001,0),0), INDEX($R$1004:$W$1004,1,MATCH(COLUMNS($R$1006:S1006),$R$1006:$W$1006,0)))),"Fix")))</f>
        <v>0</v>
      </c>
      <c r="D13" s="3">
        <f>IF(OR(INDEX($L$2:$L$1001,MATCH(ROWS($K$2:K13),$K$2:$K$1001,0),1)&gt;=100000,INDEX($R$1005:$W$1005,1,MATCH(COLUMNS($R$1006:T1006),$R$1006:$W$1006,0))&gt;=100000), " ",IF(INDEX($R$2:$W$1001,MATCH(ROWS($K$2:K13),$K$2:$K$1001,0),MATCH(COLUMNS($R$1006:T1006),$R$1006:$W$1006,0)), HYPERLINK("#",""), HYPERLINK(CONCATENATE("#Metadata!", ADDRESS(INDEX($M$2:$M$1001,MATCH(ROWS($K$2:K13),$K$2:$K$1001,0),0), INDEX($R$1004:$W$1004,1,MATCH(COLUMNS($R$1006:T1006),$R$1006:$W$1006,0)))),"Fix")))</f>
        <v>0</v>
      </c>
      <c r="E13" s="3">
        <f>IF(OR(INDEX($L$2:$L$1001,MATCH(ROWS($K$2:K13),$K$2:$K$1001,0),1)&gt;=100000,INDEX($R$1005:$W$1005,1,MATCH(COLUMNS($R$1006:U1006),$R$1006:$W$1006,0))&gt;=100000), " ",IF(INDEX($R$2:$W$1001,MATCH(ROWS($K$2:K13),$K$2:$K$1001,0),MATCH(COLUMNS($R$1006:U1006),$R$1006:$W$1006,0)), HYPERLINK("#",""), HYPERLINK(CONCATENATE("#Metadata!", ADDRESS(INDEX($M$2:$M$1001,MATCH(ROWS($K$2:K13),$K$2:$K$1001,0),0), INDEX($R$1004:$W$1004,1,MATCH(COLUMNS($R$1006:U1006),$R$1006:$W$1006,0)))),"Fix")))</f>
        <v>0</v>
      </c>
      <c r="F13" s="3">
        <f>IF(OR(INDEX($L$2:$L$1001,MATCH(ROWS($K$2:K13),$K$2:$K$1001,0),1)&gt;=100000,INDEX($R$1005:$W$1005,1,MATCH(COLUMNS($R$1006:V1006),$R$1006:$W$1006,0))&gt;=100000), " ",IF(INDEX($R$2:$W$1001,MATCH(ROWS($K$2:K13),$K$2:$K$1001,0),MATCH(COLUMNS($R$1006:V1006),$R$1006:$W$1006,0)), HYPERLINK("#",""), HYPERLINK(CONCATENATE("#Metadata!", ADDRESS(INDEX($M$2:$M$1001,MATCH(ROWS($K$2:K13),$K$2:$K$1001,0),0), INDEX($R$1004:$W$1004,1,MATCH(COLUMNS($R$1006:V1006),$R$1006:$W$1006,0)))),"Fix")))</f>
        <v>0</v>
      </c>
      <c r="G13" s="3">
        <f>IF(OR(INDEX($L$2:$L$1001,MATCH(ROWS($K$2:K13),$K$2:$K$1001,0),1)&gt;=100000,INDEX($R$1005:$W$1005,1,MATCH(COLUMNS($R$1006:W1006),$R$1006:$W$1006,0))&gt;=100000), " ",IF(INDEX($R$2:$W$1001,MATCH(ROWS($K$2:K13),$K$2:$K$1001,0),MATCH(COLUMNS($R$1006:W1006),$R$1006:$W$1006,0)), HYPERLINK("#",""), HYPERLINK(CONCATENATE("#Metadata!", ADDRESS(INDEX($M$2:$M$1001,MATCH(ROWS($K$2:K13),$K$2:$K$1001,0),0), INDEX($R$1004:$W$1004,1,MATCH(COLUMNS($R$1006:W1006),$R$1006:$W$1006,0)))),"Fix")))</f>
        <v>0</v>
      </c>
      <c r="K13">
        <v>0</v>
      </c>
      <c r="L13">
        <v>0</v>
      </c>
      <c r="M13">
        <v>0</v>
      </c>
      <c r="N13">
        <f>IF(O13,TRUE,AND(R13:W13))</f>
        <v>0</v>
      </c>
      <c r="O13">
        <f>COUNTBLANK(Metadata!B13:G13)=COLUMNS(Metadata!B13:G13)</f>
        <v>0</v>
      </c>
      <c r="P13">
        <v>0</v>
      </c>
      <c r="R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S13">
        <f>IF(Metadata!C13="",FALSE,TRUE)</f>
        <v>0</v>
      </c>
      <c r="T13">
        <f>IF(Metadata!D13="",FALSE,TRUE)</f>
        <v>0</v>
      </c>
      <c r="U13">
        <f>IF(Metadata!E13="",FALSE,TRUE)</f>
        <v>0</v>
      </c>
      <c r="V13">
        <f>AND(IF(Metadata!F13="",FALSE,TRUE),exact(Metadata!F13,"rat gut metagenome"))</f>
        <v>0</v>
      </c>
      <c r="W13">
        <f>AND(IF(Metadata!G13="",FALSE,TRUE),exact(Metadata!G13,"1436733"))</f>
        <v>0</v>
      </c>
    </row>
    <row r="14" spans="1:23">
      <c r="A14" s="4">
        <f>IF(B14=" "," ",HYPERLINK(CONCATENATE("#metadata!",ADDRESS(INDEX($M$2:$M$1001,MATCH(ROWS($K$2:K14),$K$2:$K$1001,0),0),1)),INDEX($P$2:$P$1001,MATCH(ROWS($K$2:K14),$K$2:$K$1001,0),0)))</f>
        <v>0</v>
      </c>
      <c r="B14" s="3">
        <f>IF(OR(INDEX($L$2:$L$1001,MATCH(ROWS($K$2:K14),$K$2:$K$1001,0),1)&gt;=100000,INDEX($R$1005:$W$1005,1,MATCH(COLUMNS($R$1006:R1006),$R$1006:$W$1006,0))&gt;=100000), " ",IF(INDEX($R$2:$W$1001,MATCH(ROWS($K$2:K14),$K$2:$K$1001,0),MATCH(COLUMNS($R$1006:R1006),$R$1006:$W$1006,0)), HYPERLINK("#",""), HYPERLINK(CONCATENATE("#Metadata!", ADDRESS(INDEX($M$2:$M$1001,MATCH(ROWS($K$2:K14),$K$2:$K$1001,0),0), INDEX($R$1004:$W$1004,1,MATCH(COLUMNS($R$1006:R1006),$R$1006:$W$1006,0)))),"Fix")))</f>
        <v>0</v>
      </c>
      <c r="C14" s="3">
        <f>IF(OR(INDEX($L$2:$L$1001,MATCH(ROWS($K$2:K14),$K$2:$K$1001,0),1)&gt;=100000,INDEX($R$1005:$W$1005,1,MATCH(COLUMNS($R$1006:S1006),$R$1006:$W$1006,0))&gt;=100000), " ",IF(INDEX($R$2:$W$1001,MATCH(ROWS($K$2:K14),$K$2:$K$1001,0),MATCH(COLUMNS($R$1006:S1006),$R$1006:$W$1006,0)), HYPERLINK("#",""), HYPERLINK(CONCATENATE("#Metadata!", ADDRESS(INDEX($M$2:$M$1001,MATCH(ROWS($K$2:K14),$K$2:$K$1001,0),0), INDEX($R$1004:$W$1004,1,MATCH(COLUMNS($R$1006:S1006),$R$1006:$W$1006,0)))),"Fix")))</f>
        <v>0</v>
      </c>
      <c r="D14" s="3">
        <f>IF(OR(INDEX($L$2:$L$1001,MATCH(ROWS($K$2:K14),$K$2:$K$1001,0),1)&gt;=100000,INDEX($R$1005:$W$1005,1,MATCH(COLUMNS($R$1006:T1006),$R$1006:$W$1006,0))&gt;=100000), " ",IF(INDEX($R$2:$W$1001,MATCH(ROWS($K$2:K14),$K$2:$K$1001,0),MATCH(COLUMNS($R$1006:T1006),$R$1006:$W$1006,0)), HYPERLINK("#",""), HYPERLINK(CONCATENATE("#Metadata!", ADDRESS(INDEX($M$2:$M$1001,MATCH(ROWS($K$2:K14),$K$2:$K$1001,0),0), INDEX($R$1004:$W$1004,1,MATCH(COLUMNS($R$1006:T1006),$R$1006:$W$1006,0)))),"Fix")))</f>
        <v>0</v>
      </c>
      <c r="E14" s="3">
        <f>IF(OR(INDEX($L$2:$L$1001,MATCH(ROWS($K$2:K14),$K$2:$K$1001,0),1)&gt;=100000,INDEX($R$1005:$W$1005,1,MATCH(COLUMNS($R$1006:U1006),$R$1006:$W$1006,0))&gt;=100000), " ",IF(INDEX($R$2:$W$1001,MATCH(ROWS($K$2:K14),$K$2:$K$1001,0),MATCH(COLUMNS($R$1006:U1006),$R$1006:$W$1006,0)), HYPERLINK("#",""), HYPERLINK(CONCATENATE("#Metadata!", ADDRESS(INDEX($M$2:$M$1001,MATCH(ROWS($K$2:K14),$K$2:$K$1001,0),0), INDEX($R$1004:$W$1004,1,MATCH(COLUMNS($R$1006:U1006),$R$1006:$W$1006,0)))),"Fix")))</f>
        <v>0</v>
      </c>
      <c r="F14" s="3">
        <f>IF(OR(INDEX($L$2:$L$1001,MATCH(ROWS($K$2:K14),$K$2:$K$1001,0),1)&gt;=100000,INDEX($R$1005:$W$1005,1,MATCH(COLUMNS($R$1006:V1006),$R$1006:$W$1006,0))&gt;=100000), " ",IF(INDEX($R$2:$W$1001,MATCH(ROWS($K$2:K14),$K$2:$K$1001,0),MATCH(COLUMNS($R$1006:V1006),$R$1006:$W$1006,0)), HYPERLINK("#",""), HYPERLINK(CONCATENATE("#Metadata!", ADDRESS(INDEX($M$2:$M$1001,MATCH(ROWS($K$2:K14),$K$2:$K$1001,0),0), INDEX($R$1004:$W$1004,1,MATCH(COLUMNS($R$1006:V1006),$R$1006:$W$1006,0)))),"Fix")))</f>
        <v>0</v>
      </c>
      <c r="G14" s="3">
        <f>IF(OR(INDEX($L$2:$L$1001,MATCH(ROWS($K$2:K14),$K$2:$K$1001,0),1)&gt;=100000,INDEX($R$1005:$W$1005,1,MATCH(COLUMNS($R$1006:W1006),$R$1006:$W$1006,0))&gt;=100000), " ",IF(INDEX($R$2:$W$1001,MATCH(ROWS($K$2:K14),$K$2:$K$1001,0),MATCH(COLUMNS($R$1006:W1006),$R$1006:$W$1006,0)), HYPERLINK("#",""), HYPERLINK(CONCATENATE("#Metadata!", ADDRESS(INDEX($M$2:$M$1001,MATCH(ROWS($K$2:K14),$K$2:$K$1001,0),0), INDEX($R$1004:$W$1004,1,MATCH(COLUMNS($R$1006:W1006),$R$1006:$W$1006,0)))),"Fix")))</f>
        <v>0</v>
      </c>
      <c r="K14">
        <v>0</v>
      </c>
      <c r="L14">
        <v>0</v>
      </c>
      <c r="M14">
        <v>0</v>
      </c>
      <c r="N14">
        <f>IF(O14,TRUE,AND(R14:W14))</f>
        <v>0</v>
      </c>
      <c r="O14">
        <f>COUNTBLANK(Metadata!B14:G14)=COLUMNS(Metadata!B14:G14)</f>
        <v>0</v>
      </c>
      <c r="P14">
        <v>0</v>
      </c>
      <c r="R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S14">
        <f>IF(Metadata!C14="",FALSE,TRUE)</f>
        <v>0</v>
      </c>
      <c r="T14">
        <f>IF(Metadata!D14="",FALSE,TRUE)</f>
        <v>0</v>
      </c>
      <c r="U14">
        <f>IF(Metadata!E14="",FALSE,TRUE)</f>
        <v>0</v>
      </c>
      <c r="V14">
        <f>AND(IF(Metadata!F14="",FALSE,TRUE),exact(Metadata!F14,"rat gut metagenome"))</f>
        <v>0</v>
      </c>
      <c r="W14">
        <f>AND(IF(Metadata!G14="",FALSE,TRUE),exact(Metadata!G14,"1436733"))</f>
        <v>0</v>
      </c>
    </row>
    <row r="15" spans="1:23">
      <c r="A15" s="4">
        <f>IF(B15=" "," ",HYPERLINK(CONCATENATE("#metadata!",ADDRESS(INDEX($M$2:$M$1001,MATCH(ROWS($K$2:K15),$K$2:$K$1001,0),0),1)),INDEX($P$2:$P$1001,MATCH(ROWS($K$2:K15),$K$2:$K$1001,0),0)))</f>
        <v>0</v>
      </c>
      <c r="B15" s="3">
        <f>IF(OR(INDEX($L$2:$L$1001,MATCH(ROWS($K$2:K15),$K$2:$K$1001,0),1)&gt;=100000,INDEX($R$1005:$W$1005,1,MATCH(COLUMNS($R$1006:R1006),$R$1006:$W$1006,0))&gt;=100000), " ",IF(INDEX($R$2:$W$1001,MATCH(ROWS($K$2:K15),$K$2:$K$1001,0),MATCH(COLUMNS($R$1006:R1006),$R$1006:$W$1006,0)), HYPERLINK("#",""), HYPERLINK(CONCATENATE("#Metadata!", ADDRESS(INDEX($M$2:$M$1001,MATCH(ROWS($K$2:K15),$K$2:$K$1001,0),0), INDEX($R$1004:$W$1004,1,MATCH(COLUMNS($R$1006:R1006),$R$1006:$W$1006,0)))),"Fix")))</f>
        <v>0</v>
      </c>
      <c r="C15" s="3">
        <f>IF(OR(INDEX($L$2:$L$1001,MATCH(ROWS($K$2:K15),$K$2:$K$1001,0),1)&gt;=100000,INDEX($R$1005:$W$1005,1,MATCH(COLUMNS($R$1006:S1006),$R$1006:$W$1006,0))&gt;=100000), " ",IF(INDEX($R$2:$W$1001,MATCH(ROWS($K$2:K15),$K$2:$K$1001,0),MATCH(COLUMNS($R$1006:S1006),$R$1006:$W$1006,0)), HYPERLINK("#",""), HYPERLINK(CONCATENATE("#Metadata!", ADDRESS(INDEX($M$2:$M$1001,MATCH(ROWS($K$2:K15),$K$2:$K$1001,0),0), INDEX($R$1004:$W$1004,1,MATCH(COLUMNS($R$1006:S1006),$R$1006:$W$1006,0)))),"Fix")))</f>
        <v>0</v>
      </c>
      <c r="D15" s="3">
        <f>IF(OR(INDEX($L$2:$L$1001,MATCH(ROWS($K$2:K15),$K$2:$K$1001,0),1)&gt;=100000,INDEX($R$1005:$W$1005,1,MATCH(COLUMNS($R$1006:T1006),$R$1006:$W$1006,0))&gt;=100000), " ",IF(INDEX($R$2:$W$1001,MATCH(ROWS($K$2:K15),$K$2:$K$1001,0),MATCH(COLUMNS($R$1006:T1006),$R$1006:$W$1006,0)), HYPERLINK("#",""), HYPERLINK(CONCATENATE("#Metadata!", ADDRESS(INDEX($M$2:$M$1001,MATCH(ROWS($K$2:K15),$K$2:$K$1001,0),0), INDEX($R$1004:$W$1004,1,MATCH(COLUMNS($R$1006:T1006),$R$1006:$W$1006,0)))),"Fix")))</f>
        <v>0</v>
      </c>
      <c r="E15" s="3">
        <f>IF(OR(INDEX($L$2:$L$1001,MATCH(ROWS($K$2:K15),$K$2:$K$1001,0),1)&gt;=100000,INDEX($R$1005:$W$1005,1,MATCH(COLUMNS($R$1006:U1006),$R$1006:$W$1006,0))&gt;=100000), " ",IF(INDEX($R$2:$W$1001,MATCH(ROWS($K$2:K15),$K$2:$K$1001,0),MATCH(COLUMNS($R$1006:U1006),$R$1006:$W$1006,0)), HYPERLINK("#",""), HYPERLINK(CONCATENATE("#Metadata!", ADDRESS(INDEX($M$2:$M$1001,MATCH(ROWS($K$2:K15),$K$2:$K$1001,0),0), INDEX($R$1004:$W$1004,1,MATCH(COLUMNS($R$1006:U1006),$R$1006:$W$1006,0)))),"Fix")))</f>
        <v>0</v>
      </c>
      <c r="F15" s="3">
        <f>IF(OR(INDEX($L$2:$L$1001,MATCH(ROWS($K$2:K15),$K$2:$K$1001,0),1)&gt;=100000,INDEX($R$1005:$W$1005,1,MATCH(COLUMNS($R$1006:V1006),$R$1006:$W$1006,0))&gt;=100000), " ",IF(INDEX($R$2:$W$1001,MATCH(ROWS($K$2:K15),$K$2:$K$1001,0),MATCH(COLUMNS($R$1006:V1006),$R$1006:$W$1006,0)), HYPERLINK("#",""), HYPERLINK(CONCATENATE("#Metadata!", ADDRESS(INDEX($M$2:$M$1001,MATCH(ROWS($K$2:K15),$K$2:$K$1001,0),0), INDEX($R$1004:$W$1004,1,MATCH(COLUMNS($R$1006:V1006),$R$1006:$W$1006,0)))),"Fix")))</f>
        <v>0</v>
      </c>
      <c r="G15" s="3">
        <f>IF(OR(INDEX($L$2:$L$1001,MATCH(ROWS($K$2:K15),$K$2:$K$1001,0),1)&gt;=100000,INDEX($R$1005:$W$1005,1,MATCH(COLUMNS($R$1006:W1006),$R$1006:$W$1006,0))&gt;=100000), " ",IF(INDEX($R$2:$W$1001,MATCH(ROWS($K$2:K15),$K$2:$K$1001,0),MATCH(COLUMNS($R$1006:W1006),$R$1006:$W$1006,0)), HYPERLINK("#",""), HYPERLINK(CONCATENATE("#Metadata!", ADDRESS(INDEX($M$2:$M$1001,MATCH(ROWS($K$2:K15),$K$2:$K$1001,0),0), INDEX($R$1004:$W$1004,1,MATCH(COLUMNS($R$1006:W1006),$R$1006:$W$1006,0)))),"Fix")))</f>
        <v>0</v>
      </c>
      <c r="K15">
        <v>0</v>
      </c>
      <c r="L15">
        <v>0</v>
      </c>
      <c r="M15">
        <v>0</v>
      </c>
      <c r="N15">
        <f>IF(O15,TRUE,AND(R15:W15))</f>
        <v>0</v>
      </c>
      <c r="O15">
        <f>COUNTBLANK(Metadata!B15:G15)=COLUMNS(Metadata!B15:G15)</f>
        <v>0</v>
      </c>
      <c r="P15">
        <v>0</v>
      </c>
      <c r="R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S15">
        <f>IF(Metadata!C15="",FALSE,TRUE)</f>
        <v>0</v>
      </c>
      <c r="T15">
        <f>IF(Metadata!D15="",FALSE,TRUE)</f>
        <v>0</v>
      </c>
      <c r="U15">
        <f>IF(Metadata!E15="",FALSE,TRUE)</f>
        <v>0</v>
      </c>
      <c r="V15">
        <f>AND(IF(Metadata!F15="",FALSE,TRUE),exact(Metadata!F15,"rat gut metagenome"))</f>
        <v>0</v>
      </c>
      <c r="W15">
        <f>AND(IF(Metadata!G15="",FALSE,TRUE),exact(Metadata!G15,"1436733"))</f>
        <v>0</v>
      </c>
    </row>
    <row r="16" spans="1:23">
      <c r="A16" s="4">
        <f>IF(B16=" "," ",HYPERLINK(CONCATENATE("#metadata!",ADDRESS(INDEX($M$2:$M$1001,MATCH(ROWS($K$2:K16),$K$2:$K$1001,0),0),1)),INDEX($P$2:$P$1001,MATCH(ROWS($K$2:K16),$K$2:$K$1001,0),0)))</f>
        <v>0</v>
      </c>
      <c r="B16" s="3">
        <f>IF(OR(INDEX($L$2:$L$1001,MATCH(ROWS($K$2:K16),$K$2:$K$1001,0),1)&gt;=100000,INDEX($R$1005:$W$1005,1,MATCH(COLUMNS($R$1006:R1006),$R$1006:$W$1006,0))&gt;=100000), " ",IF(INDEX($R$2:$W$1001,MATCH(ROWS($K$2:K16),$K$2:$K$1001,0),MATCH(COLUMNS($R$1006:R1006),$R$1006:$W$1006,0)), HYPERLINK("#",""), HYPERLINK(CONCATENATE("#Metadata!", ADDRESS(INDEX($M$2:$M$1001,MATCH(ROWS($K$2:K16),$K$2:$K$1001,0),0), INDEX($R$1004:$W$1004,1,MATCH(COLUMNS($R$1006:R1006),$R$1006:$W$1006,0)))),"Fix")))</f>
        <v>0</v>
      </c>
      <c r="C16" s="3">
        <f>IF(OR(INDEX($L$2:$L$1001,MATCH(ROWS($K$2:K16),$K$2:$K$1001,0),1)&gt;=100000,INDEX($R$1005:$W$1005,1,MATCH(COLUMNS($R$1006:S1006),$R$1006:$W$1006,0))&gt;=100000), " ",IF(INDEX($R$2:$W$1001,MATCH(ROWS($K$2:K16),$K$2:$K$1001,0),MATCH(COLUMNS($R$1006:S1006),$R$1006:$W$1006,0)), HYPERLINK("#",""), HYPERLINK(CONCATENATE("#Metadata!", ADDRESS(INDEX($M$2:$M$1001,MATCH(ROWS($K$2:K16),$K$2:$K$1001,0),0), INDEX($R$1004:$W$1004,1,MATCH(COLUMNS($R$1006:S1006),$R$1006:$W$1006,0)))),"Fix")))</f>
        <v>0</v>
      </c>
      <c r="D16" s="3">
        <f>IF(OR(INDEX($L$2:$L$1001,MATCH(ROWS($K$2:K16),$K$2:$K$1001,0),1)&gt;=100000,INDEX($R$1005:$W$1005,1,MATCH(COLUMNS($R$1006:T1006),$R$1006:$W$1006,0))&gt;=100000), " ",IF(INDEX($R$2:$W$1001,MATCH(ROWS($K$2:K16),$K$2:$K$1001,0),MATCH(COLUMNS($R$1006:T1006),$R$1006:$W$1006,0)), HYPERLINK("#",""), HYPERLINK(CONCATENATE("#Metadata!", ADDRESS(INDEX($M$2:$M$1001,MATCH(ROWS($K$2:K16),$K$2:$K$1001,0),0), INDEX($R$1004:$W$1004,1,MATCH(COLUMNS($R$1006:T1006),$R$1006:$W$1006,0)))),"Fix")))</f>
        <v>0</v>
      </c>
      <c r="E16" s="3">
        <f>IF(OR(INDEX($L$2:$L$1001,MATCH(ROWS($K$2:K16),$K$2:$K$1001,0),1)&gt;=100000,INDEX($R$1005:$W$1005,1,MATCH(COLUMNS($R$1006:U1006),$R$1006:$W$1006,0))&gt;=100000), " ",IF(INDEX($R$2:$W$1001,MATCH(ROWS($K$2:K16),$K$2:$K$1001,0),MATCH(COLUMNS($R$1006:U1006),$R$1006:$W$1006,0)), HYPERLINK("#",""), HYPERLINK(CONCATENATE("#Metadata!", ADDRESS(INDEX($M$2:$M$1001,MATCH(ROWS($K$2:K16),$K$2:$K$1001,0),0), INDEX($R$1004:$W$1004,1,MATCH(COLUMNS($R$1006:U1006),$R$1006:$W$1006,0)))),"Fix")))</f>
        <v>0</v>
      </c>
      <c r="F16" s="3">
        <f>IF(OR(INDEX($L$2:$L$1001,MATCH(ROWS($K$2:K16),$K$2:$K$1001,0),1)&gt;=100000,INDEX($R$1005:$W$1005,1,MATCH(COLUMNS($R$1006:V1006),$R$1006:$W$1006,0))&gt;=100000), " ",IF(INDEX($R$2:$W$1001,MATCH(ROWS($K$2:K16),$K$2:$K$1001,0),MATCH(COLUMNS($R$1006:V1006),$R$1006:$W$1006,0)), HYPERLINK("#",""), HYPERLINK(CONCATENATE("#Metadata!", ADDRESS(INDEX($M$2:$M$1001,MATCH(ROWS($K$2:K16),$K$2:$K$1001,0),0), INDEX($R$1004:$W$1004,1,MATCH(COLUMNS($R$1006:V1006),$R$1006:$W$1006,0)))),"Fix")))</f>
        <v>0</v>
      </c>
      <c r="G16" s="3">
        <f>IF(OR(INDEX($L$2:$L$1001,MATCH(ROWS($K$2:K16),$K$2:$K$1001,0),1)&gt;=100000,INDEX($R$1005:$W$1005,1,MATCH(COLUMNS($R$1006:W1006),$R$1006:$W$1006,0))&gt;=100000), " ",IF(INDEX($R$2:$W$1001,MATCH(ROWS($K$2:K16),$K$2:$K$1001,0),MATCH(COLUMNS($R$1006:W1006),$R$1006:$W$1006,0)), HYPERLINK("#",""), HYPERLINK(CONCATENATE("#Metadata!", ADDRESS(INDEX($M$2:$M$1001,MATCH(ROWS($K$2:K16),$K$2:$K$1001,0),0), INDEX($R$1004:$W$1004,1,MATCH(COLUMNS($R$1006:W1006),$R$1006:$W$1006,0)))),"Fix")))</f>
        <v>0</v>
      </c>
      <c r="K16">
        <v>0</v>
      </c>
      <c r="L16">
        <v>0</v>
      </c>
      <c r="M16">
        <v>0</v>
      </c>
      <c r="N16">
        <f>IF(O16,TRUE,AND(R16:W16))</f>
        <v>0</v>
      </c>
      <c r="O16">
        <f>COUNTBLANK(Metadata!B16:G16)=COLUMNS(Metadata!B16:G16)</f>
        <v>0</v>
      </c>
      <c r="P16">
        <v>0</v>
      </c>
      <c r="R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S16">
        <f>IF(Metadata!C16="",FALSE,TRUE)</f>
        <v>0</v>
      </c>
      <c r="T16">
        <f>IF(Metadata!D16="",FALSE,TRUE)</f>
        <v>0</v>
      </c>
      <c r="U16">
        <f>IF(Metadata!E16="",FALSE,TRUE)</f>
        <v>0</v>
      </c>
      <c r="V16">
        <f>AND(IF(Metadata!F16="",FALSE,TRUE),exact(Metadata!F16,"rat gut metagenome"))</f>
        <v>0</v>
      </c>
      <c r="W16">
        <f>AND(IF(Metadata!G16="",FALSE,TRUE),exact(Metadata!G16,"1436733"))</f>
        <v>0</v>
      </c>
    </row>
    <row r="17" spans="1:23">
      <c r="A17" s="4">
        <f>IF(B17=" "," ",HYPERLINK(CONCATENATE("#metadata!",ADDRESS(INDEX($M$2:$M$1001,MATCH(ROWS($K$2:K17),$K$2:$K$1001,0),0),1)),INDEX($P$2:$P$1001,MATCH(ROWS($K$2:K17),$K$2:$K$1001,0),0)))</f>
        <v>0</v>
      </c>
      <c r="B17" s="3">
        <f>IF(OR(INDEX($L$2:$L$1001,MATCH(ROWS($K$2:K17),$K$2:$K$1001,0),1)&gt;=100000,INDEX($R$1005:$W$1005,1,MATCH(COLUMNS($R$1006:R1006),$R$1006:$W$1006,0))&gt;=100000), " ",IF(INDEX($R$2:$W$1001,MATCH(ROWS($K$2:K17),$K$2:$K$1001,0),MATCH(COLUMNS($R$1006:R1006),$R$1006:$W$1006,0)), HYPERLINK("#",""), HYPERLINK(CONCATENATE("#Metadata!", ADDRESS(INDEX($M$2:$M$1001,MATCH(ROWS($K$2:K17),$K$2:$K$1001,0),0), INDEX($R$1004:$W$1004,1,MATCH(COLUMNS($R$1006:R1006),$R$1006:$W$1006,0)))),"Fix")))</f>
        <v>0</v>
      </c>
      <c r="C17" s="3">
        <f>IF(OR(INDEX($L$2:$L$1001,MATCH(ROWS($K$2:K17),$K$2:$K$1001,0),1)&gt;=100000,INDEX($R$1005:$W$1005,1,MATCH(COLUMNS($R$1006:S1006),$R$1006:$W$1006,0))&gt;=100000), " ",IF(INDEX($R$2:$W$1001,MATCH(ROWS($K$2:K17),$K$2:$K$1001,0),MATCH(COLUMNS($R$1006:S1006),$R$1006:$W$1006,0)), HYPERLINK("#",""), HYPERLINK(CONCATENATE("#Metadata!", ADDRESS(INDEX($M$2:$M$1001,MATCH(ROWS($K$2:K17),$K$2:$K$1001,0),0), INDEX($R$1004:$W$1004,1,MATCH(COLUMNS($R$1006:S1006),$R$1006:$W$1006,0)))),"Fix")))</f>
        <v>0</v>
      </c>
      <c r="D17" s="3">
        <f>IF(OR(INDEX($L$2:$L$1001,MATCH(ROWS($K$2:K17),$K$2:$K$1001,0),1)&gt;=100000,INDEX($R$1005:$W$1005,1,MATCH(COLUMNS($R$1006:T1006),$R$1006:$W$1006,0))&gt;=100000), " ",IF(INDEX($R$2:$W$1001,MATCH(ROWS($K$2:K17),$K$2:$K$1001,0),MATCH(COLUMNS($R$1006:T1006),$R$1006:$W$1006,0)), HYPERLINK("#",""), HYPERLINK(CONCATENATE("#Metadata!", ADDRESS(INDEX($M$2:$M$1001,MATCH(ROWS($K$2:K17),$K$2:$K$1001,0),0), INDEX($R$1004:$W$1004,1,MATCH(COLUMNS($R$1006:T1006),$R$1006:$W$1006,0)))),"Fix")))</f>
        <v>0</v>
      </c>
      <c r="E17" s="3">
        <f>IF(OR(INDEX($L$2:$L$1001,MATCH(ROWS($K$2:K17),$K$2:$K$1001,0),1)&gt;=100000,INDEX($R$1005:$W$1005,1,MATCH(COLUMNS($R$1006:U1006),$R$1006:$W$1006,0))&gt;=100000), " ",IF(INDEX($R$2:$W$1001,MATCH(ROWS($K$2:K17),$K$2:$K$1001,0),MATCH(COLUMNS($R$1006:U1006),$R$1006:$W$1006,0)), HYPERLINK("#",""), HYPERLINK(CONCATENATE("#Metadata!", ADDRESS(INDEX($M$2:$M$1001,MATCH(ROWS($K$2:K17),$K$2:$K$1001,0),0), INDEX($R$1004:$W$1004,1,MATCH(COLUMNS($R$1006:U1006),$R$1006:$W$1006,0)))),"Fix")))</f>
        <v>0</v>
      </c>
      <c r="F17" s="3">
        <f>IF(OR(INDEX($L$2:$L$1001,MATCH(ROWS($K$2:K17),$K$2:$K$1001,0),1)&gt;=100000,INDEX($R$1005:$W$1005,1,MATCH(COLUMNS($R$1006:V1006),$R$1006:$W$1006,0))&gt;=100000), " ",IF(INDEX($R$2:$W$1001,MATCH(ROWS($K$2:K17),$K$2:$K$1001,0),MATCH(COLUMNS($R$1006:V1006),$R$1006:$W$1006,0)), HYPERLINK("#",""), HYPERLINK(CONCATENATE("#Metadata!", ADDRESS(INDEX($M$2:$M$1001,MATCH(ROWS($K$2:K17),$K$2:$K$1001,0),0), INDEX($R$1004:$W$1004,1,MATCH(COLUMNS($R$1006:V1006),$R$1006:$W$1006,0)))),"Fix")))</f>
        <v>0</v>
      </c>
      <c r="G17" s="3">
        <f>IF(OR(INDEX($L$2:$L$1001,MATCH(ROWS($K$2:K17),$K$2:$K$1001,0),1)&gt;=100000,INDEX($R$1005:$W$1005,1,MATCH(COLUMNS($R$1006:W1006),$R$1006:$W$1006,0))&gt;=100000), " ",IF(INDEX($R$2:$W$1001,MATCH(ROWS($K$2:K17),$K$2:$K$1001,0),MATCH(COLUMNS($R$1006:W1006),$R$1006:$W$1006,0)), HYPERLINK("#",""), HYPERLINK(CONCATENATE("#Metadata!", ADDRESS(INDEX($M$2:$M$1001,MATCH(ROWS($K$2:K17),$K$2:$K$1001,0),0), INDEX($R$1004:$W$1004,1,MATCH(COLUMNS($R$1006:W1006),$R$1006:$W$1006,0)))),"Fix")))</f>
        <v>0</v>
      </c>
      <c r="K17">
        <v>0</v>
      </c>
      <c r="L17">
        <v>0</v>
      </c>
      <c r="M17">
        <v>0</v>
      </c>
      <c r="N17">
        <f>IF(O17,TRUE,AND(R17:W17))</f>
        <v>0</v>
      </c>
      <c r="O17">
        <f>COUNTBLANK(Metadata!B17:G17)=COLUMNS(Metadata!B17:G17)</f>
        <v>0</v>
      </c>
      <c r="P17">
        <v>0</v>
      </c>
      <c r="R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S17">
        <f>IF(Metadata!C17="",FALSE,TRUE)</f>
        <v>0</v>
      </c>
      <c r="T17">
        <f>IF(Metadata!D17="",FALSE,TRUE)</f>
        <v>0</v>
      </c>
      <c r="U17">
        <f>IF(Metadata!E17="",FALSE,TRUE)</f>
        <v>0</v>
      </c>
      <c r="V17">
        <f>AND(IF(Metadata!F17="",FALSE,TRUE),exact(Metadata!F17,"rat gut metagenome"))</f>
        <v>0</v>
      </c>
      <c r="W17">
        <f>AND(IF(Metadata!G17="",FALSE,TRUE),exact(Metadata!G17,"1436733"))</f>
        <v>0</v>
      </c>
    </row>
    <row r="18" spans="1:23">
      <c r="A18" s="4">
        <f>IF(B18=" "," ",HYPERLINK(CONCATENATE("#metadata!",ADDRESS(INDEX($M$2:$M$1001,MATCH(ROWS($K$2:K18),$K$2:$K$1001,0),0),1)),INDEX($P$2:$P$1001,MATCH(ROWS($K$2:K18),$K$2:$K$1001,0),0)))</f>
        <v>0</v>
      </c>
      <c r="B18" s="3">
        <f>IF(OR(INDEX($L$2:$L$1001,MATCH(ROWS($K$2:K18),$K$2:$K$1001,0),1)&gt;=100000,INDEX($R$1005:$W$1005,1,MATCH(COLUMNS($R$1006:R1006),$R$1006:$W$1006,0))&gt;=100000), " ",IF(INDEX($R$2:$W$1001,MATCH(ROWS($K$2:K18),$K$2:$K$1001,0),MATCH(COLUMNS($R$1006:R1006),$R$1006:$W$1006,0)), HYPERLINK("#",""), HYPERLINK(CONCATENATE("#Metadata!", ADDRESS(INDEX($M$2:$M$1001,MATCH(ROWS($K$2:K18),$K$2:$K$1001,0),0), INDEX($R$1004:$W$1004,1,MATCH(COLUMNS($R$1006:R1006),$R$1006:$W$1006,0)))),"Fix")))</f>
        <v>0</v>
      </c>
      <c r="C18" s="3">
        <f>IF(OR(INDEX($L$2:$L$1001,MATCH(ROWS($K$2:K18),$K$2:$K$1001,0),1)&gt;=100000,INDEX($R$1005:$W$1005,1,MATCH(COLUMNS($R$1006:S1006),$R$1006:$W$1006,0))&gt;=100000), " ",IF(INDEX($R$2:$W$1001,MATCH(ROWS($K$2:K18),$K$2:$K$1001,0),MATCH(COLUMNS($R$1006:S1006),$R$1006:$W$1006,0)), HYPERLINK("#",""), HYPERLINK(CONCATENATE("#Metadata!", ADDRESS(INDEX($M$2:$M$1001,MATCH(ROWS($K$2:K18),$K$2:$K$1001,0),0), INDEX($R$1004:$W$1004,1,MATCH(COLUMNS($R$1006:S1006),$R$1006:$W$1006,0)))),"Fix")))</f>
        <v>0</v>
      </c>
      <c r="D18" s="3">
        <f>IF(OR(INDEX($L$2:$L$1001,MATCH(ROWS($K$2:K18),$K$2:$K$1001,0),1)&gt;=100000,INDEX($R$1005:$W$1005,1,MATCH(COLUMNS($R$1006:T1006),$R$1006:$W$1006,0))&gt;=100000), " ",IF(INDEX($R$2:$W$1001,MATCH(ROWS($K$2:K18),$K$2:$K$1001,0),MATCH(COLUMNS($R$1006:T1006),$R$1006:$W$1006,0)), HYPERLINK("#",""), HYPERLINK(CONCATENATE("#Metadata!", ADDRESS(INDEX($M$2:$M$1001,MATCH(ROWS($K$2:K18),$K$2:$K$1001,0),0), INDEX($R$1004:$W$1004,1,MATCH(COLUMNS($R$1006:T1006),$R$1006:$W$1006,0)))),"Fix")))</f>
        <v>0</v>
      </c>
      <c r="E18" s="3">
        <f>IF(OR(INDEX($L$2:$L$1001,MATCH(ROWS($K$2:K18),$K$2:$K$1001,0),1)&gt;=100000,INDEX($R$1005:$W$1005,1,MATCH(COLUMNS($R$1006:U1006),$R$1006:$W$1006,0))&gt;=100000), " ",IF(INDEX($R$2:$W$1001,MATCH(ROWS($K$2:K18),$K$2:$K$1001,0),MATCH(COLUMNS($R$1006:U1006),$R$1006:$W$1006,0)), HYPERLINK("#",""), HYPERLINK(CONCATENATE("#Metadata!", ADDRESS(INDEX($M$2:$M$1001,MATCH(ROWS($K$2:K18),$K$2:$K$1001,0),0), INDEX($R$1004:$W$1004,1,MATCH(COLUMNS($R$1006:U1006),$R$1006:$W$1006,0)))),"Fix")))</f>
        <v>0</v>
      </c>
      <c r="F18" s="3">
        <f>IF(OR(INDEX($L$2:$L$1001,MATCH(ROWS($K$2:K18),$K$2:$K$1001,0),1)&gt;=100000,INDEX($R$1005:$W$1005,1,MATCH(COLUMNS($R$1006:V1006),$R$1006:$W$1006,0))&gt;=100000), " ",IF(INDEX($R$2:$W$1001,MATCH(ROWS($K$2:K18),$K$2:$K$1001,0),MATCH(COLUMNS($R$1006:V1006),$R$1006:$W$1006,0)), HYPERLINK("#",""), HYPERLINK(CONCATENATE("#Metadata!", ADDRESS(INDEX($M$2:$M$1001,MATCH(ROWS($K$2:K18),$K$2:$K$1001,0),0), INDEX($R$1004:$W$1004,1,MATCH(COLUMNS($R$1006:V1006),$R$1006:$W$1006,0)))),"Fix")))</f>
        <v>0</v>
      </c>
      <c r="G18" s="3">
        <f>IF(OR(INDEX($L$2:$L$1001,MATCH(ROWS($K$2:K18),$K$2:$K$1001,0),1)&gt;=100000,INDEX($R$1005:$W$1005,1,MATCH(COLUMNS($R$1006:W1006),$R$1006:$W$1006,0))&gt;=100000), " ",IF(INDEX($R$2:$W$1001,MATCH(ROWS($K$2:K18),$K$2:$K$1001,0),MATCH(COLUMNS($R$1006:W1006),$R$1006:$W$1006,0)), HYPERLINK("#",""), HYPERLINK(CONCATENATE("#Metadata!", ADDRESS(INDEX($M$2:$M$1001,MATCH(ROWS($K$2:K18),$K$2:$K$1001,0),0), INDEX($R$1004:$W$1004,1,MATCH(COLUMNS($R$1006:W1006),$R$1006:$W$1006,0)))),"Fix")))</f>
        <v>0</v>
      </c>
      <c r="K18">
        <v>0</v>
      </c>
      <c r="L18">
        <v>0</v>
      </c>
      <c r="M18">
        <v>0</v>
      </c>
      <c r="N18">
        <f>IF(O18,TRUE,AND(R18:W18))</f>
        <v>0</v>
      </c>
      <c r="O18">
        <f>COUNTBLANK(Metadata!B18:G18)=COLUMNS(Metadata!B18:G18)</f>
        <v>0</v>
      </c>
      <c r="P18">
        <v>0</v>
      </c>
      <c r="R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S18">
        <f>IF(Metadata!C18="",FALSE,TRUE)</f>
        <v>0</v>
      </c>
      <c r="T18">
        <f>IF(Metadata!D18="",FALSE,TRUE)</f>
        <v>0</v>
      </c>
      <c r="U18">
        <f>IF(Metadata!E18="",FALSE,TRUE)</f>
        <v>0</v>
      </c>
      <c r="V18">
        <f>AND(IF(Metadata!F18="",FALSE,TRUE),exact(Metadata!F18,"rat gut metagenome"))</f>
        <v>0</v>
      </c>
      <c r="W18">
        <f>AND(IF(Metadata!G18="",FALSE,TRUE),exact(Metadata!G18,"1436733"))</f>
        <v>0</v>
      </c>
    </row>
    <row r="19" spans="1:23">
      <c r="A19" s="4">
        <f>IF(B19=" "," ",HYPERLINK(CONCATENATE("#metadata!",ADDRESS(INDEX($M$2:$M$1001,MATCH(ROWS($K$2:K19),$K$2:$K$1001,0),0),1)),INDEX($P$2:$P$1001,MATCH(ROWS($K$2:K19),$K$2:$K$1001,0),0)))</f>
        <v>0</v>
      </c>
      <c r="B19" s="3">
        <f>IF(OR(INDEX($L$2:$L$1001,MATCH(ROWS($K$2:K19),$K$2:$K$1001,0),1)&gt;=100000,INDEX($R$1005:$W$1005,1,MATCH(COLUMNS($R$1006:R1006),$R$1006:$W$1006,0))&gt;=100000), " ",IF(INDEX($R$2:$W$1001,MATCH(ROWS($K$2:K19),$K$2:$K$1001,0),MATCH(COLUMNS($R$1006:R1006),$R$1006:$W$1006,0)), HYPERLINK("#",""), HYPERLINK(CONCATENATE("#Metadata!", ADDRESS(INDEX($M$2:$M$1001,MATCH(ROWS($K$2:K19),$K$2:$K$1001,0),0), INDEX($R$1004:$W$1004,1,MATCH(COLUMNS($R$1006:R1006),$R$1006:$W$1006,0)))),"Fix")))</f>
        <v>0</v>
      </c>
      <c r="C19" s="3">
        <f>IF(OR(INDEX($L$2:$L$1001,MATCH(ROWS($K$2:K19),$K$2:$K$1001,0),1)&gt;=100000,INDEX($R$1005:$W$1005,1,MATCH(COLUMNS($R$1006:S1006),$R$1006:$W$1006,0))&gt;=100000), " ",IF(INDEX($R$2:$W$1001,MATCH(ROWS($K$2:K19),$K$2:$K$1001,0),MATCH(COLUMNS($R$1006:S1006),$R$1006:$W$1006,0)), HYPERLINK("#",""), HYPERLINK(CONCATENATE("#Metadata!", ADDRESS(INDEX($M$2:$M$1001,MATCH(ROWS($K$2:K19),$K$2:$K$1001,0),0), INDEX($R$1004:$W$1004,1,MATCH(COLUMNS($R$1006:S1006),$R$1006:$W$1006,0)))),"Fix")))</f>
        <v>0</v>
      </c>
      <c r="D19" s="3">
        <f>IF(OR(INDEX($L$2:$L$1001,MATCH(ROWS($K$2:K19),$K$2:$K$1001,0),1)&gt;=100000,INDEX($R$1005:$W$1005,1,MATCH(COLUMNS($R$1006:T1006),$R$1006:$W$1006,0))&gt;=100000), " ",IF(INDEX($R$2:$W$1001,MATCH(ROWS($K$2:K19),$K$2:$K$1001,0),MATCH(COLUMNS($R$1006:T1006),$R$1006:$W$1006,0)), HYPERLINK("#",""), HYPERLINK(CONCATENATE("#Metadata!", ADDRESS(INDEX($M$2:$M$1001,MATCH(ROWS($K$2:K19),$K$2:$K$1001,0),0), INDEX($R$1004:$W$1004,1,MATCH(COLUMNS($R$1006:T1006),$R$1006:$W$1006,0)))),"Fix")))</f>
        <v>0</v>
      </c>
      <c r="E19" s="3">
        <f>IF(OR(INDEX($L$2:$L$1001,MATCH(ROWS($K$2:K19),$K$2:$K$1001,0),1)&gt;=100000,INDEX($R$1005:$W$1005,1,MATCH(COLUMNS($R$1006:U1006),$R$1006:$W$1006,0))&gt;=100000), " ",IF(INDEX($R$2:$W$1001,MATCH(ROWS($K$2:K19),$K$2:$K$1001,0),MATCH(COLUMNS($R$1006:U1006),$R$1006:$W$1006,0)), HYPERLINK("#",""), HYPERLINK(CONCATENATE("#Metadata!", ADDRESS(INDEX($M$2:$M$1001,MATCH(ROWS($K$2:K19),$K$2:$K$1001,0),0), INDEX($R$1004:$W$1004,1,MATCH(COLUMNS($R$1006:U1006),$R$1006:$W$1006,0)))),"Fix")))</f>
        <v>0</v>
      </c>
      <c r="F19" s="3">
        <f>IF(OR(INDEX($L$2:$L$1001,MATCH(ROWS($K$2:K19),$K$2:$K$1001,0),1)&gt;=100000,INDEX($R$1005:$W$1005,1,MATCH(COLUMNS($R$1006:V1006),$R$1006:$W$1006,0))&gt;=100000), " ",IF(INDEX($R$2:$W$1001,MATCH(ROWS($K$2:K19),$K$2:$K$1001,0),MATCH(COLUMNS($R$1006:V1006),$R$1006:$W$1006,0)), HYPERLINK("#",""), HYPERLINK(CONCATENATE("#Metadata!", ADDRESS(INDEX($M$2:$M$1001,MATCH(ROWS($K$2:K19),$K$2:$K$1001,0),0), INDEX($R$1004:$W$1004,1,MATCH(COLUMNS($R$1006:V1006),$R$1006:$W$1006,0)))),"Fix")))</f>
        <v>0</v>
      </c>
      <c r="G19" s="3">
        <f>IF(OR(INDEX($L$2:$L$1001,MATCH(ROWS($K$2:K19),$K$2:$K$1001,0),1)&gt;=100000,INDEX($R$1005:$W$1005,1,MATCH(COLUMNS($R$1006:W1006),$R$1006:$W$1006,0))&gt;=100000), " ",IF(INDEX($R$2:$W$1001,MATCH(ROWS($K$2:K19),$K$2:$K$1001,0),MATCH(COLUMNS($R$1006:W1006),$R$1006:$W$1006,0)), HYPERLINK("#",""), HYPERLINK(CONCATENATE("#Metadata!", ADDRESS(INDEX($M$2:$M$1001,MATCH(ROWS($K$2:K19),$K$2:$K$1001,0),0), INDEX($R$1004:$W$1004,1,MATCH(COLUMNS($R$1006:W1006),$R$1006:$W$1006,0)))),"Fix")))</f>
        <v>0</v>
      </c>
      <c r="K19">
        <v>0</v>
      </c>
      <c r="L19">
        <v>0</v>
      </c>
      <c r="M19">
        <v>0</v>
      </c>
      <c r="N19">
        <f>IF(O19,TRUE,AND(R19:W19))</f>
        <v>0</v>
      </c>
      <c r="O19">
        <f>COUNTBLANK(Metadata!B19:G19)=COLUMNS(Metadata!B19:G19)</f>
        <v>0</v>
      </c>
      <c r="P19">
        <v>0</v>
      </c>
      <c r="R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S19">
        <f>IF(Metadata!C19="",FALSE,TRUE)</f>
        <v>0</v>
      </c>
      <c r="T19">
        <f>IF(Metadata!D19="",FALSE,TRUE)</f>
        <v>0</v>
      </c>
      <c r="U19">
        <f>IF(Metadata!E19="",FALSE,TRUE)</f>
        <v>0</v>
      </c>
      <c r="V19">
        <f>AND(IF(Metadata!F19="",FALSE,TRUE),exact(Metadata!F19,"rat gut metagenome"))</f>
        <v>0</v>
      </c>
      <c r="W19">
        <f>AND(IF(Metadata!G19="",FALSE,TRUE),exact(Metadata!G19,"1436733"))</f>
        <v>0</v>
      </c>
    </row>
    <row r="20" spans="1:23">
      <c r="A20" s="4">
        <f>IF(B20=" "," ",HYPERLINK(CONCATENATE("#metadata!",ADDRESS(INDEX($M$2:$M$1001,MATCH(ROWS($K$2:K20),$K$2:$K$1001,0),0),1)),INDEX($P$2:$P$1001,MATCH(ROWS($K$2:K20),$K$2:$K$1001,0),0)))</f>
        <v>0</v>
      </c>
      <c r="B20" s="3">
        <f>IF(OR(INDEX($L$2:$L$1001,MATCH(ROWS($K$2:K20),$K$2:$K$1001,0),1)&gt;=100000,INDEX($R$1005:$W$1005,1,MATCH(COLUMNS($R$1006:R1006),$R$1006:$W$1006,0))&gt;=100000), " ",IF(INDEX($R$2:$W$1001,MATCH(ROWS($K$2:K20),$K$2:$K$1001,0),MATCH(COLUMNS($R$1006:R1006),$R$1006:$W$1006,0)), HYPERLINK("#",""), HYPERLINK(CONCATENATE("#Metadata!", ADDRESS(INDEX($M$2:$M$1001,MATCH(ROWS($K$2:K20),$K$2:$K$1001,0),0), INDEX($R$1004:$W$1004,1,MATCH(COLUMNS($R$1006:R1006),$R$1006:$W$1006,0)))),"Fix")))</f>
        <v>0</v>
      </c>
      <c r="C20" s="3">
        <f>IF(OR(INDEX($L$2:$L$1001,MATCH(ROWS($K$2:K20),$K$2:$K$1001,0),1)&gt;=100000,INDEX($R$1005:$W$1005,1,MATCH(COLUMNS($R$1006:S1006),$R$1006:$W$1006,0))&gt;=100000), " ",IF(INDEX($R$2:$W$1001,MATCH(ROWS($K$2:K20),$K$2:$K$1001,0),MATCH(COLUMNS($R$1006:S1006),$R$1006:$W$1006,0)), HYPERLINK("#",""), HYPERLINK(CONCATENATE("#Metadata!", ADDRESS(INDEX($M$2:$M$1001,MATCH(ROWS($K$2:K20),$K$2:$K$1001,0),0), INDEX($R$1004:$W$1004,1,MATCH(COLUMNS($R$1006:S1006),$R$1006:$W$1006,0)))),"Fix")))</f>
        <v>0</v>
      </c>
      <c r="D20" s="3">
        <f>IF(OR(INDEX($L$2:$L$1001,MATCH(ROWS($K$2:K20),$K$2:$K$1001,0),1)&gt;=100000,INDEX($R$1005:$W$1005,1,MATCH(COLUMNS($R$1006:T1006),$R$1006:$W$1006,0))&gt;=100000), " ",IF(INDEX($R$2:$W$1001,MATCH(ROWS($K$2:K20),$K$2:$K$1001,0),MATCH(COLUMNS($R$1006:T1006),$R$1006:$W$1006,0)), HYPERLINK("#",""), HYPERLINK(CONCATENATE("#Metadata!", ADDRESS(INDEX($M$2:$M$1001,MATCH(ROWS($K$2:K20),$K$2:$K$1001,0),0), INDEX($R$1004:$W$1004,1,MATCH(COLUMNS($R$1006:T1006),$R$1006:$W$1006,0)))),"Fix")))</f>
        <v>0</v>
      </c>
      <c r="E20" s="3">
        <f>IF(OR(INDEX($L$2:$L$1001,MATCH(ROWS($K$2:K20),$K$2:$K$1001,0),1)&gt;=100000,INDEX($R$1005:$W$1005,1,MATCH(COLUMNS($R$1006:U1006),$R$1006:$W$1006,0))&gt;=100000), " ",IF(INDEX($R$2:$W$1001,MATCH(ROWS($K$2:K20),$K$2:$K$1001,0),MATCH(COLUMNS($R$1006:U1006),$R$1006:$W$1006,0)), HYPERLINK("#",""), HYPERLINK(CONCATENATE("#Metadata!", ADDRESS(INDEX($M$2:$M$1001,MATCH(ROWS($K$2:K20),$K$2:$K$1001,0),0), INDEX($R$1004:$W$1004,1,MATCH(COLUMNS($R$1006:U1006),$R$1006:$W$1006,0)))),"Fix")))</f>
        <v>0</v>
      </c>
      <c r="F20" s="3">
        <f>IF(OR(INDEX($L$2:$L$1001,MATCH(ROWS($K$2:K20),$K$2:$K$1001,0),1)&gt;=100000,INDEX($R$1005:$W$1005,1,MATCH(COLUMNS($R$1006:V1006),$R$1006:$W$1006,0))&gt;=100000), " ",IF(INDEX($R$2:$W$1001,MATCH(ROWS($K$2:K20),$K$2:$K$1001,0),MATCH(COLUMNS($R$1006:V1006),$R$1006:$W$1006,0)), HYPERLINK("#",""), HYPERLINK(CONCATENATE("#Metadata!", ADDRESS(INDEX($M$2:$M$1001,MATCH(ROWS($K$2:K20),$K$2:$K$1001,0),0), INDEX($R$1004:$W$1004,1,MATCH(COLUMNS($R$1006:V1006),$R$1006:$W$1006,0)))),"Fix")))</f>
        <v>0</v>
      </c>
      <c r="G20" s="3">
        <f>IF(OR(INDEX($L$2:$L$1001,MATCH(ROWS($K$2:K20),$K$2:$K$1001,0),1)&gt;=100000,INDEX($R$1005:$W$1005,1,MATCH(COLUMNS($R$1006:W1006),$R$1006:$W$1006,0))&gt;=100000), " ",IF(INDEX($R$2:$W$1001,MATCH(ROWS($K$2:K20),$K$2:$K$1001,0),MATCH(COLUMNS($R$1006:W1006),$R$1006:$W$1006,0)), HYPERLINK("#",""), HYPERLINK(CONCATENATE("#Metadata!", ADDRESS(INDEX($M$2:$M$1001,MATCH(ROWS($K$2:K20),$K$2:$K$1001,0),0), INDEX($R$1004:$W$1004,1,MATCH(COLUMNS($R$1006:W1006),$R$1006:$W$1006,0)))),"Fix")))</f>
        <v>0</v>
      </c>
      <c r="K20">
        <v>0</v>
      </c>
      <c r="L20">
        <v>0</v>
      </c>
      <c r="M20">
        <v>0</v>
      </c>
      <c r="N20">
        <f>IF(O20,TRUE,AND(R20:W20))</f>
        <v>0</v>
      </c>
      <c r="O20">
        <f>COUNTBLANK(Metadata!B20:G20)=COLUMNS(Metadata!B20:G20)</f>
        <v>0</v>
      </c>
      <c r="P20">
        <v>0</v>
      </c>
      <c r="R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S20">
        <f>IF(Metadata!C20="",FALSE,TRUE)</f>
        <v>0</v>
      </c>
      <c r="T20">
        <f>IF(Metadata!D20="",FALSE,TRUE)</f>
        <v>0</v>
      </c>
      <c r="U20">
        <f>IF(Metadata!E20="",FALSE,TRUE)</f>
        <v>0</v>
      </c>
      <c r="V20">
        <f>AND(IF(Metadata!F20="",FALSE,TRUE),exact(Metadata!F20,"rat gut metagenome"))</f>
        <v>0</v>
      </c>
      <c r="W20">
        <f>AND(IF(Metadata!G20="",FALSE,TRUE),exact(Metadata!G20,"1436733"))</f>
        <v>0</v>
      </c>
    </row>
    <row r="21" spans="1:23">
      <c r="A21" s="4">
        <f>IF(B21=" "," ",HYPERLINK(CONCATENATE("#metadata!",ADDRESS(INDEX($M$2:$M$1001,MATCH(ROWS($K$2:K21),$K$2:$K$1001,0),0),1)),INDEX($P$2:$P$1001,MATCH(ROWS($K$2:K21),$K$2:$K$1001,0),0)))</f>
        <v>0</v>
      </c>
      <c r="B21" s="3">
        <f>IF(OR(INDEX($L$2:$L$1001,MATCH(ROWS($K$2:K21),$K$2:$K$1001,0),1)&gt;=100000,INDEX($R$1005:$W$1005,1,MATCH(COLUMNS($R$1006:R1006),$R$1006:$W$1006,0))&gt;=100000), " ",IF(INDEX($R$2:$W$1001,MATCH(ROWS($K$2:K21),$K$2:$K$1001,0),MATCH(COLUMNS($R$1006:R1006),$R$1006:$W$1006,0)), HYPERLINK("#",""), HYPERLINK(CONCATENATE("#Metadata!", ADDRESS(INDEX($M$2:$M$1001,MATCH(ROWS($K$2:K21),$K$2:$K$1001,0),0), INDEX($R$1004:$W$1004,1,MATCH(COLUMNS($R$1006:R1006),$R$1006:$W$1006,0)))),"Fix")))</f>
        <v>0</v>
      </c>
      <c r="C21" s="3">
        <f>IF(OR(INDEX($L$2:$L$1001,MATCH(ROWS($K$2:K21),$K$2:$K$1001,0),1)&gt;=100000,INDEX($R$1005:$W$1005,1,MATCH(COLUMNS($R$1006:S1006),$R$1006:$W$1006,0))&gt;=100000), " ",IF(INDEX($R$2:$W$1001,MATCH(ROWS($K$2:K21),$K$2:$K$1001,0),MATCH(COLUMNS($R$1006:S1006),$R$1006:$W$1006,0)), HYPERLINK("#",""), HYPERLINK(CONCATENATE("#Metadata!", ADDRESS(INDEX($M$2:$M$1001,MATCH(ROWS($K$2:K21),$K$2:$K$1001,0),0), INDEX($R$1004:$W$1004,1,MATCH(COLUMNS($R$1006:S1006),$R$1006:$W$1006,0)))),"Fix")))</f>
        <v>0</v>
      </c>
      <c r="D21" s="3">
        <f>IF(OR(INDEX($L$2:$L$1001,MATCH(ROWS($K$2:K21),$K$2:$K$1001,0),1)&gt;=100000,INDEX($R$1005:$W$1005,1,MATCH(COLUMNS($R$1006:T1006),$R$1006:$W$1006,0))&gt;=100000), " ",IF(INDEX($R$2:$W$1001,MATCH(ROWS($K$2:K21),$K$2:$K$1001,0),MATCH(COLUMNS($R$1006:T1006),$R$1006:$W$1006,0)), HYPERLINK("#",""), HYPERLINK(CONCATENATE("#Metadata!", ADDRESS(INDEX($M$2:$M$1001,MATCH(ROWS($K$2:K21),$K$2:$K$1001,0),0), INDEX($R$1004:$W$1004,1,MATCH(COLUMNS($R$1006:T1006),$R$1006:$W$1006,0)))),"Fix")))</f>
        <v>0</v>
      </c>
      <c r="E21" s="3">
        <f>IF(OR(INDEX($L$2:$L$1001,MATCH(ROWS($K$2:K21),$K$2:$K$1001,0),1)&gt;=100000,INDEX($R$1005:$W$1005,1,MATCH(COLUMNS($R$1006:U1006),$R$1006:$W$1006,0))&gt;=100000), " ",IF(INDEX($R$2:$W$1001,MATCH(ROWS($K$2:K21),$K$2:$K$1001,0),MATCH(COLUMNS($R$1006:U1006),$R$1006:$W$1006,0)), HYPERLINK("#",""), HYPERLINK(CONCATENATE("#Metadata!", ADDRESS(INDEX($M$2:$M$1001,MATCH(ROWS($K$2:K21),$K$2:$K$1001,0),0), INDEX($R$1004:$W$1004,1,MATCH(COLUMNS($R$1006:U1006),$R$1006:$W$1006,0)))),"Fix")))</f>
        <v>0</v>
      </c>
      <c r="F21" s="3">
        <f>IF(OR(INDEX($L$2:$L$1001,MATCH(ROWS($K$2:K21),$K$2:$K$1001,0),1)&gt;=100000,INDEX($R$1005:$W$1005,1,MATCH(COLUMNS($R$1006:V1006),$R$1006:$W$1006,0))&gt;=100000), " ",IF(INDEX($R$2:$W$1001,MATCH(ROWS($K$2:K21),$K$2:$K$1001,0),MATCH(COLUMNS($R$1006:V1006),$R$1006:$W$1006,0)), HYPERLINK("#",""), HYPERLINK(CONCATENATE("#Metadata!", ADDRESS(INDEX($M$2:$M$1001,MATCH(ROWS($K$2:K21),$K$2:$K$1001,0),0), INDEX($R$1004:$W$1004,1,MATCH(COLUMNS($R$1006:V1006),$R$1006:$W$1006,0)))),"Fix")))</f>
        <v>0</v>
      </c>
      <c r="G21" s="3">
        <f>IF(OR(INDEX($L$2:$L$1001,MATCH(ROWS($K$2:K21),$K$2:$K$1001,0),1)&gt;=100000,INDEX($R$1005:$W$1005,1,MATCH(COLUMNS($R$1006:W1006),$R$1006:$W$1006,0))&gt;=100000), " ",IF(INDEX($R$2:$W$1001,MATCH(ROWS($K$2:K21),$K$2:$K$1001,0),MATCH(COLUMNS($R$1006:W1006),$R$1006:$W$1006,0)), HYPERLINK("#",""), HYPERLINK(CONCATENATE("#Metadata!", ADDRESS(INDEX($M$2:$M$1001,MATCH(ROWS($K$2:K21),$K$2:$K$1001,0),0), INDEX($R$1004:$W$1004,1,MATCH(COLUMNS($R$1006:W1006),$R$1006:$W$1006,0)))),"Fix")))</f>
        <v>0</v>
      </c>
      <c r="K21">
        <v>0</v>
      </c>
      <c r="L21">
        <v>0</v>
      </c>
      <c r="M21">
        <v>0</v>
      </c>
      <c r="N21">
        <f>IF(O21,TRUE,AND(R21:W21))</f>
        <v>0</v>
      </c>
      <c r="O21">
        <f>COUNTBLANK(Metadata!B21:G21)=COLUMNS(Metadata!B21:G21)</f>
        <v>0</v>
      </c>
      <c r="P21">
        <v>0</v>
      </c>
      <c r="R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S21">
        <f>IF(Metadata!C21="",FALSE,TRUE)</f>
        <v>0</v>
      </c>
      <c r="T21">
        <f>IF(Metadata!D21="",FALSE,TRUE)</f>
        <v>0</v>
      </c>
      <c r="U21">
        <f>IF(Metadata!E21="",FALSE,TRUE)</f>
        <v>0</v>
      </c>
      <c r="V21">
        <f>AND(IF(Metadata!F21="",FALSE,TRUE),exact(Metadata!F21,"rat gut metagenome"))</f>
        <v>0</v>
      </c>
      <c r="W21">
        <f>AND(IF(Metadata!G21="",FALSE,TRUE),exact(Metadata!G21,"1436733"))</f>
        <v>0</v>
      </c>
    </row>
    <row r="22" spans="1:23">
      <c r="A22" s="4">
        <f>IF(B22=" "," ",HYPERLINK(CONCATENATE("#metadata!",ADDRESS(INDEX($M$2:$M$1001,MATCH(ROWS($K$2:K22),$K$2:$K$1001,0),0),1)),INDEX($P$2:$P$1001,MATCH(ROWS($K$2:K22),$K$2:$K$1001,0),0)))</f>
        <v>0</v>
      </c>
      <c r="B22" s="3">
        <f>IF(OR(INDEX($L$2:$L$1001,MATCH(ROWS($K$2:K22),$K$2:$K$1001,0),1)&gt;=100000,INDEX($R$1005:$W$1005,1,MATCH(COLUMNS($R$1006:R1006),$R$1006:$W$1006,0))&gt;=100000), " ",IF(INDEX($R$2:$W$1001,MATCH(ROWS($K$2:K22),$K$2:$K$1001,0),MATCH(COLUMNS($R$1006:R1006),$R$1006:$W$1006,0)), HYPERLINK("#",""), HYPERLINK(CONCATENATE("#Metadata!", ADDRESS(INDEX($M$2:$M$1001,MATCH(ROWS($K$2:K22),$K$2:$K$1001,0),0), INDEX($R$1004:$W$1004,1,MATCH(COLUMNS($R$1006:R1006),$R$1006:$W$1006,0)))),"Fix")))</f>
        <v>0</v>
      </c>
      <c r="C22" s="3">
        <f>IF(OR(INDEX($L$2:$L$1001,MATCH(ROWS($K$2:K22),$K$2:$K$1001,0),1)&gt;=100000,INDEX($R$1005:$W$1005,1,MATCH(COLUMNS($R$1006:S1006),$R$1006:$W$1006,0))&gt;=100000), " ",IF(INDEX($R$2:$W$1001,MATCH(ROWS($K$2:K22),$K$2:$K$1001,0),MATCH(COLUMNS($R$1006:S1006),$R$1006:$W$1006,0)), HYPERLINK("#",""), HYPERLINK(CONCATENATE("#Metadata!", ADDRESS(INDEX($M$2:$M$1001,MATCH(ROWS($K$2:K22),$K$2:$K$1001,0),0), INDEX($R$1004:$W$1004,1,MATCH(COLUMNS($R$1006:S1006),$R$1006:$W$1006,0)))),"Fix")))</f>
        <v>0</v>
      </c>
      <c r="D22" s="3">
        <f>IF(OR(INDEX($L$2:$L$1001,MATCH(ROWS($K$2:K22),$K$2:$K$1001,0),1)&gt;=100000,INDEX($R$1005:$W$1005,1,MATCH(COLUMNS($R$1006:T1006),$R$1006:$W$1006,0))&gt;=100000), " ",IF(INDEX($R$2:$W$1001,MATCH(ROWS($K$2:K22),$K$2:$K$1001,0),MATCH(COLUMNS($R$1006:T1006),$R$1006:$W$1006,0)), HYPERLINK("#",""), HYPERLINK(CONCATENATE("#Metadata!", ADDRESS(INDEX($M$2:$M$1001,MATCH(ROWS($K$2:K22),$K$2:$K$1001,0),0), INDEX($R$1004:$W$1004,1,MATCH(COLUMNS($R$1006:T1006),$R$1006:$W$1006,0)))),"Fix")))</f>
        <v>0</v>
      </c>
      <c r="E22" s="3">
        <f>IF(OR(INDEX($L$2:$L$1001,MATCH(ROWS($K$2:K22),$K$2:$K$1001,0),1)&gt;=100000,INDEX($R$1005:$W$1005,1,MATCH(COLUMNS($R$1006:U1006),$R$1006:$W$1006,0))&gt;=100000), " ",IF(INDEX($R$2:$W$1001,MATCH(ROWS($K$2:K22),$K$2:$K$1001,0),MATCH(COLUMNS($R$1006:U1006),$R$1006:$W$1006,0)), HYPERLINK("#",""), HYPERLINK(CONCATENATE("#Metadata!", ADDRESS(INDEX($M$2:$M$1001,MATCH(ROWS($K$2:K22),$K$2:$K$1001,0),0), INDEX($R$1004:$W$1004,1,MATCH(COLUMNS($R$1006:U1006),$R$1006:$W$1006,0)))),"Fix")))</f>
        <v>0</v>
      </c>
      <c r="F22" s="3">
        <f>IF(OR(INDEX($L$2:$L$1001,MATCH(ROWS($K$2:K22),$K$2:$K$1001,0),1)&gt;=100000,INDEX($R$1005:$W$1005,1,MATCH(COLUMNS($R$1006:V1006),$R$1006:$W$1006,0))&gt;=100000), " ",IF(INDEX($R$2:$W$1001,MATCH(ROWS($K$2:K22),$K$2:$K$1001,0),MATCH(COLUMNS($R$1006:V1006),$R$1006:$W$1006,0)), HYPERLINK("#",""), HYPERLINK(CONCATENATE("#Metadata!", ADDRESS(INDEX($M$2:$M$1001,MATCH(ROWS($K$2:K22),$K$2:$K$1001,0),0), INDEX($R$1004:$W$1004,1,MATCH(COLUMNS($R$1006:V1006),$R$1006:$W$1006,0)))),"Fix")))</f>
        <v>0</v>
      </c>
      <c r="G22" s="3">
        <f>IF(OR(INDEX($L$2:$L$1001,MATCH(ROWS($K$2:K22),$K$2:$K$1001,0),1)&gt;=100000,INDEX($R$1005:$W$1005,1,MATCH(COLUMNS($R$1006:W1006),$R$1006:$W$1006,0))&gt;=100000), " ",IF(INDEX($R$2:$W$1001,MATCH(ROWS($K$2:K22),$K$2:$K$1001,0),MATCH(COLUMNS($R$1006:W1006),$R$1006:$W$1006,0)), HYPERLINK("#",""), HYPERLINK(CONCATENATE("#Metadata!", ADDRESS(INDEX($M$2:$M$1001,MATCH(ROWS($K$2:K22),$K$2:$K$1001,0),0), INDEX($R$1004:$W$1004,1,MATCH(COLUMNS($R$1006:W1006),$R$1006:$W$1006,0)))),"Fix")))</f>
        <v>0</v>
      </c>
      <c r="K22">
        <v>0</v>
      </c>
      <c r="L22">
        <v>0</v>
      </c>
      <c r="M22">
        <v>0</v>
      </c>
      <c r="N22">
        <f>IF(O22,TRUE,AND(R22:W22))</f>
        <v>0</v>
      </c>
      <c r="O22">
        <f>COUNTBLANK(Metadata!B22:G22)=COLUMNS(Metadata!B22:G22)</f>
        <v>0</v>
      </c>
      <c r="P22">
        <v>0</v>
      </c>
      <c r="R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S22">
        <f>IF(Metadata!C22="",FALSE,TRUE)</f>
        <v>0</v>
      </c>
      <c r="T22">
        <f>IF(Metadata!D22="",FALSE,TRUE)</f>
        <v>0</v>
      </c>
      <c r="U22">
        <f>IF(Metadata!E22="",FALSE,TRUE)</f>
        <v>0</v>
      </c>
      <c r="V22">
        <f>AND(IF(Metadata!F22="",FALSE,TRUE),exact(Metadata!F22,"rat gut metagenome"))</f>
        <v>0</v>
      </c>
      <c r="W22">
        <f>AND(IF(Metadata!G22="",FALSE,TRUE),exact(Metadata!G22,"1436733"))</f>
        <v>0</v>
      </c>
    </row>
    <row r="23" spans="1:23">
      <c r="A23" s="4">
        <f>IF(B23=" "," ",HYPERLINK(CONCATENATE("#metadata!",ADDRESS(INDEX($M$2:$M$1001,MATCH(ROWS($K$2:K23),$K$2:$K$1001,0),0),1)),INDEX($P$2:$P$1001,MATCH(ROWS($K$2:K23),$K$2:$K$1001,0),0)))</f>
        <v>0</v>
      </c>
      <c r="B23" s="3">
        <f>IF(OR(INDEX($L$2:$L$1001,MATCH(ROWS($K$2:K23),$K$2:$K$1001,0),1)&gt;=100000,INDEX($R$1005:$W$1005,1,MATCH(COLUMNS($R$1006:R1006),$R$1006:$W$1006,0))&gt;=100000), " ",IF(INDEX($R$2:$W$1001,MATCH(ROWS($K$2:K23),$K$2:$K$1001,0),MATCH(COLUMNS($R$1006:R1006),$R$1006:$W$1006,0)), HYPERLINK("#",""), HYPERLINK(CONCATENATE("#Metadata!", ADDRESS(INDEX($M$2:$M$1001,MATCH(ROWS($K$2:K23),$K$2:$K$1001,0),0), INDEX($R$1004:$W$1004,1,MATCH(COLUMNS($R$1006:R1006),$R$1006:$W$1006,0)))),"Fix")))</f>
        <v>0</v>
      </c>
      <c r="C23" s="3">
        <f>IF(OR(INDEX($L$2:$L$1001,MATCH(ROWS($K$2:K23),$K$2:$K$1001,0),1)&gt;=100000,INDEX($R$1005:$W$1005,1,MATCH(COLUMNS($R$1006:S1006),$R$1006:$W$1006,0))&gt;=100000), " ",IF(INDEX($R$2:$W$1001,MATCH(ROWS($K$2:K23),$K$2:$K$1001,0),MATCH(COLUMNS($R$1006:S1006),$R$1006:$W$1006,0)), HYPERLINK("#",""), HYPERLINK(CONCATENATE("#Metadata!", ADDRESS(INDEX($M$2:$M$1001,MATCH(ROWS($K$2:K23),$K$2:$K$1001,0),0), INDEX($R$1004:$W$1004,1,MATCH(COLUMNS($R$1006:S1006),$R$1006:$W$1006,0)))),"Fix")))</f>
        <v>0</v>
      </c>
      <c r="D23" s="3">
        <f>IF(OR(INDEX($L$2:$L$1001,MATCH(ROWS($K$2:K23),$K$2:$K$1001,0),1)&gt;=100000,INDEX($R$1005:$W$1005,1,MATCH(COLUMNS($R$1006:T1006),$R$1006:$W$1006,0))&gt;=100000), " ",IF(INDEX($R$2:$W$1001,MATCH(ROWS($K$2:K23),$K$2:$K$1001,0),MATCH(COLUMNS($R$1006:T1006),$R$1006:$W$1006,0)), HYPERLINK("#",""), HYPERLINK(CONCATENATE("#Metadata!", ADDRESS(INDEX($M$2:$M$1001,MATCH(ROWS($K$2:K23),$K$2:$K$1001,0),0), INDEX($R$1004:$W$1004,1,MATCH(COLUMNS($R$1006:T1006),$R$1006:$W$1006,0)))),"Fix")))</f>
        <v>0</v>
      </c>
      <c r="E23" s="3">
        <f>IF(OR(INDEX($L$2:$L$1001,MATCH(ROWS($K$2:K23),$K$2:$K$1001,0),1)&gt;=100000,INDEX($R$1005:$W$1005,1,MATCH(COLUMNS($R$1006:U1006),$R$1006:$W$1006,0))&gt;=100000), " ",IF(INDEX($R$2:$W$1001,MATCH(ROWS($K$2:K23),$K$2:$K$1001,0),MATCH(COLUMNS($R$1006:U1006),$R$1006:$W$1006,0)), HYPERLINK("#",""), HYPERLINK(CONCATENATE("#Metadata!", ADDRESS(INDEX($M$2:$M$1001,MATCH(ROWS($K$2:K23),$K$2:$K$1001,0),0), INDEX($R$1004:$W$1004,1,MATCH(COLUMNS($R$1006:U1006),$R$1006:$W$1006,0)))),"Fix")))</f>
        <v>0</v>
      </c>
      <c r="F23" s="3">
        <f>IF(OR(INDEX($L$2:$L$1001,MATCH(ROWS($K$2:K23),$K$2:$K$1001,0),1)&gt;=100000,INDEX($R$1005:$W$1005,1,MATCH(COLUMNS($R$1006:V1006),$R$1006:$W$1006,0))&gt;=100000), " ",IF(INDEX($R$2:$W$1001,MATCH(ROWS($K$2:K23),$K$2:$K$1001,0),MATCH(COLUMNS($R$1006:V1006),$R$1006:$W$1006,0)), HYPERLINK("#",""), HYPERLINK(CONCATENATE("#Metadata!", ADDRESS(INDEX($M$2:$M$1001,MATCH(ROWS($K$2:K23),$K$2:$K$1001,0),0), INDEX($R$1004:$W$1004,1,MATCH(COLUMNS($R$1006:V1006),$R$1006:$W$1006,0)))),"Fix")))</f>
        <v>0</v>
      </c>
      <c r="G23" s="3">
        <f>IF(OR(INDEX($L$2:$L$1001,MATCH(ROWS($K$2:K23),$K$2:$K$1001,0),1)&gt;=100000,INDEX($R$1005:$W$1005,1,MATCH(COLUMNS($R$1006:W1006),$R$1006:$W$1006,0))&gt;=100000), " ",IF(INDEX($R$2:$W$1001,MATCH(ROWS($K$2:K23),$K$2:$K$1001,0),MATCH(COLUMNS($R$1006:W1006),$R$1006:$W$1006,0)), HYPERLINK("#",""), HYPERLINK(CONCATENATE("#Metadata!", ADDRESS(INDEX($M$2:$M$1001,MATCH(ROWS($K$2:K23),$K$2:$K$1001,0),0), INDEX($R$1004:$W$1004,1,MATCH(COLUMNS($R$1006:W1006),$R$1006:$W$1006,0)))),"Fix")))</f>
        <v>0</v>
      </c>
      <c r="K23">
        <v>0</v>
      </c>
      <c r="L23">
        <v>0</v>
      </c>
      <c r="M23">
        <v>0</v>
      </c>
      <c r="N23">
        <f>IF(O23,TRUE,AND(R23:W23))</f>
        <v>0</v>
      </c>
      <c r="O23">
        <f>COUNTBLANK(Metadata!B23:G23)=COLUMNS(Metadata!B23:G23)</f>
        <v>0</v>
      </c>
      <c r="P23">
        <v>0</v>
      </c>
      <c r="R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S23">
        <f>IF(Metadata!C23="",FALSE,TRUE)</f>
        <v>0</v>
      </c>
      <c r="T23">
        <f>IF(Metadata!D23="",FALSE,TRUE)</f>
        <v>0</v>
      </c>
      <c r="U23">
        <f>IF(Metadata!E23="",FALSE,TRUE)</f>
        <v>0</v>
      </c>
      <c r="V23">
        <f>AND(IF(Metadata!F23="",FALSE,TRUE),exact(Metadata!F23,"rat gut metagenome"))</f>
        <v>0</v>
      </c>
      <c r="W23">
        <f>AND(IF(Metadata!G23="",FALSE,TRUE),exact(Metadata!G23,"1436733"))</f>
        <v>0</v>
      </c>
    </row>
    <row r="24" spans="1:23">
      <c r="A24" s="4">
        <f>IF(B24=" "," ",HYPERLINK(CONCATENATE("#metadata!",ADDRESS(INDEX($M$2:$M$1001,MATCH(ROWS($K$2:K24),$K$2:$K$1001,0),0),1)),INDEX($P$2:$P$1001,MATCH(ROWS($K$2:K24),$K$2:$K$1001,0),0)))</f>
        <v>0</v>
      </c>
      <c r="B24" s="3">
        <f>IF(OR(INDEX($L$2:$L$1001,MATCH(ROWS($K$2:K24),$K$2:$K$1001,0),1)&gt;=100000,INDEX($R$1005:$W$1005,1,MATCH(COLUMNS($R$1006:R1006),$R$1006:$W$1006,0))&gt;=100000), " ",IF(INDEX($R$2:$W$1001,MATCH(ROWS($K$2:K24),$K$2:$K$1001,0),MATCH(COLUMNS($R$1006:R1006),$R$1006:$W$1006,0)), HYPERLINK("#",""), HYPERLINK(CONCATENATE("#Metadata!", ADDRESS(INDEX($M$2:$M$1001,MATCH(ROWS($K$2:K24),$K$2:$K$1001,0),0), INDEX($R$1004:$W$1004,1,MATCH(COLUMNS($R$1006:R1006),$R$1006:$W$1006,0)))),"Fix")))</f>
        <v>0</v>
      </c>
      <c r="C24" s="3">
        <f>IF(OR(INDEX($L$2:$L$1001,MATCH(ROWS($K$2:K24),$K$2:$K$1001,0),1)&gt;=100000,INDEX($R$1005:$W$1005,1,MATCH(COLUMNS($R$1006:S1006),$R$1006:$W$1006,0))&gt;=100000), " ",IF(INDEX($R$2:$W$1001,MATCH(ROWS($K$2:K24),$K$2:$K$1001,0),MATCH(COLUMNS($R$1006:S1006),$R$1006:$W$1006,0)), HYPERLINK("#",""), HYPERLINK(CONCATENATE("#Metadata!", ADDRESS(INDEX($M$2:$M$1001,MATCH(ROWS($K$2:K24),$K$2:$K$1001,0),0), INDEX($R$1004:$W$1004,1,MATCH(COLUMNS($R$1006:S1006),$R$1006:$W$1006,0)))),"Fix")))</f>
        <v>0</v>
      </c>
      <c r="D24" s="3">
        <f>IF(OR(INDEX($L$2:$L$1001,MATCH(ROWS($K$2:K24),$K$2:$K$1001,0),1)&gt;=100000,INDEX($R$1005:$W$1005,1,MATCH(COLUMNS($R$1006:T1006),$R$1006:$W$1006,0))&gt;=100000), " ",IF(INDEX($R$2:$W$1001,MATCH(ROWS($K$2:K24),$K$2:$K$1001,0),MATCH(COLUMNS($R$1006:T1006),$R$1006:$W$1006,0)), HYPERLINK("#",""), HYPERLINK(CONCATENATE("#Metadata!", ADDRESS(INDEX($M$2:$M$1001,MATCH(ROWS($K$2:K24),$K$2:$K$1001,0),0), INDEX($R$1004:$W$1004,1,MATCH(COLUMNS($R$1006:T1006),$R$1006:$W$1006,0)))),"Fix")))</f>
        <v>0</v>
      </c>
      <c r="E24" s="3">
        <f>IF(OR(INDEX($L$2:$L$1001,MATCH(ROWS($K$2:K24),$K$2:$K$1001,0),1)&gt;=100000,INDEX($R$1005:$W$1005,1,MATCH(COLUMNS($R$1006:U1006),$R$1006:$W$1006,0))&gt;=100000), " ",IF(INDEX($R$2:$W$1001,MATCH(ROWS($K$2:K24),$K$2:$K$1001,0),MATCH(COLUMNS($R$1006:U1006),$R$1006:$W$1006,0)), HYPERLINK("#",""), HYPERLINK(CONCATENATE("#Metadata!", ADDRESS(INDEX($M$2:$M$1001,MATCH(ROWS($K$2:K24),$K$2:$K$1001,0),0), INDEX($R$1004:$W$1004,1,MATCH(COLUMNS($R$1006:U1006),$R$1006:$W$1006,0)))),"Fix")))</f>
        <v>0</v>
      </c>
      <c r="F24" s="3">
        <f>IF(OR(INDEX($L$2:$L$1001,MATCH(ROWS($K$2:K24),$K$2:$K$1001,0),1)&gt;=100000,INDEX($R$1005:$W$1005,1,MATCH(COLUMNS($R$1006:V1006),$R$1006:$W$1006,0))&gt;=100000), " ",IF(INDEX($R$2:$W$1001,MATCH(ROWS($K$2:K24),$K$2:$K$1001,0),MATCH(COLUMNS($R$1006:V1006),$R$1006:$W$1006,0)), HYPERLINK("#",""), HYPERLINK(CONCATENATE("#Metadata!", ADDRESS(INDEX($M$2:$M$1001,MATCH(ROWS($K$2:K24),$K$2:$K$1001,0),0), INDEX($R$1004:$W$1004,1,MATCH(COLUMNS($R$1006:V1006),$R$1006:$W$1006,0)))),"Fix")))</f>
        <v>0</v>
      </c>
      <c r="G24" s="3">
        <f>IF(OR(INDEX($L$2:$L$1001,MATCH(ROWS($K$2:K24),$K$2:$K$1001,0),1)&gt;=100000,INDEX($R$1005:$W$1005,1,MATCH(COLUMNS($R$1006:W1006),$R$1006:$W$1006,0))&gt;=100000), " ",IF(INDEX($R$2:$W$1001,MATCH(ROWS($K$2:K24),$K$2:$K$1001,0),MATCH(COLUMNS($R$1006:W1006),$R$1006:$W$1006,0)), HYPERLINK("#",""), HYPERLINK(CONCATENATE("#Metadata!", ADDRESS(INDEX($M$2:$M$1001,MATCH(ROWS($K$2:K24),$K$2:$K$1001,0),0), INDEX($R$1004:$W$1004,1,MATCH(COLUMNS($R$1006:W1006),$R$1006:$W$1006,0)))),"Fix")))</f>
        <v>0</v>
      </c>
      <c r="K24">
        <v>0</v>
      </c>
      <c r="L24">
        <v>0</v>
      </c>
      <c r="M24">
        <v>0</v>
      </c>
      <c r="N24">
        <f>IF(O24,TRUE,AND(R24:W24))</f>
        <v>0</v>
      </c>
      <c r="O24">
        <f>COUNTBLANK(Metadata!B24:G24)=COLUMNS(Metadata!B24:G24)</f>
        <v>0</v>
      </c>
      <c r="P24">
        <v>0</v>
      </c>
      <c r="R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S24">
        <f>IF(Metadata!C24="",FALSE,TRUE)</f>
        <v>0</v>
      </c>
      <c r="T24">
        <f>IF(Metadata!D24="",FALSE,TRUE)</f>
        <v>0</v>
      </c>
      <c r="U24">
        <f>IF(Metadata!E24="",FALSE,TRUE)</f>
        <v>0</v>
      </c>
      <c r="V24">
        <f>AND(IF(Metadata!F24="",FALSE,TRUE),exact(Metadata!F24,"rat gut metagenome"))</f>
        <v>0</v>
      </c>
      <c r="W24">
        <f>AND(IF(Metadata!G24="",FALSE,TRUE),exact(Metadata!G24,"1436733"))</f>
        <v>0</v>
      </c>
    </row>
    <row r="25" spans="1:23">
      <c r="A25" s="4">
        <f>IF(B25=" "," ",HYPERLINK(CONCATENATE("#metadata!",ADDRESS(INDEX($M$2:$M$1001,MATCH(ROWS($K$2:K25),$K$2:$K$1001,0),0),1)),INDEX($P$2:$P$1001,MATCH(ROWS($K$2:K25),$K$2:$K$1001,0),0)))</f>
        <v>0</v>
      </c>
      <c r="B25" s="3">
        <f>IF(OR(INDEX($L$2:$L$1001,MATCH(ROWS($K$2:K25),$K$2:$K$1001,0),1)&gt;=100000,INDEX($R$1005:$W$1005,1,MATCH(COLUMNS($R$1006:R1006),$R$1006:$W$1006,0))&gt;=100000), " ",IF(INDEX($R$2:$W$1001,MATCH(ROWS($K$2:K25),$K$2:$K$1001,0),MATCH(COLUMNS($R$1006:R1006),$R$1006:$W$1006,0)), HYPERLINK("#",""), HYPERLINK(CONCATENATE("#Metadata!", ADDRESS(INDEX($M$2:$M$1001,MATCH(ROWS($K$2:K25),$K$2:$K$1001,0),0), INDEX($R$1004:$W$1004,1,MATCH(COLUMNS($R$1006:R1006),$R$1006:$W$1006,0)))),"Fix")))</f>
        <v>0</v>
      </c>
      <c r="C25" s="3">
        <f>IF(OR(INDEX($L$2:$L$1001,MATCH(ROWS($K$2:K25),$K$2:$K$1001,0),1)&gt;=100000,INDEX($R$1005:$W$1005,1,MATCH(COLUMNS($R$1006:S1006),$R$1006:$W$1006,0))&gt;=100000), " ",IF(INDEX($R$2:$W$1001,MATCH(ROWS($K$2:K25),$K$2:$K$1001,0),MATCH(COLUMNS($R$1006:S1006),$R$1006:$W$1006,0)), HYPERLINK("#",""), HYPERLINK(CONCATENATE("#Metadata!", ADDRESS(INDEX($M$2:$M$1001,MATCH(ROWS($K$2:K25),$K$2:$K$1001,0),0), INDEX($R$1004:$W$1004,1,MATCH(COLUMNS($R$1006:S1006),$R$1006:$W$1006,0)))),"Fix")))</f>
        <v>0</v>
      </c>
      <c r="D25" s="3">
        <f>IF(OR(INDEX($L$2:$L$1001,MATCH(ROWS($K$2:K25),$K$2:$K$1001,0),1)&gt;=100000,INDEX($R$1005:$W$1005,1,MATCH(COLUMNS($R$1006:T1006),$R$1006:$W$1006,0))&gt;=100000), " ",IF(INDEX($R$2:$W$1001,MATCH(ROWS($K$2:K25),$K$2:$K$1001,0),MATCH(COLUMNS($R$1006:T1006),$R$1006:$W$1006,0)), HYPERLINK("#",""), HYPERLINK(CONCATENATE("#Metadata!", ADDRESS(INDEX($M$2:$M$1001,MATCH(ROWS($K$2:K25),$K$2:$K$1001,0),0), INDEX($R$1004:$W$1004,1,MATCH(COLUMNS($R$1006:T1006),$R$1006:$W$1006,0)))),"Fix")))</f>
        <v>0</v>
      </c>
      <c r="E25" s="3">
        <f>IF(OR(INDEX($L$2:$L$1001,MATCH(ROWS($K$2:K25),$K$2:$K$1001,0),1)&gt;=100000,INDEX($R$1005:$W$1005,1,MATCH(COLUMNS($R$1006:U1006),$R$1006:$W$1006,0))&gt;=100000), " ",IF(INDEX($R$2:$W$1001,MATCH(ROWS($K$2:K25),$K$2:$K$1001,0),MATCH(COLUMNS($R$1006:U1006),$R$1006:$W$1006,0)), HYPERLINK("#",""), HYPERLINK(CONCATENATE("#Metadata!", ADDRESS(INDEX($M$2:$M$1001,MATCH(ROWS($K$2:K25),$K$2:$K$1001,0),0), INDEX($R$1004:$W$1004,1,MATCH(COLUMNS($R$1006:U1006),$R$1006:$W$1006,0)))),"Fix")))</f>
        <v>0</v>
      </c>
      <c r="F25" s="3">
        <f>IF(OR(INDEX($L$2:$L$1001,MATCH(ROWS($K$2:K25),$K$2:$K$1001,0),1)&gt;=100000,INDEX($R$1005:$W$1005,1,MATCH(COLUMNS($R$1006:V1006),$R$1006:$W$1006,0))&gt;=100000), " ",IF(INDEX($R$2:$W$1001,MATCH(ROWS($K$2:K25),$K$2:$K$1001,0),MATCH(COLUMNS($R$1006:V1006),$R$1006:$W$1006,0)), HYPERLINK("#",""), HYPERLINK(CONCATENATE("#Metadata!", ADDRESS(INDEX($M$2:$M$1001,MATCH(ROWS($K$2:K25),$K$2:$K$1001,0),0), INDEX($R$1004:$W$1004,1,MATCH(COLUMNS($R$1006:V1006),$R$1006:$W$1006,0)))),"Fix")))</f>
        <v>0</v>
      </c>
      <c r="G25" s="3">
        <f>IF(OR(INDEX($L$2:$L$1001,MATCH(ROWS($K$2:K25),$K$2:$K$1001,0),1)&gt;=100000,INDEX($R$1005:$W$1005,1,MATCH(COLUMNS($R$1006:W1006),$R$1006:$W$1006,0))&gt;=100000), " ",IF(INDEX($R$2:$W$1001,MATCH(ROWS($K$2:K25),$K$2:$K$1001,0),MATCH(COLUMNS($R$1006:W1006),$R$1006:$W$1006,0)), HYPERLINK("#",""), HYPERLINK(CONCATENATE("#Metadata!", ADDRESS(INDEX($M$2:$M$1001,MATCH(ROWS($K$2:K25),$K$2:$K$1001,0),0), INDEX($R$1004:$W$1004,1,MATCH(COLUMNS($R$1006:W1006),$R$1006:$W$1006,0)))),"Fix")))</f>
        <v>0</v>
      </c>
      <c r="K25">
        <v>0</v>
      </c>
      <c r="L25">
        <v>0</v>
      </c>
      <c r="M25">
        <v>0</v>
      </c>
      <c r="N25">
        <f>IF(O25,TRUE,AND(R25:W25))</f>
        <v>0</v>
      </c>
      <c r="O25">
        <f>COUNTBLANK(Metadata!B25:G25)=COLUMNS(Metadata!B25:G25)</f>
        <v>0</v>
      </c>
      <c r="P25">
        <v>0</v>
      </c>
      <c r="R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S25">
        <f>IF(Metadata!C25="",FALSE,TRUE)</f>
        <v>0</v>
      </c>
      <c r="T25">
        <f>IF(Metadata!D25="",FALSE,TRUE)</f>
        <v>0</v>
      </c>
      <c r="U25">
        <f>IF(Metadata!E25="",FALSE,TRUE)</f>
        <v>0</v>
      </c>
      <c r="V25">
        <f>AND(IF(Metadata!F25="",FALSE,TRUE),exact(Metadata!F25,"rat gut metagenome"))</f>
        <v>0</v>
      </c>
      <c r="W25">
        <f>AND(IF(Metadata!G25="",FALSE,TRUE),exact(Metadata!G25,"1436733"))</f>
        <v>0</v>
      </c>
    </row>
    <row r="26" spans="1:23">
      <c r="A26" s="4">
        <f>IF(B26=" "," ",HYPERLINK(CONCATENATE("#metadata!",ADDRESS(INDEX($M$2:$M$1001,MATCH(ROWS($K$2:K26),$K$2:$K$1001,0),0),1)),INDEX($P$2:$P$1001,MATCH(ROWS($K$2:K26),$K$2:$K$1001,0),0)))</f>
        <v>0</v>
      </c>
      <c r="B26" s="3">
        <f>IF(OR(INDEX($L$2:$L$1001,MATCH(ROWS($K$2:K26),$K$2:$K$1001,0),1)&gt;=100000,INDEX($R$1005:$W$1005,1,MATCH(COLUMNS($R$1006:R1006),$R$1006:$W$1006,0))&gt;=100000), " ",IF(INDEX($R$2:$W$1001,MATCH(ROWS($K$2:K26),$K$2:$K$1001,0),MATCH(COLUMNS($R$1006:R1006),$R$1006:$W$1006,0)), HYPERLINK("#",""), HYPERLINK(CONCATENATE("#Metadata!", ADDRESS(INDEX($M$2:$M$1001,MATCH(ROWS($K$2:K26),$K$2:$K$1001,0),0), INDEX($R$1004:$W$1004,1,MATCH(COLUMNS($R$1006:R1006),$R$1006:$W$1006,0)))),"Fix")))</f>
        <v>0</v>
      </c>
      <c r="C26" s="3">
        <f>IF(OR(INDEX($L$2:$L$1001,MATCH(ROWS($K$2:K26),$K$2:$K$1001,0),1)&gt;=100000,INDEX($R$1005:$W$1005,1,MATCH(COLUMNS($R$1006:S1006),$R$1006:$W$1006,0))&gt;=100000), " ",IF(INDEX($R$2:$W$1001,MATCH(ROWS($K$2:K26),$K$2:$K$1001,0),MATCH(COLUMNS($R$1006:S1006),$R$1006:$W$1006,0)), HYPERLINK("#",""), HYPERLINK(CONCATENATE("#Metadata!", ADDRESS(INDEX($M$2:$M$1001,MATCH(ROWS($K$2:K26),$K$2:$K$1001,0),0), INDEX($R$1004:$W$1004,1,MATCH(COLUMNS($R$1006:S1006),$R$1006:$W$1006,0)))),"Fix")))</f>
        <v>0</v>
      </c>
      <c r="D26" s="3">
        <f>IF(OR(INDEX($L$2:$L$1001,MATCH(ROWS($K$2:K26),$K$2:$K$1001,0),1)&gt;=100000,INDEX($R$1005:$W$1005,1,MATCH(COLUMNS($R$1006:T1006),$R$1006:$W$1006,0))&gt;=100000), " ",IF(INDEX($R$2:$W$1001,MATCH(ROWS($K$2:K26),$K$2:$K$1001,0),MATCH(COLUMNS($R$1006:T1006),$R$1006:$W$1006,0)), HYPERLINK("#",""), HYPERLINK(CONCATENATE("#Metadata!", ADDRESS(INDEX($M$2:$M$1001,MATCH(ROWS($K$2:K26),$K$2:$K$1001,0),0), INDEX($R$1004:$W$1004,1,MATCH(COLUMNS($R$1006:T1006),$R$1006:$W$1006,0)))),"Fix")))</f>
        <v>0</v>
      </c>
      <c r="E26" s="3">
        <f>IF(OR(INDEX($L$2:$L$1001,MATCH(ROWS($K$2:K26),$K$2:$K$1001,0),1)&gt;=100000,INDEX($R$1005:$W$1005,1,MATCH(COLUMNS($R$1006:U1006),$R$1006:$W$1006,0))&gt;=100000), " ",IF(INDEX($R$2:$W$1001,MATCH(ROWS($K$2:K26),$K$2:$K$1001,0),MATCH(COLUMNS($R$1006:U1006),$R$1006:$W$1006,0)), HYPERLINK("#",""), HYPERLINK(CONCATENATE("#Metadata!", ADDRESS(INDEX($M$2:$M$1001,MATCH(ROWS($K$2:K26),$K$2:$K$1001,0),0), INDEX($R$1004:$W$1004,1,MATCH(COLUMNS($R$1006:U1006),$R$1006:$W$1006,0)))),"Fix")))</f>
        <v>0</v>
      </c>
      <c r="F26" s="3">
        <f>IF(OR(INDEX($L$2:$L$1001,MATCH(ROWS($K$2:K26),$K$2:$K$1001,0),1)&gt;=100000,INDEX($R$1005:$W$1005,1,MATCH(COLUMNS($R$1006:V1006),$R$1006:$W$1006,0))&gt;=100000), " ",IF(INDEX($R$2:$W$1001,MATCH(ROWS($K$2:K26),$K$2:$K$1001,0),MATCH(COLUMNS($R$1006:V1006),$R$1006:$W$1006,0)), HYPERLINK("#",""), HYPERLINK(CONCATENATE("#Metadata!", ADDRESS(INDEX($M$2:$M$1001,MATCH(ROWS($K$2:K26),$K$2:$K$1001,0),0), INDEX($R$1004:$W$1004,1,MATCH(COLUMNS($R$1006:V1006),$R$1006:$W$1006,0)))),"Fix")))</f>
        <v>0</v>
      </c>
      <c r="G26" s="3">
        <f>IF(OR(INDEX($L$2:$L$1001,MATCH(ROWS($K$2:K26),$K$2:$K$1001,0),1)&gt;=100000,INDEX($R$1005:$W$1005,1,MATCH(COLUMNS($R$1006:W1006),$R$1006:$W$1006,0))&gt;=100000), " ",IF(INDEX($R$2:$W$1001,MATCH(ROWS($K$2:K26),$K$2:$K$1001,0),MATCH(COLUMNS($R$1006:W1006),$R$1006:$W$1006,0)), HYPERLINK("#",""), HYPERLINK(CONCATENATE("#Metadata!", ADDRESS(INDEX($M$2:$M$1001,MATCH(ROWS($K$2:K26),$K$2:$K$1001,0),0), INDEX($R$1004:$W$1004,1,MATCH(COLUMNS($R$1006:W1006),$R$1006:$W$1006,0)))),"Fix")))</f>
        <v>0</v>
      </c>
      <c r="K26">
        <v>0</v>
      </c>
      <c r="L26">
        <v>0</v>
      </c>
      <c r="M26">
        <v>0</v>
      </c>
      <c r="N26">
        <f>IF(O26,TRUE,AND(R26:W26))</f>
        <v>0</v>
      </c>
      <c r="O26">
        <f>COUNTBLANK(Metadata!B26:G26)=COLUMNS(Metadata!B26:G26)</f>
        <v>0</v>
      </c>
      <c r="P26">
        <v>0</v>
      </c>
      <c r="R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S26">
        <f>IF(Metadata!C26="",FALSE,TRUE)</f>
        <v>0</v>
      </c>
      <c r="T26">
        <f>IF(Metadata!D26="",FALSE,TRUE)</f>
        <v>0</v>
      </c>
      <c r="U26">
        <f>IF(Metadata!E26="",FALSE,TRUE)</f>
        <v>0</v>
      </c>
      <c r="V26">
        <f>AND(IF(Metadata!F26="",FALSE,TRUE),exact(Metadata!F26,"rat gut metagenome"))</f>
        <v>0</v>
      </c>
      <c r="W26">
        <f>AND(IF(Metadata!G26="",FALSE,TRUE),exact(Metadata!G26,"1436733"))</f>
        <v>0</v>
      </c>
    </row>
    <row r="27" spans="1:23">
      <c r="A27" s="4">
        <f>IF(B27=" "," ",HYPERLINK(CONCATENATE("#metadata!",ADDRESS(INDEX($M$2:$M$1001,MATCH(ROWS($K$2:K27),$K$2:$K$1001,0),0),1)),INDEX($P$2:$P$1001,MATCH(ROWS($K$2:K27),$K$2:$K$1001,0),0)))</f>
        <v>0</v>
      </c>
      <c r="B27" s="3">
        <f>IF(OR(INDEX($L$2:$L$1001,MATCH(ROWS($K$2:K27),$K$2:$K$1001,0),1)&gt;=100000,INDEX($R$1005:$W$1005,1,MATCH(COLUMNS($R$1006:R1006),$R$1006:$W$1006,0))&gt;=100000), " ",IF(INDEX($R$2:$W$1001,MATCH(ROWS($K$2:K27),$K$2:$K$1001,0),MATCH(COLUMNS($R$1006:R1006),$R$1006:$W$1006,0)), HYPERLINK("#",""), HYPERLINK(CONCATENATE("#Metadata!", ADDRESS(INDEX($M$2:$M$1001,MATCH(ROWS($K$2:K27),$K$2:$K$1001,0),0), INDEX($R$1004:$W$1004,1,MATCH(COLUMNS($R$1006:R1006),$R$1006:$W$1006,0)))),"Fix")))</f>
        <v>0</v>
      </c>
      <c r="C27" s="3">
        <f>IF(OR(INDEX($L$2:$L$1001,MATCH(ROWS($K$2:K27),$K$2:$K$1001,0),1)&gt;=100000,INDEX($R$1005:$W$1005,1,MATCH(COLUMNS($R$1006:S1006),$R$1006:$W$1006,0))&gt;=100000), " ",IF(INDEX($R$2:$W$1001,MATCH(ROWS($K$2:K27),$K$2:$K$1001,0),MATCH(COLUMNS($R$1006:S1006),$R$1006:$W$1006,0)), HYPERLINK("#",""), HYPERLINK(CONCATENATE("#Metadata!", ADDRESS(INDEX($M$2:$M$1001,MATCH(ROWS($K$2:K27),$K$2:$K$1001,0),0), INDEX($R$1004:$W$1004,1,MATCH(COLUMNS($R$1006:S1006),$R$1006:$W$1006,0)))),"Fix")))</f>
        <v>0</v>
      </c>
      <c r="D27" s="3">
        <f>IF(OR(INDEX($L$2:$L$1001,MATCH(ROWS($K$2:K27),$K$2:$K$1001,0),1)&gt;=100000,INDEX($R$1005:$W$1005,1,MATCH(COLUMNS($R$1006:T1006),$R$1006:$W$1006,0))&gt;=100000), " ",IF(INDEX($R$2:$W$1001,MATCH(ROWS($K$2:K27),$K$2:$K$1001,0),MATCH(COLUMNS($R$1006:T1006),$R$1006:$W$1006,0)), HYPERLINK("#",""), HYPERLINK(CONCATENATE("#Metadata!", ADDRESS(INDEX($M$2:$M$1001,MATCH(ROWS($K$2:K27),$K$2:$K$1001,0),0), INDEX($R$1004:$W$1004,1,MATCH(COLUMNS($R$1006:T1006),$R$1006:$W$1006,0)))),"Fix")))</f>
        <v>0</v>
      </c>
      <c r="E27" s="3">
        <f>IF(OR(INDEX($L$2:$L$1001,MATCH(ROWS($K$2:K27),$K$2:$K$1001,0),1)&gt;=100000,INDEX($R$1005:$W$1005,1,MATCH(COLUMNS($R$1006:U1006),$R$1006:$W$1006,0))&gt;=100000), " ",IF(INDEX($R$2:$W$1001,MATCH(ROWS($K$2:K27),$K$2:$K$1001,0),MATCH(COLUMNS($R$1006:U1006),$R$1006:$W$1006,0)), HYPERLINK("#",""), HYPERLINK(CONCATENATE("#Metadata!", ADDRESS(INDEX($M$2:$M$1001,MATCH(ROWS($K$2:K27),$K$2:$K$1001,0),0), INDEX($R$1004:$W$1004,1,MATCH(COLUMNS($R$1006:U1006),$R$1006:$W$1006,0)))),"Fix")))</f>
        <v>0</v>
      </c>
      <c r="F27" s="3">
        <f>IF(OR(INDEX($L$2:$L$1001,MATCH(ROWS($K$2:K27),$K$2:$K$1001,0),1)&gt;=100000,INDEX($R$1005:$W$1005,1,MATCH(COLUMNS($R$1006:V1006),$R$1006:$W$1006,0))&gt;=100000), " ",IF(INDEX($R$2:$W$1001,MATCH(ROWS($K$2:K27),$K$2:$K$1001,0),MATCH(COLUMNS($R$1006:V1006),$R$1006:$W$1006,0)), HYPERLINK("#",""), HYPERLINK(CONCATENATE("#Metadata!", ADDRESS(INDEX($M$2:$M$1001,MATCH(ROWS($K$2:K27),$K$2:$K$1001,0),0), INDEX($R$1004:$W$1004,1,MATCH(COLUMNS($R$1006:V1006),$R$1006:$W$1006,0)))),"Fix")))</f>
        <v>0</v>
      </c>
      <c r="G27" s="3">
        <f>IF(OR(INDEX($L$2:$L$1001,MATCH(ROWS($K$2:K27),$K$2:$K$1001,0),1)&gt;=100000,INDEX($R$1005:$W$1005,1,MATCH(COLUMNS($R$1006:W1006),$R$1006:$W$1006,0))&gt;=100000), " ",IF(INDEX($R$2:$W$1001,MATCH(ROWS($K$2:K27),$K$2:$K$1001,0),MATCH(COLUMNS($R$1006:W1006),$R$1006:$W$1006,0)), HYPERLINK("#",""), HYPERLINK(CONCATENATE("#Metadata!", ADDRESS(INDEX($M$2:$M$1001,MATCH(ROWS($K$2:K27),$K$2:$K$1001,0),0), INDEX($R$1004:$W$1004,1,MATCH(COLUMNS($R$1006:W1006),$R$1006:$W$1006,0)))),"Fix")))</f>
        <v>0</v>
      </c>
      <c r="K27">
        <v>0</v>
      </c>
      <c r="L27">
        <v>0</v>
      </c>
      <c r="M27">
        <v>0</v>
      </c>
      <c r="N27">
        <f>IF(O27,TRUE,AND(R27:W27))</f>
        <v>0</v>
      </c>
      <c r="O27">
        <f>COUNTBLANK(Metadata!B27:G27)=COLUMNS(Metadata!B27:G27)</f>
        <v>0</v>
      </c>
      <c r="P27">
        <v>0</v>
      </c>
      <c r="R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S27">
        <f>IF(Metadata!C27="",FALSE,TRUE)</f>
        <v>0</v>
      </c>
      <c r="T27">
        <f>IF(Metadata!D27="",FALSE,TRUE)</f>
        <v>0</v>
      </c>
      <c r="U27">
        <f>IF(Metadata!E27="",FALSE,TRUE)</f>
        <v>0</v>
      </c>
      <c r="V27">
        <f>AND(IF(Metadata!F27="",FALSE,TRUE),exact(Metadata!F27,"rat gut metagenome"))</f>
        <v>0</v>
      </c>
      <c r="W27">
        <f>AND(IF(Metadata!G27="",FALSE,TRUE),exact(Metadata!G27,"1436733"))</f>
        <v>0</v>
      </c>
    </row>
    <row r="28" spans="1:23">
      <c r="A28" s="4">
        <f>IF(B28=" "," ",HYPERLINK(CONCATENATE("#metadata!",ADDRESS(INDEX($M$2:$M$1001,MATCH(ROWS($K$2:K28),$K$2:$K$1001,0),0),1)),INDEX($P$2:$P$1001,MATCH(ROWS($K$2:K28),$K$2:$K$1001,0),0)))</f>
        <v>0</v>
      </c>
      <c r="B28" s="3">
        <f>IF(OR(INDEX($L$2:$L$1001,MATCH(ROWS($K$2:K28),$K$2:$K$1001,0),1)&gt;=100000,INDEX($R$1005:$W$1005,1,MATCH(COLUMNS($R$1006:R1006),$R$1006:$W$1006,0))&gt;=100000), " ",IF(INDEX($R$2:$W$1001,MATCH(ROWS($K$2:K28),$K$2:$K$1001,0),MATCH(COLUMNS($R$1006:R1006),$R$1006:$W$1006,0)), HYPERLINK("#",""), HYPERLINK(CONCATENATE("#Metadata!", ADDRESS(INDEX($M$2:$M$1001,MATCH(ROWS($K$2:K28),$K$2:$K$1001,0),0), INDEX($R$1004:$W$1004,1,MATCH(COLUMNS($R$1006:R1006),$R$1006:$W$1006,0)))),"Fix")))</f>
        <v>0</v>
      </c>
      <c r="C28" s="3">
        <f>IF(OR(INDEX($L$2:$L$1001,MATCH(ROWS($K$2:K28),$K$2:$K$1001,0),1)&gt;=100000,INDEX($R$1005:$W$1005,1,MATCH(COLUMNS($R$1006:S1006),$R$1006:$W$1006,0))&gt;=100000), " ",IF(INDEX($R$2:$W$1001,MATCH(ROWS($K$2:K28),$K$2:$K$1001,0),MATCH(COLUMNS($R$1006:S1006),$R$1006:$W$1006,0)), HYPERLINK("#",""), HYPERLINK(CONCATENATE("#Metadata!", ADDRESS(INDEX($M$2:$M$1001,MATCH(ROWS($K$2:K28),$K$2:$K$1001,0),0), INDEX($R$1004:$W$1004,1,MATCH(COLUMNS($R$1006:S1006),$R$1006:$W$1006,0)))),"Fix")))</f>
        <v>0</v>
      </c>
      <c r="D28" s="3">
        <f>IF(OR(INDEX($L$2:$L$1001,MATCH(ROWS($K$2:K28),$K$2:$K$1001,0),1)&gt;=100000,INDEX($R$1005:$W$1005,1,MATCH(COLUMNS($R$1006:T1006),$R$1006:$W$1006,0))&gt;=100000), " ",IF(INDEX($R$2:$W$1001,MATCH(ROWS($K$2:K28),$K$2:$K$1001,0),MATCH(COLUMNS($R$1006:T1006),$R$1006:$W$1006,0)), HYPERLINK("#",""), HYPERLINK(CONCATENATE("#Metadata!", ADDRESS(INDEX($M$2:$M$1001,MATCH(ROWS($K$2:K28),$K$2:$K$1001,0),0), INDEX($R$1004:$W$1004,1,MATCH(COLUMNS($R$1006:T1006),$R$1006:$W$1006,0)))),"Fix")))</f>
        <v>0</v>
      </c>
      <c r="E28" s="3">
        <f>IF(OR(INDEX($L$2:$L$1001,MATCH(ROWS($K$2:K28),$K$2:$K$1001,0),1)&gt;=100000,INDEX($R$1005:$W$1005,1,MATCH(COLUMNS($R$1006:U1006),$R$1006:$W$1006,0))&gt;=100000), " ",IF(INDEX($R$2:$W$1001,MATCH(ROWS($K$2:K28),$K$2:$K$1001,0),MATCH(COLUMNS($R$1006:U1006),$R$1006:$W$1006,0)), HYPERLINK("#",""), HYPERLINK(CONCATENATE("#Metadata!", ADDRESS(INDEX($M$2:$M$1001,MATCH(ROWS($K$2:K28),$K$2:$K$1001,0),0), INDEX($R$1004:$W$1004,1,MATCH(COLUMNS($R$1006:U1006),$R$1006:$W$1006,0)))),"Fix")))</f>
        <v>0</v>
      </c>
      <c r="F28" s="3">
        <f>IF(OR(INDEX($L$2:$L$1001,MATCH(ROWS($K$2:K28),$K$2:$K$1001,0),1)&gt;=100000,INDEX($R$1005:$W$1005,1,MATCH(COLUMNS($R$1006:V1006),$R$1006:$W$1006,0))&gt;=100000), " ",IF(INDEX($R$2:$W$1001,MATCH(ROWS($K$2:K28),$K$2:$K$1001,0),MATCH(COLUMNS($R$1006:V1006),$R$1006:$W$1006,0)), HYPERLINK("#",""), HYPERLINK(CONCATENATE("#Metadata!", ADDRESS(INDEX($M$2:$M$1001,MATCH(ROWS($K$2:K28),$K$2:$K$1001,0),0), INDEX($R$1004:$W$1004,1,MATCH(COLUMNS($R$1006:V1006),$R$1006:$W$1006,0)))),"Fix")))</f>
        <v>0</v>
      </c>
      <c r="G28" s="3">
        <f>IF(OR(INDEX($L$2:$L$1001,MATCH(ROWS($K$2:K28),$K$2:$K$1001,0),1)&gt;=100000,INDEX($R$1005:$W$1005,1,MATCH(COLUMNS($R$1006:W1006),$R$1006:$W$1006,0))&gt;=100000), " ",IF(INDEX($R$2:$W$1001,MATCH(ROWS($K$2:K28),$K$2:$K$1001,0),MATCH(COLUMNS($R$1006:W1006),$R$1006:$W$1006,0)), HYPERLINK("#",""), HYPERLINK(CONCATENATE("#Metadata!", ADDRESS(INDEX($M$2:$M$1001,MATCH(ROWS($K$2:K28),$K$2:$K$1001,0),0), INDEX($R$1004:$W$1004,1,MATCH(COLUMNS($R$1006:W1006),$R$1006:$W$1006,0)))),"Fix")))</f>
        <v>0</v>
      </c>
      <c r="K28">
        <v>0</v>
      </c>
      <c r="L28">
        <v>0</v>
      </c>
      <c r="M28">
        <v>0</v>
      </c>
      <c r="N28">
        <f>IF(O28,TRUE,AND(R28:W28))</f>
        <v>0</v>
      </c>
      <c r="O28">
        <f>COUNTBLANK(Metadata!B28:G28)=COLUMNS(Metadata!B28:G28)</f>
        <v>0</v>
      </c>
      <c r="P28">
        <v>0</v>
      </c>
      <c r="R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S28">
        <f>IF(Metadata!C28="",FALSE,TRUE)</f>
        <v>0</v>
      </c>
      <c r="T28">
        <f>IF(Metadata!D28="",FALSE,TRUE)</f>
        <v>0</v>
      </c>
      <c r="U28">
        <f>IF(Metadata!E28="",FALSE,TRUE)</f>
        <v>0</v>
      </c>
      <c r="V28">
        <f>AND(IF(Metadata!F28="",FALSE,TRUE),exact(Metadata!F28,"rat gut metagenome"))</f>
        <v>0</v>
      </c>
      <c r="W28">
        <f>AND(IF(Metadata!G28="",FALSE,TRUE),exact(Metadata!G28,"1436733"))</f>
        <v>0</v>
      </c>
    </row>
    <row r="29" spans="1:23">
      <c r="A29" s="4">
        <f>IF(B29=" "," ",HYPERLINK(CONCATENATE("#metadata!",ADDRESS(INDEX($M$2:$M$1001,MATCH(ROWS($K$2:K29),$K$2:$K$1001,0),0),1)),INDEX($P$2:$P$1001,MATCH(ROWS($K$2:K29),$K$2:$K$1001,0),0)))</f>
        <v>0</v>
      </c>
      <c r="B29" s="3">
        <f>IF(OR(INDEX($L$2:$L$1001,MATCH(ROWS($K$2:K29),$K$2:$K$1001,0),1)&gt;=100000,INDEX($R$1005:$W$1005,1,MATCH(COLUMNS($R$1006:R1006),$R$1006:$W$1006,0))&gt;=100000), " ",IF(INDEX($R$2:$W$1001,MATCH(ROWS($K$2:K29),$K$2:$K$1001,0),MATCH(COLUMNS($R$1006:R1006),$R$1006:$W$1006,0)), HYPERLINK("#",""), HYPERLINK(CONCATENATE("#Metadata!", ADDRESS(INDEX($M$2:$M$1001,MATCH(ROWS($K$2:K29),$K$2:$K$1001,0),0), INDEX($R$1004:$W$1004,1,MATCH(COLUMNS($R$1006:R1006),$R$1006:$W$1006,0)))),"Fix")))</f>
        <v>0</v>
      </c>
      <c r="C29" s="3">
        <f>IF(OR(INDEX($L$2:$L$1001,MATCH(ROWS($K$2:K29),$K$2:$K$1001,0),1)&gt;=100000,INDEX($R$1005:$W$1005,1,MATCH(COLUMNS($R$1006:S1006),$R$1006:$W$1006,0))&gt;=100000), " ",IF(INDEX($R$2:$W$1001,MATCH(ROWS($K$2:K29),$K$2:$K$1001,0),MATCH(COLUMNS($R$1006:S1006),$R$1006:$W$1006,0)), HYPERLINK("#",""), HYPERLINK(CONCATENATE("#Metadata!", ADDRESS(INDEX($M$2:$M$1001,MATCH(ROWS($K$2:K29),$K$2:$K$1001,0),0), INDEX($R$1004:$W$1004,1,MATCH(COLUMNS($R$1006:S1006),$R$1006:$W$1006,0)))),"Fix")))</f>
        <v>0</v>
      </c>
      <c r="D29" s="3">
        <f>IF(OR(INDEX($L$2:$L$1001,MATCH(ROWS($K$2:K29),$K$2:$K$1001,0),1)&gt;=100000,INDEX($R$1005:$W$1005,1,MATCH(COLUMNS($R$1006:T1006),$R$1006:$W$1006,0))&gt;=100000), " ",IF(INDEX($R$2:$W$1001,MATCH(ROWS($K$2:K29),$K$2:$K$1001,0),MATCH(COLUMNS($R$1006:T1006),$R$1006:$W$1006,0)), HYPERLINK("#",""), HYPERLINK(CONCATENATE("#Metadata!", ADDRESS(INDEX($M$2:$M$1001,MATCH(ROWS($K$2:K29),$K$2:$K$1001,0),0), INDEX($R$1004:$W$1004,1,MATCH(COLUMNS($R$1006:T1006),$R$1006:$W$1006,0)))),"Fix")))</f>
        <v>0</v>
      </c>
      <c r="E29" s="3">
        <f>IF(OR(INDEX($L$2:$L$1001,MATCH(ROWS($K$2:K29),$K$2:$K$1001,0),1)&gt;=100000,INDEX($R$1005:$W$1005,1,MATCH(COLUMNS($R$1006:U1006),$R$1006:$W$1006,0))&gt;=100000), " ",IF(INDEX($R$2:$W$1001,MATCH(ROWS($K$2:K29),$K$2:$K$1001,0),MATCH(COLUMNS($R$1006:U1006),$R$1006:$W$1006,0)), HYPERLINK("#",""), HYPERLINK(CONCATENATE("#Metadata!", ADDRESS(INDEX($M$2:$M$1001,MATCH(ROWS($K$2:K29),$K$2:$K$1001,0),0), INDEX($R$1004:$W$1004,1,MATCH(COLUMNS($R$1006:U1006),$R$1006:$W$1006,0)))),"Fix")))</f>
        <v>0</v>
      </c>
      <c r="F29" s="3">
        <f>IF(OR(INDEX($L$2:$L$1001,MATCH(ROWS($K$2:K29),$K$2:$K$1001,0),1)&gt;=100000,INDEX($R$1005:$W$1005,1,MATCH(COLUMNS($R$1006:V1006),$R$1006:$W$1006,0))&gt;=100000), " ",IF(INDEX($R$2:$W$1001,MATCH(ROWS($K$2:K29),$K$2:$K$1001,0),MATCH(COLUMNS($R$1006:V1006),$R$1006:$W$1006,0)), HYPERLINK("#",""), HYPERLINK(CONCATENATE("#Metadata!", ADDRESS(INDEX($M$2:$M$1001,MATCH(ROWS($K$2:K29),$K$2:$K$1001,0),0), INDEX($R$1004:$W$1004,1,MATCH(COLUMNS($R$1006:V1006),$R$1006:$W$1006,0)))),"Fix")))</f>
        <v>0</v>
      </c>
      <c r="G29" s="3">
        <f>IF(OR(INDEX($L$2:$L$1001,MATCH(ROWS($K$2:K29),$K$2:$K$1001,0),1)&gt;=100000,INDEX($R$1005:$W$1005,1,MATCH(COLUMNS($R$1006:W1006),$R$1006:$W$1006,0))&gt;=100000), " ",IF(INDEX($R$2:$W$1001,MATCH(ROWS($K$2:K29),$K$2:$K$1001,0),MATCH(COLUMNS($R$1006:W1006),$R$1006:$W$1006,0)), HYPERLINK("#",""), HYPERLINK(CONCATENATE("#Metadata!", ADDRESS(INDEX($M$2:$M$1001,MATCH(ROWS($K$2:K29),$K$2:$K$1001,0),0), INDEX($R$1004:$W$1004,1,MATCH(COLUMNS($R$1006:W1006),$R$1006:$W$1006,0)))),"Fix")))</f>
        <v>0</v>
      </c>
      <c r="K29">
        <v>0</v>
      </c>
      <c r="L29">
        <v>0</v>
      </c>
      <c r="M29">
        <v>0</v>
      </c>
      <c r="N29">
        <f>IF(O29,TRUE,AND(R29:W29))</f>
        <v>0</v>
      </c>
      <c r="O29">
        <f>COUNTBLANK(Metadata!B29:G29)=COLUMNS(Metadata!B29:G29)</f>
        <v>0</v>
      </c>
      <c r="P29">
        <v>0</v>
      </c>
      <c r="R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S29">
        <f>IF(Metadata!C29="",FALSE,TRUE)</f>
        <v>0</v>
      </c>
      <c r="T29">
        <f>IF(Metadata!D29="",FALSE,TRUE)</f>
        <v>0</v>
      </c>
      <c r="U29">
        <f>IF(Metadata!E29="",FALSE,TRUE)</f>
        <v>0</v>
      </c>
      <c r="V29">
        <f>AND(IF(Metadata!F29="",FALSE,TRUE),exact(Metadata!F29,"rat gut metagenome"))</f>
        <v>0</v>
      </c>
      <c r="W29">
        <f>AND(IF(Metadata!G29="",FALSE,TRUE),exact(Metadata!G29,"1436733"))</f>
        <v>0</v>
      </c>
    </row>
    <row r="30" spans="1:23">
      <c r="A30" s="4">
        <f>IF(B30=" "," ",HYPERLINK(CONCATENATE("#metadata!",ADDRESS(INDEX($M$2:$M$1001,MATCH(ROWS($K$2:K30),$K$2:$K$1001,0),0),1)),INDEX($P$2:$P$1001,MATCH(ROWS($K$2:K30),$K$2:$K$1001,0),0)))</f>
        <v>0</v>
      </c>
      <c r="B30" s="3">
        <f>IF(OR(INDEX($L$2:$L$1001,MATCH(ROWS($K$2:K30),$K$2:$K$1001,0),1)&gt;=100000,INDEX($R$1005:$W$1005,1,MATCH(COLUMNS($R$1006:R1006),$R$1006:$W$1006,0))&gt;=100000), " ",IF(INDEX($R$2:$W$1001,MATCH(ROWS($K$2:K30),$K$2:$K$1001,0),MATCH(COLUMNS($R$1006:R1006),$R$1006:$W$1006,0)), HYPERLINK("#",""), HYPERLINK(CONCATENATE("#Metadata!", ADDRESS(INDEX($M$2:$M$1001,MATCH(ROWS($K$2:K30),$K$2:$K$1001,0),0), INDEX($R$1004:$W$1004,1,MATCH(COLUMNS($R$1006:R1006),$R$1006:$W$1006,0)))),"Fix")))</f>
        <v>0</v>
      </c>
      <c r="C30" s="3">
        <f>IF(OR(INDEX($L$2:$L$1001,MATCH(ROWS($K$2:K30),$K$2:$K$1001,0),1)&gt;=100000,INDEX($R$1005:$W$1005,1,MATCH(COLUMNS($R$1006:S1006),$R$1006:$W$1006,0))&gt;=100000), " ",IF(INDEX($R$2:$W$1001,MATCH(ROWS($K$2:K30),$K$2:$K$1001,0),MATCH(COLUMNS($R$1006:S1006),$R$1006:$W$1006,0)), HYPERLINK("#",""), HYPERLINK(CONCATENATE("#Metadata!", ADDRESS(INDEX($M$2:$M$1001,MATCH(ROWS($K$2:K30),$K$2:$K$1001,0),0), INDEX($R$1004:$W$1004,1,MATCH(COLUMNS($R$1006:S1006),$R$1006:$W$1006,0)))),"Fix")))</f>
        <v>0</v>
      </c>
      <c r="D30" s="3">
        <f>IF(OR(INDEX($L$2:$L$1001,MATCH(ROWS($K$2:K30),$K$2:$K$1001,0),1)&gt;=100000,INDEX($R$1005:$W$1005,1,MATCH(COLUMNS($R$1006:T1006),$R$1006:$W$1006,0))&gt;=100000), " ",IF(INDEX($R$2:$W$1001,MATCH(ROWS($K$2:K30),$K$2:$K$1001,0),MATCH(COLUMNS($R$1006:T1006),$R$1006:$W$1006,0)), HYPERLINK("#",""), HYPERLINK(CONCATENATE("#Metadata!", ADDRESS(INDEX($M$2:$M$1001,MATCH(ROWS($K$2:K30),$K$2:$K$1001,0),0), INDEX($R$1004:$W$1004,1,MATCH(COLUMNS($R$1006:T1006),$R$1006:$W$1006,0)))),"Fix")))</f>
        <v>0</v>
      </c>
      <c r="E30" s="3">
        <f>IF(OR(INDEX($L$2:$L$1001,MATCH(ROWS($K$2:K30),$K$2:$K$1001,0),1)&gt;=100000,INDEX($R$1005:$W$1005,1,MATCH(COLUMNS($R$1006:U1006),$R$1006:$W$1006,0))&gt;=100000), " ",IF(INDEX($R$2:$W$1001,MATCH(ROWS($K$2:K30),$K$2:$K$1001,0),MATCH(COLUMNS($R$1006:U1006),$R$1006:$W$1006,0)), HYPERLINK("#",""), HYPERLINK(CONCATENATE("#Metadata!", ADDRESS(INDEX($M$2:$M$1001,MATCH(ROWS($K$2:K30),$K$2:$K$1001,0),0), INDEX($R$1004:$W$1004,1,MATCH(COLUMNS($R$1006:U1006),$R$1006:$W$1006,0)))),"Fix")))</f>
        <v>0</v>
      </c>
      <c r="F30" s="3">
        <f>IF(OR(INDEX($L$2:$L$1001,MATCH(ROWS($K$2:K30),$K$2:$K$1001,0),1)&gt;=100000,INDEX($R$1005:$W$1005,1,MATCH(COLUMNS($R$1006:V1006),$R$1006:$W$1006,0))&gt;=100000), " ",IF(INDEX($R$2:$W$1001,MATCH(ROWS($K$2:K30),$K$2:$K$1001,0),MATCH(COLUMNS($R$1006:V1006),$R$1006:$W$1006,0)), HYPERLINK("#",""), HYPERLINK(CONCATENATE("#Metadata!", ADDRESS(INDEX($M$2:$M$1001,MATCH(ROWS($K$2:K30),$K$2:$K$1001,0),0), INDEX($R$1004:$W$1004,1,MATCH(COLUMNS($R$1006:V1006),$R$1006:$W$1006,0)))),"Fix")))</f>
        <v>0</v>
      </c>
      <c r="G30" s="3">
        <f>IF(OR(INDEX($L$2:$L$1001,MATCH(ROWS($K$2:K30),$K$2:$K$1001,0),1)&gt;=100000,INDEX($R$1005:$W$1005,1,MATCH(COLUMNS($R$1006:W1006),$R$1006:$W$1006,0))&gt;=100000), " ",IF(INDEX($R$2:$W$1001,MATCH(ROWS($K$2:K30),$K$2:$K$1001,0),MATCH(COLUMNS($R$1006:W1006),$R$1006:$W$1006,0)), HYPERLINK("#",""), HYPERLINK(CONCATENATE("#Metadata!", ADDRESS(INDEX($M$2:$M$1001,MATCH(ROWS($K$2:K30),$K$2:$K$1001,0),0), INDEX($R$1004:$W$1004,1,MATCH(COLUMNS($R$1006:W1006),$R$1006:$W$1006,0)))),"Fix")))</f>
        <v>0</v>
      </c>
      <c r="K30">
        <v>0</v>
      </c>
      <c r="L30">
        <v>0</v>
      </c>
      <c r="M30">
        <v>0</v>
      </c>
      <c r="N30">
        <f>IF(O30,TRUE,AND(R30:W30))</f>
        <v>0</v>
      </c>
      <c r="O30">
        <f>COUNTBLANK(Metadata!B30:G30)=COLUMNS(Metadata!B30:G30)</f>
        <v>0</v>
      </c>
      <c r="P30">
        <v>0</v>
      </c>
      <c r="R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S30">
        <f>IF(Metadata!C30="",FALSE,TRUE)</f>
        <v>0</v>
      </c>
      <c r="T30">
        <f>IF(Metadata!D30="",FALSE,TRUE)</f>
        <v>0</v>
      </c>
      <c r="U30">
        <f>IF(Metadata!E30="",FALSE,TRUE)</f>
        <v>0</v>
      </c>
      <c r="V30">
        <f>AND(IF(Metadata!F30="",FALSE,TRUE),exact(Metadata!F30,"rat gut metagenome"))</f>
        <v>0</v>
      </c>
      <c r="W30">
        <f>AND(IF(Metadata!G30="",FALSE,TRUE),exact(Metadata!G30,"1436733"))</f>
        <v>0</v>
      </c>
    </row>
    <row r="31" spans="1:23">
      <c r="A31" s="4">
        <f>IF(B31=" "," ",HYPERLINK(CONCATENATE("#metadata!",ADDRESS(INDEX($M$2:$M$1001,MATCH(ROWS($K$2:K31),$K$2:$K$1001,0),0),1)),INDEX($P$2:$P$1001,MATCH(ROWS($K$2:K31),$K$2:$K$1001,0),0)))</f>
        <v>0</v>
      </c>
      <c r="B31" s="3">
        <f>IF(OR(INDEX($L$2:$L$1001,MATCH(ROWS($K$2:K31),$K$2:$K$1001,0),1)&gt;=100000,INDEX($R$1005:$W$1005,1,MATCH(COLUMNS($R$1006:R1006),$R$1006:$W$1006,0))&gt;=100000), " ",IF(INDEX($R$2:$W$1001,MATCH(ROWS($K$2:K31),$K$2:$K$1001,0),MATCH(COLUMNS($R$1006:R1006),$R$1006:$W$1006,0)), HYPERLINK("#",""), HYPERLINK(CONCATENATE("#Metadata!", ADDRESS(INDEX($M$2:$M$1001,MATCH(ROWS($K$2:K31),$K$2:$K$1001,0),0), INDEX($R$1004:$W$1004,1,MATCH(COLUMNS($R$1006:R1006),$R$1006:$W$1006,0)))),"Fix")))</f>
        <v>0</v>
      </c>
      <c r="C31" s="3">
        <f>IF(OR(INDEX($L$2:$L$1001,MATCH(ROWS($K$2:K31),$K$2:$K$1001,0),1)&gt;=100000,INDEX($R$1005:$W$1005,1,MATCH(COLUMNS($R$1006:S1006),$R$1006:$W$1006,0))&gt;=100000), " ",IF(INDEX($R$2:$W$1001,MATCH(ROWS($K$2:K31),$K$2:$K$1001,0),MATCH(COLUMNS($R$1006:S1006),$R$1006:$W$1006,0)), HYPERLINK("#",""), HYPERLINK(CONCATENATE("#Metadata!", ADDRESS(INDEX($M$2:$M$1001,MATCH(ROWS($K$2:K31),$K$2:$K$1001,0),0), INDEX($R$1004:$W$1004,1,MATCH(COLUMNS($R$1006:S1006),$R$1006:$W$1006,0)))),"Fix")))</f>
        <v>0</v>
      </c>
      <c r="D31" s="3">
        <f>IF(OR(INDEX($L$2:$L$1001,MATCH(ROWS($K$2:K31),$K$2:$K$1001,0),1)&gt;=100000,INDEX($R$1005:$W$1005,1,MATCH(COLUMNS($R$1006:T1006),$R$1006:$W$1006,0))&gt;=100000), " ",IF(INDEX($R$2:$W$1001,MATCH(ROWS($K$2:K31),$K$2:$K$1001,0),MATCH(COLUMNS($R$1006:T1006),$R$1006:$W$1006,0)), HYPERLINK("#",""), HYPERLINK(CONCATENATE("#Metadata!", ADDRESS(INDEX($M$2:$M$1001,MATCH(ROWS($K$2:K31),$K$2:$K$1001,0),0), INDEX($R$1004:$W$1004,1,MATCH(COLUMNS($R$1006:T1006),$R$1006:$W$1006,0)))),"Fix")))</f>
        <v>0</v>
      </c>
      <c r="E31" s="3">
        <f>IF(OR(INDEX($L$2:$L$1001,MATCH(ROWS($K$2:K31),$K$2:$K$1001,0),1)&gt;=100000,INDEX($R$1005:$W$1005,1,MATCH(COLUMNS($R$1006:U1006),$R$1006:$W$1006,0))&gt;=100000), " ",IF(INDEX($R$2:$W$1001,MATCH(ROWS($K$2:K31),$K$2:$K$1001,0),MATCH(COLUMNS($R$1006:U1006),$R$1006:$W$1006,0)), HYPERLINK("#",""), HYPERLINK(CONCATENATE("#Metadata!", ADDRESS(INDEX($M$2:$M$1001,MATCH(ROWS($K$2:K31),$K$2:$K$1001,0),0), INDEX($R$1004:$W$1004,1,MATCH(COLUMNS($R$1006:U1006),$R$1006:$W$1006,0)))),"Fix")))</f>
        <v>0</v>
      </c>
      <c r="F31" s="3">
        <f>IF(OR(INDEX($L$2:$L$1001,MATCH(ROWS($K$2:K31),$K$2:$K$1001,0),1)&gt;=100000,INDEX($R$1005:$W$1005,1,MATCH(COLUMNS($R$1006:V1006),$R$1006:$W$1006,0))&gt;=100000), " ",IF(INDEX($R$2:$W$1001,MATCH(ROWS($K$2:K31),$K$2:$K$1001,0),MATCH(COLUMNS($R$1006:V1006),$R$1006:$W$1006,0)), HYPERLINK("#",""), HYPERLINK(CONCATENATE("#Metadata!", ADDRESS(INDEX($M$2:$M$1001,MATCH(ROWS($K$2:K31),$K$2:$K$1001,0),0), INDEX($R$1004:$W$1004,1,MATCH(COLUMNS($R$1006:V1006),$R$1006:$W$1006,0)))),"Fix")))</f>
        <v>0</v>
      </c>
      <c r="G31" s="3">
        <f>IF(OR(INDEX($L$2:$L$1001,MATCH(ROWS($K$2:K31),$K$2:$K$1001,0),1)&gt;=100000,INDEX($R$1005:$W$1005,1,MATCH(COLUMNS($R$1006:W1006),$R$1006:$W$1006,0))&gt;=100000), " ",IF(INDEX($R$2:$W$1001,MATCH(ROWS($K$2:K31),$K$2:$K$1001,0),MATCH(COLUMNS($R$1006:W1006),$R$1006:$W$1006,0)), HYPERLINK("#",""), HYPERLINK(CONCATENATE("#Metadata!", ADDRESS(INDEX($M$2:$M$1001,MATCH(ROWS($K$2:K31),$K$2:$K$1001,0),0), INDEX($R$1004:$W$1004,1,MATCH(COLUMNS($R$1006:W1006),$R$1006:$W$1006,0)))),"Fix")))</f>
        <v>0</v>
      </c>
      <c r="K31">
        <v>0</v>
      </c>
      <c r="L31">
        <v>0</v>
      </c>
      <c r="M31">
        <v>0</v>
      </c>
      <c r="N31">
        <f>IF(O31,TRUE,AND(R31:W31))</f>
        <v>0</v>
      </c>
      <c r="O31">
        <f>COUNTBLANK(Metadata!B31:G31)=COLUMNS(Metadata!B31:G31)</f>
        <v>0</v>
      </c>
      <c r="P31">
        <v>0</v>
      </c>
      <c r="R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S31">
        <f>IF(Metadata!C31="",FALSE,TRUE)</f>
        <v>0</v>
      </c>
      <c r="T31">
        <f>IF(Metadata!D31="",FALSE,TRUE)</f>
        <v>0</v>
      </c>
      <c r="U31">
        <f>IF(Metadata!E31="",FALSE,TRUE)</f>
        <v>0</v>
      </c>
      <c r="V31">
        <f>AND(IF(Metadata!F31="",FALSE,TRUE),exact(Metadata!F31,"rat gut metagenome"))</f>
        <v>0</v>
      </c>
      <c r="W31">
        <f>AND(IF(Metadata!G31="",FALSE,TRUE),exact(Metadata!G31,"1436733"))</f>
        <v>0</v>
      </c>
    </row>
    <row r="32" spans="1:23">
      <c r="A32" s="4">
        <f>IF(B32=" "," ",HYPERLINK(CONCATENATE("#metadata!",ADDRESS(INDEX($M$2:$M$1001,MATCH(ROWS($K$2:K32),$K$2:$K$1001,0),0),1)),INDEX($P$2:$P$1001,MATCH(ROWS($K$2:K32),$K$2:$K$1001,0),0)))</f>
        <v>0</v>
      </c>
      <c r="B32" s="3">
        <f>IF(OR(INDEX($L$2:$L$1001,MATCH(ROWS($K$2:K32),$K$2:$K$1001,0),1)&gt;=100000,INDEX($R$1005:$W$1005,1,MATCH(COLUMNS($R$1006:R1006),$R$1006:$W$1006,0))&gt;=100000), " ",IF(INDEX($R$2:$W$1001,MATCH(ROWS($K$2:K32),$K$2:$K$1001,0),MATCH(COLUMNS($R$1006:R1006),$R$1006:$W$1006,0)), HYPERLINK("#",""), HYPERLINK(CONCATENATE("#Metadata!", ADDRESS(INDEX($M$2:$M$1001,MATCH(ROWS($K$2:K32),$K$2:$K$1001,0),0), INDEX($R$1004:$W$1004,1,MATCH(COLUMNS($R$1006:R1006),$R$1006:$W$1006,0)))),"Fix")))</f>
        <v>0</v>
      </c>
      <c r="C32" s="3">
        <f>IF(OR(INDEX($L$2:$L$1001,MATCH(ROWS($K$2:K32),$K$2:$K$1001,0),1)&gt;=100000,INDEX($R$1005:$W$1005,1,MATCH(COLUMNS($R$1006:S1006),$R$1006:$W$1006,0))&gt;=100000), " ",IF(INDEX($R$2:$W$1001,MATCH(ROWS($K$2:K32),$K$2:$K$1001,0),MATCH(COLUMNS($R$1006:S1006),$R$1006:$W$1006,0)), HYPERLINK("#",""), HYPERLINK(CONCATENATE("#Metadata!", ADDRESS(INDEX($M$2:$M$1001,MATCH(ROWS($K$2:K32),$K$2:$K$1001,0),0), INDEX($R$1004:$W$1004,1,MATCH(COLUMNS($R$1006:S1006),$R$1006:$W$1006,0)))),"Fix")))</f>
        <v>0</v>
      </c>
      <c r="D32" s="3">
        <f>IF(OR(INDEX($L$2:$L$1001,MATCH(ROWS($K$2:K32),$K$2:$K$1001,0),1)&gt;=100000,INDEX($R$1005:$W$1005,1,MATCH(COLUMNS($R$1006:T1006),$R$1006:$W$1006,0))&gt;=100000), " ",IF(INDEX($R$2:$W$1001,MATCH(ROWS($K$2:K32),$K$2:$K$1001,0),MATCH(COLUMNS($R$1006:T1006),$R$1006:$W$1006,0)), HYPERLINK("#",""), HYPERLINK(CONCATENATE("#Metadata!", ADDRESS(INDEX($M$2:$M$1001,MATCH(ROWS($K$2:K32),$K$2:$K$1001,0),0), INDEX($R$1004:$W$1004,1,MATCH(COLUMNS($R$1006:T1006),$R$1006:$W$1006,0)))),"Fix")))</f>
        <v>0</v>
      </c>
      <c r="E32" s="3">
        <f>IF(OR(INDEX($L$2:$L$1001,MATCH(ROWS($K$2:K32),$K$2:$K$1001,0),1)&gt;=100000,INDEX($R$1005:$W$1005,1,MATCH(COLUMNS($R$1006:U1006),$R$1006:$W$1006,0))&gt;=100000), " ",IF(INDEX($R$2:$W$1001,MATCH(ROWS($K$2:K32),$K$2:$K$1001,0),MATCH(COLUMNS($R$1006:U1006),$R$1006:$W$1006,0)), HYPERLINK("#",""), HYPERLINK(CONCATENATE("#Metadata!", ADDRESS(INDEX($M$2:$M$1001,MATCH(ROWS($K$2:K32),$K$2:$K$1001,0),0), INDEX($R$1004:$W$1004,1,MATCH(COLUMNS($R$1006:U1006),$R$1006:$W$1006,0)))),"Fix")))</f>
        <v>0</v>
      </c>
      <c r="F32" s="3">
        <f>IF(OR(INDEX($L$2:$L$1001,MATCH(ROWS($K$2:K32),$K$2:$K$1001,0),1)&gt;=100000,INDEX($R$1005:$W$1005,1,MATCH(COLUMNS($R$1006:V1006),$R$1006:$W$1006,0))&gt;=100000), " ",IF(INDEX($R$2:$W$1001,MATCH(ROWS($K$2:K32),$K$2:$K$1001,0),MATCH(COLUMNS($R$1006:V1006),$R$1006:$W$1006,0)), HYPERLINK("#",""), HYPERLINK(CONCATENATE("#Metadata!", ADDRESS(INDEX($M$2:$M$1001,MATCH(ROWS($K$2:K32),$K$2:$K$1001,0),0), INDEX($R$1004:$W$1004,1,MATCH(COLUMNS($R$1006:V1006),$R$1006:$W$1006,0)))),"Fix")))</f>
        <v>0</v>
      </c>
      <c r="G32" s="3">
        <f>IF(OR(INDEX($L$2:$L$1001,MATCH(ROWS($K$2:K32),$K$2:$K$1001,0),1)&gt;=100000,INDEX($R$1005:$W$1005,1,MATCH(COLUMNS($R$1006:W1006),$R$1006:$W$1006,0))&gt;=100000), " ",IF(INDEX($R$2:$W$1001,MATCH(ROWS($K$2:K32),$K$2:$K$1001,0),MATCH(COLUMNS($R$1006:W1006),$R$1006:$W$1006,0)), HYPERLINK("#",""), HYPERLINK(CONCATENATE("#Metadata!", ADDRESS(INDEX($M$2:$M$1001,MATCH(ROWS($K$2:K32),$K$2:$K$1001,0),0), INDEX($R$1004:$W$1004,1,MATCH(COLUMNS($R$1006:W1006),$R$1006:$W$1006,0)))),"Fix")))</f>
        <v>0</v>
      </c>
      <c r="K32">
        <v>0</v>
      </c>
      <c r="L32">
        <v>0</v>
      </c>
      <c r="M32">
        <v>0</v>
      </c>
      <c r="N32">
        <f>IF(O32,TRUE,AND(R32:W32))</f>
        <v>0</v>
      </c>
      <c r="O32">
        <f>COUNTBLANK(Metadata!B32:G32)=COLUMNS(Metadata!B32:G32)</f>
        <v>0</v>
      </c>
      <c r="P32">
        <v>0</v>
      </c>
      <c r="R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S32">
        <f>IF(Metadata!C32="",FALSE,TRUE)</f>
        <v>0</v>
      </c>
      <c r="T32">
        <f>IF(Metadata!D32="",FALSE,TRUE)</f>
        <v>0</v>
      </c>
      <c r="U32">
        <f>IF(Metadata!E32="",FALSE,TRUE)</f>
        <v>0</v>
      </c>
      <c r="V32">
        <f>AND(IF(Metadata!F32="",FALSE,TRUE),exact(Metadata!F32,"rat gut metagenome"))</f>
        <v>0</v>
      </c>
      <c r="W32">
        <f>AND(IF(Metadata!G32="",FALSE,TRUE),exact(Metadata!G32,"1436733"))</f>
        <v>0</v>
      </c>
    </row>
    <row r="33" spans="1:23">
      <c r="A33" s="4">
        <f>IF(B33=" "," ",HYPERLINK(CONCATENATE("#metadata!",ADDRESS(INDEX($M$2:$M$1001,MATCH(ROWS($K$2:K33),$K$2:$K$1001,0),0),1)),INDEX($P$2:$P$1001,MATCH(ROWS($K$2:K33),$K$2:$K$1001,0),0)))</f>
        <v>0</v>
      </c>
      <c r="B33" s="3">
        <f>IF(OR(INDEX($L$2:$L$1001,MATCH(ROWS($K$2:K33),$K$2:$K$1001,0),1)&gt;=100000,INDEX($R$1005:$W$1005,1,MATCH(COLUMNS($R$1006:R1006),$R$1006:$W$1006,0))&gt;=100000), " ",IF(INDEX($R$2:$W$1001,MATCH(ROWS($K$2:K33),$K$2:$K$1001,0),MATCH(COLUMNS($R$1006:R1006),$R$1006:$W$1006,0)), HYPERLINK("#",""), HYPERLINK(CONCATENATE("#Metadata!", ADDRESS(INDEX($M$2:$M$1001,MATCH(ROWS($K$2:K33),$K$2:$K$1001,0),0), INDEX($R$1004:$W$1004,1,MATCH(COLUMNS($R$1006:R1006),$R$1006:$W$1006,0)))),"Fix")))</f>
        <v>0</v>
      </c>
      <c r="C33" s="3">
        <f>IF(OR(INDEX($L$2:$L$1001,MATCH(ROWS($K$2:K33),$K$2:$K$1001,0),1)&gt;=100000,INDEX($R$1005:$W$1005,1,MATCH(COLUMNS($R$1006:S1006),$R$1006:$W$1006,0))&gt;=100000), " ",IF(INDEX($R$2:$W$1001,MATCH(ROWS($K$2:K33),$K$2:$K$1001,0),MATCH(COLUMNS($R$1006:S1006),$R$1006:$W$1006,0)), HYPERLINK("#",""), HYPERLINK(CONCATENATE("#Metadata!", ADDRESS(INDEX($M$2:$M$1001,MATCH(ROWS($K$2:K33),$K$2:$K$1001,0),0), INDEX($R$1004:$W$1004,1,MATCH(COLUMNS($R$1006:S1006),$R$1006:$W$1006,0)))),"Fix")))</f>
        <v>0</v>
      </c>
      <c r="D33" s="3">
        <f>IF(OR(INDEX($L$2:$L$1001,MATCH(ROWS($K$2:K33),$K$2:$K$1001,0),1)&gt;=100000,INDEX($R$1005:$W$1005,1,MATCH(COLUMNS($R$1006:T1006),$R$1006:$W$1006,0))&gt;=100000), " ",IF(INDEX($R$2:$W$1001,MATCH(ROWS($K$2:K33),$K$2:$K$1001,0),MATCH(COLUMNS($R$1006:T1006),$R$1006:$W$1006,0)), HYPERLINK("#",""), HYPERLINK(CONCATENATE("#Metadata!", ADDRESS(INDEX($M$2:$M$1001,MATCH(ROWS($K$2:K33),$K$2:$K$1001,0),0), INDEX($R$1004:$W$1004,1,MATCH(COLUMNS($R$1006:T1006),$R$1006:$W$1006,0)))),"Fix")))</f>
        <v>0</v>
      </c>
      <c r="E33" s="3">
        <f>IF(OR(INDEX($L$2:$L$1001,MATCH(ROWS($K$2:K33),$K$2:$K$1001,0),1)&gt;=100000,INDEX($R$1005:$W$1005,1,MATCH(COLUMNS($R$1006:U1006),$R$1006:$W$1006,0))&gt;=100000), " ",IF(INDEX($R$2:$W$1001,MATCH(ROWS($K$2:K33),$K$2:$K$1001,0),MATCH(COLUMNS($R$1006:U1006),$R$1006:$W$1006,0)), HYPERLINK("#",""), HYPERLINK(CONCATENATE("#Metadata!", ADDRESS(INDEX($M$2:$M$1001,MATCH(ROWS($K$2:K33),$K$2:$K$1001,0),0), INDEX($R$1004:$W$1004,1,MATCH(COLUMNS($R$1006:U1006),$R$1006:$W$1006,0)))),"Fix")))</f>
        <v>0</v>
      </c>
      <c r="F33" s="3">
        <f>IF(OR(INDEX($L$2:$L$1001,MATCH(ROWS($K$2:K33),$K$2:$K$1001,0),1)&gt;=100000,INDEX($R$1005:$W$1005,1,MATCH(COLUMNS($R$1006:V1006),$R$1006:$W$1006,0))&gt;=100000), " ",IF(INDEX($R$2:$W$1001,MATCH(ROWS($K$2:K33),$K$2:$K$1001,0),MATCH(COLUMNS($R$1006:V1006),$R$1006:$W$1006,0)), HYPERLINK("#",""), HYPERLINK(CONCATENATE("#Metadata!", ADDRESS(INDEX($M$2:$M$1001,MATCH(ROWS($K$2:K33),$K$2:$K$1001,0),0), INDEX($R$1004:$W$1004,1,MATCH(COLUMNS($R$1006:V1006),$R$1006:$W$1006,0)))),"Fix")))</f>
        <v>0</v>
      </c>
      <c r="G33" s="3">
        <f>IF(OR(INDEX($L$2:$L$1001,MATCH(ROWS($K$2:K33),$K$2:$K$1001,0),1)&gt;=100000,INDEX($R$1005:$W$1005,1,MATCH(COLUMNS($R$1006:W1006),$R$1006:$W$1006,0))&gt;=100000), " ",IF(INDEX($R$2:$W$1001,MATCH(ROWS($K$2:K33),$K$2:$K$1001,0),MATCH(COLUMNS($R$1006:W1006),$R$1006:$W$1006,0)), HYPERLINK("#",""), HYPERLINK(CONCATENATE("#Metadata!", ADDRESS(INDEX($M$2:$M$1001,MATCH(ROWS($K$2:K33),$K$2:$K$1001,0),0), INDEX($R$1004:$W$1004,1,MATCH(COLUMNS($R$1006:W1006),$R$1006:$W$1006,0)))),"Fix")))</f>
        <v>0</v>
      </c>
      <c r="K33">
        <v>0</v>
      </c>
      <c r="L33">
        <v>0</v>
      </c>
      <c r="M33">
        <v>0</v>
      </c>
      <c r="N33">
        <f>IF(O33,TRUE,AND(R33:W33))</f>
        <v>0</v>
      </c>
      <c r="O33">
        <f>COUNTBLANK(Metadata!B33:G33)=COLUMNS(Metadata!B33:G33)</f>
        <v>0</v>
      </c>
      <c r="P33">
        <v>0</v>
      </c>
      <c r="R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S33">
        <f>IF(Metadata!C33="",FALSE,TRUE)</f>
        <v>0</v>
      </c>
      <c r="T33">
        <f>IF(Metadata!D33="",FALSE,TRUE)</f>
        <v>0</v>
      </c>
      <c r="U33">
        <f>IF(Metadata!E33="",FALSE,TRUE)</f>
        <v>0</v>
      </c>
      <c r="V33">
        <f>AND(IF(Metadata!F33="",FALSE,TRUE),exact(Metadata!F33,"rat gut metagenome"))</f>
        <v>0</v>
      </c>
      <c r="W33">
        <f>AND(IF(Metadata!G33="",FALSE,TRUE),exact(Metadata!G33,"1436733"))</f>
        <v>0</v>
      </c>
    </row>
    <row r="34" spans="1:23">
      <c r="A34" s="4">
        <f>IF(B34=" "," ",HYPERLINK(CONCATENATE("#metadata!",ADDRESS(INDEX($M$2:$M$1001,MATCH(ROWS($K$2:K34),$K$2:$K$1001,0),0),1)),INDEX($P$2:$P$1001,MATCH(ROWS($K$2:K34),$K$2:$K$1001,0),0)))</f>
        <v>0</v>
      </c>
      <c r="B34" s="3">
        <f>IF(OR(INDEX($L$2:$L$1001,MATCH(ROWS($K$2:K34),$K$2:$K$1001,0),1)&gt;=100000,INDEX($R$1005:$W$1005,1,MATCH(COLUMNS($R$1006:R1006),$R$1006:$W$1006,0))&gt;=100000), " ",IF(INDEX($R$2:$W$1001,MATCH(ROWS($K$2:K34),$K$2:$K$1001,0),MATCH(COLUMNS($R$1006:R1006),$R$1006:$W$1006,0)), HYPERLINK("#",""), HYPERLINK(CONCATENATE("#Metadata!", ADDRESS(INDEX($M$2:$M$1001,MATCH(ROWS($K$2:K34),$K$2:$K$1001,0),0), INDEX($R$1004:$W$1004,1,MATCH(COLUMNS($R$1006:R1006),$R$1006:$W$1006,0)))),"Fix")))</f>
        <v>0</v>
      </c>
      <c r="C34" s="3">
        <f>IF(OR(INDEX($L$2:$L$1001,MATCH(ROWS($K$2:K34),$K$2:$K$1001,0),1)&gt;=100000,INDEX($R$1005:$W$1005,1,MATCH(COLUMNS($R$1006:S1006),$R$1006:$W$1006,0))&gt;=100000), " ",IF(INDEX($R$2:$W$1001,MATCH(ROWS($K$2:K34),$K$2:$K$1001,0),MATCH(COLUMNS($R$1006:S1006),$R$1006:$W$1006,0)), HYPERLINK("#",""), HYPERLINK(CONCATENATE("#Metadata!", ADDRESS(INDEX($M$2:$M$1001,MATCH(ROWS($K$2:K34),$K$2:$K$1001,0),0), INDEX($R$1004:$W$1004,1,MATCH(COLUMNS($R$1006:S1006),$R$1006:$W$1006,0)))),"Fix")))</f>
        <v>0</v>
      </c>
      <c r="D34" s="3">
        <f>IF(OR(INDEX($L$2:$L$1001,MATCH(ROWS($K$2:K34),$K$2:$K$1001,0),1)&gt;=100000,INDEX($R$1005:$W$1005,1,MATCH(COLUMNS($R$1006:T1006),$R$1006:$W$1006,0))&gt;=100000), " ",IF(INDEX($R$2:$W$1001,MATCH(ROWS($K$2:K34),$K$2:$K$1001,0),MATCH(COLUMNS($R$1006:T1006),$R$1006:$W$1006,0)), HYPERLINK("#",""), HYPERLINK(CONCATENATE("#Metadata!", ADDRESS(INDEX($M$2:$M$1001,MATCH(ROWS($K$2:K34),$K$2:$K$1001,0),0), INDEX($R$1004:$W$1004,1,MATCH(COLUMNS($R$1006:T1006),$R$1006:$W$1006,0)))),"Fix")))</f>
        <v>0</v>
      </c>
      <c r="E34" s="3">
        <f>IF(OR(INDEX($L$2:$L$1001,MATCH(ROWS($K$2:K34),$K$2:$K$1001,0),1)&gt;=100000,INDEX($R$1005:$W$1005,1,MATCH(COLUMNS($R$1006:U1006),$R$1006:$W$1006,0))&gt;=100000), " ",IF(INDEX($R$2:$W$1001,MATCH(ROWS($K$2:K34),$K$2:$K$1001,0),MATCH(COLUMNS($R$1006:U1006),$R$1006:$W$1006,0)), HYPERLINK("#",""), HYPERLINK(CONCATENATE("#Metadata!", ADDRESS(INDEX($M$2:$M$1001,MATCH(ROWS($K$2:K34),$K$2:$K$1001,0),0), INDEX($R$1004:$W$1004,1,MATCH(COLUMNS($R$1006:U1006),$R$1006:$W$1006,0)))),"Fix")))</f>
        <v>0</v>
      </c>
      <c r="F34" s="3">
        <f>IF(OR(INDEX($L$2:$L$1001,MATCH(ROWS($K$2:K34),$K$2:$K$1001,0),1)&gt;=100000,INDEX($R$1005:$W$1005,1,MATCH(COLUMNS($R$1006:V1006),$R$1006:$W$1006,0))&gt;=100000), " ",IF(INDEX($R$2:$W$1001,MATCH(ROWS($K$2:K34),$K$2:$K$1001,0),MATCH(COLUMNS($R$1006:V1006),$R$1006:$W$1006,0)), HYPERLINK("#",""), HYPERLINK(CONCATENATE("#Metadata!", ADDRESS(INDEX($M$2:$M$1001,MATCH(ROWS($K$2:K34),$K$2:$K$1001,0),0), INDEX($R$1004:$W$1004,1,MATCH(COLUMNS($R$1006:V1006),$R$1006:$W$1006,0)))),"Fix")))</f>
        <v>0</v>
      </c>
      <c r="G34" s="3">
        <f>IF(OR(INDEX($L$2:$L$1001,MATCH(ROWS($K$2:K34),$K$2:$K$1001,0),1)&gt;=100000,INDEX($R$1005:$W$1005,1,MATCH(COLUMNS($R$1006:W1006),$R$1006:$W$1006,0))&gt;=100000), " ",IF(INDEX($R$2:$W$1001,MATCH(ROWS($K$2:K34),$K$2:$K$1001,0),MATCH(COLUMNS($R$1006:W1006),$R$1006:$W$1006,0)), HYPERLINK("#",""), HYPERLINK(CONCATENATE("#Metadata!", ADDRESS(INDEX($M$2:$M$1001,MATCH(ROWS($K$2:K34),$K$2:$K$1001,0),0), INDEX($R$1004:$W$1004,1,MATCH(COLUMNS($R$1006:W1006),$R$1006:$W$1006,0)))),"Fix")))</f>
        <v>0</v>
      </c>
      <c r="K34">
        <v>0</v>
      </c>
      <c r="L34">
        <v>0</v>
      </c>
      <c r="M34">
        <v>0</v>
      </c>
      <c r="N34">
        <f>IF(O34,TRUE,AND(R34:W34))</f>
        <v>0</v>
      </c>
      <c r="O34">
        <f>COUNTBLANK(Metadata!B34:G34)=COLUMNS(Metadata!B34:G34)</f>
        <v>0</v>
      </c>
      <c r="P34">
        <v>0</v>
      </c>
      <c r="R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S34">
        <f>IF(Metadata!C34="",FALSE,TRUE)</f>
        <v>0</v>
      </c>
      <c r="T34">
        <f>IF(Metadata!D34="",FALSE,TRUE)</f>
        <v>0</v>
      </c>
      <c r="U34">
        <f>IF(Metadata!E34="",FALSE,TRUE)</f>
        <v>0</v>
      </c>
      <c r="V34">
        <f>AND(IF(Metadata!F34="",FALSE,TRUE),exact(Metadata!F34,"rat gut metagenome"))</f>
        <v>0</v>
      </c>
      <c r="W34">
        <f>AND(IF(Metadata!G34="",FALSE,TRUE),exact(Metadata!G34,"1436733"))</f>
        <v>0</v>
      </c>
    </row>
    <row r="35" spans="1:23">
      <c r="A35" s="4">
        <f>IF(B35=" "," ",HYPERLINK(CONCATENATE("#metadata!",ADDRESS(INDEX($M$2:$M$1001,MATCH(ROWS($K$2:K35),$K$2:$K$1001,0),0),1)),INDEX($P$2:$P$1001,MATCH(ROWS($K$2:K35),$K$2:$K$1001,0),0)))</f>
        <v>0</v>
      </c>
      <c r="B35" s="3">
        <f>IF(OR(INDEX($L$2:$L$1001,MATCH(ROWS($K$2:K35),$K$2:$K$1001,0),1)&gt;=100000,INDEX($R$1005:$W$1005,1,MATCH(COLUMNS($R$1006:R1006),$R$1006:$W$1006,0))&gt;=100000), " ",IF(INDEX($R$2:$W$1001,MATCH(ROWS($K$2:K35),$K$2:$K$1001,0),MATCH(COLUMNS($R$1006:R1006),$R$1006:$W$1006,0)), HYPERLINK("#",""), HYPERLINK(CONCATENATE("#Metadata!", ADDRESS(INDEX($M$2:$M$1001,MATCH(ROWS($K$2:K35),$K$2:$K$1001,0),0), INDEX($R$1004:$W$1004,1,MATCH(COLUMNS($R$1006:R1006),$R$1006:$W$1006,0)))),"Fix")))</f>
        <v>0</v>
      </c>
      <c r="C35" s="3">
        <f>IF(OR(INDEX($L$2:$L$1001,MATCH(ROWS($K$2:K35),$K$2:$K$1001,0),1)&gt;=100000,INDEX($R$1005:$W$1005,1,MATCH(COLUMNS($R$1006:S1006),$R$1006:$W$1006,0))&gt;=100000), " ",IF(INDEX($R$2:$W$1001,MATCH(ROWS($K$2:K35),$K$2:$K$1001,0),MATCH(COLUMNS($R$1006:S1006),$R$1006:$W$1006,0)), HYPERLINK("#",""), HYPERLINK(CONCATENATE("#Metadata!", ADDRESS(INDEX($M$2:$M$1001,MATCH(ROWS($K$2:K35),$K$2:$K$1001,0),0), INDEX($R$1004:$W$1004,1,MATCH(COLUMNS($R$1006:S1006),$R$1006:$W$1006,0)))),"Fix")))</f>
        <v>0</v>
      </c>
      <c r="D35" s="3">
        <f>IF(OR(INDEX($L$2:$L$1001,MATCH(ROWS($K$2:K35),$K$2:$K$1001,0),1)&gt;=100000,INDEX($R$1005:$W$1005,1,MATCH(COLUMNS($R$1006:T1006),$R$1006:$W$1006,0))&gt;=100000), " ",IF(INDEX($R$2:$W$1001,MATCH(ROWS($K$2:K35),$K$2:$K$1001,0),MATCH(COLUMNS($R$1006:T1006),$R$1006:$W$1006,0)), HYPERLINK("#",""), HYPERLINK(CONCATENATE("#Metadata!", ADDRESS(INDEX($M$2:$M$1001,MATCH(ROWS($K$2:K35),$K$2:$K$1001,0),0), INDEX($R$1004:$W$1004,1,MATCH(COLUMNS($R$1006:T1006),$R$1006:$W$1006,0)))),"Fix")))</f>
        <v>0</v>
      </c>
      <c r="E35" s="3">
        <f>IF(OR(INDEX($L$2:$L$1001,MATCH(ROWS($K$2:K35),$K$2:$K$1001,0),1)&gt;=100000,INDEX($R$1005:$W$1005,1,MATCH(COLUMNS($R$1006:U1006),$R$1006:$W$1006,0))&gt;=100000), " ",IF(INDEX($R$2:$W$1001,MATCH(ROWS($K$2:K35),$K$2:$K$1001,0),MATCH(COLUMNS($R$1006:U1006),$R$1006:$W$1006,0)), HYPERLINK("#",""), HYPERLINK(CONCATENATE("#Metadata!", ADDRESS(INDEX($M$2:$M$1001,MATCH(ROWS($K$2:K35),$K$2:$K$1001,0),0), INDEX($R$1004:$W$1004,1,MATCH(COLUMNS($R$1006:U1006),$R$1006:$W$1006,0)))),"Fix")))</f>
        <v>0</v>
      </c>
      <c r="F35" s="3">
        <f>IF(OR(INDEX($L$2:$L$1001,MATCH(ROWS($K$2:K35),$K$2:$K$1001,0),1)&gt;=100000,INDEX($R$1005:$W$1005,1,MATCH(COLUMNS($R$1006:V1006),$R$1006:$W$1006,0))&gt;=100000), " ",IF(INDEX($R$2:$W$1001,MATCH(ROWS($K$2:K35),$K$2:$K$1001,0),MATCH(COLUMNS($R$1006:V1006),$R$1006:$W$1006,0)), HYPERLINK("#",""), HYPERLINK(CONCATENATE("#Metadata!", ADDRESS(INDEX($M$2:$M$1001,MATCH(ROWS($K$2:K35),$K$2:$K$1001,0),0), INDEX($R$1004:$W$1004,1,MATCH(COLUMNS($R$1006:V1006),$R$1006:$W$1006,0)))),"Fix")))</f>
        <v>0</v>
      </c>
      <c r="G35" s="3">
        <f>IF(OR(INDEX($L$2:$L$1001,MATCH(ROWS($K$2:K35),$K$2:$K$1001,0),1)&gt;=100000,INDEX($R$1005:$W$1005,1,MATCH(COLUMNS($R$1006:W1006),$R$1006:$W$1006,0))&gt;=100000), " ",IF(INDEX($R$2:$W$1001,MATCH(ROWS($K$2:K35),$K$2:$K$1001,0),MATCH(COLUMNS($R$1006:W1006),$R$1006:$W$1006,0)), HYPERLINK("#",""), HYPERLINK(CONCATENATE("#Metadata!", ADDRESS(INDEX($M$2:$M$1001,MATCH(ROWS($K$2:K35),$K$2:$K$1001,0),0), INDEX($R$1004:$W$1004,1,MATCH(COLUMNS($R$1006:W1006),$R$1006:$W$1006,0)))),"Fix")))</f>
        <v>0</v>
      </c>
      <c r="K35">
        <v>0</v>
      </c>
      <c r="L35">
        <v>0</v>
      </c>
      <c r="M35">
        <v>0</v>
      </c>
      <c r="N35">
        <f>IF(O35,TRUE,AND(R35:W35))</f>
        <v>0</v>
      </c>
      <c r="O35">
        <f>COUNTBLANK(Metadata!B35:G35)=COLUMNS(Metadata!B35:G35)</f>
        <v>0</v>
      </c>
      <c r="P35">
        <v>0</v>
      </c>
      <c r="R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S35">
        <f>IF(Metadata!C35="",FALSE,TRUE)</f>
        <v>0</v>
      </c>
      <c r="T35">
        <f>IF(Metadata!D35="",FALSE,TRUE)</f>
        <v>0</v>
      </c>
      <c r="U35">
        <f>IF(Metadata!E35="",FALSE,TRUE)</f>
        <v>0</v>
      </c>
      <c r="V35">
        <f>AND(IF(Metadata!F35="",FALSE,TRUE),exact(Metadata!F35,"rat gut metagenome"))</f>
        <v>0</v>
      </c>
      <c r="W35">
        <f>AND(IF(Metadata!G35="",FALSE,TRUE),exact(Metadata!G35,"1436733"))</f>
        <v>0</v>
      </c>
    </row>
    <row r="36" spans="1:23">
      <c r="A36" s="4">
        <f>IF(B36=" "," ",HYPERLINK(CONCATENATE("#metadata!",ADDRESS(INDEX($M$2:$M$1001,MATCH(ROWS($K$2:K36),$K$2:$K$1001,0),0),1)),INDEX($P$2:$P$1001,MATCH(ROWS($K$2:K36),$K$2:$K$1001,0),0)))</f>
        <v>0</v>
      </c>
      <c r="B36" s="3">
        <f>IF(OR(INDEX($L$2:$L$1001,MATCH(ROWS($K$2:K36),$K$2:$K$1001,0),1)&gt;=100000,INDEX($R$1005:$W$1005,1,MATCH(COLUMNS($R$1006:R1006),$R$1006:$W$1006,0))&gt;=100000), " ",IF(INDEX($R$2:$W$1001,MATCH(ROWS($K$2:K36),$K$2:$K$1001,0),MATCH(COLUMNS($R$1006:R1006),$R$1006:$W$1006,0)), HYPERLINK("#",""), HYPERLINK(CONCATENATE("#Metadata!", ADDRESS(INDEX($M$2:$M$1001,MATCH(ROWS($K$2:K36),$K$2:$K$1001,0),0), INDEX($R$1004:$W$1004,1,MATCH(COLUMNS($R$1006:R1006),$R$1006:$W$1006,0)))),"Fix")))</f>
        <v>0</v>
      </c>
      <c r="C36" s="3">
        <f>IF(OR(INDEX($L$2:$L$1001,MATCH(ROWS($K$2:K36),$K$2:$K$1001,0),1)&gt;=100000,INDEX($R$1005:$W$1005,1,MATCH(COLUMNS($R$1006:S1006),$R$1006:$W$1006,0))&gt;=100000), " ",IF(INDEX($R$2:$W$1001,MATCH(ROWS($K$2:K36),$K$2:$K$1001,0),MATCH(COLUMNS($R$1006:S1006),$R$1006:$W$1006,0)), HYPERLINK("#",""), HYPERLINK(CONCATENATE("#Metadata!", ADDRESS(INDEX($M$2:$M$1001,MATCH(ROWS($K$2:K36),$K$2:$K$1001,0),0), INDEX($R$1004:$W$1004,1,MATCH(COLUMNS($R$1006:S1006),$R$1006:$W$1006,0)))),"Fix")))</f>
        <v>0</v>
      </c>
      <c r="D36" s="3">
        <f>IF(OR(INDEX($L$2:$L$1001,MATCH(ROWS($K$2:K36),$K$2:$K$1001,0),1)&gt;=100000,INDEX($R$1005:$W$1005,1,MATCH(COLUMNS($R$1006:T1006),$R$1006:$W$1006,0))&gt;=100000), " ",IF(INDEX($R$2:$W$1001,MATCH(ROWS($K$2:K36),$K$2:$K$1001,0),MATCH(COLUMNS($R$1006:T1006),$R$1006:$W$1006,0)), HYPERLINK("#",""), HYPERLINK(CONCATENATE("#Metadata!", ADDRESS(INDEX($M$2:$M$1001,MATCH(ROWS($K$2:K36),$K$2:$K$1001,0),0), INDEX($R$1004:$W$1004,1,MATCH(COLUMNS($R$1006:T1006),$R$1006:$W$1006,0)))),"Fix")))</f>
        <v>0</v>
      </c>
      <c r="E36" s="3">
        <f>IF(OR(INDEX($L$2:$L$1001,MATCH(ROWS($K$2:K36),$K$2:$K$1001,0),1)&gt;=100000,INDEX($R$1005:$W$1005,1,MATCH(COLUMNS($R$1006:U1006),$R$1006:$W$1006,0))&gt;=100000), " ",IF(INDEX($R$2:$W$1001,MATCH(ROWS($K$2:K36),$K$2:$K$1001,0),MATCH(COLUMNS($R$1006:U1006),$R$1006:$W$1006,0)), HYPERLINK("#",""), HYPERLINK(CONCATENATE("#Metadata!", ADDRESS(INDEX($M$2:$M$1001,MATCH(ROWS($K$2:K36),$K$2:$K$1001,0),0), INDEX($R$1004:$W$1004,1,MATCH(COLUMNS($R$1006:U1006),$R$1006:$W$1006,0)))),"Fix")))</f>
        <v>0</v>
      </c>
      <c r="F36" s="3">
        <f>IF(OR(INDEX($L$2:$L$1001,MATCH(ROWS($K$2:K36),$K$2:$K$1001,0),1)&gt;=100000,INDEX($R$1005:$W$1005,1,MATCH(COLUMNS($R$1006:V1006),$R$1006:$W$1006,0))&gt;=100000), " ",IF(INDEX($R$2:$W$1001,MATCH(ROWS($K$2:K36),$K$2:$K$1001,0),MATCH(COLUMNS($R$1006:V1006),$R$1006:$W$1006,0)), HYPERLINK("#",""), HYPERLINK(CONCATENATE("#Metadata!", ADDRESS(INDEX($M$2:$M$1001,MATCH(ROWS($K$2:K36),$K$2:$K$1001,0),0), INDEX($R$1004:$W$1004,1,MATCH(COLUMNS($R$1006:V1006),$R$1006:$W$1006,0)))),"Fix")))</f>
        <v>0</v>
      </c>
      <c r="G36" s="3">
        <f>IF(OR(INDEX($L$2:$L$1001,MATCH(ROWS($K$2:K36),$K$2:$K$1001,0),1)&gt;=100000,INDEX($R$1005:$W$1005,1,MATCH(COLUMNS($R$1006:W1006),$R$1006:$W$1006,0))&gt;=100000), " ",IF(INDEX($R$2:$W$1001,MATCH(ROWS($K$2:K36),$K$2:$K$1001,0),MATCH(COLUMNS($R$1006:W1006),$R$1006:$W$1006,0)), HYPERLINK("#",""), HYPERLINK(CONCATENATE("#Metadata!", ADDRESS(INDEX($M$2:$M$1001,MATCH(ROWS($K$2:K36),$K$2:$K$1001,0),0), INDEX($R$1004:$W$1004,1,MATCH(COLUMNS($R$1006:W1006),$R$1006:$W$1006,0)))),"Fix")))</f>
        <v>0</v>
      </c>
      <c r="K36">
        <v>0</v>
      </c>
      <c r="L36">
        <v>0</v>
      </c>
      <c r="M36">
        <v>0</v>
      </c>
      <c r="N36">
        <f>IF(O36,TRUE,AND(R36:W36))</f>
        <v>0</v>
      </c>
      <c r="O36">
        <f>COUNTBLANK(Metadata!B36:G36)=COLUMNS(Metadata!B36:G36)</f>
        <v>0</v>
      </c>
      <c r="P36">
        <v>0</v>
      </c>
      <c r="R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S36">
        <f>IF(Metadata!C36="",FALSE,TRUE)</f>
        <v>0</v>
      </c>
      <c r="T36">
        <f>IF(Metadata!D36="",FALSE,TRUE)</f>
        <v>0</v>
      </c>
      <c r="U36">
        <f>IF(Metadata!E36="",FALSE,TRUE)</f>
        <v>0</v>
      </c>
      <c r="V36">
        <f>AND(IF(Metadata!F36="",FALSE,TRUE),exact(Metadata!F36,"rat gut metagenome"))</f>
        <v>0</v>
      </c>
      <c r="W36">
        <f>AND(IF(Metadata!G36="",FALSE,TRUE),exact(Metadata!G36,"1436733"))</f>
        <v>0</v>
      </c>
    </row>
    <row r="37" spans="1:23">
      <c r="A37" s="4">
        <f>IF(B37=" "," ",HYPERLINK(CONCATENATE("#metadata!",ADDRESS(INDEX($M$2:$M$1001,MATCH(ROWS($K$2:K37),$K$2:$K$1001,0),0),1)),INDEX($P$2:$P$1001,MATCH(ROWS($K$2:K37),$K$2:$K$1001,0),0)))</f>
        <v>0</v>
      </c>
      <c r="B37" s="3">
        <f>IF(OR(INDEX($L$2:$L$1001,MATCH(ROWS($K$2:K37),$K$2:$K$1001,0),1)&gt;=100000,INDEX($R$1005:$W$1005,1,MATCH(COLUMNS($R$1006:R1006),$R$1006:$W$1006,0))&gt;=100000), " ",IF(INDEX($R$2:$W$1001,MATCH(ROWS($K$2:K37),$K$2:$K$1001,0),MATCH(COLUMNS($R$1006:R1006),$R$1006:$W$1006,0)), HYPERLINK("#",""), HYPERLINK(CONCATENATE("#Metadata!", ADDRESS(INDEX($M$2:$M$1001,MATCH(ROWS($K$2:K37),$K$2:$K$1001,0),0), INDEX($R$1004:$W$1004,1,MATCH(COLUMNS($R$1006:R1006),$R$1006:$W$1006,0)))),"Fix")))</f>
        <v>0</v>
      </c>
      <c r="C37" s="3">
        <f>IF(OR(INDEX($L$2:$L$1001,MATCH(ROWS($K$2:K37),$K$2:$K$1001,0),1)&gt;=100000,INDEX($R$1005:$W$1005,1,MATCH(COLUMNS($R$1006:S1006),$R$1006:$W$1006,0))&gt;=100000), " ",IF(INDEX($R$2:$W$1001,MATCH(ROWS($K$2:K37),$K$2:$K$1001,0),MATCH(COLUMNS($R$1006:S1006),$R$1006:$W$1006,0)), HYPERLINK("#",""), HYPERLINK(CONCATENATE("#Metadata!", ADDRESS(INDEX($M$2:$M$1001,MATCH(ROWS($K$2:K37),$K$2:$K$1001,0),0), INDEX($R$1004:$W$1004,1,MATCH(COLUMNS($R$1006:S1006),$R$1006:$W$1006,0)))),"Fix")))</f>
        <v>0</v>
      </c>
      <c r="D37" s="3">
        <f>IF(OR(INDEX($L$2:$L$1001,MATCH(ROWS($K$2:K37),$K$2:$K$1001,0),1)&gt;=100000,INDEX($R$1005:$W$1005,1,MATCH(COLUMNS($R$1006:T1006),$R$1006:$W$1006,0))&gt;=100000), " ",IF(INDEX($R$2:$W$1001,MATCH(ROWS($K$2:K37),$K$2:$K$1001,0),MATCH(COLUMNS($R$1006:T1006),$R$1006:$W$1006,0)), HYPERLINK("#",""), HYPERLINK(CONCATENATE("#Metadata!", ADDRESS(INDEX($M$2:$M$1001,MATCH(ROWS($K$2:K37),$K$2:$K$1001,0),0), INDEX($R$1004:$W$1004,1,MATCH(COLUMNS($R$1006:T1006),$R$1006:$W$1006,0)))),"Fix")))</f>
        <v>0</v>
      </c>
      <c r="E37" s="3">
        <f>IF(OR(INDEX($L$2:$L$1001,MATCH(ROWS($K$2:K37),$K$2:$K$1001,0),1)&gt;=100000,INDEX($R$1005:$W$1005,1,MATCH(COLUMNS($R$1006:U1006),$R$1006:$W$1006,0))&gt;=100000), " ",IF(INDEX($R$2:$W$1001,MATCH(ROWS($K$2:K37),$K$2:$K$1001,0),MATCH(COLUMNS($R$1006:U1006),$R$1006:$W$1006,0)), HYPERLINK("#",""), HYPERLINK(CONCATENATE("#Metadata!", ADDRESS(INDEX($M$2:$M$1001,MATCH(ROWS($K$2:K37),$K$2:$K$1001,0),0), INDEX($R$1004:$W$1004,1,MATCH(COLUMNS($R$1006:U1006),$R$1006:$W$1006,0)))),"Fix")))</f>
        <v>0</v>
      </c>
      <c r="F37" s="3">
        <f>IF(OR(INDEX($L$2:$L$1001,MATCH(ROWS($K$2:K37),$K$2:$K$1001,0),1)&gt;=100000,INDEX($R$1005:$W$1005,1,MATCH(COLUMNS($R$1006:V1006),$R$1006:$W$1006,0))&gt;=100000), " ",IF(INDEX($R$2:$W$1001,MATCH(ROWS($K$2:K37),$K$2:$K$1001,0),MATCH(COLUMNS($R$1006:V1006),$R$1006:$W$1006,0)), HYPERLINK("#",""), HYPERLINK(CONCATENATE("#Metadata!", ADDRESS(INDEX($M$2:$M$1001,MATCH(ROWS($K$2:K37),$K$2:$K$1001,0),0), INDEX($R$1004:$W$1004,1,MATCH(COLUMNS($R$1006:V1006),$R$1006:$W$1006,0)))),"Fix")))</f>
        <v>0</v>
      </c>
      <c r="G37" s="3">
        <f>IF(OR(INDEX($L$2:$L$1001,MATCH(ROWS($K$2:K37),$K$2:$K$1001,0),1)&gt;=100000,INDEX($R$1005:$W$1005,1,MATCH(COLUMNS($R$1006:W1006),$R$1006:$W$1006,0))&gt;=100000), " ",IF(INDEX($R$2:$W$1001,MATCH(ROWS($K$2:K37),$K$2:$K$1001,0),MATCH(COLUMNS($R$1006:W1006),$R$1006:$W$1006,0)), HYPERLINK("#",""), HYPERLINK(CONCATENATE("#Metadata!", ADDRESS(INDEX($M$2:$M$1001,MATCH(ROWS($K$2:K37),$K$2:$K$1001,0),0), INDEX($R$1004:$W$1004,1,MATCH(COLUMNS($R$1006:W1006),$R$1006:$W$1006,0)))),"Fix")))</f>
        <v>0</v>
      </c>
      <c r="K37">
        <v>0</v>
      </c>
      <c r="L37">
        <v>0</v>
      </c>
      <c r="M37">
        <v>0</v>
      </c>
      <c r="N37">
        <f>IF(O37,TRUE,AND(R37:W37))</f>
        <v>0</v>
      </c>
      <c r="O37">
        <f>COUNTBLANK(Metadata!B37:G37)=COLUMNS(Metadata!B37:G37)</f>
        <v>0</v>
      </c>
      <c r="P37">
        <v>0</v>
      </c>
      <c r="R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S37">
        <f>IF(Metadata!C37="",FALSE,TRUE)</f>
        <v>0</v>
      </c>
      <c r="T37">
        <f>IF(Metadata!D37="",FALSE,TRUE)</f>
        <v>0</v>
      </c>
      <c r="U37">
        <f>IF(Metadata!E37="",FALSE,TRUE)</f>
        <v>0</v>
      </c>
      <c r="V37">
        <f>AND(IF(Metadata!F37="",FALSE,TRUE),exact(Metadata!F37,"rat gut metagenome"))</f>
        <v>0</v>
      </c>
      <c r="W37">
        <f>AND(IF(Metadata!G37="",FALSE,TRUE),exact(Metadata!G37,"1436733"))</f>
        <v>0</v>
      </c>
    </row>
    <row r="38" spans="1:23">
      <c r="A38" s="4">
        <f>IF(B38=" "," ",HYPERLINK(CONCATENATE("#metadata!",ADDRESS(INDEX($M$2:$M$1001,MATCH(ROWS($K$2:K38),$K$2:$K$1001,0),0),1)),INDEX($P$2:$P$1001,MATCH(ROWS($K$2:K38),$K$2:$K$1001,0),0)))</f>
        <v>0</v>
      </c>
      <c r="B38" s="3">
        <f>IF(OR(INDEX($L$2:$L$1001,MATCH(ROWS($K$2:K38),$K$2:$K$1001,0),1)&gt;=100000,INDEX($R$1005:$W$1005,1,MATCH(COLUMNS($R$1006:R1006),$R$1006:$W$1006,0))&gt;=100000), " ",IF(INDEX($R$2:$W$1001,MATCH(ROWS($K$2:K38),$K$2:$K$1001,0),MATCH(COLUMNS($R$1006:R1006),$R$1006:$W$1006,0)), HYPERLINK("#",""), HYPERLINK(CONCATENATE("#Metadata!", ADDRESS(INDEX($M$2:$M$1001,MATCH(ROWS($K$2:K38),$K$2:$K$1001,0),0), INDEX($R$1004:$W$1004,1,MATCH(COLUMNS($R$1006:R1006),$R$1006:$W$1006,0)))),"Fix")))</f>
        <v>0</v>
      </c>
      <c r="C38" s="3">
        <f>IF(OR(INDEX($L$2:$L$1001,MATCH(ROWS($K$2:K38),$K$2:$K$1001,0),1)&gt;=100000,INDEX($R$1005:$W$1005,1,MATCH(COLUMNS($R$1006:S1006),$R$1006:$W$1006,0))&gt;=100000), " ",IF(INDEX($R$2:$W$1001,MATCH(ROWS($K$2:K38),$K$2:$K$1001,0),MATCH(COLUMNS($R$1006:S1006),$R$1006:$W$1006,0)), HYPERLINK("#",""), HYPERLINK(CONCATENATE("#Metadata!", ADDRESS(INDEX($M$2:$M$1001,MATCH(ROWS($K$2:K38),$K$2:$K$1001,0),0), INDEX($R$1004:$W$1004,1,MATCH(COLUMNS($R$1006:S1006),$R$1006:$W$1006,0)))),"Fix")))</f>
        <v>0</v>
      </c>
      <c r="D38" s="3">
        <f>IF(OR(INDEX($L$2:$L$1001,MATCH(ROWS($K$2:K38),$K$2:$K$1001,0),1)&gt;=100000,INDEX($R$1005:$W$1005,1,MATCH(COLUMNS($R$1006:T1006),$R$1006:$W$1006,0))&gt;=100000), " ",IF(INDEX($R$2:$W$1001,MATCH(ROWS($K$2:K38),$K$2:$K$1001,0),MATCH(COLUMNS($R$1006:T1006),$R$1006:$W$1006,0)), HYPERLINK("#",""), HYPERLINK(CONCATENATE("#Metadata!", ADDRESS(INDEX($M$2:$M$1001,MATCH(ROWS($K$2:K38),$K$2:$K$1001,0),0), INDEX($R$1004:$W$1004,1,MATCH(COLUMNS($R$1006:T1006),$R$1006:$W$1006,0)))),"Fix")))</f>
        <v>0</v>
      </c>
      <c r="E38" s="3">
        <f>IF(OR(INDEX($L$2:$L$1001,MATCH(ROWS($K$2:K38),$K$2:$K$1001,0),1)&gt;=100000,INDEX($R$1005:$W$1005,1,MATCH(COLUMNS($R$1006:U1006),$R$1006:$W$1006,0))&gt;=100000), " ",IF(INDEX($R$2:$W$1001,MATCH(ROWS($K$2:K38),$K$2:$K$1001,0),MATCH(COLUMNS($R$1006:U1006),$R$1006:$W$1006,0)), HYPERLINK("#",""), HYPERLINK(CONCATENATE("#Metadata!", ADDRESS(INDEX($M$2:$M$1001,MATCH(ROWS($K$2:K38),$K$2:$K$1001,0),0), INDEX($R$1004:$W$1004,1,MATCH(COLUMNS($R$1006:U1006),$R$1006:$W$1006,0)))),"Fix")))</f>
        <v>0</v>
      </c>
      <c r="F38" s="3">
        <f>IF(OR(INDEX($L$2:$L$1001,MATCH(ROWS($K$2:K38),$K$2:$K$1001,0),1)&gt;=100000,INDEX($R$1005:$W$1005,1,MATCH(COLUMNS($R$1006:V1006),$R$1006:$W$1006,0))&gt;=100000), " ",IF(INDEX($R$2:$W$1001,MATCH(ROWS($K$2:K38),$K$2:$K$1001,0),MATCH(COLUMNS($R$1006:V1006),$R$1006:$W$1006,0)), HYPERLINK("#",""), HYPERLINK(CONCATENATE("#Metadata!", ADDRESS(INDEX($M$2:$M$1001,MATCH(ROWS($K$2:K38),$K$2:$K$1001,0),0), INDEX($R$1004:$W$1004,1,MATCH(COLUMNS($R$1006:V1006),$R$1006:$W$1006,0)))),"Fix")))</f>
        <v>0</v>
      </c>
      <c r="G38" s="3">
        <f>IF(OR(INDEX($L$2:$L$1001,MATCH(ROWS($K$2:K38),$K$2:$K$1001,0),1)&gt;=100000,INDEX($R$1005:$W$1005,1,MATCH(COLUMNS($R$1006:W1006),$R$1006:$W$1006,0))&gt;=100000), " ",IF(INDEX($R$2:$W$1001,MATCH(ROWS($K$2:K38),$K$2:$K$1001,0),MATCH(COLUMNS($R$1006:W1006),$R$1006:$W$1006,0)), HYPERLINK("#",""), HYPERLINK(CONCATENATE("#Metadata!", ADDRESS(INDEX($M$2:$M$1001,MATCH(ROWS($K$2:K38),$K$2:$K$1001,0),0), INDEX($R$1004:$W$1004,1,MATCH(COLUMNS($R$1006:W1006),$R$1006:$W$1006,0)))),"Fix")))</f>
        <v>0</v>
      </c>
      <c r="K38">
        <v>0</v>
      </c>
      <c r="L38">
        <v>0</v>
      </c>
      <c r="M38">
        <v>0</v>
      </c>
      <c r="N38">
        <f>IF(O38,TRUE,AND(R38:W38))</f>
        <v>0</v>
      </c>
      <c r="O38">
        <f>COUNTBLANK(Metadata!B38:G38)=COLUMNS(Metadata!B38:G38)</f>
        <v>0</v>
      </c>
      <c r="P38">
        <v>0</v>
      </c>
      <c r="R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S38">
        <f>IF(Metadata!C38="",FALSE,TRUE)</f>
        <v>0</v>
      </c>
      <c r="T38">
        <f>IF(Metadata!D38="",FALSE,TRUE)</f>
        <v>0</v>
      </c>
      <c r="U38">
        <f>IF(Metadata!E38="",FALSE,TRUE)</f>
        <v>0</v>
      </c>
      <c r="V38">
        <f>AND(IF(Metadata!F38="",FALSE,TRUE),exact(Metadata!F38,"rat gut metagenome"))</f>
        <v>0</v>
      </c>
      <c r="W38">
        <f>AND(IF(Metadata!G38="",FALSE,TRUE),exact(Metadata!G38,"1436733"))</f>
        <v>0</v>
      </c>
    </row>
    <row r="39" spans="1:23">
      <c r="A39" s="4">
        <f>IF(B39=" "," ",HYPERLINK(CONCATENATE("#metadata!",ADDRESS(INDEX($M$2:$M$1001,MATCH(ROWS($K$2:K39),$K$2:$K$1001,0),0),1)),INDEX($P$2:$P$1001,MATCH(ROWS($K$2:K39),$K$2:$K$1001,0),0)))</f>
        <v>0</v>
      </c>
      <c r="B39" s="3">
        <f>IF(OR(INDEX($L$2:$L$1001,MATCH(ROWS($K$2:K39),$K$2:$K$1001,0),1)&gt;=100000,INDEX($R$1005:$W$1005,1,MATCH(COLUMNS($R$1006:R1006),$R$1006:$W$1006,0))&gt;=100000), " ",IF(INDEX($R$2:$W$1001,MATCH(ROWS($K$2:K39),$K$2:$K$1001,0),MATCH(COLUMNS($R$1006:R1006),$R$1006:$W$1006,0)), HYPERLINK("#",""), HYPERLINK(CONCATENATE("#Metadata!", ADDRESS(INDEX($M$2:$M$1001,MATCH(ROWS($K$2:K39),$K$2:$K$1001,0),0), INDEX($R$1004:$W$1004,1,MATCH(COLUMNS($R$1006:R1006),$R$1006:$W$1006,0)))),"Fix")))</f>
        <v>0</v>
      </c>
      <c r="C39" s="3">
        <f>IF(OR(INDEX($L$2:$L$1001,MATCH(ROWS($K$2:K39),$K$2:$K$1001,0),1)&gt;=100000,INDEX($R$1005:$W$1005,1,MATCH(COLUMNS($R$1006:S1006),$R$1006:$W$1006,0))&gt;=100000), " ",IF(INDEX($R$2:$W$1001,MATCH(ROWS($K$2:K39),$K$2:$K$1001,0),MATCH(COLUMNS($R$1006:S1006),$R$1006:$W$1006,0)), HYPERLINK("#",""), HYPERLINK(CONCATENATE("#Metadata!", ADDRESS(INDEX($M$2:$M$1001,MATCH(ROWS($K$2:K39),$K$2:$K$1001,0),0), INDEX($R$1004:$W$1004,1,MATCH(COLUMNS($R$1006:S1006),$R$1006:$W$1006,0)))),"Fix")))</f>
        <v>0</v>
      </c>
      <c r="D39" s="3">
        <f>IF(OR(INDEX($L$2:$L$1001,MATCH(ROWS($K$2:K39),$K$2:$K$1001,0),1)&gt;=100000,INDEX($R$1005:$W$1005,1,MATCH(COLUMNS($R$1006:T1006),$R$1006:$W$1006,0))&gt;=100000), " ",IF(INDEX($R$2:$W$1001,MATCH(ROWS($K$2:K39),$K$2:$K$1001,0),MATCH(COLUMNS($R$1006:T1006),$R$1006:$W$1006,0)), HYPERLINK("#",""), HYPERLINK(CONCATENATE("#Metadata!", ADDRESS(INDEX($M$2:$M$1001,MATCH(ROWS($K$2:K39),$K$2:$K$1001,0),0), INDEX($R$1004:$W$1004,1,MATCH(COLUMNS($R$1006:T1006),$R$1006:$W$1006,0)))),"Fix")))</f>
        <v>0</v>
      </c>
      <c r="E39" s="3">
        <f>IF(OR(INDEX($L$2:$L$1001,MATCH(ROWS($K$2:K39),$K$2:$K$1001,0),1)&gt;=100000,INDEX($R$1005:$W$1005,1,MATCH(COLUMNS($R$1006:U1006),$R$1006:$W$1006,0))&gt;=100000), " ",IF(INDEX($R$2:$W$1001,MATCH(ROWS($K$2:K39),$K$2:$K$1001,0),MATCH(COLUMNS($R$1006:U1006),$R$1006:$W$1006,0)), HYPERLINK("#",""), HYPERLINK(CONCATENATE("#Metadata!", ADDRESS(INDEX($M$2:$M$1001,MATCH(ROWS($K$2:K39),$K$2:$K$1001,0),0), INDEX($R$1004:$W$1004,1,MATCH(COLUMNS($R$1006:U1006),$R$1006:$W$1006,0)))),"Fix")))</f>
        <v>0</v>
      </c>
      <c r="F39" s="3">
        <f>IF(OR(INDEX($L$2:$L$1001,MATCH(ROWS($K$2:K39),$K$2:$K$1001,0),1)&gt;=100000,INDEX($R$1005:$W$1005,1,MATCH(COLUMNS($R$1006:V1006),$R$1006:$W$1006,0))&gt;=100000), " ",IF(INDEX($R$2:$W$1001,MATCH(ROWS($K$2:K39),$K$2:$K$1001,0),MATCH(COLUMNS($R$1006:V1006),$R$1006:$W$1006,0)), HYPERLINK("#",""), HYPERLINK(CONCATENATE("#Metadata!", ADDRESS(INDEX($M$2:$M$1001,MATCH(ROWS($K$2:K39),$K$2:$K$1001,0),0), INDEX($R$1004:$W$1004,1,MATCH(COLUMNS($R$1006:V1006),$R$1006:$W$1006,0)))),"Fix")))</f>
        <v>0</v>
      </c>
      <c r="G39" s="3">
        <f>IF(OR(INDEX($L$2:$L$1001,MATCH(ROWS($K$2:K39),$K$2:$K$1001,0),1)&gt;=100000,INDEX($R$1005:$W$1005,1,MATCH(COLUMNS($R$1006:W1006),$R$1006:$W$1006,0))&gt;=100000), " ",IF(INDEX($R$2:$W$1001,MATCH(ROWS($K$2:K39),$K$2:$K$1001,0),MATCH(COLUMNS($R$1006:W1006),$R$1006:$W$1006,0)), HYPERLINK("#",""), HYPERLINK(CONCATENATE("#Metadata!", ADDRESS(INDEX($M$2:$M$1001,MATCH(ROWS($K$2:K39),$K$2:$K$1001,0),0), INDEX($R$1004:$W$1004,1,MATCH(COLUMNS($R$1006:W1006),$R$1006:$W$1006,0)))),"Fix")))</f>
        <v>0</v>
      </c>
      <c r="K39">
        <v>0</v>
      </c>
      <c r="L39">
        <v>0</v>
      </c>
      <c r="M39">
        <v>0</v>
      </c>
      <c r="N39">
        <f>IF(O39,TRUE,AND(R39:W39))</f>
        <v>0</v>
      </c>
      <c r="O39">
        <f>COUNTBLANK(Metadata!B39:G39)=COLUMNS(Metadata!B39:G39)</f>
        <v>0</v>
      </c>
      <c r="P39">
        <v>0</v>
      </c>
      <c r="R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S39">
        <f>IF(Metadata!C39="",FALSE,TRUE)</f>
        <v>0</v>
      </c>
      <c r="T39">
        <f>IF(Metadata!D39="",FALSE,TRUE)</f>
        <v>0</v>
      </c>
      <c r="U39">
        <f>IF(Metadata!E39="",FALSE,TRUE)</f>
        <v>0</v>
      </c>
      <c r="V39">
        <f>AND(IF(Metadata!F39="",FALSE,TRUE),exact(Metadata!F39,"rat gut metagenome"))</f>
        <v>0</v>
      </c>
      <c r="W39">
        <f>AND(IF(Metadata!G39="",FALSE,TRUE),exact(Metadata!G39,"1436733"))</f>
        <v>0</v>
      </c>
    </row>
    <row r="40" spans="1:23">
      <c r="A40" s="4">
        <f>IF(B40=" "," ",HYPERLINK(CONCATENATE("#metadata!",ADDRESS(INDEX($M$2:$M$1001,MATCH(ROWS($K$2:K40),$K$2:$K$1001,0),0),1)),INDEX($P$2:$P$1001,MATCH(ROWS($K$2:K40),$K$2:$K$1001,0),0)))</f>
        <v>0</v>
      </c>
      <c r="B40" s="3">
        <f>IF(OR(INDEX($L$2:$L$1001,MATCH(ROWS($K$2:K40),$K$2:$K$1001,0),1)&gt;=100000,INDEX($R$1005:$W$1005,1,MATCH(COLUMNS($R$1006:R1006),$R$1006:$W$1006,0))&gt;=100000), " ",IF(INDEX($R$2:$W$1001,MATCH(ROWS($K$2:K40),$K$2:$K$1001,0),MATCH(COLUMNS($R$1006:R1006),$R$1006:$W$1006,0)), HYPERLINK("#",""), HYPERLINK(CONCATENATE("#Metadata!", ADDRESS(INDEX($M$2:$M$1001,MATCH(ROWS($K$2:K40),$K$2:$K$1001,0),0), INDEX($R$1004:$W$1004,1,MATCH(COLUMNS($R$1006:R1006),$R$1006:$W$1006,0)))),"Fix")))</f>
        <v>0</v>
      </c>
      <c r="C40" s="3">
        <f>IF(OR(INDEX($L$2:$L$1001,MATCH(ROWS($K$2:K40),$K$2:$K$1001,0),1)&gt;=100000,INDEX($R$1005:$W$1005,1,MATCH(COLUMNS($R$1006:S1006),$R$1006:$W$1006,0))&gt;=100000), " ",IF(INDEX($R$2:$W$1001,MATCH(ROWS($K$2:K40),$K$2:$K$1001,0),MATCH(COLUMNS($R$1006:S1006),$R$1006:$W$1006,0)), HYPERLINK("#",""), HYPERLINK(CONCATENATE("#Metadata!", ADDRESS(INDEX($M$2:$M$1001,MATCH(ROWS($K$2:K40),$K$2:$K$1001,0),0), INDEX($R$1004:$W$1004,1,MATCH(COLUMNS($R$1006:S1006),$R$1006:$W$1006,0)))),"Fix")))</f>
        <v>0</v>
      </c>
      <c r="D40" s="3">
        <f>IF(OR(INDEX($L$2:$L$1001,MATCH(ROWS($K$2:K40),$K$2:$K$1001,0),1)&gt;=100000,INDEX($R$1005:$W$1005,1,MATCH(COLUMNS($R$1006:T1006),$R$1006:$W$1006,0))&gt;=100000), " ",IF(INDEX($R$2:$W$1001,MATCH(ROWS($K$2:K40),$K$2:$K$1001,0),MATCH(COLUMNS($R$1006:T1006),$R$1006:$W$1006,0)), HYPERLINK("#",""), HYPERLINK(CONCATENATE("#Metadata!", ADDRESS(INDEX($M$2:$M$1001,MATCH(ROWS($K$2:K40),$K$2:$K$1001,0),0), INDEX($R$1004:$W$1004,1,MATCH(COLUMNS($R$1006:T1006),$R$1006:$W$1006,0)))),"Fix")))</f>
        <v>0</v>
      </c>
      <c r="E40" s="3">
        <f>IF(OR(INDEX($L$2:$L$1001,MATCH(ROWS($K$2:K40),$K$2:$K$1001,0),1)&gt;=100000,INDEX($R$1005:$W$1005,1,MATCH(COLUMNS($R$1006:U1006),$R$1006:$W$1006,0))&gt;=100000), " ",IF(INDEX($R$2:$W$1001,MATCH(ROWS($K$2:K40),$K$2:$K$1001,0),MATCH(COLUMNS($R$1006:U1006),$R$1006:$W$1006,0)), HYPERLINK("#",""), HYPERLINK(CONCATENATE("#Metadata!", ADDRESS(INDEX($M$2:$M$1001,MATCH(ROWS($K$2:K40),$K$2:$K$1001,0),0), INDEX($R$1004:$W$1004,1,MATCH(COLUMNS($R$1006:U1006),$R$1006:$W$1006,0)))),"Fix")))</f>
        <v>0</v>
      </c>
      <c r="F40" s="3">
        <f>IF(OR(INDEX($L$2:$L$1001,MATCH(ROWS($K$2:K40),$K$2:$K$1001,0),1)&gt;=100000,INDEX($R$1005:$W$1005,1,MATCH(COLUMNS($R$1006:V1006),$R$1006:$W$1006,0))&gt;=100000), " ",IF(INDEX($R$2:$W$1001,MATCH(ROWS($K$2:K40),$K$2:$K$1001,0),MATCH(COLUMNS($R$1006:V1006),$R$1006:$W$1006,0)), HYPERLINK("#",""), HYPERLINK(CONCATENATE("#Metadata!", ADDRESS(INDEX($M$2:$M$1001,MATCH(ROWS($K$2:K40),$K$2:$K$1001,0),0), INDEX($R$1004:$W$1004,1,MATCH(COLUMNS($R$1006:V1006),$R$1006:$W$1006,0)))),"Fix")))</f>
        <v>0</v>
      </c>
      <c r="G40" s="3">
        <f>IF(OR(INDEX($L$2:$L$1001,MATCH(ROWS($K$2:K40),$K$2:$K$1001,0),1)&gt;=100000,INDEX($R$1005:$W$1005,1,MATCH(COLUMNS($R$1006:W1006),$R$1006:$W$1006,0))&gt;=100000), " ",IF(INDEX($R$2:$W$1001,MATCH(ROWS($K$2:K40),$K$2:$K$1001,0),MATCH(COLUMNS($R$1006:W1006),$R$1006:$W$1006,0)), HYPERLINK("#",""), HYPERLINK(CONCATENATE("#Metadata!", ADDRESS(INDEX($M$2:$M$1001,MATCH(ROWS($K$2:K40),$K$2:$K$1001,0),0), INDEX($R$1004:$W$1004,1,MATCH(COLUMNS($R$1006:W1006),$R$1006:$W$1006,0)))),"Fix")))</f>
        <v>0</v>
      </c>
      <c r="K40">
        <v>0</v>
      </c>
      <c r="L40">
        <v>0</v>
      </c>
      <c r="M40">
        <v>0</v>
      </c>
      <c r="N40">
        <f>IF(O40,TRUE,AND(R40:W40))</f>
        <v>0</v>
      </c>
      <c r="O40">
        <f>COUNTBLANK(Metadata!B40:G40)=COLUMNS(Metadata!B40:G40)</f>
        <v>0</v>
      </c>
      <c r="P40">
        <v>0</v>
      </c>
      <c r="R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S40">
        <f>IF(Metadata!C40="",FALSE,TRUE)</f>
        <v>0</v>
      </c>
      <c r="T40">
        <f>IF(Metadata!D40="",FALSE,TRUE)</f>
        <v>0</v>
      </c>
      <c r="U40">
        <f>IF(Metadata!E40="",FALSE,TRUE)</f>
        <v>0</v>
      </c>
      <c r="V40">
        <f>AND(IF(Metadata!F40="",FALSE,TRUE),exact(Metadata!F40,"rat gut metagenome"))</f>
        <v>0</v>
      </c>
      <c r="W40">
        <f>AND(IF(Metadata!G40="",FALSE,TRUE),exact(Metadata!G40,"1436733"))</f>
        <v>0</v>
      </c>
    </row>
    <row r="41" spans="1:23">
      <c r="A41" s="4">
        <f>IF(B41=" "," ",HYPERLINK(CONCATENATE("#metadata!",ADDRESS(INDEX($M$2:$M$1001,MATCH(ROWS($K$2:K41),$K$2:$K$1001,0),0),1)),INDEX($P$2:$P$1001,MATCH(ROWS($K$2:K41),$K$2:$K$1001,0),0)))</f>
        <v>0</v>
      </c>
      <c r="B41" s="3">
        <f>IF(OR(INDEX($L$2:$L$1001,MATCH(ROWS($K$2:K41),$K$2:$K$1001,0),1)&gt;=100000,INDEX($R$1005:$W$1005,1,MATCH(COLUMNS($R$1006:R1006),$R$1006:$W$1006,0))&gt;=100000), " ",IF(INDEX($R$2:$W$1001,MATCH(ROWS($K$2:K41),$K$2:$K$1001,0),MATCH(COLUMNS($R$1006:R1006),$R$1006:$W$1006,0)), HYPERLINK("#",""), HYPERLINK(CONCATENATE("#Metadata!", ADDRESS(INDEX($M$2:$M$1001,MATCH(ROWS($K$2:K41),$K$2:$K$1001,0),0), INDEX($R$1004:$W$1004,1,MATCH(COLUMNS($R$1006:R1006),$R$1006:$W$1006,0)))),"Fix")))</f>
        <v>0</v>
      </c>
      <c r="C41" s="3">
        <f>IF(OR(INDEX($L$2:$L$1001,MATCH(ROWS($K$2:K41),$K$2:$K$1001,0),1)&gt;=100000,INDEX($R$1005:$W$1005,1,MATCH(COLUMNS($R$1006:S1006),$R$1006:$W$1006,0))&gt;=100000), " ",IF(INDEX($R$2:$W$1001,MATCH(ROWS($K$2:K41),$K$2:$K$1001,0),MATCH(COLUMNS($R$1006:S1006),$R$1006:$W$1006,0)), HYPERLINK("#",""), HYPERLINK(CONCATENATE("#Metadata!", ADDRESS(INDEX($M$2:$M$1001,MATCH(ROWS($K$2:K41),$K$2:$K$1001,0),0), INDEX($R$1004:$W$1004,1,MATCH(COLUMNS($R$1006:S1006),$R$1006:$W$1006,0)))),"Fix")))</f>
        <v>0</v>
      </c>
      <c r="D41" s="3">
        <f>IF(OR(INDEX($L$2:$L$1001,MATCH(ROWS($K$2:K41),$K$2:$K$1001,0),1)&gt;=100000,INDEX($R$1005:$W$1005,1,MATCH(COLUMNS($R$1006:T1006),$R$1006:$W$1006,0))&gt;=100000), " ",IF(INDEX($R$2:$W$1001,MATCH(ROWS($K$2:K41),$K$2:$K$1001,0),MATCH(COLUMNS($R$1006:T1006),$R$1006:$W$1006,0)), HYPERLINK("#",""), HYPERLINK(CONCATENATE("#Metadata!", ADDRESS(INDEX($M$2:$M$1001,MATCH(ROWS($K$2:K41),$K$2:$K$1001,0),0), INDEX($R$1004:$W$1004,1,MATCH(COLUMNS($R$1006:T1006),$R$1006:$W$1006,0)))),"Fix")))</f>
        <v>0</v>
      </c>
      <c r="E41" s="3">
        <f>IF(OR(INDEX($L$2:$L$1001,MATCH(ROWS($K$2:K41),$K$2:$K$1001,0),1)&gt;=100000,INDEX($R$1005:$W$1005,1,MATCH(COLUMNS($R$1006:U1006),$R$1006:$W$1006,0))&gt;=100000), " ",IF(INDEX($R$2:$W$1001,MATCH(ROWS($K$2:K41),$K$2:$K$1001,0),MATCH(COLUMNS($R$1006:U1006),$R$1006:$W$1006,0)), HYPERLINK("#",""), HYPERLINK(CONCATENATE("#Metadata!", ADDRESS(INDEX($M$2:$M$1001,MATCH(ROWS($K$2:K41),$K$2:$K$1001,0),0), INDEX($R$1004:$W$1004,1,MATCH(COLUMNS($R$1006:U1006),$R$1006:$W$1006,0)))),"Fix")))</f>
        <v>0</v>
      </c>
      <c r="F41" s="3">
        <f>IF(OR(INDEX($L$2:$L$1001,MATCH(ROWS($K$2:K41),$K$2:$K$1001,0),1)&gt;=100000,INDEX($R$1005:$W$1005,1,MATCH(COLUMNS($R$1006:V1006),$R$1006:$W$1006,0))&gt;=100000), " ",IF(INDEX($R$2:$W$1001,MATCH(ROWS($K$2:K41),$K$2:$K$1001,0),MATCH(COLUMNS($R$1006:V1006),$R$1006:$W$1006,0)), HYPERLINK("#",""), HYPERLINK(CONCATENATE("#Metadata!", ADDRESS(INDEX($M$2:$M$1001,MATCH(ROWS($K$2:K41),$K$2:$K$1001,0),0), INDEX($R$1004:$W$1004,1,MATCH(COLUMNS($R$1006:V1006),$R$1006:$W$1006,0)))),"Fix")))</f>
        <v>0</v>
      </c>
      <c r="G41" s="3">
        <f>IF(OR(INDEX($L$2:$L$1001,MATCH(ROWS($K$2:K41),$K$2:$K$1001,0),1)&gt;=100000,INDEX($R$1005:$W$1005,1,MATCH(COLUMNS($R$1006:W1006),$R$1006:$W$1006,0))&gt;=100000), " ",IF(INDEX($R$2:$W$1001,MATCH(ROWS($K$2:K41),$K$2:$K$1001,0),MATCH(COLUMNS($R$1006:W1006),$R$1006:$W$1006,0)), HYPERLINK("#",""), HYPERLINK(CONCATENATE("#Metadata!", ADDRESS(INDEX($M$2:$M$1001,MATCH(ROWS($K$2:K41),$K$2:$K$1001,0),0), INDEX($R$1004:$W$1004,1,MATCH(COLUMNS($R$1006:W1006),$R$1006:$W$1006,0)))),"Fix")))</f>
        <v>0</v>
      </c>
      <c r="K41">
        <v>0</v>
      </c>
      <c r="L41">
        <v>0</v>
      </c>
      <c r="M41">
        <v>0</v>
      </c>
      <c r="N41">
        <f>IF(O41,TRUE,AND(R41:W41))</f>
        <v>0</v>
      </c>
      <c r="O41">
        <f>COUNTBLANK(Metadata!B41:G41)=COLUMNS(Metadata!B41:G41)</f>
        <v>0</v>
      </c>
      <c r="P41">
        <v>0</v>
      </c>
      <c r="R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S41">
        <f>IF(Metadata!C41="",FALSE,TRUE)</f>
        <v>0</v>
      </c>
      <c r="T41">
        <f>IF(Metadata!D41="",FALSE,TRUE)</f>
        <v>0</v>
      </c>
      <c r="U41">
        <f>IF(Metadata!E41="",FALSE,TRUE)</f>
        <v>0</v>
      </c>
      <c r="V41">
        <f>AND(IF(Metadata!F41="",FALSE,TRUE),exact(Metadata!F41,"rat gut metagenome"))</f>
        <v>0</v>
      </c>
      <c r="W41">
        <f>AND(IF(Metadata!G41="",FALSE,TRUE),exact(Metadata!G41,"1436733"))</f>
        <v>0</v>
      </c>
    </row>
    <row r="42" spans="1:23">
      <c r="A42" s="4">
        <f>IF(B42=" "," ",HYPERLINK(CONCATENATE("#metadata!",ADDRESS(INDEX($M$2:$M$1001,MATCH(ROWS($K$2:K42),$K$2:$K$1001,0),0),1)),INDEX($P$2:$P$1001,MATCH(ROWS($K$2:K42),$K$2:$K$1001,0),0)))</f>
        <v>0</v>
      </c>
      <c r="B42" s="3">
        <f>IF(OR(INDEX($L$2:$L$1001,MATCH(ROWS($K$2:K42),$K$2:$K$1001,0),1)&gt;=100000,INDEX($R$1005:$W$1005,1,MATCH(COLUMNS($R$1006:R1006),$R$1006:$W$1006,0))&gt;=100000), " ",IF(INDEX($R$2:$W$1001,MATCH(ROWS($K$2:K42),$K$2:$K$1001,0),MATCH(COLUMNS($R$1006:R1006),$R$1006:$W$1006,0)), HYPERLINK("#",""), HYPERLINK(CONCATENATE("#Metadata!", ADDRESS(INDEX($M$2:$M$1001,MATCH(ROWS($K$2:K42),$K$2:$K$1001,0),0), INDEX($R$1004:$W$1004,1,MATCH(COLUMNS($R$1006:R1006),$R$1006:$W$1006,0)))),"Fix")))</f>
        <v>0</v>
      </c>
      <c r="C42" s="3">
        <f>IF(OR(INDEX($L$2:$L$1001,MATCH(ROWS($K$2:K42),$K$2:$K$1001,0),1)&gt;=100000,INDEX($R$1005:$W$1005,1,MATCH(COLUMNS($R$1006:S1006),$R$1006:$W$1006,0))&gt;=100000), " ",IF(INDEX($R$2:$W$1001,MATCH(ROWS($K$2:K42),$K$2:$K$1001,0),MATCH(COLUMNS($R$1006:S1006),$R$1006:$W$1006,0)), HYPERLINK("#",""), HYPERLINK(CONCATENATE("#Metadata!", ADDRESS(INDEX($M$2:$M$1001,MATCH(ROWS($K$2:K42),$K$2:$K$1001,0),0), INDEX($R$1004:$W$1004,1,MATCH(COLUMNS($R$1006:S1006),$R$1006:$W$1006,0)))),"Fix")))</f>
        <v>0</v>
      </c>
      <c r="D42" s="3">
        <f>IF(OR(INDEX($L$2:$L$1001,MATCH(ROWS($K$2:K42),$K$2:$K$1001,0),1)&gt;=100000,INDEX($R$1005:$W$1005,1,MATCH(COLUMNS($R$1006:T1006),$R$1006:$W$1006,0))&gt;=100000), " ",IF(INDEX($R$2:$W$1001,MATCH(ROWS($K$2:K42),$K$2:$K$1001,0),MATCH(COLUMNS($R$1006:T1006),$R$1006:$W$1006,0)), HYPERLINK("#",""), HYPERLINK(CONCATENATE("#Metadata!", ADDRESS(INDEX($M$2:$M$1001,MATCH(ROWS($K$2:K42),$K$2:$K$1001,0),0), INDEX($R$1004:$W$1004,1,MATCH(COLUMNS($R$1006:T1006),$R$1006:$W$1006,0)))),"Fix")))</f>
        <v>0</v>
      </c>
      <c r="E42" s="3">
        <f>IF(OR(INDEX($L$2:$L$1001,MATCH(ROWS($K$2:K42),$K$2:$K$1001,0),1)&gt;=100000,INDEX($R$1005:$W$1005,1,MATCH(COLUMNS($R$1006:U1006),$R$1006:$W$1006,0))&gt;=100000), " ",IF(INDEX($R$2:$W$1001,MATCH(ROWS($K$2:K42),$K$2:$K$1001,0),MATCH(COLUMNS($R$1006:U1006),$R$1006:$W$1006,0)), HYPERLINK("#",""), HYPERLINK(CONCATENATE("#Metadata!", ADDRESS(INDEX($M$2:$M$1001,MATCH(ROWS($K$2:K42),$K$2:$K$1001,0),0), INDEX($R$1004:$W$1004,1,MATCH(COLUMNS($R$1006:U1006),$R$1006:$W$1006,0)))),"Fix")))</f>
        <v>0</v>
      </c>
      <c r="F42" s="3">
        <f>IF(OR(INDEX($L$2:$L$1001,MATCH(ROWS($K$2:K42),$K$2:$K$1001,0),1)&gt;=100000,INDEX($R$1005:$W$1005,1,MATCH(COLUMNS($R$1006:V1006),$R$1006:$W$1006,0))&gt;=100000), " ",IF(INDEX($R$2:$W$1001,MATCH(ROWS($K$2:K42),$K$2:$K$1001,0),MATCH(COLUMNS($R$1006:V1006),$R$1006:$W$1006,0)), HYPERLINK("#",""), HYPERLINK(CONCATENATE("#Metadata!", ADDRESS(INDEX($M$2:$M$1001,MATCH(ROWS($K$2:K42),$K$2:$K$1001,0),0), INDEX($R$1004:$W$1004,1,MATCH(COLUMNS($R$1006:V1006),$R$1006:$W$1006,0)))),"Fix")))</f>
        <v>0</v>
      </c>
      <c r="G42" s="3">
        <f>IF(OR(INDEX($L$2:$L$1001,MATCH(ROWS($K$2:K42),$K$2:$K$1001,0),1)&gt;=100000,INDEX($R$1005:$W$1005,1,MATCH(COLUMNS($R$1006:W1006),$R$1006:$W$1006,0))&gt;=100000), " ",IF(INDEX($R$2:$W$1001,MATCH(ROWS($K$2:K42),$K$2:$K$1001,0),MATCH(COLUMNS($R$1006:W1006),$R$1006:$W$1006,0)), HYPERLINK("#",""), HYPERLINK(CONCATENATE("#Metadata!", ADDRESS(INDEX($M$2:$M$1001,MATCH(ROWS($K$2:K42),$K$2:$K$1001,0),0), INDEX($R$1004:$W$1004,1,MATCH(COLUMNS($R$1006:W1006),$R$1006:$W$1006,0)))),"Fix")))</f>
        <v>0</v>
      </c>
      <c r="K42">
        <v>0</v>
      </c>
      <c r="L42">
        <v>0</v>
      </c>
      <c r="M42">
        <v>0</v>
      </c>
      <c r="N42">
        <f>IF(O42,TRUE,AND(R42:W42))</f>
        <v>0</v>
      </c>
      <c r="O42">
        <f>COUNTBLANK(Metadata!B42:G42)=COLUMNS(Metadata!B42:G42)</f>
        <v>0</v>
      </c>
      <c r="P42">
        <v>0</v>
      </c>
      <c r="R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S42">
        <f>IF(Metadata!C42="",FALSE,TRUE)</f>
        <v>0</v>
      </c>
      <c r="T42">
        <f>IF(Metadata!D42="",FALSE,TRUE)</f>
        <v>0</v>
      </c>
      <c r="U42">
        <f>IF(Metadata!E42="",FALSE,TRUE)</f>
        <v>0</v>
      </c>
      <c r="V42">
        <f>AND(IF(Metadata!F42="",FALSE,TRUE),exact(Metadata!F42,"rat gut metagenome"))</f>
        <v>0</v>
      </c>
      <c r="W42">
        <f>AND(IF(Metadata!G42="",FALSE,TRUE),exact(Metadata!G42,"1436733"))</f>
        <v>0</v>
      </c>
    </row>
    <row r="43" spans="1:23">
      <c r="A43" s="4">
        <f>IF(B43=" "," ",HYPERLINK(CONCATENATE("#metadata!",ADDRESS(INDEX($M$2:$M$1001,MATCH(ROWS($K$2:K43),$K$2:$K$1001,0),0),1)),INDEX($P$2:$P$1001,MATCH(ROWS($K$2:K43),$K$2:$K$1001,0),0)))</f>
        <v>0</v>
      </c>
      <c r="B43" s="3">
        <f>IF(OR(INDEX($L$2:$L$1001,MATCH(ROWS($K$2:K43),$K$2:$K$1001,0),1)&gt;=100000,INDEX($R$1005:$W$1005,1,MATCH(COLUMNS($R$1006:R1006),$R$1006:$W$1006,0))&gt;=100000), " ",IF(INDEX($R$2:$W$1001,MATCH(ROWS($K$2:K43),$K$2:$K$1001,0),MATCH(COLUMNS($R$1006:R1006),$R$1006:$W$1006,0)), HYPERLINK("#",""), HYPERLINK(CONCATENATE("#Metadata!", ADDRESS(INDEX($M$2:$M$1001,MATCH(ROWS($K$2:K43),$K$2:$K$1001,0),0), INDEX($R$1004:$W$1004,1,MATCH(COLUMNS($R$1006:R1006),$R$1006:$W$1006,0)))),"Fix")))</f>
        <v>0</v>
      </c>
      <c r="C43" s="3">
        <f>IF(OR(INDEX($L$2:$L$1001,MATCH(ROWS($K$2:K43),$K$2:$K$1001,0),1)&gt;=100000,INDEX($R$1005:$W$1005,1,MATCH(COLUMNS($R$1006:S1006),$R$1006:$W$1006,0))&gt;=100000), " ",IF(INDEX($R$2:$W$1001,MATCH(ROWS($K$2:K43),$K$2:$K$1001,0),MATCH(COLUMNS($R$1006:S1006),$R$1006:$W$1006,0)), HYPERLINK("#",""), HYPERLINK(CONCATENATE("#Metadata!", ADDRESS(INDEX($M$2:$M$1001,MATCH(ROWS($K$2:K43),$K$2:$K$1001,0),0), INDEX($R$1004:$W$1004,1,MATCH(COLUMNS($R$1006:S1006),$R$1006:$W$1006,0)))),"Fix")))</f>
        <v>0</v>
      </c>
      <c r="D43" s="3">
        <f>IF(OR(INDEX($L$2:$L$1001,MATCH(ROWS($K$2:K43),$K$2:$K$1001,0),1)&gt;=100000,INDEX($R$1005:$W$1005,1,MATCH(COLUMNS($R$1006:T1006),$R$1006:$W$1006,0))&gt;=100000), " ",IF(INDEX($R$2:$W$1001,MATCH(ROWS($K$2:K43),$K$2:$K$1001,0),MATCH(COLUMNS($R$1006:T1006),$R$1006:$W$1006,0)), HYPERLINK("#",""), HYPERLINK(CONCATENATE("#Metadata!", ADDRESS(INDEX($M$2:$M$1001,MATCH(ROWS($K$2:K43),$K$2:$K$1001,0),0), INDEX($R$1004:$W$1004,1,MATCH(COLUMNS($R$1006:T1006),$R$1006:$W$1006,0)))),"Fix")))</f>
        <v>0</v>
      </c>
      <c r="E43" s="3">
        <f>IF(OR(INDEX($L$2:$L$1001,MATCH(ROWS($K$2:K43),$K$2:$K$1001,0),1)&gt;=100000,INDEX($R$1005:$W$1005,1,MATCH(COLUMNS($R$1006:U1006),$R$1006:$W$1006,0))&gt;=100000), " ",IF(INDEX($R$2:$W$1001,MATCH(ROWS($K$2:K43),$K$2:$K$1001,0),MATCH(COLUMNS($R$1006:U1006),$R$1006:$W$1006,0)), HYPERLINK("#",""), HYPERLINK(CONCATENATE("#Metadata!", ADDRESS(INDEX($M$2:$M$1001,MATCH(ROWS($K$2:K43),$K$2:$K$1001,0),0), INDEX($R$1004:$W$1004,1,MATCH(COLUMNS($R$1006:U1006),$R$1006:$W$1006,0)))),"Fix")))</f>
        <v>0</v>
      </c>
      <c r="F43" s="3">
        <f>IF(OR(INDEX($L$2:$L$1001,MATCH(ROWS($K$2:K43),$K$2:$K$1001,0),1)&gt;=100000,INDEX($R$1005:$W$1005,1,MATCH(COLUMNS($R$1006:V1006),$R$1006:$W$1006,0))&gt;=100000), " ",IF(INDEX($R$2:$W$1001,MATCH(ROWS($K$2:K43),$K$2:$K$1001,0),MATCH(COLUMNS($R$1006:V1006),$R$1006:$W$1006,0)), HYPERLINK("#",""), HYPERLINK(CONCATENATE("#Metadata!", ADDRESS(INDEX($M$2:$M$1001,MATCH(ROWS($K$2:K43),$K$2:$K$1001,0),0), INDEX($R$1004:$W$1004,1,MATCH(COLUMNS($R$1006:V1006),$R$1006:$W$1006,0)))),"Fix")))</f>
        <v>0</v>
      </c>
      <c r="G43" s="3">
        <f>IF(OR(INDEX($L$2:$L$1001,MATCH(ROWS($K$2:K43),$K$2:$K$1001,0),1)&gt;=100000,INDEX($R$1005:$W$1005,1,MATCH(COLUMNS($R$1006:W1006),$R$1006:$W$1006,0))&gt;=100000), " ",IF(INDEX($R$2:$W$1001,MATCH(ROWS($K$2:K43),$K$2:$K$1001,0),MATCH(COLUMNS($R$1006:W1006),$R$1006:$W$1006,0)), HYPERLINK("#",""), HYPERLINK(CONCATENATE("#Metadata!", ADDRESS(INDEX($M$2:$M$1001,MATCH(ROWS($K$2:K43),$K$2:$K$1001,0),0), INDEX($R$1004:$W$1004,1,MATCH(COLUMNS($R$1006:W1006),$R$1006:$W$1006,0)))),"Fix")))</f>
        <v>0</v>
      </c>
      <c r="K43">
        <v>0</v>
      </c>
      <c r="L43">
        <v>0</v>
      </c>
      <c r="M43">
        <v>0</v>
      </c>
      <c r="N43">
        <f>IF(O43,TRUE,AND(R43:W43))</f>
        <v>0</v>
      </c>
      <c r="O43">
        <f>COUNTBLANK(Metadata!B43:G43)=COLUMNS(Metadata!B43:G43)</f>
        <v>0</v>
      </c>
      <c r="P43">
        <v>0</v>
      </c>
      <c r="R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S43">
        <f>IF(Metadata!C43="",FALSE,TRUE)</f>
        <v>0</v>
      </c>
      <c r="T43">
        <f>IF(Metadata!D43="",FALSE,TRUE)</f>
        <v>0</v>
      </c>
      <c r="U43">
        <f>IF(Metadata!E43="",FALSE,TRUE)</f>
        <v>0</v>
      </c>
      <c r="V43">
        <f>AND(IF(Metadata!F43="",FALSE,TRUE),exact(Metadata!F43,"rat gut metagenome"))</f>
        <v>0</v>
      </c>
      <c r="W43">
        <f>AND(IF(Metadata!G43="",FALSE,TRUE),exact(Metadata!G43,"1436733"))</f>
        <v>0</v>
      </c>
    </row>
    <row r="44" spans="1:23">
      <c r="A44" s="4">
        <f>IF(B44=" "," ",HYPERLINK(CONCATENATE("#metadata!",ADDRESS(INDEX($M$2:$M$1001,MATCH(ROWS($K$2:K44),$K$2:$K$1001,0),0),1)),INDEX($P$2:$P$1001,MATCH(ROWS($K$2:K44),$K$2:$K$1001,0),0)))</f>
        <v>0</v>
      </c>
      <c r="B44" s="3">
        <f>IF(OR(INDEX($L$2:$L$1001,MATCH(ROWS($K$2:K44),$K$2:$K$1001,0),1)&gt;=100000,INDEX($R$1005:$W$1005,1,MATCH(COLUMNS($R$1006:R1006),$R$1006:$W$1006,0))&gt;=100000), " ",IF(INDEX($R$2:$W$1001,MATCH(ROWS($K$2:K44),$K$2:$K$1001,0),MATCH(COLUMNS($R$1006:R1006),$R$1006:$W$1006,0)), HYPERLINK("#",""), HYPERLINK(CONCATENATE("#Metadata!", ADDRESS(INDEX($M$2:$M$1001,MATCH(ROWS($K$2:K44),$K$2:$K$1001,0),0), INDEX($R$1004:$W$1004,1,MATCH(COLUMNS($R$1006:R1006),$R$1006:$W$1006,0)))),"Fix")))</f>
        <v>0</v>
      </c>
      <c r="C44" s="3">
        <f>IF(OR(INDEX($L$2:$L$1001,MATCH(ROWS($K$2:K44),$K$2:$K$1001,0),1)&gt;=100000,INDEX($R$1005:$W$1005,1,MATCH(COLUMNS($R$1006:S1006),$R$1006:$W$1006,0))&gt;=100000), " ",IF(INDEX($R$2:$W$1001,MATCH(ROWS($K$2:K44),$K$2:$K$1001,0),MATCH(COLUMNS($R$1006:S1006),$R$1006:$W$1006,0)), HYPERLINK("#",""), HYPERLINK(CONCATENATE("#Metadata!", ADDRESS(INDEX($M$2:$M$1001,MATCH(ROWS($K$2:K44),$K$2:$K$1001,0),0), INDEX($R$1004:$W$1004,1,MATCH(COLUMNS($R$1006:S1006),$R$1006:$W$1006,0)))),"Fix")))</f>
        <v>0</v>
      </c>
      <c r="D44" s="3">
        <f>IF(OR(INDEX($L$2:$L$1001,MATCH(ROWS($K$2:K44),$K$2:$K$1001,0),1)&gt;=100000,INDEX($R$1005:$W$1005,1,MATCH(COLUMNS($R$1006:T1006),$R$1006:$W$1006,0))&gt;=100000), " ",IF(INDEX($R$2:$W$1001,MATCH(ROWS($K$2:K44),$K$2:$K$1001,0),MATCH(COLUMNS($R$1006:T1006),$R$1006:$W$1006,0)), HYPERLINK("#",""), HYPERLINK(CONCATENATE("#Metadata!", ADDRESS(INDEX($M$2:$M$1001,MATCH(ROWS($K$2:K44),$K$2:$K$1001,0),0), INDEX($R$1004:$W$1004,1,MATCH(COLUMNS($R$1006:T1006),$R$1006:$W$1006,0)))),"Fix")))</f>
        <v>0</v>
      </c>
      <c r="E44" s="3">
        <f>IF(OR(INDEX($L$2:$L$1001,MATCH(ROWS($K$2:K44),$K$2:$K$1001,0),1)&gt;=100000,INDEX($R$1005:$W$1005,1,MATCH(COLUMNS($R$1006:U1006),$R$1006:$W$1006,0))&gt;=100000), " ",IF(INDEX($R$2:$W$1001,MATCH(ROWS($K$2:K44),$K$2:$K$1001,0),MATCH(COLUMNS($R$1006:U1006),$R$1006:$W$1006,0)), HYPERLINK("#",""), HYPERLINK(CONCATENATE("#Metadata!", ADDRESS(INDEX($M$2:$M$1001,MATCH(ROWS($K$2:K44),$K$2:$K$1001,0),0), INDEX($R$1004:$W$1004,1,MATCH(COLUMNS($R$1006:U1006),$R$1006:$W$1006,0)))),"Fix")))</f>
        <v>0</v>
      </c>
      <c r="F44" s="3">
        <f>IF(OR(INDEX($L$2:$L$1001,MATCH(ROWS($K$2:K44),$K$2:$K$1001,0),1)&gt;=100000,INDEX($R$1005:$W$1005,1,MATCH(COLUMNS($R$1006:V1006),$R$1006:$W$1006,0))&gt;=100000), " ",IF(INDEX($R$2:$W$1001,MATCH(ROWS($K$2:K44),$K$2:$K$1001,0),MATCH(COLUMNS($R$1006:V1006),$R$1006:$W$1006,0)), HYPERLINK("#",""), HYPERLINK(CONCATENATE("#Metadata!", ADDRESS(INDEX($M$2:$M$1001,MATCH(ROWS($K$2:K44),$K$2:$K$1001,0),0), INDEX($R$1004:$W$1004,1,MATCH(COLUMNS($R$1006:V1006),$R$1006:$W$1006,0)))),"Fix")))</f>
        <v>0</v>
      </c>
      <c r="G44" s="3">
        <f>IF(OR(INDEX($L$2:$L$1001,MATCH(ROWS($K$2:K44),$K$2:$K$1001,0),1)&gt;=100000,INDEX($R$1005:$W$1005,1,MATCH(COLUMNS($R$1006:W1006),$R$1006:$W$1006,0))&gt;=100000), " ",IF(INDEX($R$2:$W$1001,MATCH(ROWS($K$2:K44),$K$2:$K$1001,0),MATCH(COLUMNS($R$1006:W1006),$R$1006:$W$1006,0)), HYPERLINK("#",""), HYPERLINK(CONCATENATE("#Metadata!", ADDRESS(INDEX($M$2:$M$1001,MATCH(ROWS($K$2:K44),$K$2:$K$1001,0),0), INDEX($R$1004:$W$1004,1,MATCH(COLUMNS($R$1006:W1006),$R$1006:$W$1006,0)))),"Fix")))</f>
        <v>0</v>
      </c>
      <c r="K44">
        <v>0</v>
      </c>
      <c r="L44">
        <v>0</v>
      </c>
      <c r="M44">
        <v>0</v>
      </c>
      <c r="N44">
        <f>IF(O44,TRUE,AND(R44:W44))</f>
        <v>0</v>
      </c>
      <c r="O44">
        <f>COUNTBLANK(Metadata!B44:G44)=COLUMNS(Metadata!B44:G44)</f>
        <v>0</v>
      </c>
      <c r="P44">
        <v>0</v>
      </c>
      <c r="R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S44">
        <f>IF(Metadata!C44="",FALSE,TRUE)</f>
        <v>0</v>
      </c>
      <c r="T44">
        <f>IF(Metadata!D44="",FALSE,TRUE)</f>
        <v>0</v>
      </c>
      <c r="U44">
        <f>IF(Metadata!E44="",FALSE,TRUE)</f>
        <v>0</v>
      </c>
      <c r="V44">
        <f>AND(IF(Metadata!F44="",FALSE,TRUE),exact(Metadata!F44,"rat gut metagenome"))</f>
        <v>0</v>
      </c>
      <c r="W44">
        <f>AND(IF(Metadata!G44="",FALSE,TRUE),exact(Metadata!G44,"1436733"))</f>
        <v>0</v>
      </c>
    </row>
    <row r="45" spans="1:23">
      <c r="A45" s="4">
        <f>IF(B45=" "," ",HYPERLINK(CONCATENATE("#metadata!",ADDRESS(INDEX($M$2:$M$1001,MATCH(ROWS($K$2:K45),$K$2:$K$1001,0),0),1)),INDEX($P$2:$P$1001,MATCH(ROWS($K$2:K45),$K$2:$K$1001,0),0)))</f>
        <v>0</v>
      </c>
      <c r="B45" s="3">
        <f>IF(OR(INDEX($L$2:$L$1001,MATCH(ROWS($K$2:K45),$K$2:$K$1001,0),1)&gt;=100000,INDEX($R$1005:$W$1005,1,MATCH(COLUMNS($R$1006:R1006),$R$1006:$W$1006,0))&gt;=100000), " ",IF(INDEX($R$2:$W$1001,MATCH(ROWS($K$2:K45),$K$2:$K$1001,0),MATCH(COLUMNS($R$1006:R1006),$R$1006:$W$1006,0)), HYPERLINK("#",""), HYPERLINK(CONCATENATE("#Metadata!", ADDRESS(INDEX($M$2:$M$1001,MATCH(ROWS($K$2:K45),$K$2:$K$1001,0),0), INDEX($R$1004:$W$1004,1,MATCH(COLUMNS($R$1006:R1006),$R$1006:$W$1006,0)))),"Fix")))</f>
        <v>0</v>
      </c>
      <c r="C45" s="3">
        <f>IF(OR(INDEX($L$2:$L$1001,MATCH(ROWS($K$2:K45),$K$2:$K$1001,0),1)&gt;=100000,INDEX($R$1005:$W$1005,1,MATCH(COLUMNS($R$1006:S1006),$R$1006:$W$1006,0))&gt;=100000), " ",IF(INDEX($R$2:$W$1001,MATCH(ROWS($K$2:K45),$K$2:$K$1001,0),MATCH(COLUMNS($R$1006:S1006),$R$1006:$W$1006,0)), HYPERLINK("#",""), HYPERLINK(CONCATENATE("#Metadata!", ADDRESS(INDEX($M$2:$M$1001,MATCH(ROWS($K$2:K45),$K$2:$K$1001,0),0), INDEX($R$1004:$W$1004,1,MATCH(COLUMNS($R$1006:S1006),$R$1006:$W$1006,0)))),"Fix")))</f>
        <v>0</v>
      </c>
      <c r="D45" s="3">
        <f>IF(OR(INDEX($L$2:$L$1001,MATCH(ROWS($K$2:K45),$K$2:$K$1001,0),1)&gt;=100000,INDEX($R$1005:$W$1005,1,MATCH(COLUMNS($R$1006:T1006),$R$1006:$W$1006,0))&gt;=100000), " ",IF(INDEX($R$2:$W$1001,MATCH(ROWS($K$2:K45),$K$2:$K$1001,0),MATCH(COLUMNS($R$1006:T1006),$R$1006:$W$1006,0)), HYPERLINK("#",""), HYPERLINK(CONCATENATE("#Metadata!", ADDRESS(INDEX($M$2:$M$1001,MATCH(ROWS($K$2:K45),$K$2:$K$1001,0),0), INDEX($R$1004:$W$1004,1,MATCH(COLUMNS($R$1006:T1006),$R$1006:$W$1006,0)))),"Fix")))</f>
        <v>0</v>
      </c>
      <c r="E45" s="3">
        <f>IF(OR(INDEX($L$2:$L$1001,MATCH(ROWS($K$2:K45),$K$2:$K$1001,0),1)&gt;=100000,INDEX($R$1005:$W$1005,1,MATCH(COLUMNS($R$1006:U1006),$R$1006:$W$1006,0))&gt;=100000), " ",IF(INDEX($R$2:$W$1001,MATCH(ROWS($K$2:K45),$K$2:$K$1001,0),MATCH(COLUMNS($R$1006:U1006),$R$1006:$W$1006,0)), HYPERLINK("#",""), HYPERLINK(CONCATENATE("#Metadata!", ADDRESS(INDEX($M$2:$M$1001,MATCH(ROWS($K$2:K45),$K$2:$K$1001,0),0), INDEX($R$1004:$W$1004,1,MATCH(COLUMNS($R$1006:U1006),$R$1006:$W$1006,0)))),"Fix")))</f>
        <v>0</v>
      </c>
      <c r="F45" s="3">
        <f>IF(OR(INDEX($L$2:$L$1001,MATCH(ROWS($K$2:K45),$K$2:$K$1001,0),1)&gt;=100000,INDEX($R$1005:$W$1005,1,MATCH(COLUMNS($R$1006:V1006),$R$1006:$W$1006,0))&gt;=100000), " ",IF(INDEX($R$2:$W$1001,MATCH(ROWS($K$2:K45),$K$2:$K$1001,0),MATCH(COLUMNS($R$1006:V1006),$R$1006:$W$1006,0)), HYPERLINK("#",""), HYPERLINK(CONCATENATE("#Metadata!", ADDRESS(INDEX($M$2:$M$1001,MATCH(ROWS($K$2:K45),$K$2:$K$1001,0),0), INDEX($R$1004:$W$1004,1,MATCH(COLUMNS($R$1006:V1006),$R$1006:$W$1006,0)))),"Fix")))</f>
        <v>0</v>
      </c>
      <c r="G45" s="3">
        <f>IF(OR(INDEX($L$2:$L$1001,MATCH(ROWS($K$2:K45),$K$2:$K$1001,0),1)&gt;=100000,INDEX($R$1005:$W$1005,1,MATCH(COLUMNS($R$1006:W1006),$R$1006:$W$1006,0))&gt;=100000), " ",IF(INDEX($R$2:$W$1001,MATCH(ROWS($K$2:K45),$K$2:$K$1001,0),MATCH(COLUMNS($R$1006:W1006),$R$1006:$W$1006,0)), HYPERLINK("#",""), HYPERLINK(CONCATENATE("#Metadata!", ADDRESS(INDEX($M$2:$M$1001,MATCH(ROWS($K$2:K45),$K$2:$K$1001,0),0), INDEX($R$1004:$W$1004,1,MATCH(COLUMNS($R$1006:W1006),$R$1006:$W$1006,0)))),"Fix")))</f>
        <v>0</v>
      </c>
      <c r="K45">
        <v>0</v>
      </c>
      <c r="L45">
        <v>0</v>
      </c>
      <c r="M45">
        <v>0</v>
      </c>
      <c r="N45">
        <f>IF(O45,TRUE,AND(R45:W45))</f>
        <v>0</v>
      </c>
      <c r="O45">
        <f>COUNTBLANK(Metadata!B45:G45)=COLUMNS(Metadata!B45:G45)</f>
        <v>0</v>
      </c>
      <c r="P45">
        <v>0</v>
      </c>
      <c r="R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S45">
        <f>IF(Metadata!C45="",FALSE,TRUE)</f>
        <v>0</v>
      </c>
      <c r="T45">
        <f>IF(Metadata!D45="",FALSE,TRUE)</f>
        <v>0</v>
      </c>
      <c r="U45">
        <f>IF(Metadata!E45="",FALSE,TRUE)</f>
        <v>0</v>
      </c>
      <c r="V45">
        <f>AND(IF(Metadata!F45="",FALSE,TRUE),exact(Metadata!F45,"rat gut metagenome"))</f>
        <v>0</v>
      </c>
      <c r="W45">
        <f>AND(IF(Metadata!G45="",FALSE,TRUE),exact(Metadata!G45,"1436733"))</f>
        <v>0</v>
      </c>
    </row>
    <row r="46" spans="1:23">
      <c r="A46" s="4">
        <f>IF(B46=" "," ",HYPERLINK(CONCATENATE("#metadata!",ADDRESS(INDEX($M$2:$M$1001,MATCH(ROWS($K$2:K46),$K$2:$K$1001,0),0),1)),INDEX($P$2:$P$1001,MATCH(ROWS($K$2:K46),$K$2:$K$1001,0),0)))</f>
        <v>0</v>
      </c>
      <c r="B46" s="3">
        <f>IF(OR(INDEX($L$2:$L$1001,MATCH(ROWS($K$2:K46),$K$2:$K$1001,0),1)&gt;=100000,INDEX($R$1005:$W$1005,1,MATCH(COLUMNS($R$1006:R1006),$R$1006:$W$1006,0))&gt;=100000), " ",IF(INDEX($R$2:$W$1001,MATCH(ROWS($K$2:K46),$K$2:$K$1001,0),MATCH(COLUMNS($R$1006:R1006),$R$1006:$W$1006,0)), HYPERLINK("#",""), HYPERLINK(CONCATENATE("#Metadata!", ADDRESS(INDEX($M$2:$M$1001,MATCH(ROWS($K$2:K46),$K$2:$K$1001,0),0), INDEX($R$1004:$W$1004,1,MATCH(COLUMNS($R$1006:R1006),$R$1006:$W$1006,0)))),"Fix")))</f>
        <v>0</v>
      </c>
      <c r="C46" s="3">
        <f>IF(OR(INDEX($L$2:$L$1001,MATCH(ROWS($K$2:K46),$K$2:$K$1001,0),1)&gt;=100000,INDEX($R$1005:$W$1005,1,MATCH(COLUMNS($R$1006:S1006),$R$1006:$W$1006,0))&gt;=100000), " ",IF(INDEX($R$2:$W$1001,MATCH(ROWS($K$2:K46),$K$2:$K$1001,0),MATCH(COLUMNS($R$1006:S1006),$R$1006:$W$1006,0)), HYPERLINK("#",""), HYPERLINK(CONCATENATE("#Metadata!", ADDRESS(INDEX($M$2:$M$1001,MATCH(ROWS($K$2:K46),$K$2:$K$1001,0),0), INDEX($R$1004:$W$1004,1,MATCH(COLUMNS($R$1006:S1006),$R$1006:$W$1006,0)))),"Fix")))</f>
        <v>0</v>
      </c>
      <c r="D46" s="3">
        <f>IF(OR(INDEX($L$2:$L$1001,MATCH(ROWS($K$2:K46),$K$2:$K$1001,0),1)&gt;=100000,INDEX($R$1005:$W$1005,1,MATCH(COLUMNS($R$1006:T1006),$R$1006:$W$1006,0))&gt;=100000), " ",IF(INDEX($R$2:$W$1001,MATCH(ROWS($K$2:K46),$K$2:$K$1001,0),MATCH(COLUMNS($R$1006:T1006),$R$1006:$W$1006,0)), HYPERLINK("#",""), HYPERLINK(CONCATENATE("#Metadata!", ADDRESS(INDEX($M$2:$M$1001,MATCH(ROWS($K$2:K46),$K$2:$K$1001,0),0), INDEX($R$1004:$W$1004,1,MATCH(COLUMNS($R$1006:T1006),$R$1006:$W$1006,0)))),"Fix")))</f>
        <v>0</v>
      </c>
      <c r="E46" s="3">
        <f>IF(OR(INDEX($L$2:$L$1001,MATCH(ROWS($K$2:K46),$K$2:$K$1001,0),1)&gt;=100000,INDEX($R$1005:$W$1005,1,MATCH(COLUMNS($R$1006:U1006),$R$1006:$W$1006,0))&gt;=100000), " ",IF(INDEX($R$2:$W$1001,MATCH(ROWS($K$2:K46),$K$2:$K$1001,0),MATCH(COLUMNS($R$1006:U1006),$R$1006:$W$1006,0)), HYPERLINK("#",""), HYPERLINK(CONCATENATE("#Metadata!", ADDRESS(INDEX($M$2:$M$1001,MATCH(ROWS($K$2:K46),$K$2:$K$1001,0),0), INDEX($R$1004:$W$1004,1,MATCH(COLUMNS($R$1006:U1006),$R$1006:$W$1006,0)))),"Fix")))</f>
        <v>0</v>
      </c>
      <c r="F46" s="3">
        <f>IF(OR(INDEX($L$2:$L$1001,MATCH(ROWS($K$2:K46),$K$2:$K$1001,0),1)&gt;=100000,INDEX($R$1005:$W$1005,1,MATCH(COLUMNS($R$1006:V1006),$R$1006:$W$1006,0))&gt;=100000), " ",IF(INDEX($R$2:$W$1001,MATCH(ROWS($K$2:K46),$K$2:$K$1001,0),MATCH(COLUMNS($R$1006:V1006),$R$1006:$W$1006,0)), HYPERLINK("#",""), HYPERLINK(CONCATENATE("#Metadata!", ADDRESS(INDEX($M$2:$M$1001,MATCH(ROWS($K$2:K46),$K$2:$K$1001,0),0), INDEX($R$1004:$W$1004,1,MATCH(COLUMNS($R$1006:V1006),$R$1006:$W$1006,0)))),"Fix")))</f>
        <v>0</v>
      </c>
      <c r="G46" s="3">
        <f>IF(OR(INDEX($L$2:$L$1001,MATCH(ROWS($K$2:K46),$K$2:$K$1001,0),1)&gt;=100000,INDEX($R$1005:$W$1005,1,MATCH(COLUMNS($R$1006:W1006),$R$1006:$W$1006,0))&gt;=100000), " ",IF(INDEX($R$2:$W$1001,MATCH(ROWS($K$2:K46),$K$2:$K$1001,0),MATCH(COLUMNS($R$1006:W1006),$R$1006:$W$1006,0)), HYPERLINK("#",""), HYPERLINK(CONCATENATE("#Metadata!", ADDRESS(INDEX($M$2:$M$1001,MATCH(ROWS($K$2:K46),$K$2:$K$1001,0),0), INDEX($R$1004:$W$1004,1,MATCH(COLUMNS($R$1006:W1006),$R$1006:$W$1006,0)))),"Fix")))</f>
        <v>0</v>
      </c>
      <c r="K46">
        <v>0</v>
      </c>
      <c r="L46">
        <v>0</v>
      </c>
      <c r="M46">
        <v>0</v>
      </c>
      <c r="N46">
        <f>IF(O46,TRUE,AND(R46:W46))</f>
        <v>0</v>
      </c>
      <c r="O46">
        <f>COUNTBLANK(Metadata!B46:G46)=COLUMNS(Metadata!B46:G46)</f>
        <v>0</v>
      </c>
      <c r="P46">
        <v>0</v>
      </c>
      <c r="R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S46">
        <f>IF(Metadata!C46="",FALSE,TRUE)</f>
        <v>0</v>
      </c>
      <c r="T46">
        <f>IF(Metadata!D46="",FALSE,TRUE)</f>
        <v>0</v>
      </c>
      <c r="U46">
        <f>IF(Metadata!E46="",FALSE,TRUE)</f>
        <v>0</v>
      </c>
      <c r="V46">
        <f>AND(IF(Metadata!F46="",FALSE,TRUE),exact(Metadata!F46,"rat gut metagenome"))</f>
        <v>0</v>
      </c>
      <c r="W46">
        <f>AND(IF(Metadata!G46="",FALSE,TRUE),exact(Metadata!G46,"1436733"))</f>
        <v>0</v>
      </c>
    </row>
    <row r="47" spans="1:23">
      <c r="A47" s="4">
        <f>IF(B47=" "," ",HYPERLINK(CONCATENATE("#metadata!",ADDRESS(INDEX($M$2:$M$1001,MATCH(ROWS($K$2:K47),$K$2:$K$1001,0),0),1)),INDEX($P$2:$P$1001,MATCH(ROWS($K$2:K47),$K$2:$K$1001,0),0)))</f>
        <v>0</v>
      </c>
      <c r="B47" s="3">
        <f>IF(OR(INDEX($L$2:$L$1001,MATCH(ROWS($K$2:K47),$K$2:$K$1001,0),1)&gt;=100000,INDEX($R$1005:$W$1005,1,MATCH(COLUMNS($R$1006:R1006),$R$1006:$W$1006,0))&gt;=100000), " ",IF(INDEX($R$2:$W$1001,MATCH(ROWS($K$2:K47),$K$2:$K$1001,0),MATCH(COLUMNS($R$1006:R1006),$R$1006:$W$1006,0)), HYPERLINK("#",""), HYPERLINK(CONCATENATE("#Metadata!", ADDRESS(INDEX($M$2:$M$1001,MATCH(ROWS($K$2:K47),$K$2:$K$1001,0),0), INDEX($R$1004:$W$1004,1,MATCH(COLUMNS($R$1006:R1006),$R$1006:$W$1006,0)))),"Fix")))</f>
        <v>0</v>
      </c>
      <c r="C47" s="3">
        <f>IF(OR(INDEX($L$2:$L$1001,MATCH(ROWS($K$2:K47),$K$2:$K$1001,0),1)&gt;=100000,INDEX($R$1005:$W$1005,1,MATCH(COLUMNS($R$1006:S1006),$R$1006:$W$1006,0))&gt;=100000), " ",IF(INDEX($R$2:$W$1001,MATCH(ROWS($K$2:K47),$K$2:$K$1001,0),MATCH(COLUMNS($R$1006:S1006),$R$1006:$W$1006,0)), HYPERLINK("#",""), HYPERLINK(CONCATENATE("#Metadata!", ADDRESS(INDEX($M$2:$M$1001,MATCH(ROWS($K$2:K47),$K$2:$K$1001,0),0), INDEX($R$1004:$W$1004,1,MATCH(COLUMNS($R$1006:S1006),$R$1006:$W$1006,0)))),"Fix")))</f>
        <v>0</v>
      </c>
      <c r="D47" s="3">
        <f>IF(OR(INDEX($L$2:$L$1001,MATCH(ROWS($K$2:K47),$K$2:$K$1001,0),1)&gt;=100000,INDEX($R$1005:$W$1005,1,MATCH(COLUMNS($R$1006:T1006),$R$1006:$W$1006,0))&gt;=100000), " ",IF(INDEX($R$2:$W$1001,MATCH(ROWS($K$2:K47),$K$2:$K$1001,0),MATCH(COLUMNS($R$1006:T1006),$R$1006:$W$1006,0)), HYPERLINK("#",""), HYPERLINK(CONCATENATE("#Metadata!", ADDRESS(INDEX($M$2:$M$1001,MATCH(ROWS($K$2:K47),$K$2:$K$1001,0),0), INDEX($R$1004:$W$1004,1,MATCH(COLUMNS($R$1006:T1006),$R$1006:$W$1006,0)))),"Fix")))</f>
        <v>0</v>
      </c>
      <c r="E47" s="3">
        <f>IF(OR(INDEX($L$2:$L$1001,MATCH(ROWS($K$2:K47),$K$2:$K$1001,0),1)&gt;=100000,INDEX($R$1005:$W$1005,1,MATCH(COLUMNS($R$1006:U1006),$R$1006:$W$1006,0))&gt;=100000), " ",IF(INDEX($R$2:$W$1001,MATCH(ROWS($K$2:K47),$K$2:$K$1001,0),MATCH(COLUMNS($R$1006:U1006),$R$1006:$W$1006,0)), HYPERLINK("#",""), HYPERLINK(CONCATENATE("#Metadata!", ADDRESS(INDEX($M$2:$M$1001,MATCH(ROWS($K$2:K47),$K$2:$K$1001,0),0), INDEX($R$1004:$W$1004,1,MATCH(COLUMNS($R$1006:U1006),$R$1006:$W$1006,0)))),"Fix")))</f>
        <v>0</v>
      </c>
      <c r="F47" s="3">
        <f>IF(OR(INDEX($L$2:$L$1001,MATCH(ROWS($K$2:K47),$K$2:$K$1001,0),1)&gt;=100000,INDEX($R$1005:$W$1005,1,MATCH(COLUMNS($R$1006:V1006),$R$1006:$W$1006,0))&gt;=100000), " ",IF(INDEX($R$2:$W$1001,MATCH(ROWS($K$2:K47),$K$2:$K$1001,0),MATCH(COLUMNS($R$1006:V1006),$R$1006:$W$1006,0)), HYPERLINK("#",""), HYPERLINK(CONCATENATE("#Metadata!", ADDRESS(INDEX($M$2:$M$1001,MATCH(ROWS($K$2:K47),$K$2:$K$1001,0),0), INDEX($R$1004:$W$1004,1,MATCH(COLUMNS($R$1006:V1006),$R$1006:$W$1006,0)))),"Fix")))</f>
        <v>0</v>
      </c>
      <c r="G47" s="3">
        <f>IF(OR(INDEX($L$2:$L$1001,MATCH(ROWS($K$2:K47),$K$2:$K$1001,0),1)&gt;=100000,INDEX($R$1005:$W$1005,1,MATCH(COLUMNS($R$1006:W1006),$R$1006:$W$1006,0))&gt;=100000), " ",IF(INDEX($R$2:$W$1001,MATCH(ROWS($K$2:K47),$K$2:$K$1001,0),MATCH(COLUMNS($R$1006:W1006),$R$1006:$W$1006,0)), HYPERLINK("#",""), HYPERLINK(CONCATENATE("#Metadata!", ADDRESS(INDEX($M$2:$M$1001,MATCH(ROWS($K$2:K47),$K$2:$K$1001,0),0), INDEX($R$1004:$W$1004,1,MATCH(COLUMNS($R$1006:W1006),$R$1006:$W$1006,0)))),"Fix")))</f>
        <v>0</v>
      </c>
      <c r="K47">
        <v>0</v>
      </c>
      <c r="L47">
        <v>0</v>
      </c>
      <c r="M47">
        <v>0</v>
      </c>
      <c r="N47">
        <f>IF(O47,TRUE,AND(R47:W47))</f>
        <v>0</v>
      </c>
      <c r="O47">
        <f>COUNTBLANK(Metadata!B47:G47)=COLUMNS(Metadata!B47:G47)</f>
        <v>0</v>
      </c>
      <c r="P47">
        <v>0</v>
      </c>
      <c r="R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S47">
        <f>IF(Metadata!C47="",FALSE,TRUE)</f>
        <v>0</v>
      </c>
      <c r="T47">
        <f>IF(Metadata!D47="",FALSE,TRUE)</f>
        <v>0</v>
      </c>
      <c r="U47">
        <f>IF(Metadata!E47="",FALSE,TRUE)</f>
        <v>0</v>
      </c>
      <c r="V47">
        <f>AND(IF(Metadata!F47="",FALSE,TRUE),exact(Metadata!F47,"rat gut metagenome"))</f>
        <v>0</v>
      </c>
      <c r="W47">
        <f>AND(IF(Metadata!G47="",FALSE,TRUE),exact(Metadata!G47,"1436733"))</f>
        <v>0</v>
      </c>
    </row>
    <row r="48" spans="1:23">
      <c r="A48" s="4">
        <f>IF(B48=" "," ",HYPERLINK(CONCATENATE("#metadata!",ADDRESS(INDEX($M$2:$M$1001,MATCH(ROWS($K$2:K48),$K$2:$K$1001,0),0),1)),INDEX($P$2:$P$1001,MATCH(ROWS($K$2:K48),$K$2:$K$1001,0),0)))</f>
        <v>0</v>
      </c>
      <c r="B48" s="3">
        <f>IF(OR(INDEX($L$2:$L$1001,MATCH(ROWS($K$2:K48),$K$2:$K$1001,0),1)&gt;=100000,INDEX($R$1005:$W$1005,1,MATCH(COLUMNS($R$1006:R1006),$R$1006:$W$1006,0))&gt;=100000), " ",IF(INDEX($R$2:$W$1001,MATCH(ROWS($K$2:K48),$K$2:$K$1001,0),MATCH(COLUMNS($R$1006:R1006),$R$1006:$W$1006,0)), HYPERLINK("#",""), HYPERLINK(CONCATENATE("#Metadata!", ADDRESS(INDEX($M$2:$M$1001,MATCH(ROWS($K$2:K48),$K$2:$K$1001,0),0), INDEX($R$1004:$W$1004,1,MATCH(COLUMNS($R$1006:R1006),$R$1006:$W$1006,0)))),"Fix")))</f>
        <v>0</v>
      </c>
      <c r="C48" s="3">
        <f>IF(OR(INDEX($L$2:$L$1001,MATCH(ROWS($K$2:K48),$K$2:$K$1001,0),1)&gt;=100000,INDEX($R$1005:$W$1005,1,MATCH(COLUMNS($R$1006:S1006),$R$1006:$W$1006,0))&gt;=100000), " ",IF(INDEX($R$2:$W$1001,MATCH(ROWS($K$2:K48),$K$2:$K$1001,0),MATCH(COLUMNS($R$1006:S1006),$R$1006:$W$1006,0)), HYPERLINK("#",""), HYPERLINK(CONCATENATE("#Metadata!", ADDRESS(INDEX($M$2:$M$1001,MATCH(ROWS($K$2:K48),$K$2:$K$1001,0),0), INDEX($R$1004:$W$1004,1,MATCH(COLUMNS($R$1006:S1006),$R$1006:$W$1006,0)))),"Fix")))</f>
        <v>0</v>
      </c>
      <c r="D48" s="3">
        <f>IF(OR(INDEX($L$2:$L$1001,MATCH(ROWS($K$2:K48),$K$2:$K$1001,0),1)&gt;=100000,INDEX($R$1005:$W$1005,1,MATCH(COLUMNS($R$1006:T1006),$R$1006:$W$1006,0))&gt;=100000), " ",IF(INDEX($R$2:$W$1001,MATCH(ROWS($K$2:K48),$K$2:$K$1001,0),MATCH(COLUMNS($R$1006:T1006),$R$1006:$W$1006,0)), HYPERLINK("#",""), HYPERLINK(CONCATENATE("#Metadata!", ADDRESS(INDEX($M$2:$M$1001,MATCH(ROWS($K$2:K48),$K$2:$K$1001,0),0), INDEX($R$1004:$W$1004,1,MATCH(COLUMNS($R$1006:T1006),$R$1006:$W$1006,0)))),"Fix")))</f>
        <v>0</v>
      </c>
      <c r="E48" s="3">
        <f>IF(OR(INDEX($L$2:$L$1001,MATCH(ROWS($K$2:K48),$K$2:$K$1001,0),1)&gt;=100000,INDEX($R$1005:$W$1005,1,MATCH(COLUMNS($R$1006:U1006),$R$1006:$W$1006,0))&gt;=100000), " ",IF(INDEX($R$2:$W$1001,MATCH(ROWS($K$2:K48),$K$2:$K$1001,0),MATCH(COLUMNS($R$1006:U1006),$R$1006:$W$1006,0)), HYPERLINK("#",""), HYPERLINK(CONCATENATE("#Metadata!", ADDRESS(INDEX($M$2:$M$1001,MATCH(ROWS($K$2:K48),$K$2:$K$1001,0),0), INDEX($R$1004:$W$1004,1,MATCH(COLUMNS($R$1006:U1006),$R$1006:$W$1006,0)))),"Fix")))</f>
        <v>0</v>
      </c>
      <c r="F48" s="3">
        <f>IF(OR(INDEX($L$2:$L$1001,MATCH(ROWS($K$2:K48),$K$2:$K$1001,0),1)&gt;=100000,INDEX($R$1005:$W$1005,1,MATCH(COLUMNS($R$1006:V1006),$R$1006:$W$1006,0))&gt;=100000), " ",IF(INDEX($R$2:$W$1001,MATCH(ROWS($K$2:K48),$K$2:$K$1001,0),MATCH(COLUMNS($R$1006:V1006),$R$1006:$W$1006,0)), HYPERLINK("#",""), HYPERLINK(CONCATENATE("#Metadata!", ADDRESS(INDEX($M$2:$M$1001,MATCH(ROWS($K$2:K48),$K$2:$K$1001,0),0), INDEX($R$1004:$W$1004,1,MATCH(COLUMNS($R$1006:V1006),$R$1006:$W$1006,0)))),"Fix")))</f>
        <v>0</v>
      </c>
      <c r="G48" s="3">
        <f>IF(OR(INDEX($L$2:$L$1001,MATCH(ROWS($K$2:K48),$K$2:$K$1001,0),1)&gt;=100000,INDEX($R$1005:$W$1005,1,MATCH(COLUMNS($R$1006:W1006),$R$1006:$W$1006,0))&gt;=100000), " ",IF(INDEX($R$2:$W$1001,MATCH(ROWS($K$2:K48),$K$2:$K$1001,0),MATCH(COLUMNS($R$1006:W1006),$R$1006:$W$1006,0)), HYPERLINK("#",""), HYPERLINK(CONCATENATE("#Metadata!", ADDRESS(INDEX($M$2:$M$1001,MATCH(ROWS($K$2:K48),$K$2:$K$1001,0),0), INDEX($R$1004:$W$1004,1,MATCH(COLUMNS($R$1006:W1006),$R$1006:$W$1006,0)))),"Fix")))</f>
        <v>0</v>
      </c>
      <c r="K48">
        <v>0</v>
      </c>
      <c r="L48">
        <v>0</v>
      </c>
      <c r="M48">
        <v>0</v>
      </c>
      <c r="N48">
        <f>IF(O48,TRUE,AND(R48:W48))</f>
        <v>0</v>
      </c>
      <c r="O48">
        <f>COUNTBLANK(Metadata!B48:G48)=COLUMNS(Metadata!B48:G48)</f>
        <v>0</v>
      </c>
      <c r="P48">
        <v>0</v>
      </c>
      <c r="R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S48">
        <f>IF(Metadata!C48="",FALSE,TRUE)</f>
        <v>0</v>
      </c>
      <c r="T48">
        <f>IF(Metadata!D48="",FALSE,TRUE)</f>
        <v>0</v>
      </c>
      <c r="U48">
        <f>IF(Metadata!E48="",FALSE,TRUE)</f>
        <v>0</v>
      </c>
      <c r="V48">
        <f>AND(IF(Metadata!F48="",FALSE,TRUE),exact(Metadata!F48,"rat gut metagenome"))</f>
        <v>0</v>
      </c>
      <c r="W48">
        <f>AND(IF(Metadata!G48="",FALSE,TRUE),exact(Metadata!G48,"1436733"))</f>
        <v>0</v>
      </c>
    </row>
    <row r="49" spans="1:23">
      <c r="A49" s="4">
        <f>IF(B49=" "," ",HYPERLINK(CONCATENATE("#metadata!",ADDRESS(INDEX($M$2:$M$1001,MATCH(ROWS($K$2:K49),$K$2:$K$1001,0),0),1)),INDEX($P$2:$P$1001,MATCH(ROWS($K$2:K49),$K$2:$K$1001,0),0)))</f>
        <v>0</v>
      </c>
      <c r="B49" s="3">
        <f>IF(OR(INDEX($L$2:$L$1001,MATCH(ROWS($K$2:K49),$K$2:$K$1001,0),1)&gt;=100000,INDEX($R$1005:$W$1005,1,MATCH(COLUMNS($R$1006:R1006),$R$1006:$W$1006,0))&gt;=100000), " ",IF(INDEX($R$2:$W$1001,MATCH(ROWS($K$2:K49),$K$2:$K$1001,0),MATCH(COLUMNS($R$1006:R1006),$R$1006:$W$1006,0)), HYPERLINK("#",""), HYPERLINK(CONCATENATE("#Metadata!", ADDRESS(INDEX($M$2:$M$1001,MATCH(ROWS($K$2:K49),$K$2:$K$1001,0),0), INDEX($R$1004:$W$1004,1,MATCH(COLUMNS($R$1006:R1006),$R$1006:$W$1006,0)))),"Fix")))</f>
        <v>0</v>
      </c>
      <c r="C49" s="3">
        <f>IF(OR(INDEX($L$2:$L$1001,MATCH(ROWS($K$2:K49),$K$2:$K$1001,0),1)&gt;=100000,INDEX($R$1005:$W$1005,1,MATCH(COLUMNS($R$1006:S1006),$R$1006:$W$1006,0))&gt;=100000), " ",IF(INDEX($R$2:$W$1001,MATCH(ROWS($K$2:K49),$K$2:$K$1001,0),MATCH(COLUMNS($R$1006:S1006),$R$1006:$W$1006,0)), HYPERLINK("#",""), HYPERLINK(CONCATENATE("#Metadata!", ADDRESS(INDEX($M$2:$M$1001,MATCH(ROWS($K$2:K49),$K$2:$K$1001,0),0), INDEX($R$1004:$W$1004,1,MATCH(COLUMNS($R$1006:S1006),$R$1006:$W$1006,0)))),"Fix")))</f>
        <v>0</v>
      </c>
      <c r="D49" s="3">
        <f>IF(OR(INDEX($L$2:$L$1001,MATCH(ROWS($K$2:K49),$K$2:$K$1001,0),1)&gt;=100000,INDEX($R$1005:$W$1005,1,MATCH(COLUMNS($R$1006:T1006),$R$1006:$W$1006,0))&gt;=100000), " ",IF(INDEX($R$2:$W$1001,MATCH(ROWS($K$2:K49),$K$2:$K$1001,0),MATCH(COLUMNS($R$1006:T1006),$R$1006:$W$1006,0)), HYPERLINK("#",""), HYPERLINK(CONCATENATE("#Metadata!", ADDRESS(INDEX($M$2:$M$1001,MATCH(ROWS($K$2:K49),$K$2:$K$1001,0),0), INDEX($R$1004:$W$1004,1,MATCH(COLUMNS($R$1006:T1006),$R$1006:$W$1006,0)))),"Fix")))</f>
        <v>0</v>
      </c>
      <c r="E49" s="3">
        <f>IF(OR(INDEX($L$2:$L$1001,MATCH(ROWS($K$2:K49),$K$2:$K$1001,0),1)&gt;=100000,INDEX($R$1005:$W$1005,1,MATCH(COLUMNS($R$1006:U1006),$R$1006:$W$1006,0))&gt;=100000), " ",IF(INDEX($R$2:$W$1001,MATCH(ROWS($K$2:K49),$K$2:$K$1001,0),MATCH(COLUMNS($R$1006:U1006),$R$1006:$W$1006,0)), HYPERLINK("#",""), HYPERLINK(CONCATENATE("#Metadata!", ADDRESS(INDEX($M$2:$M$1001,MATCH(ROWS($K$2:K49),$K$2:$K$1001,0),0), INDEX($R$1004:$W$1004,1,MATCH(COLUMNS($R$1006:U1006),$R$1006:$W$1006,0)))),"Fix")))</f>
        <v>0</v>
      </c>
      <c r="F49" s="3">
        <f>IF(OR(INDEX($L$2:$L$1001,MATCH(ROWS($K$2:K49),$K$2:$K$1001,0),1)&gt;=100000,INDEX($R$1005:$W$1005,1,MATCH(COLUMNS($R$1006:V1006),$R$1006:$W$1006,0))&gt;=100000), " ",IF(INDEX($R$2:$W$1001,MATCH(ROWS($K$2:K49),$K$2:$K$1001,0),MATCH(COLUMNS($R$1006:V1006),$R$1006:$W$1006,0)), HYPERLINK("#",""), HYPERLINK(CONCATENATE("#Metadata!", ADDRESS(INDEX($M$2:$M$1001,MATCH(ROWS($K$2:K49),$K$2:$K$1001,0),0), INDEX($R$1004:$W$1004,1,MATCH(COLUMNS($R$1006:V1006),$R$1006:$W$1006,0)))),"Fix")))</f>
        <v>0</v>
      </c>
      <c r="G49" s="3">
        <f>IF(OR(INDEX($L$2:$L$1001,MATCH(ROWS($K$2:K49),$K$2:$K$1001,0),1)&gt;=100000,INDEX($R$1005:$W$1005,1,MATCH(COLUMNS($R$1006:W1006),$R$1006:$W$1006,0))&gt;=100000), " ",IF(INDEX($R$2:$W$1001,MATCH(ROWS($K$2:K49),$K$2:$K$1001,0),MATCH(COLUMNS($R$1006:W1006),$R$1006:$W$1006,0)), HYPERLINK("#",""), HYPERLINK(CONCATENATE("#Metadata!", ADDRESS(INDEX($M$2:$M$1001,MATCH(ROWS($K$2:K49),$K$2:$K$1001,0),0), INDEX($R$1004:$W$1004,1,MATCH(COLUMNS($R$1006:W1006),$R$1006:$W$1006,0)))),"Fix")))</f>
        <v>0</v>
      </c>
      <c r="K49">
        <v>0</v>
      </c>
      <c r="L49">
        <v>0</v>
      </c>
      <c r="M49">
        <v>0</v>
      </c>
      <c r="N49">
        <f>IF(O49,TRUE,AND(R49:W49))</f>
        <v>0</v>
      </c>
      <c r="O49">
        <f>COUNTBLANK(Metadata!B49:G49)=COLUMNS(Metadata!B49:G49)</f>
        <v>0</v>
      </c>
      <c r="P49">
        <v>0</v>
      </c>
      <c r="R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S49">
        <f>IF(Metadata!C49="",FALSE,TRUE)</f>
        <v>0</v>
      </c>
      <c r="T49">
        <f>IF(Metadata!D49="",FALSE,TRUE)</f>
        <v>0</v>
      </c>
      <c r="U49">
        <f>IF(Metadata!E49="",FALSE,TRUE)</f>
        <v>0</v>
      </c>
      <c r="V49">
        <f>AND(IF(Metadata!F49="",FALSE,TRUE),exact(Metadata!F49,"rat gut metagenome"))</f>
        <v>0</v>
      </c>
      <c r="W49">
        <f>AND(IF(Metadata!G49="",FALSE,TRUE),exact(Metadata!G49,"1436733"))</f>
        <v>0</v>
      </c>
    </row>
    <row r="50" spans="1:23">
      <c r="A50" s="4">
        <f>IF(B50=" "," ",HYPERLINK(CONCATENATE("#metadata!",ADDRESS(INDEX($M$2:$M$1001,MATCH(ROWS($K$2:K50),$K$2:$K$1001,0),0),1)),INDEX($P$2:$P$1001,MATCH(ROWS($K$2:K50),$K$2:$K$1001,0),0)))</f>
        <v>0</v>
      </c>
      <c r="B50" s="3">
        <f>IF(OR(INDEX($L$2:$L$1001,MATCH(ROWS($K$2:K50),$K$2:$K$1001,0),1)&gt;=100000,INDEX($R$1005:$W$1005,1,MATCH(COLUMNS($R$1006:R1006),$R$1006:$W$1006,0))&gt;=100000), " ",IF(INDEX($R$2:$W$1001,MATCH(ROWS($K$2:K50),$K$2:$K$1001,0),MATCH(COLUMNS($R$1006:R1006),$R$1006:$W$1006,0)), HYPERLINK("#",""), HYPERLINK(CONCATENATE("#Metadata!", ADDRESS(INDEX($M$2:$M$1001,MATCH(ROWS($K$2:K50),$K$2:$K$1001,0),0), INDEX($R$1004:$W$1004,1,MATCH(COLUMNS($R$1006:R1006),$R$1006:$W$1006,0)))),"Fix")))</f>
        <v>0</v>
      </c>
      <c r="C50" s="3">
        <f>IF(OR(INDEX($L$2:$L$1001,MATCH(ROWS($K$2:K50),$K$2:$K$1001,0),1)&gt;=100000,INDEX($R$1005:$W$1005,1,MATCH(COLUMNS($R$1006:S1006),$R$1006:$W$1006,0))&gt;=100000), " ",IF(INDEX($R$2:$W$1001,MATCH(ROWS($K$2:K50),$K$2:$K$1001,0),MATCH(COLUMNS($R$1006:S1006),$R$1006:$W$1006,0)), HYPERLINK("#",""), HYPERLINK(CONCATENATE("#Metadata!", ADDRESS(INDEX($M$2:$M$1001,MATCH(ROWS($K$2:K50),$K$2:$K$1001,0),0), INDEX($R$1004:$W$1004,1,MATCH(COLUMNS($R$1006:S1006),$R$1006:$W$1006,0)))),"Fix")))</f>
        <v>0</v>
      </c>
      <c r="D50" s="3">
        <f>IF(OR(INDEX($L$2:$L$1001,MATCH(ROWS($K$2:K50),$K$2:$K$1001,0),1)&gt;=100000,INDEX($R$1005:$W$1005,1,MATCH(COLUMNS($R$1006:T1006),$R$1006:$W$1006,0))&gt;=100000), " ",IF(INDEX($R$2:$W$1001,MATCH(ROWS($K$2:K50),$K$2:$K$1001,0),MATCH(COLUMNS($R$1006:T1006),$R$1006:$W$1006,0)), HYPERLINK("#",""), HYPERLINK(CONCATENATE("#Metadata!", ADDRESS(INDEX($M$2:$M$1001,MATCH(ROWS($K$2:K50),$K$2:$K$1001,0),0), INDEX($R$1004:$W$1004,1,MATCH(COLUMNS($R$1006:T1006),$R$1006:$W$1006,0)))),"Fix")))</f>
        <v>0</v>
      </c>
      <c r="E50" s="3">
        <f>IF(OR(INDEX($L$2:$L$1001,MATCH(ROWS($K$2:K50),$K$2:$K$1001,0),1)&gt;=100000,INDEX($R$1005:$W$1005,1,MATCH(COLUMNS($R$1006:U1006),$R$1006:$W$1006,0))&gt;=100000), " ",IF(INDEX($R$2:$W$1001,MATCH(ROWS($K$2:K50),$K$2:$K$1001,0),MATCH(COLUMNS($R$1006:U1006),$R$1006:$W$1006,0)), HYPERLINK("#",""), HYPERLINK(CONCATENATE("#Metadata!", ADDRESS(INDEX($M$2:$M$1001,MATCH(ROWS($K$2:K50),$K$2:$K$1001,0),0), INDEX($R$1004:$W$1004,1,MATCH(COLUMNS($R$1006:U1006),$R$1006:$W$1006,0)))),"Fix")))</f>
        <v>0</v>
      </c>
      <c r="F50" s="3">
        <f>IF(OR(INDEX($L$2:$L$1001,MATCH(ROWS($K$2:K50),$K$2:$K$1001,0),1)&gt;=100000,INDEX($R$1005:$W$1005,1,MATCH(COLUMNS($R$1006:V1006),$R$1006:$W$1006,0))&gt;=100000), " ",IF(INDEX($R$2:$W$1001,MATCH(ROWS($K$2:K50),$K$2:$K$1001,0),MATCH(COLUMNS($R$1006:V1006),$R$1006:$W$1006,0)), HYPERLINK("#",""), HYPERLINK(CONCATENATE("#Metadata!", ADDRESS(INDEX($M$2:$M$1001,MATCH(ROWS($K$2:K50),$K$2:$K$1001,0),0), INDEX($R$1004:$W$1004,1,MATCH(COLUMNS($R$1006:V1006),$R$1006:$W$1006,0)))),"Fix")))</f>
        <v>0</v>
      </c>
      <c r="G50" s="3">
        <f>IF(OR(INDEX($L$2:$L$1001,MATCH(ROWS($K$2:K50),$K$2:$K$1001,0),1)&gt;=100000,INDEX($R$1005:$W$1005,1,MATCH(COLUMNS($R$1006:W1006),$R$1006:$W$1006,0))&gt;=100000), " ",IF(INDEX($R$2:$W$1001,MATCH(ROWS($K$2:K50),$K$2:$K$1001,0),MATCH(COLUMNS($R$1006:W1006),$R$1006:$W$1006,0)), HYPERLINK("#",""), HYPERLINK(CONCATENATE("#Metadata!", ADDRESS(INDEX($M$2:$M$1001,MATCH(ROWS($K$2:K50),$K$2:$K$1001,0),0), INDEX($R$1004:$W$1004,1,MATCH(COLUMNS($R$1006:W1006),$R$1006:$W$1006,0)))),"Fix")))</f>
        <v>0</v>
      </c>
      <c r="K50">
        <v>0</v>
      </c>
      <c r="L50">
        <v>0</v>
      </c>
      <c r="M50">
        <v>0</v>
      </c>
      <c r="N50">
        <f>IF(O50,TRUE,AND(R50:W50))</f>
        <v>0</v>
      </c>
      <c r="O50">
        <f>COUNTBLANK(Metadata!B50:G50)=COLUMNS(Metadata!B50:G50)</f>
        <v>0</v>
      </c>
      <c r="P50">
        <v>0</v>
      </c>
      <c r="R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S50">
        <f>IF(Metadata!C50="",FALSE,TRUE)</f>
        <v>0</v>
      </c>
      <c r="T50">
        <f>IF(Metadata!D50="",FALSE,TRUE)</f>
        <v>0</v>
      </c>
      <c r="U50">
        <f>IF(Metadata!E50="",FALSE,TRUE)</f>
        <v>0</v>
      </c>
      <c r="V50">
        <f>AND(IF(Metadata!F50="",FALSE,TRUE),exact(Metadata!F50,"rat gut metagenome"))</f>
        <v>0</v>
      </c>
      <c r="W50">
        <f>AND(IF(Metadata!G50="",FALSE,TRUE),exact(Metadata!G50,"1436733"))</f>
        <v>0</v>
      </c>
    </row>
    <row r="51" spans="1:23">
      <c r="A51" s="4">
        <f>IF(B51=" "," ",HYPERLINK(CONCATENATE("#metadata!",ADDRESS(INDEX($M$2:$M$1001,MATCH(ROWS($K$2:K51),$K$2:$K$1001,0),0),1)),INDEX($P$2:$P$1001,MATCH(ROWS($K$2:K51),$K$2:$K$1001,0),0)))</f>
        <v>0</v>
      </c>
      <c r="B51" s="3">
        <f>IF(OR(INDEX($L$2:$L$1001,MATCH(ROWS($K$2:K51),$K$2:$K$1001,0),1)&gt;=100000,INDEX($R$1005:$W$1005,1,MATCH(COLUMNS($R$1006:R1006),$R$1006:$W$1006,0))&gt;=100000), " ",IF(INDEX($R$2:$W$1001,MATCH(ROWS($K$2:K51),$K$2:$K$1001,0),MATCH(COLUMNS($R$1006:R1006),$R$1006:$W$1006,0)), HYPERLINK("#",""), HYPERLINK(CONCATENATE("#Metadata!", ADDRESS(INDEX($M$2:$M$1001,MATCH(ROWS($K$2:K51),$K$2:$K$1001,0),0), INDEX($R$1004:$W$1004,1,MATCH(COLUMNS($R$1006:R1006),$R$1006:$W$1006,0)))),"Fix")))</f>
        <v>0</v>
      </c>
      <c r="C51" s="3">
        <f>IF(OR(INDEX($L$2:$L$1001,MATCH(ROWS($K$2:K51),$K$2:$K$1001,0),1)&gt;=100000,INDEX($R$1005:$W$1005,1,MATCH(COLUMNS($R$1006:S1006),$R$1006:$W$1006,0))&gt;=100000), " ",IF(INDEX($R$2:$W$1001,MATCH(ROWS($K$2:K51),$K$2:$K$1001,0),MATCH(COLUMNS($R$1006:S1006),$R$1006:$W$1006,0)), HYPERLINK("#",""), HYPERLINK(CONCATENATE("#Metadata!", ADDRESS(INDEX($M$2:$M$1001,MATCH(ROWS($K$2:K51),$K$2:$K$1001,0),0), INDEX($R$1004:$W$1004,1,MATCH(COLUMNS($R$1006:S1006),$R$1006:$W$1006,0)))),"Fix")))</f>
        <v>0</v>
      </c>
      <c r="D51" s="3">
        <f>IF(OR(INDEX($L$2:$L$1001,MATCH(ROWS($K$2:K51),$K$2:$K$1001,0),1)&gt;=100000,INDEX($R$1005:$W$1005,1,MATCH(COLUMNS($R$1006:T1006),$R$1006:$W$1006,0))&gt;=100000), " ",IF(INDEX($R$2:$W$1001,MATCH(ROWS($K$2:K51),$K$2:$K$1001,0),MATCH(COLUMNS($R$1006:T1006),$R$1006:$W$1006,0)), HYPERLINK("#",""), HYPERLINK(CONCATENATE("#Metadata!", ADDRESS(INDEX($M$2:$M$1001,MATCH(ROWS($K$2:K51),$K$2:$K$1001,0),0), INDEX($R$1004:$W$1004,1,MATCH(COLUMNS($R$1006:T1006),$R$1006:$W$1006,0)))),"Fix")))</f>
        <v>0</v>
      </c>
      <c r="E51" s="3">
        <f>IF(OR(INDEX($L$2:$L$1001,MATCH(ROWS($K$2:K51),$K$2:$K$1001,0),1)&gt;=100000,INDEX($R$1005:$W$1005,1,MATCH(COLUMNS($R$1006:U1006),$R$1006:$W$1006,0))&gt;=100000), " ",IF(INDEX($R$2:$W$1001,MATCH(ROWS($K$2:K51),$K$2:$K$1001,0),MATCH(COLUMNS($R$1006:U1006),$R$1006:$W$1006,0)), HYPERLINK("#",""), HYPERLINK(CONCATENATE("#Metadata!", ADDRESS(INDEX($M$2:$M$1001,MATCH(ROWS($K$2:K51),$K$2:$K$1001,0),0), INDEX($R$1004:$W$1004,1,MATCH(COLUMNS($R$1006:U1006),$R$1006:$W$1006,0)))),"Fix")))</f>
        <v>0</v>
      </c>
      <c r="F51" s="3">
        <f>IF(OR(INDEX($L$2:$L$1001,MATCH(ROWS($K$2:K51),$K$2:$K$1001,0),1)&gt;=100000,INDEX($R$1005:$W$1005,1,MATCH(COLUMNS($R$1006:V1006),$R$1006:$W$1006,0))&gt;=100000), " ",IF(INDEX($R$2:$W$1001,MATCH(ROWS($K$2:K51),$K$2:$K$1001,0),MATCH(COLUMNS($R$1006:V1006),$R$1006:$W$1006,0)), HYPERLINK("#",""), HYPERLINK(CONCATENATE("#Metadata!", ADDRESS(INDEX($M$2:$M$1001,MATCH(ROWS($K$2:K51),$K$2:$K$1001,0),0), INDEX($R$1004:$W$1004,1,MATCH(COLUMNS($R$1006:V1006),$R$1006:$W$1006,0)))),"Fix")))</f>
        <v>0</v>
      </c>
      <c r="G51" s="3">
        <f>IF(OR(INDEX($L$2:$L$1001,MATCH(ROWS($K$2:K51),$K$2:$K$1001,0),1)&gt;=100000,INDEX($R$1005:$W$1005,1,MATCH(COLUMNS($R$1006:W1006),$R$1006:$W$1006,0))&gt;=100000), " ",IF(INDEX($R$2:$W$1001,MATCH(ROWS($K$2:K51),$K$2:$K$1001,0),MATCH(COLUMNS($R$1006:W1006),$R$1006:$W$1006,0)), HYPERLINK("#",""), HYPERLINK(CONCATENATE("#Metadata!", ADDRESS(INDEX($M$2:$M$1001,MATCH(ROWS($K$2:K51),$K$2:$K$1001,0),0), INDEX($R$1004:$W$1004,1,MATCH(COLUMNS($R$1006:W1006),$R$1006:$W$1006,0)))),"Fix")))</f>
        <v>0</v>
      </c>
      <c r="K51">
        <v>0</v>
      </c>
      <c r="L51">
        <v>0</v>
      </c>
      <c r="M51">
        <v>0</v>
      </c>
      <c r="N51">
        <f>IF(O51,TRUE,AND(R51:W51))</f>
        <v>0</v>
      </c>
      <c r="O51">
        <f>COUNTBLANK(Metadata!B51:G51)=COLUMNS(Metadata!B51:G51)</f>
        <v>0</v>
      </c>
      <c r="P51">
        <v>0</v>
      </c>
      <c r="R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S51">
        <f>IF(Metadata!C51="",FALSE,TRUE)</f>
        <v>0</v>
      </c>
      <c r="T51">
        <f>IF(Metadata!D51="",FALSE,TRUE)</f>
        <v>0</v>
      </c>
      <c r="U51">
        <f>IF(Metadata!E51="",FALSE,TRUE)</f>
        <v>0</v>
      </c>
      <c r="V51">
        <f>AND(IF(Metadata!F51="",FALSE,TRUE),exact(Metadata!F51,"rat gut metagenome"))</f>
        <v>0</v>
      </c>
      <c r="W51">
        <f>AND(IF(Metadata!G51="",FALSE,TRUE),exact(Metadata!G51,"1436733"))</f>
        <v>0</v>
      </c>
    </row>
    <row r="52" spans="1:23">
      <c r="A52" s="4">
        <f>IF(B52=" "," ",HYPERLINK(CONCATENATE("#metadata!",ADDRESS(INDEX($M$2:$M$1001,MATCH(ROWS($K$2:K52),$K$2:$K$1001,0),0),1)),INDEX($P$2:$P$1001,MATCH(ROWS($K$2:K52),$K$2:$K$1001,0),0)))</f>
        <v>0</v>
      </c>
      <c r="B52" s="3">
        <f>IF(OR(INDEX($L$2:$L$1001,MATCH(ROWS($K$2:K52),$K$2:$K$1001,0),1)&gt;=100000,INDEX($R$1005:$W$1005,1,MATCH(COLUMNS($R$1006:R1006),$R$1006:$W$1006,0))&gt;=100000), " ",IF(INDEX($R$2:$W$1001,MATCH(ROWS($K$2:K52),$K$2:$K$1001,0),MATCH(COLUMNS($R$1006:R1006),$R$1006:$W$1006,0)), HYPERLINK("#",""), HYPERLINK(CONCATENATE("#Metadata!", ADDRESS(INDEX($M$2:$M$1001,MATCH(ROWS($K$2:K52),$K$2:$K$1001,0),0), INDEX($R$1004:$W$1004,1,MATCH(COLUMNS($R$1006:R1006),$R$1006:$W$1006,0)))),"Fix")))</f>
        <v>0</v>
      </c>
      <c r="C52" s="3">
        <f>IF(OR(INDEX($L$2:$L$1001,MATCH(ROWS($K$2:K52),$K$2:$K$1001,0),1)&gt;=100000,INDEX($R$1005:$W$1005,1,MATCH(COLUMNS($R$1006:S1006),$R$1006:$W$1006,0))&gt;=100000), " ",IF(INDEX($R$2:$W$1001,MATCH(ROWS($K$2:K52),$K$2:$K$1001,0),MATCH(COLUMNS($R$1006:S1006),$R$1006:$W$1006,0)), HYPERLINK("#",""), HYPERLINK(CONCATENATE("#Metadata!", ADDRESS(INDEX($M$2:$M$1001,MATCH(ROWS($K$2:K52),$K$2:$K$1001,0),0), INDEX($R$1004:$W$1004,1,MATCH(COLUMNS($R$1006:S1006),$R$1006:$W$1006,0)))),"Fix")))</f>
        <v>0</v>
      </c>
      <c r="D52" s="3">
        <f>IF(OR(INDEX($L$2:$L$1001,MATCH(ROWS($K$2:K52),$K$2:$K$1001,0),1)&gt;=100000,INDEX($R$1005:$W$1005,1,MATCH(COLUMNS($R$1006:T1006),$R$1006:$W$1006,0))&gt;=100000), " ",IF(INDEX($R$2:$W$1001,MATCH(ROWS($K$2:K52),$K$2:$K$1001,0),MATCH(COLUMNS($R$1006:T1006),$R$1006:$W$1006,0)), HYPERLINK("#",""), HYPERLINK(CONCATENATE("#Metadata!", ADDRESS(INDEX($M$2:$M$1001,MATCH(ROWS($K$2:K52),$K$2:$K$1001,0),0), INDEX($R$1004:$W$1004,1,MATCH(COLUMNS($R$1006:T1006),$R$1006:$W$1006,0)))),"Fix")))</f>
        <v>0</v>
      </c>
      <c r="E52" s="3">
        <f>IF(OR(INDEX($L$2:$L$1001,MATCH(ROWS($K$2:K52),$K$2:$K$1001,0),1)&gt;=100000,INDEX($R$1005:$W$1005,1,MATCH(COLUMNS($R$1006:U1006),$R$1006:$W$1006,0))&gt;=100000), " ",IF(INDEX($R$2:$W$1001,MATCH(ROWS($K$2:K52),$K$2:$K$1001,0),MATCH(COLUMNS($R$1006:U1006),$R$1006:$W$1006,0)), HYPERLINK("#",""), HYPERLINK(CONCATENATE("#Metadata!", ADDRESS(INDEX($M$2:$M$1001,MATCH(ROWS($K$2:K52),$K$2:$K$1001,0),0), INDEX($R$1004:$W$1004,1,MATCH(COLUMNS($R$1006:U1006),$R$1006:$W$1006,0)))),"Fix")))</f>
        <v>0</v>
      </c>
      <c r="F52" s="3">
        <f>IF(OR(INDEX($L$2:$L$1001,MATCH(ROWS($K$2:K52),$K$2:$K$1001,0),1)&gt;=100000,INDEX($R$1005:$W$1005,1,MATCH(COLUMNS($R$1006:V1006),$R$1006:$W$1006,0))&gt;=100000), " ",IF(INDEX($R$2:$W$1001,MATCH(ROWS($K$2:K52),$K$2:$K$1001,0),MATCH(COLUMNS($R$1006:V1006),$R$1006:$W$1006,0)), HYPERLINK("#",""), HYPERLINK(CONCATENATE("#Metadata!", ADDRESS(INDEX($M$2:$M$1001,MATCH(ROWS($K$2:K52),$K$2:$K$1001,0),0), INDEX($R$1004:$W$1004,1,MATCH(COLUMNS($R$1006:V1006),$R$1006:$W$1006,0)))),"Fix")))</f>
        <v>0</v>
      </c>
      <c r="G52" s="3">
        <f>IF(OR(INDEX($L$2:$L$1001,MATCH(ROWS($K$2:K52),$K$2:$K$1001,0),1)&gt;=100000,INDEX($R$1005:$W$1005,1,MATCH(COLUMNS($R$1006:W1006),$R$1006:$W$1006,0))&gt;=100000), " ",IF(INDEX($R$2:$W$1001,MATCH(ROWS($K$2:K52),$K$2:$K$1001,0),MATCH(COLUMNS($R$1006:W1006),$R$1006:$W$1006,0)), HYPERLINK("#",""), HYPERLINK(CONCATENATE("#Metadata!", ADDRESS(INDEX($M$2:$M$1001,MATCH(ROWS($K$2:K52),$K$2:$K$1001,0),0), INDEX($R$1004:$W$1004,1,MATCH(COLUMNS($R$1006:W1006),$R$1006:$W$1006,0)))),"Fix")))</f>
        <v>0</v>
      </c>
      <c r="K52">
        <v>0</v>
      </c>
      <c r="L52">
        <v>0</v>
      </c>
      <c r="M52">
        <v>0</v>
      </c>
      <c r="N52">
        <f>IF(O52,TRUE,AND(R52:W52))</f>
        <v>0</v>
      </c>
      <c r="O52">
        <f>COUNTBLANK(Metadata!B52:G52)=COLUMNS(Metadata!B52:G52)</f>
        <v>0</v>
      </c>
      <c r="P52">
        <v>0</v>
      </c>
      <c r="R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S52">
        <f>IF(Metadata!C52="",FALSE,TRUE)</f>
        <v>0</v>
      </c>
      <c r="T52">
        <f>IF(Metadata!D52="",FALSE,TRUE)</f>
        <v>0</v>
      </c>
      <c r="U52">
        <f>IF(Metadata!E52="",FALSE,TRUE)</f>
        <v>0</v>
      </c>
      <c r="V52">
        <f>AND(IF(Metadata!F52="",FALSE,TRUE),exact(Metadata!F52,"rat gut metagenome"))</f>
        <v>0</v>
      </c>
      <c r="W52">
        <f>AND(IF(Metadata!G52="",FALSE,TRUE),exact(Metadata!G52,"1436733"))</f>
        <v>0</v>
      </c>
    </row>
    <row r="53" spans="1:23">
      <c r="A53" s="4">
        <f>IF(B53=" "," ",HYPERLINK(CONCATENATE("#metadata!",ADDRESS(INDEX($M$2:$M$1001,MATCH(ROWS($K$2:K53),$K$2:$K$1001,0),0),1)),INDEX($P$2:$P$1001,MATCH(ROWS($K$2:K53),$K$2:$K$1001,0),0)))</f>
        <v>0</v>
      </c>
      <c r="B53" s="3">
        <f>IF(OR(INDEX($L$2:$L$1001,MATCH(ROWS($K$2:K53),$K$2:$K$1001,0),1)&gt;=100000,INDEX($R$1005:$W$1005,1,MATCH(COLUMNS($R$1006:R1006),$R$1006:$W$1006,0))&gt;=100000), " ",IF(INDEX($R$2:$W$1001,MATCH(ROWS($K$2:K53),$K$2:$K$1001,0),MATCH(COLUMNS($R$1006:R1006),$R$1006:$W$1006,0)), HYPERLINK("#",""), HYPERLINK(CONCATENATE("#Metadata!", ADDRESS(INDEX($M$2:$M$1001,MATCH(ROWS($K$2:K53),$K$2:$K$1001,0),0), INDEX($R$1004:$W$1004,1,MATCH(COLUMNS($R$1006:R1006),$R$1006:$W$1006,0)))),"Fix")))</f>
        <v>0</v>
      </c>
      <c r="C53" s="3">
        <f>IF(OR(INDEX($L$2:$L$1001,MATCH(ROWS($K$2:K53),$K$2:$K$1001,0),1)&gt;=100000,INDEX($R$1005:$W$1005,1,MATCH(COLUMNS($R$1006:S1006),$R$1006:$W$1006,0))&gt;=100000), " ",IF(INDEX($R$2:$W$1001,MATCH(ROWS($K$2:K53),$K$2:$K$1001,0),MATCH(COLUMNS($R$1006:S1006),$R$1006:$W$1006,0)), HYPERLINK("#",""), HYPERLINK(CONCATENATE("#Metadata!", ADDRESS(INDEX($M$2:$M$1001,MATCH(ROWS($K$2:K53),$K$2:$K$1001,0),0), INDEX($R$1004:$W$1004,1,MATCH(COLUMNS($R$1006:S1006),$R$1006:$W$1006,0)))),"Fix")))</f>
        <v>0</v>
      </c>
      <c r="D53" s="3">
        <f>IF(OR(INDEX($L$2:$L$1001,MATCH(ROWS($K$2:K53),$K$2:$K$1001,0),1)&gt;=100000,INDEX($R$1005:$W$1005,1,MATCH(COLUMNS($R$1006:T1006),$R$1006:$W$1006,0))&gt;=100000), " ",IF(INDEX($R$2:$W$1001,MATCH(ROWS($K$2:K53),$K$2:$K$1001,0),MATCH(COLUMNS($R$1006:T1006),$R$1006:$W$1006,0)), HYPERLINK("#",""), HYPERLINK(CONCATENATE("#Metadata!", ADDRESS(INDEX($M$2:$M$1001,MATCH(ROWS($K$2:K53),$K$2:$K$1001,0),0), INDEX($R$1004:$W$1004,1,MATCH(COLUMNS($R$1006:T1006),$R$1006:$W$1006,0)))),"Fix")))</f>
        <v>0</v>
      </c>
      <c r="E53" s="3">
        <f>IF(OR(INDEX($L$2:$L$1001,MATCH(ROWS($K$2:K53),$K$2:$K$1001,0),1)&gt;=100000,INDEX($R$1005:$W$1005,1,MATCH(COLUMNS($R$1006:U1006),$R$1006:$W$1006,0))&gt;=100000), " ",IF(INDEX($R$2:$W$1001,MATCH(ROWS($K$2:K53),$K$2:$K$1001,0),MATCH(COLUMNS($R$1006:U1006),$R$1006:$W$1006,0)), HYPERLINK("#",""), HYPERLINK(CONCATENATE("#Metadata!", ADDRESS(INDEX($M$2:$M$1001,MATCH(ROWS($K$2:K53),$K$2:$K$1001,0),0), INDEX($R$1004:$W$1004,1,MATCH(COLUMNS($R$1006:U1006),$R$1006:$W$1006,0)))),"Fix")))</f>
        <v>0</v>
      </c>
      <c r="F53" s="3">
        <f>IF(OR(INDEX($L$2:$L$1001,MATCH(ROWS($K$2:K53),$K$2:$K$1001,0),1)&gt;=100000,INDEX($R$1005:$W$1005,1,MATCH(COLUMNS($R$1006:V1006),$R$1006:$W$1006,0))&gt;=100000), " ",IF(INDEX($R$2:$W$1001,MATCH(ROWS($K$2:K53),$K$2:$K$1001,0),MATCH(COLUMNS($R$1006:V1006),$R$1006:$W$1006,0)), HYPERLINK("#",""), HYPERLINK(CONCATENATE("#Metadata!", ADDRESS(INDEX($M$2:$M$1001,MATCH(ROWS($K$2:K53),$K$2:$K$1001,0),0), INDEX($R$1004:$W$1004,1,MATCH(COLUMNS($R$1006:V1006),$R$1006:$W$1006,0)))),"Fix")))</f>
        <v>0</v>
      </c>
      <c r="G53" s="3">
        <f>IF(OR(INDEX($L$2:$L$1001,MATCH(ROWS($K$2:K53),$K$2:$K$1001,0),1)&gt;=100000,INDEX($R$1005:$W$1005,1,MATCH(COLUMNS($R$1006:W1006),$R$1006:$W$1006,0))&gt;=100000), " ",IF(INDEX($R$2:$W$1001,MATCH(ROWS($K$2:K53),$K$2:$K$1001,0),MATCH(COLUMNS($R$1006:W1006),$R$1006:$W$1006,0)), HYPERLINK("#",""), HYPERLINK(CONCATENATE("#Metadata!", ADDRESS(INDEX($M$2:$M$1001,MATCH(ROWS($K$2:K53),$K$2:$K$1001,0),0), INDEX($R$1004:$W$1004,1,MATCH(COLUMNS($R$1006:W1006),$R$1006:$W$1006,0)))),"Fix")))</f>
        <v>0</v>
      </c>
      <c r="K53">
        <v>0</v>
      </c>
      <c r="L53">
        <v>0</v>
      </c>
      <c r="M53">
        <v>0</v>
      </c>
      <c r="N53">
        <f>IF(O53,TRUE,AND(R53:W53))</f>
        <v>0</v>
      </c>
      <c r="O53">
        <f>COUNTBLANK(Metadata!B53:G53)=COLUMNS(Metadata!B53:G53)</f>
        <v>0</v>
      </c>
      <c r="P53">
        <v>0</v>
      </c>
      <c r="R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S53">
        <f>IF(Metadata!C53="",FALSE,TRUE)</f>
        <v>0</v>
      </c>
      <c r="T53">
        <f>IF(Metadata!D53="",FALSE,TRUE)</f>
        <v>0</v>
      </c>
      <c r="U53">
        <f>IF(Metadata!E53="",FALSE,TRUE)</f>
        <v>0</v>
      </c>
      <c r="V53">
        <f>AND(IF(Metadata!F53="",FALSE,TRUE),exact(Metadata!F53,"rat gut metagenome"))</f>
        <v>0</v>
      </c>
      <c r="W53">
        <f>AND(IF(Metadata!G53="",FALSE,TRUE),exact(Metadata!G53,"1436733"))</f>
        <v>0</v>
      </c>
    </row>
    <row r="54" spans="1:23">
      <c r="A54" s="4">
        <f>IF(B54=" "," ",HYPERLINK(CONCATENATE("#metadata!",ADDRESS(INDEX($M$2:$M$1001,MATCH(ROWS($K$2:K54),$K$2:$K$1001,0),0),1)),INDEX($P$2:$P$1001,MATCH(ROWS($K$2:K54),$K$2:$K$1001,0),0)))</f>
        <v>0</v>
      </c>
      <c r="B54" s="3">
        <f>IF(OR(INDEX($L$2:$L$1001,MATCH(ROWS($K$2:K54),$K$2:$K$1001,0),1)&gt;=100000,INDEX($R$1005:$W$1005,1,MATCH(COLUMNS($R$1006:R1006),$R$1006:$W$1006,0))&gt;=100000), " ",IF(INDEX($R$2:$W$1001,MATCH(ROWS($K$2:K54),$K$2:$K$1001,0),MATCH(COLUMNS($R$1006:R1006),$R$1006:$W$1006,0)), HYPERLINK("#",""), HYPERLINK(CONCATENATE("#Metadata!", ADDRESS(INDEX($M$2:$M$1001,MATCH(ROWS($K$2:K54),$K$2:$K$1001,0),0), INDEX($R$1004:$W$1004,1,MATCH(COLUMNS($R$1006:R1006),$R$1006:$W$1006,0)))),"Fix")))</f>
        <v>0</v>
      </c>
      <c r="C54" s="3">
        <f>IF(OR(INDEX($L$2:$L$1001,MATCH(ROWS($K$2:K54),$K$2:$K$1001,0),1)&gt;=100000,INDEX($R$1005:$W$1005,1,MATCH(COLUMNS($R$1006:S1006),$R$1006:$W$1006,0))&gt;=100000), " ",IF(INDEX($R$2:$W$1001,MATCH(ROWS($K$2:K54),$K$2:$K$1001,0),MATCH(COLUMNS($R$1006:S1006),$R$1006:$W$1006,0)), HYPERLINK("#",""), HYPERLINK(CONCATENATE("#Metadata!", ADDRESS(INDEX($M$2:$M$1001,MATCH(ROWS($K$2:K54),$K$2:$K$1001,0),0), INDEX($R$1004:$W$1004,1,MATCH(COLUMNS($R$1006:S1006),$R$1006:$W$1006,0)))),"Fix")))</f>
        <v>0</v>
      </c>
      <c r="D54" s="3">
        <f>IF(OR(INDEX($L$2:$L$1001,MATCH(ROWS($K$2:K54),$K$2:$K$1001,0),1)&gt;=100000,INDEX($R$1005:$W$1005,1,MATCH(COLUMNS($R$1006:T1006),$R$1006:$W$1006,0))&gt;=100000), " ",IF(INDEX($R$2:$W$1001,MATCH(ROWS($K$2:K54),$K$2:$K$1001,0),MATCH(COLUMNS($R$1006:T1006),$R$1006:$W$1006,0)), HYPERLINK("#",""), HYPERLINK(CONCATENATE("#Metadata!", ADDRESS(INDEX($M$2:$M$1001,MATCH(ROWS($K$2:K54),$K$2:$K$1001,0),0), INDEX($R$1004:$W$1004,1,MATCH(COLUMNS($R$1006:T1006),$R$1006:$W$1006,0)))),"Fix")))</f>
        <v>0</v>
      </c>
      <c r="E54" s="3">
        <f>IF(OR(INDEX($L$2:$L$1001,MATCH(ROWS($K$2:K54),$K$2:$K$1001,0),1)&gt;=100000,INDEX($R$1005:$W$1005,1,MATCH(COLUMNS($R$1006:U1006),$R$1006:$W$1006,0))&gt;=100000), " ",IF(INDEX($R$2:$W$1001,MATCH(ROWS($K$2:K54),$K$2:$K$1001,0),MATCH(COLUMNS($R$1006:U1006),$R$1006:$W$1006,0)), HYPERLINK("#",""), HYPERLINK(CONCATENATE("#Metadata!", ADDRESS(INDEX($M$2:$M$1001,MATCH(ROWS($K$2:K54),$K$2:$K$1001,0),0), INDEX($R$1004:$W$1004,1,MATCH(COLUMNS($R$1006:U1006),$R$1006:$W$1006,0)))),"Fix")))</f>
        <v>0</v>
      </c>
      <c r="F54" s="3">
        <f>IF(OR(INDEX($L$2:$L$1001,MATCH(ROWS($K$2:K54),$K$2:$K$1001,0),1)&gt;=100000,INDEX($R$1005:$W$1005,1,MATCH(COLUMNS($R$1006:V1006),$R$1006:$W$1006,0))&gt;=100000), " ",IF(INDEX($R$2:$W$1001,MATCH(ROWS($K$2:K54),$K$2:$K$1001,0),MATCH(COLUMNS($R$1006:V1006),$R$1006:$W$1006,0)), HYPERLINK("#",""), HYPERLINK(CONCATENATE("#Metadata!", ADDRESS(INDEX($M$2:$M$1001,MATCH(ROWS($K$2:K54),$K$2:$K$1001,0),0), INDEX($R$1004:$W$1004,1,MATCH(COLUMNS($R$1006:V1006),$R$1006:$W$1006,0)))),"Fix")))</f>
        <v>0</v>
      </c>
      <c r="G54" s="3">
        <f>IF(OR(INDEX($L$2:$L$1001,MATCH(ROWS($K$2:K54),$K$2:$K$1001,0),1)&gt;=100000,INDEX($R$1005:$W$1005,1,MATCH(COLUMNS($R$1006:W1006),$R$1006:$W$1006,0))&gt;=100000), " ",IF(INDEX($R$2:$W$1001,MATCH(ROWS($K$2:K54),$K$2:$K$1001,0),MATCH(COLUMNS($R$1006:W1006),$R$1006:$W$1006,0)), HYPERLINK("#",""), HYPERLINK(CONCATENATE("#Metadata!", ADDRESS(INDEX($M$2:$M$1001,MATCH(ROWS($K$2:K54),$K$2:$K$1001,0),0), INDEX($R$1004:$W$1004,1,MATCH(COLUMNS($R$1006:W1006),$R$1006:$W$1006,0)))),"Fix")))</f>
        <v>0</v>
      </c>
      <c r="K54">
        <v>0</v>
      </c>
      <c r="L54">
        <v>0</v>
      </c>
      <c r="M54">
        <v>0</v>
      </c>
      <c r="N54">
        <f>IF(O54,TRUE,AND(R54:W54))</f>
        <v>0</v>
      </c>
      <c r="O54">
        <f>COUNTBLANK(Metadata!B54:G54)=COLUMNS(Metadata!B54:G54)</f>
        <v>0</v>
      </c>
      <c r="P54">
        <v>0</v>
      </c>
      <c r="R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S54">
        <f>IF(Metadata!C54="",FALSE,TRUE)</f>
        <v>0</v>
      </c>
      <c r="T54">
        <f>IF(Metadata!D54="",FALSE,TRUE)</f>
        <v>0</v>
      </c>
      <c r="U54">
        <f>IF(Metadata!E54="",FALSE,TRUE)</f>
        <v>0</v>
      </c>
      <c r="V54">
        <f>AND(IF(Metadata!F54="",FALSE,TRUE),exact(Metadata!F54,"rat gut metagenome"))</f>
        <v>0</v>
      </c>
      <c r="W54">
        <f>AND(IF(Metadata!G54="",FALSE,TRUE),exact(Metadata!G54,"1436733"))</f>
        <v>0</v>
      </c>
    </row>
    <row r="55" spans="1:23">
      <c r="A55" s="4">
        <f>IF(B55=" "," ",HYPERLINK(CONCATENATE("#metadata!",ADDRESS(INDEX($M$2:$M$1001,MATCH(ROWS($K$2:K55),$K$2:$K$1001,0),0),1)),INDEX($P$2:$P$1001,MATCH(ROWS($K$2:K55),$K$2:$K$1001,0),0)))</f>
        <v>0</v>
      </c>
      <c r="B55" s="3">
        <f>IF(OR(INDEX($L$2:$L$1001,MATCH(ROWS($K$2:K55),$K$2:$K$1001,0),1)&gt;=100000,INDEX($R$1005:$W$1005,1,MATCH(COLUMNS($R$1006:R1006),$R$1006:$W$1006,0))&gt;=100000), " ",IF(INDEX($R$2:$W$1001,MATCH(ROWS($K$2:K55),$K$2:$K$1001,0),MATCH(COLUMNS($R$1006:R1006),$R$1006:$W$1006,0)), HYPERLINK("#",""), HYPERLINK(CONCATENATE("#Metadata!", ADDRESS(INDEX($M$2:$M$1001,MATCH(ROWS($K$2:K55),$K$2:$K$1001,0),0), INDEX($R$1004:$W$1004,1,MATCH(COLUMNS($R$1006:R1006),$R$1006:$W$1006,0)))),"Fix")))</f>
        <v>0</v>
      </c>
      <c r="C55" s="3">
        <f>IF(OR(INDEX($L$2:$L$1001,MATCH(ROWS($K$2:K55),$K$2:$K$1001,0),1)&gt;=100000,INDEX($R$1005:$W$1005,1,MATCH(COLUMNS($R$1006:S1006),$R$1006:$W$1006,0))&gt;=100000), " ",IF(INDEX($R$2:$W$1001,MATCH(ROWS($K$2:K55),$K$2:$K$1001,0),MATCH(COLUMNS($R$1006:S1006),$R$1006:$W$1006,0)), HYPERLINK("#",""), HYPERLINK(CONCATENATE("#Metadata!", ADDRESS(INDEX($M$2:$M$1001,MATCH(ROWS($K$2:K55),$K$2:$K$1001,0),0), INDEX($R$1004:$W$1004,1,MATCH(COLUMNS($R$1006:S1006),$R$1006:$W$1006,0)))),"Fix")))</f>
        <v>0</v>
      </c>
      <c r="D55" s="3">
        <f>IF(OR(INDEX($L$2:$L$1001,MATCH(ROWS($K$2:K55),$K$2:$K$1001,0),1)&gt;=100000,INDEX($R$1005:$W$1005,1,MATCH(COLUMNS($R$1006:T1006),$R$1006:$W$1006,0))&gt;=100000), " ",IF(INDEX($R$2:$W$1001,MATCH(ROWS($K$2:K55),$K$2:$K$1001,0),MATCH(COLUMNS($R$1006:T1006),$R$1006:$W$1006,0)), HYPERLINK("#",""), HYPERLINK(CONCATENATE("#Metadata!", ADDRESS(INDEX($M$2:$M$1001,MATCH(ROWS($K$2:K55),$K$2:$K$1001,0),0), INDEX($R$1004:$W$1004,1,MATCH(COLUMNS($R$1006:T1006),$R$1006:$W$1006,0)))),"Fix")))</f>
        <v>0</v>
      </c>
      <c r="E55" s="3">
        <f>IF(OR(INDEX($L$2:$L$1001,MATCH(ROWS($K$2:K55),$K$2:$K$1001,0),1)&gt;=100000,INDEX($R$1005:$W$1005,1,MATCH(COLUMNS($R$1006:U1006),$R$1006:$W$1006,0))&gt;=100000), " ",IF(INDEX($R$2:$W$1001,MATCH(ROWS($K$2:K55),$K$2:$K$1001,0),MATCH(COLUMNS($R$1006:U1006),$R$1006:$W$1006,0)), HYPERLINK("#",""), HYPERLINK(CONCATENATE("#Metadata!", ADDRESS(INDEX($M$2:$M$1001,MATCH(ROWS($K$2:K55),$K$2:$K$1001,0),0), INDEX($R$1004:$W$1004,1,MATCH(COLUMNS($R$1006:U1006),$R$1006:$W$1006,0)))),"Fix")))</f>
        <v>0</v>
      </c>
      <c r="F55" s="3">
        <f>IF(OR(INDEX($L$2:$L$1001,MATCH(ROWS($K$2:K55),$K$2:$K$1001,0),1)&gt;=100000,INDEX($R$1005:$W$1005,1,MATCH(COLUMNS($R$1006:V1006),$R$1006:$W$1006,0))&gt;=100000), " ",IF(INDEX($R$2:$W$1001,MATCH(ROWS($K$2:K55),$K$2:$K$1001,0),MATCH(COLUMNS($R$1006:V1006),$R$1006:$W$1006,0)), HYPERLINK("#",""), HYPERLINK(CONCATENATE("#Metadata!", ADDRESS(INDEX($M$2:$M$1001,MATCH(ROWS($K$2:K55),$K$2:$K$1001,0),0), INDEX($R$1004:$W$1004,1,MATCH(COLUMNS($R$1006:V1006),$R$1006:$W$1006,0)))),"Fix")))</f>
        <v>0</v>
      </c>
      <c r="G55" s="3">
        <f>IF(OR(INDEX($L$2:$L$1001,MATCH(ROWS($K$2:K55),$K$2:$K$1001,0),1)&gt;=100000,INDEX($R$1005:$W$1005,1,MATCH(COLUMNS($R$1006:W1006),$R$1006:$W$1006,0))&gt;=100000), " ",IF(INDEX($R$2:$W$1001,MATCH(ROWS($K$2:K55),$K$2:$K$1001,0),MATCH(COLUMNS($R$1006:W1006),$R$1006:$W$1006,0)), HYPERLINK("#",""), HYPERLINK(CONCATENATE("#Metadata!", ADDRESS(INDEX($M$2:$M$1001,MATCH(ROWS($K$2:K55),$K$2:$K$1001,0),0), INDEX($R$1004:$W$1004,1,MATCH(COLUMNS($R$1006:W1006),$R$1006:$W$1006,0)))),"Fix")))</f>
        <v>0</v>
      </c>
      <c r="K55">
        <v>0</v>
      </c>
      <c r="L55">
        <v>0</v>
      </c>
      <c r="M55">
        <v>0</v>
      </c>
      <c r="N55">
        <f>IF(O55,TRUE,AND(R55:W55))</f>
        <v>0</v>
      </c>
      <c r="O55">
        <f>COUNTBLANK(Metadata!B55:G55)=COLUMNS(Metadata!B55:G55)</f>
        <v>0</v>
      </c>
      <c r="P55">
        <v>0</v>
      </c>
      <c r="R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S55">
        <f>IF(Metadata!C55="",FALSE,TRUE)</f>
        <v>0</v>
      </c>
      <c r="T55">
        <f>IF(Metadata!D55="",FALSE,TRUE)</f>
        <v>0</v>
      </c>
      <c r="U55">
        <f>IF(Metadata!E55="",FALSE,TRUE)</f>
        <v>0</v>
      </c>
      <c r="V55">
        <f>AND(IF(Metadata!F55="",FALSE,TRUE),exact(Metadata!F55,"rat gut metagenome"))</f>
        <v>0</v>
      </c>
      <c r="W55">
        <f>AND(IF(Metadata!G55="",FALSE,TRUE),exact(Metadata!G55,"1436733"))</f>
        <v>0</v>
      </c>
    </row>
    <row r="56" spans="1:23">
      <c r="A56" s="4">
        <f>IF(B56=" "," ",HYPERLINK(CONCATENATE("#metadata!",ADDRESS(INDEX($M$2:$M$1001,MATCH(ROWS($K$2:K56),$K$2:$K$1001,0),0),1)),INDEX($P$2:$P$1001,MATCH(ROWS($K$2:K56),$K$2:$K$1001,0),0)))</f>
        <v>0</v>
      </c>
      <c r="B56" s="3">
        <f>IF(OR(INDEX($L$2:$L$1001,MATCH(ROWS($K$2:K56),$K$2:$K$1001,0),1)&gt;=100000,INDEX($R$1005:$W$1005,1,MATCH(COLUMNS($R$1006:R1006),$R$1006:$W$1006,0))&gt;=100000), " ",IF(INDEX($R$2:$W$1001,MATCH(ROWS($K$2:K56),$K$2:$K$1001,0),MATCH(COLUMNS($R$1006:R1006),$R$1006:$W$1006,0)), HYPERLINK("#",""), HYPERLINK(CONCATENATE("#Metadata!", ADDRESS(INDEX($M$2:$M$1001,MATCH(ROWS($K$2:K56),$K$2:$K$1001,0),0), INDEX($R$1004:$W$1004,1,MATCH(COLUMNS($R$1006:R1006),$R$1006:$W$1006,0)))),"Fix")))</f>
        <v>0</v>
      </c>
      <c r="C56" s="3">
        <f>IF(OR(INDEX($L$2:$L$1001,MATCH(ROWS($K$2:K56),$K$2:$K$1001,0),1)&gt;=100000,INDEX($R$1005:$W$1005,1,MATCH(COLUMNS($R$1006:S1006),$R$1006:$W$1006,0))&gt;=100000), " ",IF(INDEX($R$2:$W$1001,MATCH(ROWS($K$2:K56),$K$2:$K$1001,0),MATCH(COLUMNS($R$1006:S1006),$R$1006:$W$1006,0)), HYPERLINK("#",""), HYPERLINK(CONCATENATE("#Metadata!", ADDRESS(INDEX($M$2:$M$1001,MATCH(ROWS($K$2:K56),$K$2:$K$1001,0),0), INDEX($R$1004:$W$1004,1,MATCH(COLUMNS($R$1006:S1006),$R$1006:$W$1006,0)))),"Fix")))</f>
        <v>0</v>
      </c>
      <c r="D56" s="3">
        <f>IF(OR(INDEX($L$2:$L$1001,MATCH(ROWS($K$2:K56),$K$2:$K$1001,0),1)&gt;=100000,INDEX($R$1005:$W$1005,1,MATCH(COLUMNS($R$1006:T1006),$R$1006:$W$1006,0))&gt;=100000), " ",IF(INDEX($R$2:$W$1001,MATCH(ROWS($K$2:K56),$K$2:$K$1001,0),MATCH(COLUMNS($R$1006:T1006),$R$1006:$W$1006,0)), HYPERLINK("#",""), HYPERLINK(CONCATENATE("#Metadata!", ADDRESS(INDEX($M$2:$M$1001,MATCH(ROWS($K$2:K56),$K$2:$K$1001,0),0), INDEX($R$1004:$W$1004,1,MATCH(COLUMNS($R$1006:T1006),$R$1006:$W$1006,0)))),"Fix")))</f>
        <v>0</v>
      </c>
      <c r="E56" s="3">
        <f>IF(OR(INDEX($L$2:$L$1001,MATCH(ROWS($K$2:K56),$K$2:$K$1001,0),1)&gt;=100000,INDEX($R$1005:$W$1005,1,MATCH(COLUMNS($R$1006:U1006),$R$1006:$W$1006,0))&gt;=100000), " ",IF(INDEX($R$2:$W$1001,MATCH(ROWS($K$2:K56),$K$2:$K$1001,0),MATCH(COLUMNS($R$1006:U1006),$R$1006:$W$1006,0)), HYPERLINK("#",""), HYPERLINK(CONCATENATE("#Metadata!", ADDRESS(INDEX($M$2:$M$1001,MATCH(ROWS($K$2:K56),$K$2:$K$1001,0),0), INDEX($R$1004:$W$1004,1,MATCH(COLUMNS($R$1006:U1006),$R$1006:$W$1006,0)))),"Fix")))</f>
        <v>0</v>
      </c>
      <c r="F56" s="3">
        <f>IF(OR(INDEX($L$2:$L$1001,MATCH(ROWS($K$2:K56),$K$2:$K$1001,0),1)&gt;=100000,INDEX($R$1005:$W$1005,1,MATCH(COLUMNS($R$1006:V1006),$R$1006:$W$1006,0))&gt;=100000), " ",IF(INDEX($R$2:$W$1001,MATCH(ROWS($K$2:K56),$K$2:$K$1001,0),MATCH(COLUMNS($R$1006:V1006),$R$1006:$W$1006,0)), HYPERLINK("#",""), HYPERLINK(CONCATENATE("#Metadata!", ADDRESS(INDEX($M$2:$M$1001,MATCH(ROWS($K$2:K56),$K$2:$K$1001,0),0), INDEX($R$1004:$W$1004,1,MATCH(COLUMNS($R$1006:V1006),$R$1006:$W$1006,0)))),"Fix")))</f>
        <v>0</v>
      </c>
      <c r="G56" s="3">
        <f>IF(OR(INDEX($L$2:$L$1001,MATCH(ROWS($K$2:K56),$K$2:$K$1001,0),1)&gt;=100000,INDEX($R$1005:$W$1005,1,MATCH(COLUMNS($R$1006:W1006),$R$1006:$W$1006,0))&gt;=100000), " ",IF(INDEX($R$2:$W$1001,MATCH(ROWS($K$2:K56),$K$2:$K$1001,0),MATCH(COLUMNS($R$1006:W1006),$R$1006:$W$1006,0)), HYPERLINK("#",""), HYPERLINK(CONCATENATE("#Metadata!", ADDRESS(INDEX($M$2:$M$1001,MATCH(ROWS($K$2:K56),$K$2:$K$1001,0),0), INDEX($R$1004:$W$1004,1,MATCH(COLUMNS($R$1006:W1006),$R$1006:$W$1006,0)))),"Fix")))</f>
        <v>0</v>
      </c>
      <c r="K56">
        <v>0</v>
      </c>
      <c r="L56">
        <v>0</v>
      </c>
      <c r="M56">
        <v>0</v>
      </c>
      <c r="N56">
        <f>IF(O56,TRUE,AND(R56:W56))</f>
        <v>0</v>
      </c>
      <c r="O56">
        <f>COUNTBLANK(Metadata!B56:G56)=COLUMNS(Metadata!B56:G56)</f>
        <v>0</v>
      </c>
      <c r="P56">
        <v>0</v>
      </c>
      <c r="R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S56">
        <f>IF(Metadata!C56="",FALSE,TRUE)</f>
        <v>0</v>
      </c>
      <c r="T56">
        <f>IF(Metadata!D56="",FALSE,TRUE)</f>
        <v>0</v>
      </c>
      <c r="U56">
        <f>IF(Metadata!E56="",FALSE,TRUE)</f>
        <v>0</v>
      </c>
      <c r="V56">
        <f>AND(IF(Metadata!F56="",FALSE,TRUE),exact(Metadata!F56,"rat gut metagenome"))</f>
        <v>0</v>
      </c>
      <c r="W56">
        <f>AND(IF(Metadata!G56="",FALSE,TRUE),exact(Metadata!G56,"1436733"))</f>
        <v>0</v>
      </c>
    </row>
    <row r="57" spans="1:23">
      <c r="A57" s="4">
        <f>IF(B57=" "," ",HYPERLINK(CONCATENATE("#metadata!",ADDRESS(INDEX($M$2:$M$1001,MATCH(ROWS($K$2:K57),$K$2:$K$1001,0),0),1)),INDEX($P$2:$P$1001,MATCH(ROWS($K$2:K57),$K$2:$K$1001,0),0)))</f>
        <v>0</v>
      </c>
      <c r="B57" s="3">
        <f>IF(OR(INDEX($L$2:$L$1001,MATCH(ROWS($K$2:K57),$K$2:$K$1001,0),1)&gt;=100000,INDEX($R$1005:$W$1005,1,MATCH(COLUMNS($R$1006:R1006),$R$1006:$W$1006,0))&gt;=100000), " ",IF(INDEX($R$2:$W$1001,MATCH(ROWS($K$2:K57),$K$2:$K$1001,0),MATCH(COLUMNS($R$1006:R1006),$R$1006:$W$1006,0)), HYPERLINK("#",""), HYPERLINK(CONCATENATE("#Metadata!", ADDRESS(INDEX($M$2:$M$1001,MATCH(ROWS($K$2:K57),$K$2:$K$1001,0),0), INDEX($R$1004:$W$1004,1,MATCH(COLUMNS($R$1006:R1006),$R$1006:$W$1006,0)))),"Fix")))</f>
        <v>0</v>
      </c>
      <c r="C57" s="3">
        <f>IF(OR(INDEX($L$2:$L$1001,MATCH(ROWS($K$2:K57),$K$2:$K$1001,0),1)&gt;=100000,INDEX($R$1005:$W$1005,1,MATCH(COLUMNS($R$1006:S1006),$R$1006:$W$1006,0))&gt;=100000), " ",IF(INDEX($R$2:$W$1001,MATCH(ROWS($K$2:K57),$K$2:$K$1001,0),MATCH(COLUMNS($R$1006:S1006),$R$1006:$W$1006,0)), HYPERLINK("#",""), HYPERLINK(CONCATENATE("#Metadata!", ADDRESS(INDEX($M$2:$M$1001,MATCH(ROWS($K$2:K57),$K$2:$K$1001,0),0), INDEX($R$1004:$W$1004,1,MATCH(COLUMNS($R$1006:S1006),$R$1006:$W$1006,0)))),"Fix")))</f>
        <v>0</v>
      </c>
      <c r="D57" s="3">
        <f>IF(OR(INDEX($L$2:$L$1001,MATCH(ROWS($K$2:K57),$K$2:$K$1001,0),1)&gt;=100000,INDEX($R$1005:$W$1005,1,MATCH(COLUMNS($R$1006:T1006),$R$1006:$W$1006,0))&gt;=100000), " ",IF(INDEX($R$2:$W$1001,MATCH(ROWS($K$2:K57),$K$2:$K$1001,0),MATCH(COLUMNS($R$1006:T1006),$R$1006:$W$1006,0)), HYPERLINK("#",""), HYPERLINK(CONCATENATE("#Metadata!", ADDRESS(INDEX($M$2:$M$1001,MATCH(ROWS($K$2:K57),$K$2:$K$1001,0),0), INDEX($R$1004:$W$1004,1,MATCH(COLUMNS($R$1006:T1006),$R$1006:$W$1006,0)))),"Fix")))</f>
        <v>0</v>
      </c>
      <c r="E57" s="3">
        <f>IF(OR(INDEX($L$2:$L$1001,MATCH(ROWS($K$2:K57),$K$2:$K$1001,0),1)&gt;=100000,INDEX($R$1005:$W$1005,1,MATCH(COLUMNS($R$1006:U1006),$R$1006:$W$1006,0))&gt;=100000), " ",IF(INDEX($R$2:$W$1001,MATCH(ROWS($K$2:K57),$K$2:$K$1001,0),MATCH(COLUMNS($R$1006:U1006),$R$1006:$W$1006,0)), HYPERLINK("#",""), HYPERLINK(CONCATENATE("#Metadata!", ADDRESS(INDEX($M$2:$M$1001,MATCH(ROWS($K$2:K57),$K$2:$K$1001,0),0), INDEX($R$1004:$W$1004,1,MATCH(COLUMNS($R$1006:U1006),$R$1006:$W$1006,0)))),"Fix")))</f>
        <v>0</v>
      </c>
      <c r="F57" s="3">
        <f>IF(OR(INDEX($L$2:$L$1001,MATCH(ROWS($K$2:K57),$K$2:$K$1001,0),1)&gt;=100000,INDEX($R$1005:$W$1005,1,MATCH(COLUMNS($R$1006:V1006),$R$1006:$W$1006,0))&gt;=100000), " ",IF(INDEX($R$2:$W$1001,MATCH(ROWS($K$2:K57),$K$2:$K$1001,0),MATCH(COLUMNS($R$1006:V1006),$R$1006:$W$1006,0)), HYPERLINK("#",""), HYPERLINK(CONCATENATE("#Metadata!", ADDRESS(INDEX($M$2:$M$1001,MATCH(ROWS($K$2:K57),$K$2:$K$1001,0),0), INDEX($R$1004:$W$1004,1,MATCH(COLUMNS($R$1006:V1006),$R$1006:$W$1006,0)))),"Fix")))</f>
        <v>0</v>
      </c>
      <c r="G57" s="3">
        <f>IF(OR(INDEX($L$2:$L$1001,MATCH(ROWS($K$2:K57),$K$2:$K$1001,0),1)&gt;=100000,INDEX($R$1005:$W$1005,1,MATCH(COLUMNS($R$1006:W1006),$R$1006:$W$1006,0))&gt;=100000), " ",IF(INDEX($R$2:$W$1001,MATCH(ROWS($K$2:K57),$K$2:$K$1001,0),MATCH(COLUMNS($R$1006:W1006),$R$1006:$W$1006,0)), HYPERLINK("#",""), HYPERLINK(CONCATENATE("#Metadata!", ADDRESS(INDEX($M$2:$M$1001,MATCH(ROWS($K$2:K57),$K$2:$K$1001,0),0), INDEX($R$1004:$W$1004,1,MATCH(COLUMNS($R$1006:W1006),$R$1006:$W$1006,0)))),"Fix")))</f>
        <v>0</v>
      </c>
      <c r="K57">
        <v>0</v>
      </c>
      <c r="L57">
        <v>0</v>
      </c>
      <c r="M57">
        <v>0</v>
      </c>
      <c r="N57">
        <f>IF(O57,TRUE,AND(R57:W57))</f>
        <v>0</v>
      </c>
      <c r="O57">
        <f>COUNTBLANK(Metadata!B57:G57)=COLUMNS(Metadata!B57:G57)</f>
        <v>0</v>
      </c>
      <c r="P57">
        <v>0</v>
      </c>
      <c r="R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S57">
        <f>IF(Metadata!C57="",FALSE,TRUE)</f>
        <v>0</v>
      </c>
      <c r="T57">
        <f>IF(Metadata!D57="",FALSE,TRUE)</f>
        <v>0</v>
      </c>
      <c r="U57">
        <f>IF(Metadata!E57="",FALSE,TRUE)</f>
        <v>0</v>
      </c>
      <c r="V57">
        <f>AND(IF(Metadata!F57="",FALSE,TRUE),exact(Metadata!F57,"rat gut metagenome"))</f>
        <v>0</v>
      </c>
      <c r="W57">
        <f>AND(IF(Metadata!G57="",FALSE,TRUE),exact(Metadata!G57,"1436733"))</f>
        <v>0</v>
      </c>
    </row>
    <row r="58" spans="1:23">
      <c r="A58" s="4">
        <f>IF(B58=" "," ",HYPERLINK(CONCATENATE("#metadata!",ADDRESS(INDEX($M$2:$M$1001,MATCH(ROWS($K$2:K58),$K$2:$K$1001,0),0),1)),INDEX($P$2:$P$1001,MATCH(ROWS($K$2:K58),$K$2:$K$1001,0),0)))</f>
        <v>0</v>
      </c>
      <c r="B58" s="3">
        <f>IF(OR(INDEX($L$2:$L$1001,MATCH(ROWS($K$2:K58),$K$2:$K$1001,0),1)&gt;=100000,INDEX($R$1005:$W$1005,1,MATCH(COLUMNS($R$1006:R1006),$R$1006:$W$1006,0))&gt;=100000), " ",IF(INDEX($R$2:$W$1001,MATCH(ROWS($K$2:K58),$K$2:$K$1001,0),MATCH(COLUMNS($R$1006:R1006),$R$1006:$W$1006,0)), HYPERLINK("#",""), HYPERLINK(CONCATENATE("#Metadata!", ADDRESS(INDEX($M$2:$M$1001,MATCH(ROWS($K$2:K58),$K$2:$K$1001,0),0), INDEX($R$1004:$W$1004,1,MATCH(COLUMNS($R$1006:R1006),$R$1006:$W$1006,0)))),"Fix")))</f>
        <v>0</v>
      </c>
      <c r="C58" s="3">
        <f>IF(OR(INDEX($L$2:$L$1001,MATCH(ROWS($K$2:K58),$K$2:$K$1001,0),1)&gt;=100000,INDEX($R$1005:$W$1005,1,MATCH(COLUMNS($R$1006:S1006),$R$1006:$W$1006,0))&gt;=100000), " ",IF(INDEX($R$2:$W$1001,MATCH(ROWS($K$2:K58),$K$2:$K$1001,0),MATCH(COLUMNS($R$1006:S1006),$R$1006:$W$1006,0)), HYPERLINK("#",""), HYPERLINK(CONCATENATE("#Metadata!", ADDRESS(INDEX($M$2:$M$1001,MATCH(ROWS($K$2:K58),$K$2:$K$1001,0),0), INDEX($R$1004:$W$1004,1,MATCH(COLUMNS($R$1006:S1006),$R$1006:$W$1006,0)))),"Fix")))</f>
        <v>0</v>
      </c>
      <c r="D58" s="3">
        <f>IF(OR(INDEX($L$2:$L$1001,MATCH(ROWS($K$2:K58),$K$2:$K$1001,0),1)&gt;=100000,INDEX($R$1005:$W$1005,1,MATCH(COLUMNS($R$1006:T1006),$R$1006:$W$1006,0))&gt;=100000), " ",IF(INDEX($R$2:$W$1001,MATCH(ROWS($K$2:K58),$K$2:$K$1001,0),MATCH(COLUMNS($R$1006:T1006),$R$1006:$W$1006,0)), HYPERLINK("#",""), HYPERLINK(CONCATENATE("#Metadata!", ADDRESS(INDEX($M$2:$M$1001,MATCH(ROWS($K$2:K58),$K$2:$K$1001,0),0), INDEX($R$1004:$W$1004,1,MATCH(COLUMNS($R$1006:T1006),$R$1006:$W$1006,0)))),"Fix")))</f>
        <v>0</v>
      </c>
      <c r="E58" s="3">
        <f>IF(OR(INDEX($L$2:$L$1001,MATCH(ROWS($K$2:K58),$K$2:$K$1001,0),1)&gt;=100000,INDEX($R$1005:$W$1005,1,MATCH(COLUMNS($R$1006:U1006),$R$1006:$W$1006,0))&gt;=100000), " ",IF(INDEX($R$2:$W$1001,MATCH(ROWS($K$2:K58),$K$2:$K$1001,0),MATCH(COLUMNS($R$1006:U1006),$R$1006:$W$1006,0)), HYPERLINK("#",""), HYPERLINK(CONCATENATE("#Metadata!", ADDRESS(INDEX($M$2:$M$1001,MATCH(ROWS($K$2:K58),$K$2:$K$1001,0),0), INDEX($R$1004:$W$1004,1,MATCH(COLUMNS($R$1006:U1006),$R$1006:$W$1006,0)))),"Fix")))</f>
        <v>0</v>
      </c>
      <c r="F58" s="3">
        <f>IF(OR(INDEX($L$2:$L$1001,MATCH(ROWS($K$2:K58),$K$2:$K$1001,0),1)&gt;=100000,INDEX($R$1005:$W$1005,1,MATCH(COLUMNS($R$1006:V1006),$R$1006:$W$1006,0))&gt;=100000), " ",IF(INDEX($R$2:$W$1001,MATCH(ROWS($K$2:K58),$K$2:$K$1001,0),MATCH(COLUMNS($R$1006:V1006),$R$1006:$W$1006,0)), HYPERLINK("#",""), HYPERLINK(CONCATENATE("#Metadata!", ADDRESS(INDEX($M$2:$M$1001,MATCH(ROWS($K$2:K58),$K$2:$K$1001,0),0), INDEX($R$1004:$W$1004,1,MATCH(COLUMNS($R$1006:V1006),$R$1006:$W$1006,0)))),"Fix")))</f>
        <v>0</v>
      </c>
      <c r="G58" s="3">
        <f>IF(OR(INDEX($L$2:$L$1001,MATCH(ROWS($K$2:K58),$K$2:$K$1001,0),1)&gt;=100000,INDEX($R$1005:$W$1005,1,MATCH(COLUMNS($R$1006:W1006),$R$1006:$W$1006,0))&gt;=100000), " ",IF(INDEX($R$2:$W$1001,MATCH(ROWS($K$2:K58),$K$2:$K$1001,0),MATCH(COLUMNS($R$1006:W1006),$R$1006:$W$1006,0)), HYPERLINK("#",""), HYPERLINK(CONCATENATE("#Metadata!", ADDRESS(INDEX($M$2:$M$1001,MATCH(ROWS($K$2:K58),$K$2:$K$1001,0),0), INDEX($R$1004:$W$1004,1,MATCH(COLUMNS($R$1006:W1006),$R$1006:$W$1006,0)))),"Fix")))</f>
        <v>0</v>
      </c>
      <c r="K58">
        <v>0</v>
      </c>
      <c r="L58">
        <v>0</v>
      </c>
      <c r="M58">
        <v>0</v>
      </c>
      <c r="N58">
        <f>IF(O58,TRUE,AND(R58:W58))</f>
        <v>0</v>
      </c>
      <c r="O58">
        <f>COUNTBLANK(Metadata!B58:G58)=COLUMNS(Metadata!B58:G58)</f>
        <v>0</v>
      </c>
      <c r="P58">
        <v>0</v>
      </c>
      <c r="R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S58">
        <f>IF(Metadata!C58="",FALSE,TRUE)</f>
        <v>0</v>
      </c>
      <c r="T58">
        <f>IF(Metadata!D58="",FALSE,TRUE)</f>
        <v>0</v>
      </c>
      <c r="U58">
        <f>IF(Metadata!E58="",FALSE,TRUE)</f>
        <v>0</v>
      </c>
      <c r="V58">
        <f>AND(IF(Metadata!F58="",FALSE,TRUE),exact(Metadata!F58,"rat gut metagenome"))</f>
        <v>0</v>
      </c>
      <c r="W58">
        <f>AND(IF(Metadata!G58="",FALSE,TRUE),exact(Metadata!G58,"1436733"))</f>
        <v>0</v>
      </c>
    </row>
    <row r="59" spans="1:23">
      <c r="A59" s="4">
        <f>IF(B59=" "," ",HYPERLINK(CONCATENATE("#metadata!",ADDRESS(INDEX($M$2:$M$1001,MATCH(ROWS($K$2:K59),$K$2:$K$1001,0),0),1)),INDEX($P$2:$P$1001,MATCH(ROWS($K$2:K59),$K$2:$K$1001,0),0)))</f>
        <v>0</v>
      </c>
      <c r="B59" s="3">
        <f>IF(OR(INDEX($L$2:$L$1001,MATCH(ROWS($K$2:K59),$K$2:$K$1001,0),1)&gt;=100000,INDEX($R$1005:$W$1005,1,MATCH(COLUMNS($R$1006:R1006),$R$1006:$W$1006,0))&gt;=100000), " ",IF(INDEX($R$2:$W$1001,MATCH(ROWS($K$2:K59),$K$2:$K$1001,0),MATCH(COLUMNS($R$1006:R1006),$R$1006:$W$1006,0)), HYPERLINK("#",""), HYPERLINK(CONCATENATE("#Metadata!", ADDRESS(INDEX($M$2:$M$1001,MATCH(ROWS($K$2:K59),$K$2:$K$1001,0),0), INDEX($R$1004:$W$1004,1,MATCH(COLUMNS($R$1006:R1006),$R$1006:$W$1006,0)))),"Fix")))</f>
        <v>0</v>
      </c>
      <c r="C59" s="3">
        <f>IF(OR(INDEX($L$2:$L$1001,MATCH(ROWS($K$2:K59),$K$2:$K$1001,0),1)&gt;=100000,INDEX($R$1005:$W$1005,1,MATCH(COLUMNS($R$1006:S1006),$R$1006:$W$1006,0))&gt;=100000), " ",IF(INDEX($R$2:$W$1001,MATCH(ROWS($K$2:K59),$K$2:$K$1001,0),MATCH(COLUMNS($R$1006:S1006),$R$1006:$W$1006,0)), HYPERLINK("#",""), HYPERLINK(CONCATENATE("#Metadata!", ADDRESS(INDEX($M$2:$M$1001,MATCH(ROWS($K$2:K59),$K$2:$K$1001,0),0), INDEX($R$1004:$W$1004,1,MATCH(COLUMNS($R$1006:S1006),$R$1006:$W$1006,0)))),"Fix")))</f>
        <v>0</v>
      </c>
      <c r="D59" s="3">
        <f>IF(OR(INDEX($L$2:$L$1001,MATCH(ROWS($K$2:K59),$K$2:$K$1001,0),1)&gt;=100000,INDEX($R$1005:$W$1005,1,MATCH(COLUMNS($R$1006:T1006),$R$1006:$W$1006,0))&gt;=100000), " ",IF(INDEX($R$2:$W$1001,MATCH(ROWS($K$2:K59),$K$2:$K$1001,0),MATCH(COLUMNS($R$1006:T1006),$R$1006:$W$1006,0)), HYPERLINK("#",""), HYPERLINK(CONCATENATE("#Metadata!", ADDRESS(INDEX($M$2:$M$1001,MATCH(ROWS($K$2:K59),$K$2:$K$1001,0),0), INDEX($R$1004:$W$1004,1,MATCH(COLUMNS($R$1006:T1006),$R$1006:$W$1006,0)))),"Fix")))</f>
        <v>0</v>
      </c>
      <c r="E59" s="3">
        <f>IF(OR(INDEX($L$2:$L$1001,MATCH(ROWS($K$2:K59),$K$2:$K$1001,0),1)&gt;=100000,INDEX($R$1005:$W$1005,1,MATCH(COLUMNS($R$1006:U1006),$R$1006:$W$1006,0))&gt;=100000), " ",IF(INDEX($R$2:$W$1001,MATCH(ROWS($K$2:K59),$K$2:$K$1001,0),MATCH(COLUMNS($R$1006:U1006),$R$1006:$W$1006,0)), HYPERLINK("#",""), HYPERLINK(CONCATENATE("#Metadata!", ADDRESS(INDEX($M$2:$M$1001,MATCH(ROWS($K$2:K59),$K$2:$K$1001,0),0), INDEX($R$1004:$W$1004,1,MATCH(COLUMNS($R$1006:U1006),$R$1006:$W$1006,0)))),"Fix")))</f>
        <v>0</v>
      </c>
      <c r="F59" s="3">
        <f>IF(OR(INDEX($L$2:$L$1001,MATCH(ROWS($K$2:K59),$K$2:$K$1001,0),1)&gt;=100000,INDEX($R$1005:$W$1005,1,MATCH(COLUMNS($R$1006:V1006),$R$1006:$W$1006,0))&gt;=100000), " ",IF(INDEX($R$2:$W$1001,MATCH(ROWS($K$2:K59),$K$2:$K$1001,0),MATCH(COLUMNS($R$1006:V1006),$R$1006:$W$1006,0)), HYPERLINK("#",""), HYPERLINK(CONCATENATE("#Metadata!", ADDRESS(INDEX($M$2:$M$1001,MATCH(ROWS($K$2:K59),$K$2:$K$1001,0),0), INDEX($R$1004:$W$1004,1,MATCH(COLUMNS($R$1006:V1006),$R$1006:$W$1006,0)))),"Fix")))</f>
        <v>0</v>
      </c>
      <c r="G59" s="3">
        <f>IF(OR(INDEX($L$2:$L$1001,MATCH(ROWS($K$2:K59),$K$2:$K$1001,0),1)&gt;=100000,INDEX($R$1005:$W$1005,1,MATCH(COLUMNS($R$1006:W1006),$R$1006:$W$1006,0))&gt;=100000), " ",IF(INDEX($R$2:$W$1001,MATCH(ROWS($K$2:K59),$K$2:$K$1001,0),MATCH(COLUMNS($R$1006:W1006),$R$1006:$W$1006,0)), HYPERLINK("#",""), HYPERLINK(CONCATENATE("#Metadata!", ADDRESS(INDEX($M$2:$M$1001,MATCH(ROWS($K$2:K59),$K$2:$K$1001,0),0), INDEX($R$1004:$W$1004,1,MATCH(COLUMNS($R$1006:W1006),$R$1006:$W$1006,0)))),"Fix")))</f>
        <v>0</v>
      </c>
      <c r="K59">
        <v>0</v>
      </c>
      <c r="L59">
        <v>0</v>
      </c>
      <c r="M59">
        <v>0</v>
      </c>
      <c r="N59">
        <f>IF(O59,TRUE,AND(R59:W59))</f>
        <v>0</v>
      </c>
      <c r="O59">
        <f>COUNTBLANK(Metadata!B59:G59)=COLUMNS(Metadata!B59:G59)</f>
        <v>0</v>
      </c>
      <c r="P59">
        <v>0</v>
      </c>
      <c r="R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S59">
        <f>IF(Metadata!C59="",FALSE,TRUE)</f>
        <v>0</v>
      </c>
      <c r="T59">
        <f>IF(Metadata!D59="",FALSE,TRUE)</f>
        <v>0</v>
      </c>
      <c r="U59">
        <f>IF(Metadata!E59="",FALSE,TRUE)</f>
        <v>0</v>
      </c>
      <c r="V59">
        <f>AND(IF(Metadata!F59="",FALSE,TRUE),exact(Metadata!F59,"rat gut metagenome"))</f>
        <v>0</v>
      </c>
      <c r="W59">
        <f>AND(IF(Metadata!G59="",FALSE,TRUE),exact(Metadata!G59,"1436733"))</f>
        <v>0</v>
      </c>
    </row>
    <row r="60" spans="1:23">
      <c r="A60" s="4">
        <f>IF(B60=" "," ",HYPERLINK(CONCATENATE("#metadata!",ADDRESS(INDEX($M$2:$M$1001,MATCH(ROWS($K$2:K60),$K$2:$K$1001,0),0),1)),INDEX($P$2:$P$1001,MATCH(ROWS($K$2:K60),$K$2:$K$1001,0),0)))</f>
        <v>0</v>
      </c>
      <c r="B60" s="3">
        <f>IF(OR(INDEX($L$2:$L$1001,MATCH(ROWS($K$2:K60),$K$2:$K$1001,0),1)&gt;=100000,INDEX($R$1005:$W$1005,1,MATCH(COLUMNS($R$1006:R1006),$R$1006:$W$1006,0))&gt;=100000), " ",IF(INDEX($R$2:$W$1001,MATCH(ROWS($K$2:K60),$K$2:$K$1001,0),MATCH(COLUMNS($R$1006:R1006),$R$1006:$W$1006,0)), HYPERLINK("#",""), HYPERLINK(CONCATENATE("#Metadata!", ADDRESS(INDEX($M$2:$M$1001,MATCH(ROWS($K$2:K60),$K$2:$K$1001,0),0), INDEX($R$1004:$W$1004,1,MATCH(COLUMNS($R$1006:R1006),$R$1006:$W$1006,0)))),"Fix")))</f>
        <v>0</v>
      </c>
      <c r="C60" s="3">
        <f>IF(OR(INDEX($L$2:$L$1001,MATCH(ROWS($K$2:K60),$K$2:$K$1001,0),1)&gt;=100000,INDEX($R$1005:$W$1005,1,MATCH(COLUMNS($R$1006:S1006),$R$1006:$W$1006,0))&gt;=100000), " ",IF(INDEX($R$2:$W$1001,MATCH(ROWS($K$2:K60),$K$2:$K$1001,0),MATCH(COLUMNS($R$1006:S1006),$R$1006:$W$1006,0)), HYPERLINK("#",""), HYPERLINK(CONCATENATE("#Metadata!", ADDRESS(INDEX($M$2:$M$1001,MATCH(ROWS($K$2:K60),$K$2:$K$1001,0),0), INDEX($R$1004:$W$1004,1,MATCH(COLUMNS($R$1006:S1006),$R$1006:$W$1006,0)))),"Fix")))</f>
        <v>0</v>
      </c>
      <c r="D60" s="3">
        <f>IF(OR(INDEX($L$2:$L$1001,MATCH(ROWS($K$2:K60),$K$2:$K$1001,0),1)&gt;=100000,INDEX($R$1005:$W$1005,1,MATCH(COLUMNS($R$1006:T1006),$R$1006:$W$1006,0))&gt;=100000), " ",IF(INDEX($R$2:$W$1001,MATCH(ROWS($K$2:K60),$K$2:$K$1001,0),MATCH(COLUMNS($R$1006:T1006),$R$1006:$W$1006,0)), HYPERLINK("#",""), HYPERLINK(CONCATENATE("#Metadata!", ADDRESS(INDEX($M$2:$M$1001,MATCH(ROWS($K$2:K60),$K$2:$K$1001,0),0), INDEX($R$1004:$W$1004,1,MATCH(COLUMNS($R$1006:T1006),$R$1006:$W$1006,0)))),"Fix")))</f>
        <v>0</v>
      </c>
      <c r="E60" s="3">
        <f>IF(OR(INDEX($L$2:$L$1001,MATCH(ROWS($K$2:K60),$K$2:$K$1001,0),1)&gt;=100000,INDEX($R$1005:$W$1005,1,MATCH(COLUMNS($R$1006:U1006),$R$1006:$W$1006,0))&gt;=100000), " ",IF(INDEX($R$2:$W$1001,MATCH(ROWS($K$2:K60),$K$2:$K$1001,0),MATCH(COLUMNS($R$1006:U1006),$R$1006:$W$1006,0)), HYPERLINK("#",""), HYPERLINK(CONCATENATE("#Metadata!", ADDRESS(INDEX($M$2:$M$1001,MATCH(ROWS($K$2:K60),$K$2:$K$1001,0),0), INDEX($R$1004:$W$1004,1,MATCH(COLUMNS($R$1006:U1006),$R$1006:$W$1006,0)))),"Fix")))</f>
        <v>0</v>
      </c>
      <c r="F60" s="3">
        <f>IF(OR(INDEX($L$2:$L$1001,MATCH(ROWS($K$2:K60),$K$2:$K$1001,0),1)&gt;=100000,INDEX($R$1005:$W$1005,1,MATCH(COLUMNS($R$1006:V1006),$R$1006:$W$1006,0))&gt;=100000), " ",IF(INDEX($R$2:$W$1001,MATCH(ROWS($K$2:K60),$K$2:$K$1001,0),MATCH(COLUMNS($R$1006:V1006),$R$1006:$W$1006,0)), HYPERLINK("#",""), HYPERLINK(CONCATENATE("#Metadata!", ADDRESS(INDEX($M$2:$M$1001,MATCH(ROWS($K$2:K60),$K$2:$K$1001,0),0), INDEX($R$1004:$W$1004,1,MATCH(COLUMNS($R$1006:V1006),$R$1006:$W$1006,0)))),"Fix")))</f>
        <v>0</v>
      </c>
      <c r="G60" s="3">
        <f>IF(OR(INDEX($L$2:$L$1001,MATCH(ROWS($K$2:K60),$K$2:$K$1001,0),1)&gt;=100000,INDEX($R$1005:$W$1005,1,MATCH(COLUMNS($R$1006:W1006),$R$1006:$W$1006,0))&gt;=100000), " ",IF(INDEX($R$2:$W$1001,MATCH(ROWS($K$2:K60),$K$2:$K$1001,0),MATCH(COLUMNS($R$1006:W1006),$R$1006:$W$1006,0)), HYPERLINK("#",""), HYPERLINK(CONCATENATE("#Metadata!", ADDRESS(INDEX($M$2:$M$1001,MATCH(ROWS($K$2:K60),$K$2:$K$1001,0),0), INDEX($R$1004:$W$1004,1,MATCH(COLUMNS($R$1006:W1006),$R$1006:$W$1006,0)))),"Fix")))</f>
        <v>0</v>
      </c>
      <c r="K60">
        <v>0</v>
      </c>
      <c r="L60">
        <v>0</v>
      </c>
      <c r="M60">
        <v>0</v>
      </c>
      <c r="N60">
        <f>IF(O60,TRUE,AND(R60:W60))</f>
        <v>0</v>
      </c>
      <c r="O60">
        <f>COUNTBLANK(Metadata!B60:G60)=COLUMNS(Metadata!B60:G60)</f>
        <v>0</v>
      </c>
      <c r="P60">
        <v>0</v>
      </c>
      <c r="R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S60">
        <f>IF(Metadata!C60="",FALSE,TRUE)</f>
        <v>0</v>
      </c>
      <c r="T60">
        <f>IF(Metadata!D60="",FALSE,TRUE)</f>
        <v>0</v>
      </c>
      <c r="U60">
        <f>IF(Metadata!E60="",FALSE,TRUE)</f>
        <v>0</v>
      </c>
      <c r="V60">
        <f>AND(IF(Metadata!F60="",FALSE,TRUE),exact(Metadata!F60,"rat gut metagenome"))</f>
        <v>0</v>
      </c>
      <c r="W60">
        <f>AND(IF(Metadata!G60="",FALSE,TRUE),exact(Metadata!G60,"1436733"))</f>
        <v>0</v>
      </c>
    </row>
    <row r="61" spans="1:23">
      <c r="A61" s="4">
        <f>IF(B61=" "," ",HYPERLINK(CONCATENATE("#metadata!",ADDRESS(INDEX($M$2:$M$1001,MATCH(ROWS($K$2:K61),$K$2:$K$1001,0),0),1)),INDEX($P$2:$P$1001,MATCH(ROWS($K$2:K61),$K$2:$K$1001,0),0)))</f>
        <v>0</v>
      </c>
      <c r="B61" s="3">
        <f>IF(OR(INDEX($L$2:$L$1001,MATCH(ROWS($K$2:K61),$K$2:$K$1001,0),1)&gt;=100000,INDEX($R$1005:$W$1005,1,MATCH(COLUMNS($R$1006:R1006),$R$1006:$W$1006,0))&gt;=100000), " ",IF(INDEX($R$2:$W$1001,MATCH(ROWS($K$2:K61),$K$2:$K$1001,0),MATCH(COLUMNS($R$1006:R1006),$R$1006:$W$1006,0)), HYPERLINK("#",""), HYPERLINK(CONCATENATE("#Metadata!", ADDRESS(INDEX($M$2:$M$1001,MATCH(ROWS($K$2:K61),$K$2:$K$1001,0),0), INDEX($R$1004:$W$1004,1,MATCH(COLUMNS($R$1006:R1006),$R$1006:$W$1006,0)))),"Fix")))</f>
        <v>0</v>
      </c>
      <c r="C61" s="3">
        <f>IF(OR(INDEX($L$2:$L$1001,MATCH(ROWS($K$2:K61),$K$2:$K$1001,0),1)&gt;=100000,INDEX($R$1005:$W$1005,1,MATCH(COLUMNS($R$1006:S1006),$R$1006:$W$1006,0))&gt;=100000), " ",IF(INDEX($R$2:$W$1001,MATCH(ROWS($K$2:K61),$K$2:$K$1001,0),MATCH(COLUMNS($R$1006:S1006),$R$1006:$W$1006,0)), HYPERLINK("#",""), HYPERLINK(CONCATENATE("#Metadata!", ADDRESS(INDEX($M$2:$M$1001,MATCH(ROWS($K$2:K61),$K$2:$K$1001,0),0), INDEX($R$1004:$W$1004,1,MATCH(COLUMNS($R$1006:S1006),$R$1006:$W$1006,0)))),"Fix")))</f>
        <v>0</v>
      </c>
      <c r="D61" s="3">
        <f>IF(OR(INDEX($L$2:$L$1001,MATCH(ROWS($K$2:K61),$K$2:$K$1001,0),1)&gt;=100000,INDEX($R$1005:$W$1005,1,MATCH(COLUMNS($R$1006:T1006),$R$1006:$W$1006,0))&gt;=100000), " ",IF(INDEX($R$2:$W$1001,MATCH(ROWS($K$2:K61),$K$2:$K$1001,0),MATCH(COLUMNS($R$1006:T1006),$R$1006:$W$1006,0)), HYPERLINK("#",""), HYPERLINK(CONCATENATE("#Metadata!", ADDRESS(INDEX($M$2:$M$1001,MATCH(ROWS($K$2:K61),$K$2:$K$1001,0),0), INDEX($R$1004:$W$1004,1,MATCH(COLUMNS($R$1006:T1006),$R$1006:$W$1006,0)))),"Fix")))</f>
        <v>0</v>
      </c>
      <c r="E61" s="3">
        <f>IF(OR(INDEX($L$2:$L$1001,MATCH(ROWS($K$2:K61),$K$2:$K$1001,0),1)&gt;=100000,INDEX($R$1005:$W$1005,1,MATCH(COLUMNS($R$1006:U1006),$R$1006:$W$1006,0))&gt;=100000), " ",IF(INDEX($R$2:$W$1001,MATCH(ROWS($K$2:K61),$K$2:$K$1001,0),MATCH(COLUMNS($R$1006:U1006),$R$1006:$W$1006,0)), HYPERLINK("#",""), HYPERLINK(CONCATENATE("#Metadata!", ADDRESS(INDEX($M$2:$M$1001,MATCH(ROWS($K$2:K61),$K$2:$K$1001,0),0), INDEX($R$1004:$W$1004,1,MATCH(COLUMNS($R$1006:U1006),$R$1006:$W$1006,0)))),"Fix")))</f>
        <v>0</v>
      </c>
      <c r="F61" s="3">
        <f>IF(OR(INDEX($L$2:$L$1001,MATCH(ROWS($K$2:K61),$K$2:$K$1001,0),1)&gt;=100000,INDEX($R$1005:$W$1005,1,MATCH(COLUMNS($R$1006:V1006),$R$1006:$W$1006,0))&gt;=100000), " ",IF(INDEX($R$2:$W$1001,MATCH(ROWS($K$2:K61),$K$2:$K$1001,0),MATCH(COLUMNS($R$1006:V1006),$R$1006:$W$1006,0)), HYPERLINK("#",""), HYPERLINK(CONCATENATE("#Metadata!", ADDRESS(INDEX($M$2:$M$1001,MATCH(ROWS($K$2:K61),$K$2:$K$1001,0),0), INDEX($R$1004:$W$1004,1,MATCH(COLUMNS($R$1006:V1006),$R$1006:$W$1006,0)))),"Fix")))</f>
        <v>0</v>
      </c>
      <c r="G61" s="3">
        <f>IF(OR(INDEX($L$2:$L$1001,MATCH(ROWS($K$2:K61),$K$2:$K$1001,0),1)&gt;=100000,INDEX($R$1005:$W$1005,1,MATCH(COLUMNS($R$1006:W1006),$R$1006:$W$1006,0))&gt;=100000), " ",IF(INDEX($R$2:$W$1001,MATCH(ROWS($K$2:K61),$K$2:$K$1001,0),MATCH(COLUMNS($R$1006:W1006),$R$1006:$W$1006,0)), HYPERLINK("#",""), HYPERLINK(CONCATENATE("#Metadata!", ADDRESS(INDEX($M$2:$M$1001,MATCH(ROWS($K$2:K61),$K$2:$K$1001,0),0), INDEX($R$1004:$W$1004,1,MATCH(COLUMNS($R$1006:W1006),$R$1006:$W$1006,0)))),"Fix")))</f>
        <v>0</v>
      </c>
      <c r="K61">
        <v>0</v>
      </c>
      <c r="L61">
        <v>0</v>
      </c>
      <c r="M61">
        <v>0</v>
      </c>
      <c r="N61">
        <f>IF(O61,TRUE,AND(R61:W61))</f>
        <v>0</v>
      </c>
      <c r="O61">
        <f>COUNTBLANK(Metadata!B61:G61)=COLUMNS(Metadata!B61:G61)</f>
        <v>0</v>
      </c>
      <c r="P61">
        <v>0</v>
      </c>
      <c r="R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S61">
        <f>IF(Metadata!C61="",FALSE,TRUE)</f>
        <v>0</v>
      </c>
      <c r="T61">
        <f>IF(Metadata!D61="",FALSE,TRUE)</f>
        <v>0</v>
      </c>
      <c r="U61">
        <f>IF(Metadata!E61="",FALSE,TRUE)</f>
        <v>0</v>
      </c>
      <c r="V61">
        <f>AND(IF(Metadata!F61="",FALSE,TRUE),exact(Metadata!F61,"rat gut metagenome"))</f>
        <v>0</v>
      </c>
      <c r="W61">
        <f>AND(IF(Metadata!G61="",FALSE,TRUE),exact(Metadata!G61,"1436733"))</f>
        <v>0</v>
      </c>
    </row>
    <row r="62" spans="1:23">
      <c r="A62" s="4">
        <f>IF(B62=" "," ",HYPERLINK(CONCATENATE("#metadata!",ADDRESS(INDEX($M$2:$M$1001,MATCH(ROWS($K$2:K62),$K$2:$K$1001,0),0),1)),INDEX($P$2:$P$1001,MATCH(ROWS($K$2:K62),$K$2:$K$1001,0),0)))</f>
        <v>0</v>
      </c>
      <c r="B62" s="3">
        <f>IF(OR(INDEX($L$2:$L$1001,MATCH(ROWS($K$2:K62),$K$2:$K$1001,0),1)&gt;=100000,INDEX($R$1005:$W$1005,1,MATCH(COLUMNS($R$1006:R1006),$R$1006:$W$1006,0))&gt;=100000), " ",IF(INDEX($R$2:$W$1001,MATCH(ROWS($K$2:K62),$K$2:$K$1001,0),MATCH(COLUMNS($R$1006:R1006),$R$1006:$W$1006,0)), HYPERLINK("#",""), HYPERLINK(CONCATENATE("#Metadata!", ADDRESS(INDEX($M$2:$M$1001,MATCH(ROWS($K$2:K62),$K$2:$K$1001,0),0), INDEX($R$1004:$W$1004,1,MATCH(COLUMNS($R$1006:R1006),$R$1006:$W$1006,0)))),"Fix")))</f>
        <v>0</v>
      </c>
      <c r="C62" s="3">
        <f>IF(OR(INDEX($L$2:$L$1001,MATCH(ROWS($K$2:K62),$K$2:$K$1001,0),1)&gt;=100000,INDEX($R$1005:$W$1005,1,MATCH(COLUMNS($R$1006:S1006),$R$1006:$W$1006,0))&gt;=100000), " ",IF(INDEX($R$2:$W$1001,MATCH(ROWS($K$2:K62),$K$2:$K$1001,0),MATCH(COLUMNS($R$1006:S1006),$R$1006:$W$1006,0)), HYPERLINK("#",""), HYPERLINK(CONCATENATE("#Metadata!", ADDRESS(INDEX($M$2:$M$1001,MATCH(ROWS($K$2:K62),$K$2:$K$1001,0),0), INDEX($R$1004:$W$1004,1,MATCH(COLUMNS($R$1006:S1006),$R$1006:$W$1006,0)))),"Fix")))</f>
        <v>0</v>
      </c>
      <c r="D62" s="3">
        <f>IF(OR(INDEX($L$2:$L$1001,MATCH(ROWS($K$2:K62),$K$2:$K$1001,0),1)&gt;=100000,INDEX($R$1005:$W$1005,1,MATCH(COLUMNS($R$1006:T1006),$R$1006:$W$1006,0))&gt;=100000), " ",IF(INDEX($R$2:$W$1001,MATCH(ROWS($K$2:K62),$K$2:$K$1001,0),MATCH(COLUMNS($R$1006:T1006),$R$1006:$W$1006,0)), HYPERLINK("#",""), HYPERLINK(CONCATENATE("#Metadata!", ADDRESS(INDEX($M$2:$M$1001,MATCH(ROWS($K$2:K62),$K$2:$K$1001,0),0), INDEX($R$1004:$W$1004,1,MATCH(COLUMNS($R$1006:T1006),$R$1006:$W$1006,0)))),"Fix")))</f>
        <v>0</v>
      </c>
      <c r="E62" s="3">
        <f>IF(OR(INDEX($L$2:$L$1001,MATCH(ROWS($K$2:K62),$K$2:$K$1001,0),1)&gt;=100000,INDEX($R$1005:$W$1005,1,MATCH(COLUMNS($R$1006:U1006),$R$1006:$W$1006,0))&gt;=100000), " ",IF(INDEX($R$2:$W$1001,MATCH(ROWS($K$2:K62),$K$2:$K$1001,0),MATCH(COLUMNS($R$1006:U1006),$R$1006:$W$1006,0)), HYPERLINK("#",""), HYPERLINK(CONCATENATE("#Metadata!", ADDRESS(INDEX($M$2:$M$1001,MATCH(ROWS($K$2:K62),$K$2:$K$1001,0),0), INDEX($R$1004:$W$1004,1,MATCH(COLUMNS($R$1006:U1006),$R$1006:$W$1006,0)))),"Fix")))</f>
        <v>0</v>
      </c>
      <c r="F62" s="3">
        <f>IF(OR(INDEX($L$2:$L$1001,MATCH(ROWS($K$2:K62),$K$2:$K$1001,0),1)&gt;=100000,INDEX($R$1005:$W$1005,1,MATCH(COLUMNS($R$1006:V1006),$R$1006:$W$1006,0))&gt;=100000), " ",IF(INDEX($R$2:$W$1001,MATCH(ROWS($K$2:K62),$K$2:$K$1001,0),MATCH(COLUMNS($R$1006:V1006),$R$1006:$W$1006,0)), HYPERLINK("#",""), HYPERLINK(CONCATENATE("#Metadata!", ADDRESS(INDEX($M$2:$M$1001,MATCH(ROWS($K$2:K62),$K$2:$K$1001,0),0), INDEX($R$1004:$W$1004,1,MATCH(COLUMNS($R$1006:V1006),$R$1006:$W$1006,0)))),"Fix")))</f>
        <v>0</v>
      </c>
      <c r="G62" s="3">
        <f>IF(OR(INDEX($L$2:$L$1001,MATCH(ROWS($K$2:K62),$K$2:$K$1001,0),1)&gt;=100000,INDEX($R$1005:$W$1005,1,MATCH(COLUMNS($R$1006:W1006),$R$1006:$W$1006,0))&gt;=100000), " ",IF(INDEX($R$2:$W$1001,MATCH(ROWS($K$2:K62),$K$2:$K$1001,0),MATCH(COLUMNS($R$1006:W1006),$R$1006:$W$1006,0)), HYPERLINK("#",""), HYPERLINK(CONCATENATE("#Metadata!", ADDRESS(INDEX($M$2:$M$1001,MATCH(ROWS($K$2:K62),$K$2:$K$1001,0),0), INDEX($R$1004:$W$1004,1,MATCH(COLUMNS($R$1006:W1006),$R$1006:$W$1006,0)))),"Fix")))</f>
        <v>0</v>
      </c>
      <c r="K62">
        <v>0</v>
      </c>
      <c r="L62">
        <v>0</v>
      </c>
      <c r="M62">
        <v>0</v>
      </c>
      <c r="N62">
        <f>IF(O62,TRUE,AND(R62:W62))</f>
        <v>0</v>
      </c>
      <c r="O62">
        <f>COUNTBLANK(Metadata!B62:G62)=COLUMNS(Metadata!B62:G62)</f>
        <v>0</v>
      </c>
      <c r="P62">
        <v>0</v>
      </c>
      <c r="R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S62">
        <f>IF(Metadata!C62="",FALSE,TRUE)</f>
        <v>0</v>
      </c>
      <c r="T62">
        <f>IF(Metadata!D62="",FALSE,TRUE)</f>
        <v>0</v>
      </c>
      <c r="U62">
        <f>IF(Metadata!E62="",FALSE,TRUE)</f>
        <v>0</v>
      </c>
      <c r="V62">
        <f>AND(IF(Metadata!F62="",FALSE,TRUE),exact(Metadata!F62,"rat gut metagenome"))</f>
        <v>0</v>
      </c>
      <c r="W62">
        <f>AND(IF(Metadata!G62="",FALSE,TRUE),exact(Metadata!G62,"1436733"))</f>
        <v>0</v>
      </c>
    </row>
    <row r="63" spans="1:23">
      <c r="A63" s="4">
        <f>IF(B63=" "," ",HYPERLINK(CONCATENATE("#metadata!",ADDRESS(INDEX($M$2:$M$1001,MATCH(ROWS($K$2:K63),$K$2:$K$1001,0),0),1)),INDEX($P$2:$P$1001,MATCH(ROWS($K$2:K63),$K$2:$K$1001,0),0)))</f>
        <v>0</v>
      </c>
      <c r="B63" s="3">
        <f>IF(OR(INDEX($L$2:$L$1001,MATCH(ROWS($K$2:K63),$K$2:$K$1001,0),1)&gt;=100000,INDEX($R$1005:$W$1005,1,MATCH(COLUMNS($R$1006:R1006),$R$1006:$W$1006,0))&gt;=100000), " ",IF(INDEX($R$2:$W$1001,MATCH(ROWS($K$2:K63),$K$2:$K$1001,0),MATCH(COLUMNS($R$1006:R1006),$R$1006:$W$1006,0)), HYPERLINK("#",""), HYPERLINK(CONCATENATE("#Metadata!", ADDRESS(INDEX($M$2:$M$1001,MATCH(ROWS($K$2:K63),$K$2:$K$1001,0),0), INDEX($R$1004:$W$1004,1,MATCH(COLUMNS($R$1006:R1006),$R$1006:$W$1006,0)))),"Fix")))</f>
        <v>0</v>
      </c>
      <c r="C63" s="3">
        <f>IF(OR(INDEX($L$2:$L$1001,MATCH(ROWS($K$2:K63),$K$2:$K$1001,0),1)&gt;=100000,INDEX($R$1005:$W$1005,1,MATCH(COLUMNS($R$1006:S1006),$R$1006:$W$1006,0))&gt;=100000), " ",IF(INDEX($R$2:$W$1001,MATCH(ROWS($K$2:K63),$K$2:$K$1001,0),MATCH(COLUMNS($R$1006:S1006),$R$1006:$W$1006,0)), HYPERLINK("#",""), HYPERLINK(CONCATENATE("#Metadata!", ADDRESS(INDEX($M$2:$M$1001,MATCH(ROWS($K$2:K63),$K$2:$K$1001,0),0), INDEX($R$1004:$W$1004,1,MATCH(COLUMNS($R$1006:S1006),$R$1006:$W$1006,0)))),"Fix")))</f>
        <v>0</v>
      </c>
      <c r="D63" s="3">
        <f>IF(OR(INDEX($L$2:$L$1001,MATCH(ROWS($K$2:K63),$K$2:$K$1001,0),1)&gt;=100000,INDEX($R$1005:$W$1005,1,MATCH(COLUMNS($R$1006:T1006),$R$1006:$W$1006,0))&gt;=100000), " ",IF(INDEX($R$2:$W$1001,MATCH(ROWS($K$2:K63),$K$2:$K$1001,0),MATCH(COLUMNS($R$1006:T1006),$R$1006:$W$1006,0)), HYPERLINK("#",""), HYPERLINK(CONCATENATE("#Metadata!", ADDRESS(INDEX($M$2:$M$1001,MATCH(ROWS($K$2:K63),$K$2:$K$1001,0),0), INDEX($R$1004:$W$1004,1,MATCH(COLUMNS($R$1006:T1006),$R$1006:$W$1006,0)))),"Fix")))</f>
        <v>0</v>
      </c>
      <c r="E63" s="3">
        <f>IF(OR(INDEX($L$2:$L$1001,MATCH(ROWS($K$2:K63),$K$2:$K$1001,0),1)&gt;=100000,INDEX($R$1005:$W$1005,1,MATCH(COLUMNS($R$1006:U1006),$R$1006:$W$1006,0))&gt;=100000), " ",IF(INDEX($R$2:$W$1001,MATCH(ROWS($K$2:K63),$K$2:$K$1001,0),MATCH(COLUMNS($R$1006:U1006),$R$1006:$W$1006,0)), HYPERLINK("#",""), HYPERLINK(CONCATENATE("#Metadata!", ADDRESS(INDEX($M$2:$M$1001,MATCH(ROWS($K$2:K63),$K$2:$K$1001,0),0), INDEX($R$1004:$W$1004,1,MATCH(COLUMNS($R$1006:U1006),$R$1006:$W$1006,0)))),"Fix")))</f>
        <v>0</v>
      </c>
      <c r="F63" s="3">
        <f>IF(OR(INDEX($L$2:$L$1001,MATCH(ROWS($K$2:K63),$K$2:$K$1001,0),1)&gt;=100000,INDEX($R$1005:$W$1005,1,MATCH(COLUMNS($R$1006:V1006),$R$1006:$W$1006,0))&gt;=100000), " ",IF(INDEX($R$2:$W$1001,MATCH(ROWS($K$2:K63),$K$2:$K$1001,0),MATCH(COLUMNS($R$1006:V1006),$R$1006:$W$1006,0)), HYPERLINK("#",""), HYPERLINK(CONCATENATE("#Metadata!", ADDRESS(INDEX($M$2:$M$1001,MATCH(ROWS($K$2:K63),$K$2:$K$1001,0),0), INDEX($R$1004:$W$1004,1,MATCH(COLUMNS($R$1006:V1006),$R$1006:$W$1006,0)))),"Fix")))</f>
        <v>0</v>
      </c>
      <c r="G63" s="3">
        <f>IF(OR(INDEX($L$2:$L$1001,MATCH(ROWS($K$2:K63),$K$2:$K$1001,0),1)&gt;=100000,INDEX($R$1005:$W$1005,1,MATCH(COLUMNS($R$1006:W1006),$R$1006:$W$1006,0))&gt;=100000), " ",IF(INDEX($R$2:$W$1001,MATCH(ROWS($K$2:K63),$K$2:$K$1001,0),MATCH(COLUMNS($R$1006:W1006),$R$1006:$W$1006,0)), HYPERLINK("#",""), HYPERLINK(CONCATENATE("#Metadata!", ADDRESS(INDEX($M$2:$M$1001,MATCH(ROWS($K$2:K63),$K$2:$K$1001,0),0), INDEX($R$1004:$W$1004,1,MATCH(COLUMNS($R$1006:W1006),$R$1006:$W$1006,0)))),"Fix")))</f>
        <v>0</v>
      </c>
      <c r="K63">
        <v>0</v>
      </c>
      <c r="L63">
        <v>0</v>
      </c>
      <c r="M63">
        <v>0</v>
      </c>
      <c r="N63">
        <f>IF(O63,TRUE,AND(R63:W63))</f>
        <v>0</v>
      </c>
      <c r="O63">
        <f>COUNTBLANK(Metadata!B63:G63)=COLUMNS(Metadata!B63:G63)</f>
        <v>0</v>
      </c>
      <c r="P63">
        <v>0</v>
      </c>
      <c r="R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S63">
        <f>IF(Metadata!C63="",FALSE,TRUE)</f>
        <v>0</v>
      </c>
      <c r="T63">
        <f>IF(Metadata!D63="",FALSE,TRUE)</f>
        <v>0</v>
      </c>
      <c r="U63">
        <f>IF(Metadata!E63="",FALSE,TRUE)</f>
        <v>0</v>
      </c>
      <c r="V63">
        <f>AND(IF(Metadata!F63="",FALSE,TRUE),exact(Metadata!F63,"rat gut metagenome"))</f>
        <v>0</v>
      </c>
      <c r="W63">
        <f>AND(IF(Metadata!G63="",FALSE,TRUE),exact(Metadata!G63,"1436733"))</f>
        <v>0</v>
      </c>
    </row>
    <row r="64" spans="1:23">
      <c r="A64" s="4">
        <f>IF(B64=" "," ",HYPERLINK(CONCATENATE("#metadata!",ADDRESS(INDEX($M$2:$M$1001,MATCH(ROWS($K$2:K64),$K$2:$K$1001,0),0),1)),INDEX($P$2:$P$1001,MATCH(ROWS($K$2:K64),$K$2:$K$1001,0),0)))</f>
        <v>0</v>
      </c>
      <c r="B64" s="3">
        <f>IF(OR(INDEX($L$2:$L$1001,MATCH(ROWS($K$2:K64),$K$2:$K$1001,0),1)&gt;=100000,INDEX($R$1005:$W$1005,1,MATCH(COLUMNS($R$1006:R1006),$R$1006:$W$1006,0))&gt;=100000), " ",IF(INDEX($R$2:$W$1001,MATCH(ROWS($K$2:K64),$K$2:$K$1001,0),MATCH(COLUMNS($R$1006:R1006),$R$1006:$W$1006,0)), HYPERLINK("#",""), HYPERLINK(CONCATENATE("#Metadata!", ADDRESS(INDEX($M$2:$M$1001,MATCH(ROWS($K$2:K64),$K$2:$K$1001,0),0), INDEX($R$1004:$W$1004,1,MATCH(COLUMNS($R$1006:R1006),$R$1006:$W$1006,0)))),"Fix")))</f>
        <v>0</v>
      </c>
      <c r="C64" s="3">
        <f>IF(OR(INDEX($L$2:$L$1001,MATCH(ROWS($K$2:K64),$K$2:$K$1001,0),1)&gt;=100000,INDEX($R$1005:$W$1005,1,MATCH(COLUMNS($R$1006:S1006),$R$1006:$W$1006,0))&gt;=100000), " ",IF(INDEX($R$2:$W$1001,MATCH(ROWS($K$2:K64),$K$2:$K$1001,0),MATCH(COLUMNS($R$1006:S1006),$R$1006:$W$1006,0)), HYPERLINK("#",""), HYPERLINK(CONCATENATE("#Metadata!", ADDRESS(INDEX($M$2:$M$1001,MATCH(ROWS($K$2:K64),$K$2:$K$1001,0),0), INDEX($R$1004:$W$1004,1,MATCH(COLUMNS($R$1006:S1006),$R$1006:$W$1006,0)))),"Fix")))</f>
        <v>0</v>
      </c>
      <c r="D64" s="3">
        <f>IF(OR(INDEX($L$2:$L$1001,MATCH(ROWS($K$2:K64),$K$2:$K$1001,0),1)&gt;=100000,INDEX($R$1005:$W$1005,1,MATCH(COLUMNS($R$1006:T1006),$R$1006:$W$1006,0))&gt;=100000), " ",IF(INDEX($R$2:$W$1001,MATCH(ROWS($K$2:K64),$K$2:$K$1001,0),MATCH(COLUMNS($R$1006:T1006),$R$1006:$W$1006,0)), HYPERLINK("#",""), HYPERLINK(CONCATENATE("#Metadata!", ADDRESS(INDEX($M$2:$M$1001,MATCH(ROWS($K$2:K64),$K$2:$K$1001,0),0), INDEX($R$1004:$W$1004,1,MATCH(COLUMNS($R$1006:T1006),$R$1006:$W$1006,0)))),"Fix")))</f>
        <v>0</v>
      </c>
      <c r="E64" s="3">
        <f>IF(OR(INDEX($L$2:$L$1001,MATCH(ROWS($K$2:K64),$K$2:$K$1001,0),1)&gt;=100000,INDEX($R$1005:$W$1005,1,MATCH(COLUMNS($R$1006:U1006),$R$1006:$W$1006,0))&gt;=100000), " ",IF(INDEX($R$2:$W$1001,MATCH(ROWS($K$2:K64),$K$2:$K$1001,0),MATCH(COLUMNS($R$1006:U1006),$R$1006:$W$1006,0)), HYPERLINK("#",""), HYPERLINK(CONCATENATE("#Metadata!", ADDRESS(INDEX($M$2:$M$1001,MATCH(ROWS($K$2:K64),$K$2:$K$1001,0),0), INDEX($R$1004:$W$1004,1,MATCH(COLUMNS($R$1006:U1006),$R$1006:$W$1006,0)))),"Fix")))</f>
        <v>0</v>
      </c>
      <c r="F64" s="3">
        <f>IF(OR(INDEX($L$2:$L$1001,MATCH(ROWS($K$2:K64),$K$2:$K$1001,0),1)&gt;=100000,INDEX($R$1005:$W$1005,1,MATCH(COLUMNS($R$1006:V1006),$R$1006:$W$1006,0))&gt;=100000), " ",IF(INDEX($R$2:$W$1001,MATCH(ROWS($K$2:K64),$K$2:$K$1001,0),MATCH(COLUMNS($R$1006:V1006),$R$1006:$W$1006,0)), HYPERLINK("#",""), HYPERLINK(CONCATENATE("#Metadata!", ADDRESS(INDEX($M$2:$M$1001,MATCH(ROWS($K$2:K64),$K$2:$K$1001,0),0), INDEX($R$1004:$W$1004,1,MATCH(COLUMNS($R$1006:V1006),$R$1006:$W$1006,0)))),"Fix")))</f>
        <v>0</v>
      </c>
      <c r="G64" s="3">
        <f>IF(OR(INDEX($L$2:$L$1001,MATCH(ROWS($K$2:K64),$K$2:$K$1001,0),1)&gt;=100000,INDEX($R$1005:$W$1005,1,MATCH(COLUMNS($R$1006:W1006),$R$1006:$W$1006,0))&gt;=100000), " ",IF(INDEX($R$2:$W$1001,MATCH(ROWS($K$2:K64),$K$2:$K$1001,0),MATCH(COLUMNS($R$1006:W1006),$R$1006:$W$1006,0)), HYPERLINK("#",""), HYPERLINK(CONCATENATE("#Metadata!", ADDRESS(INDEX($M$2:$M$1001,MATCH(ROWS($K$2:K64),$K$2:$K$1001,0),0), INDEX($R$1004:$W$1004,1,MATCH(COLUMNS($R$1006:W1006),$R$1006:$W$1006,0)))),"Fix")))</f>
        <v>0</v>
      </c>
      <c r="K64">
        <v>0</v>
      </c>
      <c r="L64">
        <v>0</v>
      </c>
      <c r="M64">
        <v>0</v>
      </c>
      <c r="N64">
        <f>IF(O64,TRUE,AND(R64:W64))</f>
        <v>0</v>
      </c>
      <c r="O64">
        <f>COUNTBLANK(Metadata!B64:G64)=COLUMNS(Metadata!B64:G64)</f>
        <v>0</v>
      </c>
      <c r="P64">
        <v>0</v>
      </c>
      <c r="R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S64">
        <f>IF(Metadata!C64="",FALSE,TRUE)</f>
        <v>0</v>
      </c>
      <c r="T64">
        <f>IF(Metadata!D64="",FALSE,TRUE)</f>
        <v>0</v>
      </c>
      <c r="U64">
        <f>IF(Metadata!E64="",FALSE,TRUE)</f>
        <v>0</v>
      </c>
      <c r="V64">
        <f>AND(IF(Metadata!F64="",FALSE,TRUE),exact(Metadata!F64,"rat gut metagenome"))</f>
        <v>0</v>
      </c>
      <c r="W64">
        <f>AND(IF(Metadata!G64="",FALSE,TRUE),exact(Metadata!G64,"1436733"))</f>
        <v>0</v>
      </c>
    </row>
    <row r="65" spans="1:23">
      <c r="A65" s="4">
        <f>IF(B65=" "," ",HYPERLINK(CONCATENATE("#metadata!",ADDRESS(INDEX($M$2:$M$1001,MATCH(ROWS($K$2:K65),$K$2:$K$1001,0),0),1)),INDEX($P$2:$P$1001,MATCH(ROWS($K$2:K65),$K$2:$K$1001,0),0)))</f>
        <v>0</v>
      </c>
      <c r="B65" s="3">
        <f>IF(OR(INDEX($L$2:$L$1001,MATCH(ROWS($K$2:K65),$K$2:$K$1001,0),1)&gt;=100000,INDEX($R$1005:$W$1005,1,MATCH(COLUMNS($R$1006:R1006),$R$1006:$W$1006,0))&gt;=100000), " ",IF(INDEX($R$2:$W$1001,MATCH(ROWS($K$2:K65),$K$2:$K$1001,0),MATCH(COLUMNS($R$1006:R1006),$R$1006:$W$1006,0)), HYPERLINK("#",""), HYPERLINK(CONCATENATE("#Metadata!", ADDRESS(INDEX($M$2:$M$1001,MATCH(ROWS($K$2:K65),$K$2:$K$1001,0),0), INDEX($R$1004:$W$1004,1,MATCH(COLUMNS($R$1006:R1006),$R$1006:$W$1006,0)))),"Fix")))</f>
        <v>0</v>
      </c>
      <c r="C65" s="3">
        <f>IF(OR(INDEX($L$2:$L$1001,MATCH(ROWS($K$2:K65),$K$2:$K$1001,0),1)&gt;=100000,INDEX($R$1005:$W$1005,1,MATCH(COLUMNS($R$1006:S1006),$R$1006:$W$1006,0))&gt;=100000), " ",IF(INDEX($R$2:$W$1001,MATCH(ROWS($K$2:K65),$K$2:$K$1001,0),MATCH(COLUMNS($R$1006:S1006),$R$1006:$W$1006,0)), HYPERLINK("#",""), HYPERLINK(CONCATENATE("#Metadata!", ADDRESS(INDEX($M$2:$M$1001,MATCH(ROWS($K$2:K65),$K$2:$K$1001,0),0), INDEX($R$1004:$W$1004,1,MATCH(COLUMNS($R$1006:S1006),$R$1006:$W$1006,0)))),"Fix")))</f>
        <v>0</v>
      </c>
      <c r="D65" s="3">
        <f>IF(OR(INDEX($L$2:$L$1001,MATCH(ROWS($K$2:K65),$K$2:$K$1001,0),1)&gt;=100000,INDEX($R$1005:$W$1005,1,MATCH(COLUMNS($R$1006:T1006),$R$1006:$W$1006,0))&gt;=100000), " ",IF(INDEX($R$2:$W$1001,MATCH(ROWS($K$2:K65),$K$2:$K$1001,0),MATCH(COLUMNS($R$1006:T1006),$R$1006:$W$1006,0)), HYPERLINK("#",""), HYPERLINK(CONCATENATE("#Metadata!", ADDRESS(INDEX($M$2:$M$1001,MATCH(ROWS($K$2:K65),$K$2:$K$1001,0),0), INDEX($R$1004:$W$1004,1,MATCH(COLUMNS($R$1006:T1006),$R$1006:$W$1006,0)))),"Fix")))</f>
        <v>0</v>
      </c>
      <c r="E65" s="3">
        <f>IF(OR(INDEX($L$2:$L$1001,MATCH(ROWS($K$2:K65),$K$2:$K$1001,0),1)&gt;=100000,INDEX($R$1005:$W$1005,1,MATCH(COLUMNS($R$1006:U1006),$R$1006:$W$1006,0))&gt;=100000), " ",IF(INDEX($R$2:$W$1001,MATCH(ROWS($K$2:K65),$K$2:$K$1001,0),MATCH(COLUMNS($R$1006:U1006),$R$1006:$W$1006,0)), HYPERLINK("#",""), HYPERLINK(CONCATENATE("#Metadata!", ADDRESS(INDEX($M$2:$M$1001,MATCH(ROWS($K$2:K65),$K$2:$K$1001,0),0), INDEX($R$1004:$W$1004,1,MATCH(COLUMNS($R$1006:U1006),$R$1006:$W$1006,0)))),"Fix")))</f>
        <v>0</v>
      </c>
      <c r="F65" s="3">
        <f>IF(OR(INDEX($L$2:$L$1001,MATCH(ROWS($K$2:K65),$K$2:$K$1001,0),1)&gt;=100000,INDEX($R$1005:$W$1005,1,MATCH(COLUMNS($R$1006:V1006),$R$1006:$W$1006,0))&gt;=100000), " ",IF(INDEX($R$2:$W$1001,MATCH(ROWS($K$2:K65),$K$2:$K$1001,0),MATCH(COLUMNS($R$1006:V1006),$R$1006:$W$1006,0)), HYPERLINK("#",""), HYPERLINK(CONCATENATE("#Metadata!", ADDRESS(INDEX($M$2:$M$1001,MATCH(ROWS($K$2:K65),$K$2:$K$1001,0),0), INDEX($R$1004:$W$1004,1,MATCH(COLUMNS($R$1006:V1006),$R$1006:$W$1006,0)))),"Fix")))</f>
        <v>0</v>
      </c>
      <c r="G65" s="3">
        <f>IF(OR(INDEX($L$2:$L$1001,MATCH(ROWS($K$2:K65),$K$2:$K$1001,0),1)&gt;=100000,INDEX($R$1005:$W$1005,1,MATCH(COLUMNS($R$1006:W1006),$R$1006:$W$1006,0))&gt;=100000), " ",IF(INDEX($R$2:$W$1001,MATCH(ROWS($K$2:K65),$K$2:$K$1001,0),MATCH(COLUMNS($R$1006:W1006),$R$1006:$W$1006,0)), HYPERLINK("#",""), HYPERLINK(CONCATENATE("#Metadata!", ADDRESS(INDEX($M$2:$M$1001,MATCH(ROWS($K$2:K65),$K$2:$K$1001,0),0), INDEX($R$1004:$W$1004,1,MATCH(COLUMNS($R$1006:W1006),$R$1006:$W$1006,0)))),"Fix")))</f>
        <v>0</v>
      </c>
      <c r="K65">
        <v>0</v>
      </c>
      <c r="L65">
        <v>0</v>
      </c>
      <c r="M65">
        <v>0</v>
      </c>
      <c r="N65">
        <f>IF(O65,TRUE,AND(R65:W65))</f>
        <v>0</v>
      </c>
      <c r="O65">
        <f>COUNTBLANK(Metadata!B65:G65)=COLUMNS(Metadata!B65:G65)</f>
        <v>0</v>
      </c>
      <c r="P65">
        <v>0</v>
      </c>
      <c r="R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S65">
        <f>IF(Metadata!C65="",FALSE,TRUE)</f>
        <v>0</v>
      </c>
      <c r="T65">
        <f>IF(Metadata!D65="",FALSE,TRUE)</f>
        <v>0</v>
      </c>
      <c r="U65">
        <f>IF(Metadata!E65="",FALSE,TRUE)</f>
        <v>0</v>
      </c>
      <c r="V65">
        <f>AND(IF(Metadata!F65="",FALSE,TRUE),exact(Metadata!F65,"rat gut metagenome"))</f>
        <v>0</v>
      </c>
      <c r="W65">
        <f>AND(IF(Metadata!G65="",FALSE,TRUE),exact(Metadata!G65,"1436733"))</f>
        <v>0</v>
      </c>
    </row>
    <row r="66" spans="1:23">
      <c r="A66" s="4">
        <f>IF(B66=" "," ",HYPERLINK(CONCATENATE("#metadata!",ADDRESS(INDEX($M$2:$M$1001,MATCH(ROWS($K$2:K66),$K$2:$K$1001,0),0),1)),INDEX($P$2:$P$1001,MATCH(ROWS($K$2:K66),$K$2:$K$1001,0),0)))</f>
        <v>0</v>
      </c>
      <c r="B66" s="3">
        <f>IF(OR(INDEX($L$2:$L$1001,MATCH(ROWS($K$2:K66),$K$2:$K$1001,0),1)&gt;=100000,INDEX($R$1005:$W$1005,1,MATCH(COLUMNS($R$1006:R1006),$R$1006:$W$1006,0))&gt;=100000), " ",IF(INDEX($R$2:$W$1001,MATCH(ROWS($K$2:K66),$K$2:$K$1001,0),MATCH(COLUMNS($R$1006:R1006),$R$1006:$W$1006,0)), HYPERLINK("#",""), HYPERLINK(CONCATENATE("#Metadata!", ADDRESS(INDEX($M$2:$M$1001,MATCH(ROWS($K$2:K66),$K$2:$K$1001,0),0), INDEX($R$1004:$W$1004,1,MATCH(COLUMNS($R$1006:R1006),$R$1006:$W$1006,0)))),"Fix")))</f>
        <v>0</v>
      </c>
      <c r="C66" s="3">
        <f>IF(OR(INDEX($L$2:$L$1001,MATCH(ROWS($K$2:K66),$K$2:$K$1001,0),1)&gt;=100000,INDEX($R$1005:$W$1005,1,MATCH(COLUMNS($R$1006:S1006),$R$1006:$W$1006,0))&gt;=100000), " ",IF(INDEX($R$2:$W$1001,MATCH(ROWS($K$2:K66),$K$2:$K$1001,0),MATCH(COLUMNS($R$1006:S1006),$R$1006:$W$1006,0)), HYPERLINK("#",""), HYPERLINK(CONCATENATE("#Metadata!", ADDRESS(INDEX($M$2:$M$1001,MATCH(ROWS($K$2:K66),$K$2:$K$1001,0),0), INDEX($R$1004:$W$1004,1,MATCH(COLUMNS($R$1006:S1006),$R$1006:$W$1006,0)))),"Fix")))</f>
        <v>0</v>
      </c>
      <c r="D66" s="3">
        <f>IF(OR(INDEX($L$2:$L$1001,MATCH(ROWS($K$2:K66),$K$2:$K$1001,0),1)&gt;=100000,INDEX($R$1005:$W$1005,1,MATCH(COLUMNS($R$1006:T1006),$R$1006:$W$1006,0))&gt;=100000), " ",IF(INDEX($R$2:$W$1001,MATCH(ROWS($K$2:K66),$K$2:$K$1001,0),MATCH(COLUMNS($R$1006:T1006),$R$1006:$W$1006,0)), HYPERLINK("#",""), HYPERLINK(CONCATENATE("#Metadata!", ADDRESS(INDEX($M$2:$M$1001,MATCH(ROWS($K$2:K66),$K$2:$K$1001,0),0), INDEX($R$1004:$W$1004,1,MATCH(COLUMNS($R$1006:T1006),$R$1006:$W$1006,0)))),"Fix")))</f>
        <v>0</v>
      </c>
      <c r="E66" s="3">
        <f>IF(OR(INDEX($L$2:$L$1001,MATCH(ROWS($K$2:K66),$K$2:$K$1001,0),1)&gt;=100000,INDEX($R$1005:$W$1005,1,MATCH(COLUMNS($R$1006:U1006),$R$1006:$W$1006,0))&gt;=100000), " ",IF(INDEX($R$2:$W$1001,MATCH(ROWS($K$2:K66),$K$2:$K$1001,0),MATCH(COLUMNS($R$1006:U1006),$R$1006:$W$1006,0)), HYPERLINK("#",""), HYPERLINK(CONCATENATE("#Metadata!", ADDRESS(INDEX($M$2:$M$1001,MATCH(ROWS($K$2:K66),$K$2:$K$1001,0),0), INDEX($R$1004:$W$1004,1,MATCH(COLUMNS($R$1006:U1006),$R$1006:$W$1006,0)))),"Fix")))</f>
        <v>0</v>
      </c>
      <c r="F66" s="3">
        <f>IF(OR(INDEX($L$2:$L$1001,MATCH(ROWS($K$2:K66),$K$2:$K$1001,0),1)&gt;=100000,INDEX($R$1005:$W$1005,1,MATCH(COLUMNS($R$1006:V1006),$R$1006:$W$1006,0))&gt;=100000), " ",IF(INDEX($R$2:$W$1001,MATCH(ROWS($K$2:K66),$K$2:$K$1001,0),MATCH(COLUMNS($R$1006:V1006),$R$1006:$W$1006,0)), HYPERLINK("#",""), HYPERLINK(CONCATENATE("#Metadata!", ADDRESS(INDEX($M$2:$M$1001,MATCH(ROWS($K$2:K66),$K$2:$K$1001,0),0), INDEX($R$1004:$W$1004,1,MATCH(COLUMNS($R$1006:V1006),$R$1006:$W$1006,0)))),"Fix")))</f>
        <v>0</v>
      </c>
      <c r="G66" s="3">
        <f>IF(OR(INDEX($L$2:$L$1001,MATCH(ROWS($K$2:K66),$K$2:$K$1001,0),1)&gt;=100000,INDEX($R$1005:$W$1005,1,MATCH(COLUMNS($R$1006:W1006),$R$1006:$W$1006,0))&gt;=100000), " ",IF(INDEX($R$2:$W$1001,MATCH(ROWS($K$2:K66),$K$2:$K$1001,0),MATCH(COLUMNS($R$1006:W1006),$R$1006:$W$1006,0)), HYPERLINK("#",""), HYPERLINK(CONCATENATE("#Metadata!", ADDRESS(INDEX($M$2:$M$1001,MATCH(ROWS($K$2:K66),$K$2:$K$1001,0),0), INDEX($R$1004:$W$1004,1,MATCH(COLUMNS($R$1006:W1006),$R$1006:$W$1006,0)))),"Fix")))</f>
        <v>0</v>
      </c>
      <c r="K66">
        <v>0</v>
      </c>
      <c r="L66">
        <v>0</v>
      </c>
      <c r="M66">
        <v>0</v>
      </c>
      <c r="N66">
        <f>IF(O66,TRUE,AND(R66:W66))</f>
        <v>0</v>
      </c>
      <c r="O66">
        <f>COUNTBLANK(Metadata!B66:G66)=COLUMNS(Metadata!B66:G66)</f>
        <v>0</v>
      </c>
      <c r="P66">
        <v>0</v>
      </c>
      <c r="R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S66">
        <f>IF(Metadata!C66="",FALSE,TRUE)</f>
        <v>0</v>
      </c>
      <c r="T66">
        <f>IF(Metadata!D66="",FALSE,TRUE)</f>
        <v>0</v>
      </c>
      <c r="U66">
        <f>IF(Metadata!E66="",FALSE,TRUE)</f>
        <v>0</v>
      </c>
      <c r="V66">
        <f>AND(IF(Metadata!F66="",FALSE,TRUE),exact(Metadata!F66,"rat gut metagenome"))</f>
        <v>0</v>
      </c>
      <c r="W66">
        <f>AND(IF(Metadata!G66="",FALSE,TRUE),exact(Metadata!G66,"1436733"))</f>
        <v>0</v>
      </c>
    </row>
    <row r="67" spans="1:23">
      <c r="A67" s="4">
        <f>IF(B67=" "," ",HYPERLINK(CONCATENATE("#metadata!",ADDRESS(INDEX($M$2:$M$1001,MATCH(ROWS($K$2:K67),$K$2:$K$1001,0),0),1)),INDEX($P$2:$P$1001,MATCH(ROWS($K$2:K67),$K$2:$K$1001,0),0)))</f>
        <v>0</v>
      </c>
      <c r="B67" s="3">
        <f>IF(OR(INDEX($L$2:$L$1001,MATCH(ROWS($K$2:K67),$K$2:$K$1001,0),1)&gt;=100000,INDEX($R$1005:$W$1005,1,MATCH(COLUMNS($R$1006:R1006),$R$1006:$W$1006,0))&gt;=100000), " ",IF(INDEX($R$2:$W$1001,MATCH(ROWS($K$2:K67),$K$2:$K$1001,0),MATCH(COLUMNS($R$1006:R1006),$R$1006:$W$1006,0)), HYPERLINK("#",""), HYPERLINK(CONCATENATE("#Metadata!", ADDRESS(INDEX($M$2:$M$1001,MATCH(ROWS($K$2:K67),$K$2:$K$1001,0),0), INDEX($R$1004:$W$1004,1,MATCH(COLUMNS($R$1006:R1006),$R$1006:$W$1006,0)))),"Fix")))</f>
        <v>0</v>
      </c>
      <c r="C67" s="3">
        <f>IF(OR(INDEX($L$2:$L$1001,MATCH(ROWS($K$2:K67),$K$2:$K$1001,0),1)&gt;=100000,INDEX($R$1005:$W$1005,1,MATCH(COLUMNS($R$1006:S1006),$R$1006:$W$1006,0))&gt;=100000), " ",IF(INDEX($R$2:$W$1001,MATCH(ROWS($K$2:K67),$K$2:$K$1001,0),MATCH(COLUMNS($R$1006:S1006),$R$1006:$W$1006,0)), HYPERLINK("#",""), HYPERLINK(CONCATENATE("#Metadata!", ADDRESS(INDEX($M$2:$M$1001,MATCH(ROWS($K$2:K67),$K$2:$K$1001,0),0), INDEX($R$1004:$W$1004,1,MATCH(COLUMNS($R$1006:S1006),$R$1006:$W$1006,0)))),"Fix")))</f>
        <v>0</v>
      </c>
      <c r="D67" s="3">
        <f>IF(OR(INDEX($L$2:$L$1001,MATCH(ROWS($K$2:K67),$K$2:$K$1001,0),1)&gt;=100000,INDEX($R$1005:$W$1005,1,MATCH(COLUMNS($R$1006:T1006),$R$1006:$W$1006,0))&gt;=100000), " ",IF(INDEX($R$2:$W$1001,MATCH(ROWS($K$2:K67),$K$2:$K$1001,0),MATCH(COLUMNS($R$1006:T1006),$R$1006:$W$1006,0)), HYPERLINK("#",""), HYPERLINK(CONCATENATE("#Metadata!", ADDRESS(INDEX($M$2:$M$1001,MATCH(ROWS($K$2:K67),$K$2:$K$1001,0),0), INDEX($R$1004:$W$1004,1,MATCH(COLUMNS($R$1006:T1006),$R$1006:$W$1006,0)))),"Fix")))</f>
        <v>0</v>
      </c>
      <c r="E67" s="3">
        <f>IF(OR(INDEX($L$2:$L$1001,MATCH(ROWS($K$2:K67),$K$2:$K$1001,0),1)&gt;=100000,INDEX($R$1005:$W$1005,1,MATCH(COLUMNS($R$1006:U1006),$R$1006:$W$1006,0))&gt;=100000), " ",IF(INDEX($R$2:$W$1001,MATCH(ROWS($K$2:K67),$K$2:$K$1001,0),MATCH(COLUMNS($R$1006:U1006),$R$1006:$W$1006,0)), HYPERLINK("#",""), HYPERLINK(CONCATENATE("#Metadata!", ADDRESS(INDEX($M$2:$M$1001,MATCH(ROWS($K$2:K67),$K$2:$K$1001,0),0), INDEX($R$1004:$W$1004,1,MATCH(COLUMNS($R$1006:U1006),$R$1006:$W$1006,0)))),"Fix")))</f>
        <v>0</v>
      </c>
      <c r="F67" s="3">
        <f>IF(OR(INDEX($L$2:$L$1001,MATCH(ROWS($K$2:K67),$K$2:$K$1001,0),1)&gt;=100000,INDEX($R$1005:$W$1005,1,MATCH(COLUMNS($R$1006:V1006),$R$1006:$W$1006,0))&gt;=100000), " ",IF(INDEX($R$2:$W$1001,MATCH(ROWS($K$2:K67),$K$2:$K$1001,0),MATCH(COLUMNS($R$1006:V1006),$R$1006:$W$1006,0)), HYPERLINK("#",""), HYPERLINK(CONCATENATE("#Metadata!", ADDRESS(INDEX($M$2:$M$1001,MATCH(ROWS($K$2:K67),$K$2:$K$1001,0),0), INDEX($R$1004:$W$1004,1,MATCH(COLUMNS($R$1006:V1006),$R$1006:$W$1006,0)))),"Fix")))</f>
        <v>0</v>
      </c>
      <c r="G67" s="3">
        <f>IF(OR(INDEX($L$2:$L$1001,MATCH(ROWS($K$2:K67),$K$2:$K$1001,0),1)&gt;=100000,INDEX($R$1005:$W$1005,1,MATCH(COLUMNS($R$1006:W1006),$R$1006:$W$1006,0))&gt;=100000), " ",IF(INDEX($R$2:$W$1001,MATCH(ROWS($K$2:K67),$K$2:$K$1001,0),MATCH(COLUMNS($R$1006:W1006),$R$1006:$W$1006,0)), HYPERLINK("#",""), HYPERLINK(CONCATENATE("#Metadata!", ADDRESS(INDEX($M$2:$M$1001,MATCH(ROWS($K$2:K67),$K$2:$K$1001,0),0), INDEX($R$1004:$W$1004,1,MATCH(COLUMNS($R$1006:W1006),$R$1006:$W$1006,0)))),"Fix")))</f>
        <v>0</v>
      </c>
      <c r="K67">
        <v>0</v>
      </c>
      <c r="L67">
        <v>0</v>
      </c>
      <c r="M67">
        <v>0</v>
      </c>
      <c r="N67">
        <f>IF(O67,TRUE,AND(R67:W67))</f>
        <v>0</v>
      </c>
      <c r="O67">
        <f>COUNTBLANK(Metadata!B67:G67)=COLUMNS(Metadata!B67:G67)</f>
        <v>0</v>
      </c>
      <c r="P67">
        <v>0</v>
      </c>
      <c r="R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S67">
        <f>IF(Metadata!C67="",FALSE,TRUE)</f>
        <v>0</v>
      </c>
      <c r="T67">
        <f>IF(Metadata!D67="",FALSE,TRUE)</f>
        <v>0</v>
      </c>
      <c r="U67">
        <f>IF(Metadata!E67="",FALSE,TRUE)</f>
        <v>0</v>
      </c>
      <c r="V67">
        <f>AND(IF(Metadata!F67="",FALSE,TRUE),exact(Metadata!F67,"rat gut metagenome"))</f>
        <v>0</v>
      </c>
      <c r="W67">
        <f>AND(IF(Metadata!G67="",FALSE,TRUE),exact(Metadata!G67,"1436733"))</f>
        <v>0</v>
      </c>
    </row>
    <row r="68" spans="1:23">
      <c r="A68" s="4">
        <f>IF(B68=" "," ",HYPERLINK(CONCATENATE("#metadata!",ADDRESS(INDEX($M$2:$M$1001,MATCH(ROWS($K$2:K68),$K$2:$K$1001,0),0),1)),INDEX($P$2:$P$1001,MATCH(ROWS($K$2:K68),$K$2:$K$1001,0),0)))</f>
        <v>0</v>
      </c>
      <c r="B68" s="3">
        <f>IF(OR(INDEX($L$2:$L$1001,MATCH(ROWS($K$2:K68),$K$2:$K$1001,0),1)&gt;=100000,INDEX($R$1005:$W$1005,1,MATCH(COLUMNS($R$1006:R1006),$R$1006:$W$1006,0))&gt;=100000), " ",IF(INDEX($R$2:$W$1001,MATCH(ROWS($K$2:K68),$K$2:$K$1001,0),MATCH(COLUMNS($R$1006:R1006),$R$1006:$W$1006,0)), HYPERLINK("#",""), HYPERLINK(CONCATENATE("#Metadata!", ADDRESS(INDEX($M$2:$M$1001,MATCH(ROWS($K$2:K68),$K$2:$K$1001,0),0), INDEX($R$1004:$W$1004,1,MATCH(COLUMNS($R$1006:R1006),$R$1006:$W$1006,0)))),"Fix")))</f>
        <v>0</v>
      </c>
      <c r="C68" s="3">
        <f>IF(OR(INDEX($L$2:$L$1001,MATCH(ROWS($K$2:K68),$K$2:$K$1001,0),1)&gt;=100000,INDEX($R$1005:$W$1005,1,MATCH(COLUMNS($R$1006:S1006),$R$1006:$W$1006,0))&gt;=100000), " ",IF(INDEX($R$2:$W$1001,MATCH(ROWS($K$2:K68),$K$2:$K$1001,0),MATCH(COLUMNS($R$1006:S1006),$R$1006:$W$1006,0)), HYPERLINK("#",""), HYPERLINK(CONCATENATE("#Metadata!", ADDRESS(INDEX($M$2:$M$1001,MATCH(ROWS($K$2:K68),$K$2:$K$1001,0),0), INDEX($R$1004:$W$1004,1,MATCH(COLUMNS($R$1006:S1006),$R$1006:$W$1006,0)))),"Fix")))</f>
        <v>0</v>
      </c>
      <c r="D68" s="3">
        <f>IF(OR(INDEX($L$2:$L$1001,MATCH(ROWS($K$2:K68),$K$2:$K$1001,0),1)&gt;=100000,INDEX($R$1005:$W$1005,1,MATCH(COLUMNS($R$1006:T1006),$R$1006:$W$1006,0))&gt;=100000), " ",IF(INDEX($R$2:$W$1001,MATCH(ROWS($K$2:K68),$K$2:$K$1001,0),MATCH(COLUMNS($R$1006:T1006),$R$1006:$W$1006,0)), HYPERLINK("#",""), HYPERLINK(CONCATENATE("#Metadata!", ADDRESS(INDEX($M$2:$M$1001,MATCH(ROWS($K$2:K68),$K$2:$K$1001,0),0), INDEX($R$1004:$W$1004,1,MATCH(COLUMNS($R$1006:T1006),$R$1006:$W$1006,0)))),"Fix")))</f>
        <v>0</v>
      </c>
      <c r="E68" s="3">
        <f>IF(OR(INDEX($L$2:$L$1001,MATCH(ROWS($K$2:K68),$K$2:$K$1001,0),1)&gt;=100000,INDEX($R$1005:$W$1005,1,MATCH(COLUMNS($R$1006:U1006),$R$1006:$W$1006,0))&gt;=100000), " ",IF(INDEX($R$2:$W$1001,MATCH(ROWS($K$2:K68),$K$2:$K$1001,0),MATCH(COLUMNS($R$1006:U1006),$R$1006:$W$1006,0)), HYPERLINK("#",""), HYPERLINK(CONCATENATE("#Metadata!", ADDRESS(INDEX($M$2:$M$1001,MATCH(ROWS($K$2:K68),$K$2:$K$1001,0),0), INDEX($R$1004:$W$1004,1,MATCH(COLUMNS($R$1006:U1006),$R$1006:$W$1006,0)))),"Fix")))</f>
        <v>0</v>
      </c>
      <c r="F68" s="3">
        <f>IF(OR(INDEX($L$2:$L$1001,MATCH(ROWS($K$2:K68),$K$2:$K$1001,0),1)&gt;=100000,INDEX($R$1005:$W$1005,1,MATCH(COLUMNS($R$1006:V1006),$R$1006:$W$1006,0))&gt;=100000), " ",IF(INDEX($R$2:$W$1001,MATCH(ROWS($K$2:K68),$K$2:$K$1001,0),MATCH(COLUMNS($R$1006:V1006),$R$1006:$W$1006,0)), HYPERLINK("#",""), HYPERLINK(CONCATENATE("#Metadata!", ADDRESS(INDEX($M$2:$M$1001,MATCH(ROWS($K$2:K68),$K$2:$K$1001,0),0), INDEX($R$1004:$W$1004,1,MATCH(COLUMNS($R$1006:V1006),$R$1006:$W$1006,0)))),"Fix")))</f>
        <v>0</v>
      </c>
      <c r="G68" s="3">
        <f>IF(OR(INDEX($L$2:$L$1001,MATCH(ROWS($K$2:K68),$K$2:$K$1001,0),1)&gt;=100000,INDEX($R$1005:$W$1005,1,MATCH(COLUMNS($R$1006:W1006),$R$1006:$W$1006,0))&gt;=100000), " ",IF(INDEX($R$2:$W$1001,MATCH(ROWS($K$2:K68),$K$2:$K$1001,0),MATCH(COLUMNS($R$1006:W1006),$R$1006:$W$1006,0)), HYPERLINK("#",""), HYPERLINK(CONCATENATE("#Metadata!", ADDRESS(INDEX($M$2:$M$1001,MATCH(ROWS($K$2:K68),$K$2:$K$1001,0),0), INDEX($R$1004:$W$1004,1,MATCH(COLUMNS($R$1006:W1006),$R$1006:$W$1006,0)))),"Fix")))</f>
        <v>0</v>
      </c>
      <c r="K68">
        <v>0</v>
      </c>
      <c r="L68">
        <v>0</v>
      </c>
      <c r="M68">
        <v>0</v>
      </c>
      <c r="N68">
        <f>IF(O68,TRUE,AND(R68:W68))</f>
        <v>0</v>
      </c>
      <c r="O68">
        <f>COUNTBLANK(Metadata!B68:G68)=COLUMNS(Metadata!B68:G68)</f>
        <v>0</v>
      </c>
      <c r="P68">
        <v>0</v>
      </c>
      <c r="R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S68">
        <f>IF(Metadata!C68="",FALSE,TRUE)</f>
        <v>0</v>
      </c>
      <c r="T68">
        <f>IF(Metadata!D68="",FALSE,TRUE)</f>
        <v>0</v>
      </c>
      <c r="U68">
        <f>IF(Metadata!E68="",FALSE,TRUE)</f>
        <v>0</v>
      </c>
      <c r="V68">
        <f>AND(IF(Metadata!F68="",FALSE,TRUE),exact(Metadata!F68,"rat gut metagenome"))</f>
        <v>0</v>
      </c>
      <c r="W68">
        <f>AND(IF(Metadata!G68="",FALSE,TRUE),exact(Metadata!G68,"1436733"))</f>
        <v>0</v>
      </c>
    </row>
    <row r="69" spans="1:23">
      <c r="A69" s="4">
        <f>IF(B69=" "," ",HYPERLINK(CONCATENATE("#metadata!",ADDRESS(INDEX($M$2:$M$1001,MATCH(ROWS($K$2:K69),$K$2:$K$1001,0),0),1)),INDEX($P$2:$P$1001,MATCH(ROWS($K$2:K69),$K$2:$K$1001,0),0)))</f>
        <v>0</v>
      </c>
      <c r="B69" s="3">
        <f>IF(OR(INDEX($L$2:$L$1001,MATCH(ROWS($K$2:K69),$K$2:$K$1001,0),1)&gt;=100000,INDEX($R$1005:$W$1005,1,MATCH(COLUMNS($R$1006:R1006),$R$1006:$W$1006,0))&gt;=100000), " ",IF(INDEX($R$2:$W$1001,MATCH(ROWS($K$2:K69),$K$2:$K$1001,0),MATCH(COLUMNS($R$1006:R1006),$R$1006:$W$1006,0)), HYPERLINK("#",""), HYPERLINK(CONCATENATE("#Metadata!", ADDRESS(INDEX($M$2:$M$1001,MATCH(ROWS($K$2:K69),$K$2:$K$1001,0),0), INDEX($R$1004:$W$1004,1,MATCH(COLUMNS($R$1006:R1006),$R$1006:$W$1006,0)))),"Fix")))</f>
        <v>0</v>
      </c>
      <c r="C69" s="3">
        <f>IF(OR(INDEX($L$2:$L$1001,MATCH(ROWS($K$2:K69),$K$2:$K$1001,0),1)&gt;=100000,INDEX($R$1005:$W$1005,1,MATCH(COLUMNS($R$1006:S1006),$R$1006:$W$1006,0))&gt;=100000), " ",IF(INDEX($R$2:$W$1001,MATCH(ROWS($K$2:K69),$K$2:$K$1001,0),MATCH(COLUMNS($R$1006:S1006),$R$1006:$W$1006,0)), HYPERLINK("#",""), HYPERLINK(CONCATENATE("#Metadata!", ADDRESS(INDEX($M$2:$M$1001,MATCH(ROWS($K$2:K69),$K$2:$K$1001,0),0), INDEX($R$1004:$W$1004,1,MATCH(COLUMNS($R$1006:S1006),$R$1006:$W$1006,0)))),"Fix")))</f>
        <v>0</v>
      </c>
      <c r="D69" s="3">
        <f>IF(OR(INDEX($L$2:$L$1001,MATCH(ROWS($K$2:K69),$K$2:$K$1001,0),1)&gt;=100000,INDEX($R$1005:$W$1005,1,MATCH(COLUMNS($R$1006:T1006),$R$1006:$W$1006,0))&gt;=100000), " ",IF(INDEX($R$2:$W$1001,MATCH(ROWS($K$2:K69),$K$2:$K$1001,0),MATCH(COLUMNS($R$1006:T1006),$R$1006:$W$1006,0)), HYPERLINK("#",""), HYPERLINK(CONCATENATE("#Metadata!", ADDRESS(INDEX($M$2:$M$1001,MATCH(ROWS($K$2:K69),$K$2:$K$1001,0),0), INDEX($R$1004:$W$1004,1,MATCH(COLUMNS($R$1006:T1006),$R$1006:$W$1006,0)))),"Fix")))</f>
        <v>0</v>
      </c>
      <c r="E69" s="3">
        <f>IF(OR(INDEX($L$2:$L$1001,MATCH(ROWS($K$2:K69),$K$2:$K$1001,0),1)&gt;=100000,INDEX($R$1005:$W$1005,1,MATCH(COLUMNS($R$1006:U1006),$R$1006:$W$1006,0))&gt;=100000), " ",IF(INDEX($R$2:$W$1001,MATCH(ROWS($K$2:K69),$K$2:$K$1001,0),MATCH(COLUMNS($R$1006:U1006),$R$1006:$W$1006,0)), HYPERLINK("#",""), HYPERLINK(CONCATENATE("#Metadata!", ADDRESS(INDEX($M$2:$M$1001,MATCH(ROWS($K$2:K69),$K$2:$K$1001,0),0), INDEX($R$1004:$W$1004,1,MATCH(COLUMNS($R$1006:U1006),$R$1006:$W$1006,0)))),"Fix")))</f>
        <v>0</v>
      </c>
      <c r="F69" s="3">
        <f>IF(OR(INDEX($L$2:$L$1001,MATCH(ROWS($K$2:K69),$K$2:$K$1001,0),1)&gt;=100000,INDEX($R$1005:$W$1005,1,MATCH(COLUMNS($R$1006:V1006),$R$1006:$W$1006,0))&gt;=100000), " ",IF(INDEX($R$2:$W$1001,MATCH(ROWS($K$2:K69),$K$2:$K$1001,0),MATCH(COLUMNS($R$1006:V1006),$R$1006:$W$1006,0)), HYPERLINK("#",""), HYPERLINK(CONCATENATE("#Metadata!", ADDRESS(INDEX($M$2:$M$1001,MATCH(ROWS($K$2:K69),$K$2:$K$1001,0),0), INDEX($R$1004:$W$1004,1,MATCH(COLUMNS($R$1006:V1006),$R$1006:$W$1006,0)))),"Fix")))</f>
        <v>0</v>
      </c>
      <c r="G69" s="3">
        <f>IF(OR(INDEX($L$2:$L$1001,MATCH(ROWS($K$2:K69),$K$2:$K$1001,0),1)&gt;=100000,INDEX($R$1005:$W$1005,1,MATCH(COLUMNS($R$1006:W1006),$R$1006:$W$1006,0))&gt;=100000), " ",IF(INDEX($R$2:$W$1001,MATCH(ROWS($K$2:K69),$K$2:$K$1001,0),MATCH(COLUMNS($R$1006:W1006),$R$1006:$W$1006,0)), HYPERLINK("#",""), HYPERLINK(CONCATENATE("#Metadata!", ADDRESS(INDEX($M$2:$M$1001,MATCH(ROWS($K$2:K69),$K$2:$K$1001,0),0), INDEX($R$1004:$W$1004,1,MATCH(COLUMNS($R$1006:W1006),$R$1006:$W$1006,0)))),"Fix")))</f>
        <v>0</v>
      </c>
      <c r="K69">
        <v>0</v>
      </c>
      <c r="L69">
        <v>0</v>
      </c>
      <c r="M69">
        <v>0</v>
      </c>
      <c r="N69">
        <f>IF(O69,TRUE,AND(R69:W69))</f>
        <v>0</v>
      </c>
      <c r="O69">
        <f>COUNTBLANK(Metadata!B69:G69)=COLUMNS(Metadata!B69:G69)</f>
        <v>0</v>
      </c>
      <c r="P69">
        <v>0</v>
      </c>
      <c r="R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S69">
        <f>IF(Metadata!C69="",FALSE,TRUE)</f>
        <v>0</v>
      </c>
      <c r="T69">
        <f>IF(Metadata!D69="",FALSE,TRUE)</f>
        <v>0</v>
      </c>
      <c r="U69">
        <f>IF(Metadata!E69="",FALSE,TRUE)</f>
        <v>0</v>
      </c>
      <c r="V69">
        <f>AND(IF(Metadata!F69="",FALSE,TRUE),exact(Metadata!F69,"rat gut metagenome"))</f>
        <v>0</v>
      </c>
      <c r="W69">
        <f>AND(IF(Metadata!G69="",FALSE,TRUE),exact(Metadata!G69,"1436733"))</f>
        <v>0</v>
      </c>
    </row>
    <row r="70" spans="1:23">
      <c r="A70" s="4">
        <f>IF(B70=" "," ",HYPERLINK(CONCATENATE("#metadata!",ADDRESS(INDEX($M$2:$M$1001,MATCH(ROWS($K$2:K70),$K$2:$K$1001,0),0),1)),INDEX($P$2:$P$1001,MATCH(ROWS($K$2:K70),$K$2:$K$1001,0),0)))</f>
        <v>0</v>
      </c>
      <c r="B70" s="3">
        <f>IF(OR(INDEX($L$2:$L$1001,MATCH(ROWS($K$2:K70),$K$2:$K$1001,0),1)&gt;=100000,INDEX($R$1005:$W$1005,1,MATCH(COLUMNS($R$1006:R1006),$R$1006:$W$1006,0))&gt;=100000), " ",IF(INDEX($R$2:$W$1001,MATCH(ROWS($K$2:K70),$K$2:$K$1001,0),MATCH(COLUMNS($R$1006:R1006),$R$1006:$W$1006,0)), HYPERLINK("#",""), HYPERLINK(CONCATENATE("#Metadata!", ADDRESS(INDEX($M$2:$M$1001,MATCH(ROWS($K$2:K70),$K$2:$K$1001,0),0), INDEX($R$1004:$W$1004,1,MATCH(COLUMNS($R$1006:R1006),$R$1006:$W$1006,0)))),"Fix")))</f>
        <v>0</v>
      </c>
      <c r="C70" s="3">
        <f>IF(OR(INDEX($L$2:$L$1001,MATCH(ROWS($K$2:K70),$K$2:$K$1001,0),1)&gt;=100000,INDEX($R$1005:$W$1005,1,MATCH(COLUMNS($R$1006:S1006),$R$1006:$W$1006,0))&gt;=100000), " ",IF(INDEX($R$2:$W$1001,MATCH(ROWS($K$2:K70),$K$2:$K$1001,0),MATCH(COLUMNS($R$1006:S1006),$R$1006:$W$1006,0)), HYPERLINK("#",""), HYPERLINK(CONCATENATE("#Metadata!", ADDRESS(INDEX($M$2:$M$1001,MATCH(ROWS($K$2:K70),$K$2:$K$1001,0),0), INDEX($R$1004:$W$1004,1,MATCH(COLUMNS($R$1006:S1006),$R$1006:$W$1006,0)))),"Fix")))</f>
        <v>0</v>
      </c>
      <c r="D70" s="3">
        <f>IF(OR(INDEX($L$2:$L$1001,MATCH(ROWS($K$2:K70),$K$2:$K$1001,0),1)&gt;=100000,INDEX($R$1005:$W$1005,1,MATCH(COLUMNS($R$1006:T1006),$R$1006:$W$1006,0))&gt;=100000), " ",IF(INDEX($R$2:$W$1001,MATCH(ROWS($K$2:K70),$K$2:$K$1001,0),MATCH(COLUMNS($R$1006:T1006),$R$1006:$W$1006,0)), HYPERLINK("#",""), HYPERLINK(CONCATENATE("#Metadata!", ADDRESS(INDEX($M$2:$M$1001,MATCH(ROWS($K$2:K70),$K$2:$K$1001,0),0), INDEX($R$1004:$W$1004,1,MATCH(COLUMNS($R$1006:T1006),$R$1006:$W$1006,0)))),"Fix")))</f>
        <v>0</v>
      </c>
      <c r="E70" s="3">
        <f>IF(OR(INDEX($L$2:$L$1001,MATCH(ROWS($K$2:K70),$K$2:$K$1001,0),1)&gt;=100000,INDEX($R$1005:$W$1005,1,MATCH(COLUMNS($R$1006:U1006),$R$1006:$W$1006,0))&gt;=100000), " ",IF(INDEX($R$2:$W$1001,MATCH(ROWS($K$2:K70),$K$2:$K$1001,0),MATCH(COLUMNS($R$1006:U1006),$R$1006:$W$1006,0)), HYPERLINK("#",""), HYPERLINK(CONCATENATE("#Metadata!", ADDRESS(INDEX($M$2:$M$1001,MATCH(ROWS($K$2:K70),$K$2:$K$1001,0),0), INDEX($R$1004:$W$1004,1,MATCH(COLUMNS($R$1006:U1006),$R$1006:$W$1006,0)))),"Fix")))</f>
        <v>0</v>
      </c>
      <c r="F70" s="3">
        <f>IF(OR(INDEX($L$2:$L$1001,MATCH(ROWS($K$2:K70),$K$2:$K$1001,0),1)&gt;=100000,INDEX($R$1005:$W$1005,1,MATCH(COLUMNS($R$1006:V1006),$R$1006:$W$1006,0))&gt;=100000), " ",IF(INDEX($R$2:$W$1001,MATCH(ROWS($K$2:K70),$K$2:$K$1001,0),MATCH(COLUMNS($R$1006:V1006),$R$1006:$W$1006,0)), HYPERLINK("#",""), HYPERLINK(CONCATENATE("#Metadata!", ADDRESS(INDEX($M$2:$M$1001,MATCH(ROWS($K$2:K70),$K$2:$K$1001,0),0), INDEX($R$1004:$W$1004,1,MATCH(COLUMNS($R$1006:V1006),$R$1006:$W$1006,0)))),"Fix")))</f>
        <v>0</v>
      </c>
      <c r="G70" s="3">
        <f>IF(OR(INDEX($L$2:$L$1001,MATCH(ROWS($K$2:K70),$K$2:$K$1001,0),1)&gt;=100000,INDEX($R$1005:$W$1005,1,MATCH(COLUMNS($R$1006:W1006),$R$1006:$W$1006,0))&gt;=100000), " ",IF(INDEX($R$2:$W$1001,MATCH(ROWS($K$2:K70),$K$2:$K$1001,0),MATCH(COLUMNS($R$1006:W1006),$R$1006:$W$1006,0)), HYPERLINK("#",""), HYPERLINK(CONCATENATE("#Metadata!", ADDRESS(INDEX($M$2:$M$1001,MATCH(ROWS($K$2:K70),$K$2:$K$1001,0),0), INDEX($R$1004:$W$1004,1,MATCH(COLUMNS($R$1006:W1006),$R$1006:$W$1006,0)))),"Fix")))</f>
        <v>0</v>
      </c>
      <c r="K70">
        <v>0</v>
      </c>
      <c r="L70">
        <v>0</v>
      </c>
      <c r="M70">
        <v>0</v>
      </c>
      <c r="N70">
        <f>IF(O70,TRUE,AND(R70:W70))</f>
        <v>0</v>
      </c>
      <c r="O70">
        <f>COUNTBLANK(Metadata!B70:G70)=COLUMNS(Metadata!B70:G70)</f>
        <v>0</v>
      </c>
      <c r="P70">
        <v>0</v>
      </c>
      <c r="R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S70">
        <f>IF(Metadata!C70="",FALSE,TRUE)</f>
        <v>0</v>
      </c>
      <c r="T70">
        <f>IF(Metadata!D70="",FALSE,TRUE)</f>
        <v>0</v>
      </c>
      <c r="U70">
        <f>IF(Metadata!E70="",FALSE,TRUE)</f>
        <v>0</v>
      </c>
      <c r="V70">
        <f>AND(IF(Metadata!F70="",FALSE,TRUE),exact(Metadata!F70,"rat gut metagenome"))</f>
        <v>0</v>
      </c>
      <c r="W70">
        <f>AND(IF(Metadata!G70="",FALSE,TRUE),exact(Metadata!G70,"1436733"))</f>
        <v>0</v>
      </c>
    </row>
    <row r="71" spans="1:23">
      <c r="A71" s="4">
        <f>IF(B71=" "," ",HYPERLINK(CONCATENATE("#metadata!",ADDRESS(INDEX($M$2:$M$1001,MATCH(ROWS($K$2:K71),$K$2:$K$1001,0),0),1)),INDEX($P$2:$P$1001,MATCH(ROWS($K$2:K71),$K$2:$K$1001,0),0)))</f>
        <v>0</v>
      </c>
      <c r="B71" s="3">
        <f>IF(OR(INDEX($L$2:$L$1001,MATCH(ROWS($K$2:K71),$K$2:$K$1001,0),1)&gt;=100000,INDEX($R$1005:$W$1005,1,MATCH(COLUMNS($R$1006:R1006),$R$1006:$W$1006,0))&gt;=100000), " ",IF(INDEX($R$2:$W$1001,MATCH(ROWS($K$2:K71),$K$2:$K$1001,0),MATCH(COLUMNS($R$1006:R1006),$R$1006:$W$1006,0)), HYPERLINK("#",""), HYPERLINK(CONCATENATE("#Metadata!", ADDRESS(INDEX($M$2:$M$1001,MATCH(ROWS($K$2:K71),$K$2:$K$1001,0),0), INDEX($R$1004:$W$1004,1,MATCH(COLUMNS($R$1006:R1006),$R$1006:$W$1006,0)))),"Fix")))</f>
        <v>0</v>
      </c>
      <c r="C71" s="3">
        <f>IF(OR(INDEX($L$2:$L$1001,MATCH(ROWS($K$2:K71),$K$2:$K$1001,0),1)&gt;=100000,INDEX($R$1005:$W$1005,1,MATCH(COLUMNS($R$1006:S1006),$R$1006:$W$1006,0))&gt;=100000), " ",IF(INDEX($R$2:$W$1001,MATCH(ROWS($K$2:K71),$K$2:$K$1001,0),MATCH(COLUMNS($R$1006:S1006),$R$1006:$W$1006,0)), HYPERLINK("#",""), HYPERLINK(CONCATENATE("#Metadata!", ADDRESS(INDEX($M$2:$M$1001,MATCH(ROWS($K$2:K71),$K$2:$K$1001,0),0), INDEX($R$1004:$W$1004,1,MATCH(COLUMNS($R$1006:S1006),$R$1006:$W$1006,0)))),"Fix")))</f>
        <v>0</v>
      </c>
      <c r="D71" s="3">
        <f>IF(OR(INDEX($L$2:$L$1001,MATCH(ROWS($K$2:K71),$K$2:$K$1001,0),1)&gt;=100000,INDEX($R$1005:$W$1005,1,MATCH(COLUMNS($R$1006:T1006),$R$1006:$W$1006,0))&gt;=100000), " ",IF(INDEX($R$2:$W$1001,MATCH(ROWS($K$2:K71),$K$2:$K$1001,0),MATCH(COLUMNS($R$1006:T1006),$R$1006:$W$1006,0)), HYPERLINK("#",""), HYPERLINK(CONCATENATE("#Metadata!", ADDRESS(INDEX($M$2:$M$1001,MATCH(ROWS($K$2:K71),$K$2:$K$1001,0),0), INDEX($R$1004:$W$1004,1,MATCH(COLUMNS($R$1006:T1006),$R$1006:$W$1006,0)))),"Fix")))</f>
        <v>0</v>
      </c>
      <c r="E71" s="3">
        <f>IF(OR(INDEX($L$2:$L$1001,MATCH(ROWS($K$2:K71),$K$2:$K$1001,0),1)&gt;=100000,INDEX($R$1005:$W$1005,1,MATCH(COLUMNS($R$1006:U1006),$R$1006:$W$1006,0))&gt;=100000), " ",IF(INDEX($R$2:$W$1001,MATCH(ROWS($K$2:K71),$K$2:$K$1001,0),MATCH(COLUMNS($R$1006:U1006),$R$1006:$W$1006,0)), HYPERLINK("#",""), HYPERLINK(CONCATENATE("#Metadata!", ADDRESS(INDEX($M$2:$M$1001,MATCH(ROWS($K$2:K71),$K$2:$K$1001,0),0), INDEX($R$1004:$W$1004,1,MATCH(COLUMNS($R$1006:U1006),$R$1006:$W$1006,0)))),"Fix")))</f>
        <v>0</v>
      </c>
      <c r="F71" s="3">
        <f>IF(OR(INDEX($L$2:$L$1001,MATCH(ROWS($K$2:K71),$K$2:$K$1001,0),1)&gt;=100000,INDEX($R$1005:$W$1005,1,MATCH(COLUMNS($R$1006:V1006),$R$1006:$W$1006,0))&gt;=100000), " ",IF(INDEX($R$2:$W$1001,MATCH(ROWS($K$2:K71),$K$2:$K$1001,0),MATCH(COLUMNS($R$1006:V1006),$R$1006:$W$1006,0)), HYPERLINK("#",""), HYPERLINK(CONCATENATE("#Metadata!", ADDRESS(INDEX($M$2:$M$1001,MATCH(ROWS($K$2:K71),$K$2:$K$1001,0),0), INDEX($R$1004:$W$1004,1,MATCH(COLUMNS($R$1006:V1006),$R$1006:$W$1006,0)))),"Fix")))</f>
        <v>0</v>
      </c>
      <c r="G71" s="3">
        <f>IF(OR(INDEX($L$2:$L$1001,MATCH(ROWS($K$2:K71),$K$2:$K$1001,0),1)&gt;=100000,INDEX($R$1005:$W$1005,1,MATCH(COLUMNS($R$1006:W1006),$R$1006:$W$1006,0))&gt;=100000), " ",IF(INDEX($R$2:$W$1001,MATCH(ROWS($K$2:K71),$K$2:$K$1001,0),MATCH(COLUMNS($R$1006:W1006),$R$1006:$W$1006,0)), HYPERLINK("#",""), HYPERLINK(CONCATENATE("#Metadata!", ADDRESS(INDEX($M$2:$M$1001,MATCH(ROWS($K$2:K71),$K$2:$K$1001,0),0), INDEX($R$1004:$W$1004,1,MATCH(COLUMNS($R$1006:W1006),$R$1006:$W$1006,0)))),"Fix")))</f>
        <v>0</v>
      </c>
      <c r="K71">
        <v>0</v>
      </c>
      <c r="L71">
        <v>0</v>
      </c>
      <c r="M71">
        <v>0</v>
      </c>
      <c r="N71">
        <f>IF(O71,TRUE,AND(R71:W71))</f>
        <v>0</v>
      </c>
      <c r="O71">
        <f>COUNTBLANK(Metadata!B71:G71)=COLUMNS(Metadata!B71:G71)</f>
        <v>0</v>
      </c>
      <c r="P71">
        <v>0</v>
      </c>
      <c r="R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S71">
        <f>IF(Metadata!C71="",FALSE,TRUE)</f>
        <v>0</v>
      </c>
      <c r="T71">
        <f>IF(Metadata!D71="",FALSE,TRUE)</f>
        <v>0</v>
      </c>
      <c r="U71">
        <f>IF(Metadata!E71="",FALSE,TRUE)</f>
        <v>0</v>
      </c>
      <c r="V71">
        <f>AND(IF(Metadata!F71="",FALSE,TRUE),exact(Metadata!F71,"rat gut metagenome"))</f>
        <v>0</v>
      </c>
      <c r="W71">
        <f>AND(IF(Metadata!G71="",FALSE,TRUE),exact(Metadata!G71,"1436733"))</f>
        <v>0</v>
      </c>
    </row>
    <row r="72" spans="1:23">
      <c r="A72" s="4">
        <f>IF(B72=" "," ",HYPERLINK(CONCATENATE("#metadata!",ADDRESS(INDEX($M$2:$M$1001,MATCH(ROWS($K$2:K72),$K$2:$K$1001,0),0),1)),INDEX($P$2:$P$1001,MATCH(ROWS($K$2:K72),$K$2:$K$1001,0),0)))</f>
        <v>0</v>
      </c>
      <c r="B72" s="3">
        <f>IF(OR(INDEX($L$2:$L$1001,MATCH(ROWS($K$2:K72),$K$2:$K$1001,0),1)&gt;=100000,INDEX($R$1005:$W$1005,1,MATCH(COLUMNS($R$1006:R1006),$R$1006:$W$1006,0))&gt;=100000), " ",IF(INDEX($R$2:$W$1001,MATCH(ROWS($K$2:K72),$K$2:$K$1001,0),MATCH(COLUMNS($R$1006:R1006),$R$1006:$W$1006,0)), HYPERLINK("#",""), HYPERLINK(CONCATENATE("#Metadata!", ADDRESS(INDEX($M$2:$M$1001,MATCH(ROWS($K$2:K72),$K$2:$K$1001,0),0), INDEX($R$1004:$W$1004,1,MATCH(COLUMNS($R$1006:R1006),$R$1006:$W$1006,0)))),"Fix")))</f>
        <v>0</v>
      </c>
      <c r="C72" s="3">
        <f>IF(OR(INDEX($L$2:$L$1001,MATCH(ROWS($K$2:K72),$K$2:$K$1001,0),1)&gt;=100000,INDEX($R$1005:$W$1005,1,MATCH(COLUMNS($R$1006:S1006),$R$1006:$W$1006,0))&gt;=100000), " ",IF(INDEX($R$2:$W$1001,MATCH(ROWS($K$2:K72),$K$2:$K$1001,0),MATCH(COLUMNS($R$1006:S1006),$R$1006:$W$1006,0)), HYPERLINK("#",""), HYPERLINK(CONCATENATE("#Metadata!", ADDRESS(INDEX($M$2:$M$1001,MATCH(ROWS($K$2:K72),$K$2:$K$1001,0),0), INDEX($R$1004:$W$1004,1,MATCH(COLUMNS($R$1006:S1006),$R$1006:$W$1006,0)))),"Fix")))</f>
        <v>0</v>
      </c>
      <c r="D72" s="3">
        <f>IF(OR(INDEX($L$2:$L$1001,MATCH(ROWS($K$2:K72),$K$2:$K$1001,0),1)&gt;=100000,INDEX($R$1005:$W$1005,1,MATCH(COLUMNS($R$1006:T1006),$R$1006:$W$1006,0))&gt;=100000), " ",IF(INDEX($R$2:$W$1001,MATCH(ROWS($K$2:K72),$K$2:$K$1001,0),MATCH(COLUMNS($R$1006:T1006),$R$1006:$W$1006,0)), HYPERLINK("#",""), HYPERLINK(CONCATENATE("#Metadata!", ADDRESS(INDEX($M$2:$M$1001,MATCH(ROWS($K$2:K72),$K$2:$K$1001,0),0), INDEX($R$1004:$W$1004,1,MATCH(COLUMNS($R$1006:T1006),$R$1006:$W$1006,0)))),"Fix")))</f>
        <v>0</v>
      </c>
      <c r="E72" s="3">
        <f>IF(OR(INDEX($L$2:$L$1001,MATCH(ROWS($K$2:K72),$K$2:$K$1001,0),1)&gt;=100000,INDEX($R$1005:$W$1005,1,MATCH(COLUMNS($R$1006:U1006),$R$1006:$W$1006,0))&gt;=100000), " ",IF(INDEX($R$2:$W$1001,MATCH(ROWS($K$2:K72),$K$2:$K$1001,0),MATCH(COLUMNS($R$1006:U1006),$R$1006:$W$1006,0)), HYPERLINK("#",""), HYPERLINK(CONCATENATE("#Metadata!", ADDRESS(INDEX($M$2:$M$1001,MATCH(ROWS($K$2:K72),$K$2:$K$1001,0),0), INDEX($R$1004:$W$1004,1,MATCH(COLUMNS($R$1006:U1006),$R$1006:$W$1006,0)))),"Fix")))</f>
        <v>0</v>
      </c>
      <c r="F72" s="3">
        <f>IF(OR(INDEX($L$2:$L$1001,MATCH(ROWS($K$2:K72),$K$2:$K$1001,0),1)&gt;=100000,INDEX($R$1005:$W$1005,1,MATCH(COLUMNS($R$1006:V1006),$R$1006:$W$1006,0))&gt;=100000), " ",IF(INDEX($R$2:$W$1001,MATCH(ROWS($K$2:K72),$K$2:$K$1001,0),MATCH(COLUMNS($R$1006:V1006),$R$1006:$W$1006,0)), HYPERLINK("#",""), HYPERLINK(CONCATENATE("#Metadata!", ADDRESS(INDEX($M$2:$M$1001,MATCH(ROWS($K$2:K72),$K$2:$K$1001,0),0), INDEX($R$1004:$W$1004,1,MATCH(COLUMNS($R$1006:V1006),$R$1006:$W$1006,0)))),"Fix")))</f>
        <v>0</v>
      </c>
      <c r="G72" s="3">
        <f>IF(OR(INDEX($L$2:$L$1001,MATCH(ROWS($K$2:K72),$K$2:$K$1001,0),1)&gt;=100000,INDEX($R$1005:$W$1005,1,MATCH(COLUMNS($R$1006:W1006),$R$1006:$W$1006,0))&gt;=100000), " ",IF(INDEX($R$2:$W$1001,MATCH(ROWS($K$2:K72),$K$2:$K$1001,0),MATCH(COLUMNS($R$1006:W1006),$R$1006:$W$1006,0)), HYPERLINK("#",""), HYPERLINK(CONCATENATE("#Metadata!", ADDRESS(INDEX($M$2:$M$1001,MATCH(ROWS($K$2:K72),$K$2:$K$1001,0),0), INDEX($R$1004:$W$1004,1,MATCH(COLUMNS($R$1006:W1006),$R$1006:$W$1006,0)))),"Fix")))</f>
        <v>0</v>
      </c>
      <c r="K72">
        <v>0</v>
      </c>
      <c r="L72">
        <v>0</v>
      </c>
      <c r="M72">
        <v>0</v>
      </c>
      <c r="N72">
        <f>IF(O72,TRUE,AND(R72:W72))</f>
        <v>0</v>
      </c>
      <c r="O72">
        <f>COUNTBLANK(Metadata!B72:G72)=COLUMNS(Metadata!B72:G72)</f>
        <v>0</v>
      </c>
      <c r="P72">
        <v>0</v>
      </c>
      <c r="R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S72">
        <f>IF(Metadata!C72="",FALSE,TRUE)</f>
        <v>0</v>
      </c>
      <c r="T72">
        <f>IF(Metadata!D72="",FALSE,TRUE)</f>
        <v>0</v>
      </c>
      <c r="U72">
        <f>IF(Metadata!E72="",FALSE,TRUE)</f>
        <v>0</v>
      </c>
      <c r="V72">
        <f>AND(IF(Metadata!F72="",FALSE,TRUE),exact(Metadata!F72,"rat gut metagenome"))</f>
        <v>0</v>
      </c>
      <c r="W72">
        <f>AND(IF(Metadata!G72="",FALSE,TRUE),exact(Metadata!G72,"1436733"))</f>
        <v>0</v>
      </c>
    </row>
    <row r="73" spans="1:23">
      <c r="A73" s="4">
        <f>IF(B73=" "," ",HYPERLINK(CONCATENATE("#metadata!",ADDRESS(INDEX($M$2:$M$1001,MATCH(ROWS($K$2:K73),$K$2:$K$1001,0),0),1)),INDEX($P$2:$P$1001,MATCH(ROWS($K$2:K73),$K$2:$K$1001,0),0)))</f>
        <v>0</v>
      </c>
      <c r="B73" s="3">
        <f>IF(OR(INDEX($L$2:$L$1001,MATCH(ROWS($K$2:K73),$K$2:$K$1001,0),1)&gt;=100000,INDEX($R$1005:$W$1005,1,MATCH(COLUMNS($R$1006:R1006),$R$1006:$W$1006,0))&gt;=100000), " ",IF(INDEX($R$2:$W$1001,MATCH(ROWS($K$2:K73),$K$2:$K$1001,0),MATCH(COLUMNS($R$1006:R1006),$R$1006:$W$1006,0)), HYPERLINK("#",""), HYPERLINK(CONCATENATE("#Metadata!", ADDRESS(INDEX($M$2:$M$1001,MATCH(ROWS($K$2:K73),$K$2:$K$1001,0),0), INDEX($R$1004:$W$1004,1,MATCH(COLUMNS($R$1006:R1006),$R$1006:$W$1006,0)))),"Fix")))</f>
        <v>0</v>
      </c>
      <c r="C73" s="3">
        <f>IF(OR(INDEX($L$2:$L$1001,MATCH(ROWS($K$2:K73),$K$2:$K$1001,0),1)&gt;=100000,INDEX($R$1005:$W$1005,1,MATCH(COLUMNS($R$1006:S1006),$R$1006:$W$1006,0))&gt;=100000), " ",IF(INDEX($R$2:$W$1001,MATCH(ROWS($K$2:K73),$K$2:$K$1001,0),MATCH(COLUMNS($R$1006:S1006),$R$1006:$W$1006,0)), HYPERLINK("#",""), HYPERLINK(CONCATENATE("#Metadata!", ADDRESS(INDEX($M$2:$M$1001,MATCH(ROWS($K$2:K73),$K$2:$K$1001,0),0), INDEX($R$1004:$W$1004,1,MATCH(COLUMNS($R$1006:S1006),$R$1006:$W$1006,0)))),"Fix")))</f>
        <v>0</v>
      </c>
      <c r="D73" s="3">
        <f>IF(OR(INDEX($L$2:$L$1001,MATCH(ROWS($K$2:K73),$K$2:$K$1001,0),1)&gt;=100000,INDEX($R$1005:$W$1005,1,MATCH(COLUMNS($R$1006:T1006),$R$1006:$W$1006,0))&gt;=100000), " ",IF(INDEX($R$2:$W$1001,MATCH(ROWS($K$2:K73),$K$2:$K$1001,0),MATCH(COLUMNS($R$1006:T1006),$R$1006:$W$1006,0)), HYPERLINK("#",""), HYPERLINK(CONCATENATE("#Metadata!", ADDRESS(INDEX($M$2:$M$1001,MATCH(ROWS($K$2:K73),$K$2:$K$1001,0),0), INDEX($R$1004:$W$1004,1,MATCH(COLUMNS($R$1006:T1006),$R$1006:$W$1006,0)))),"Fix")))</f>
        <v>0</v>
      </c>
      <c r="E73" s="3">
        <f>IF(OR(INDEX($L$2:$L$1001,MATCH(ROWS($K$2:K73),$K$2:$K$1001,0),1)&gt;=100000,INDEX($R$1005:$W$1005,1,MATCH(COLUMNS($R$1006:U1006),$R$1006:$W$1006,0))&gt;=100000), " ",IF(INDEX($R$2:$W$1001,MATCH(ROWS($K$2:K73),$K$2:$K$1001,0),MATCH(COLUMNS($R$1006:U1006),$R$1006:$W$1006,0)), HYPERLINK("#",""), HYPERLINK(CONCATENATE("#Metadata!", ADDRESS(INDEX($M$2:$M$1001,MATCH(ROWS($K$2:K73),$K$2:$K$1001,0),0), INDEX($R$1004:$W$1004,1,MATCH(COLUMNS($R$1006:U1006),$R$1006:$W$1006,0)))),"Fix")))</f>
        <v>0</v>
      </c>
      <c r="F73" s="3">
        <f>IF(OR(INDEX($L$2:$L$1001,MATCH(ROWS($K$2:K73),$K$2:$K$1001,0),1)&gt;=100000,INDEX($R$1005:$W$1005,1,MATCH(COLUMNS($R$1006:V1006),$R$1006:$W$1006,0))&gt;=100000), " ",IF(INDEX($R$2:$W$1001,MATCH(ROWS($K$2:K73),$K$2:$K$1001,0),MATCH(COLUMNS($R$1006:V1006),$R$1006:$W$1006,0)), HYPERLINK("#",""), HYPERLINK(CONCATENATE("#Metadata!", ADDRESS(INDEX($M$2:$M$1001,MATCH(ROWS($K$2:K73),$K$2:$K$1001,0),0), INDEX($R$1004:$W$1004,1,MATCH(COLUMNS($R$1006:V1006),$R$1006:$W$1006,0)))),"Fix")))</f>
        <v>0</v>
      </c>
      <c r="G73" s="3">
        <f>IF(OR(INDEX($L$2:$L$1001,MATCH(ROWS($K$2:K73),$K$2:$K$1001,0),1)&gt;=100000,INDEX($R$1005:$W$1005,1,MATCH(COLUMNS($R$1006:W1006),$R$1006:$W$1006,0))&gt;=100000), " ",IF(INDEX($R$2:$W$1001,MATCH(ROWS($K$2:K73),$K$2:$K$1001,0),MATCH(COLUMNS($R$1006:W1006),$R$1006:$W$1006,0)), HYPERLINK("#",""), HYPERLINK(CONCATENATE("#Metadata!", ADDRESS(INDEX($M$2:$M$1001,MATCH(ROWS($K$2:K73),$K$2:$K$1001,0),0), INDEX($R$1004:$W$1004,1,MATCH(COLUMNS($R$1006:W1006),$R$1006:$W$1006,0)))),"Fix")))</f>
        <v>0</v>
      </c>
      <c r="K73">
        <v>0</v>
      </c>
      <c r="L73">
        <v>0</v>
      </c>
      <c r="M73">
        <v>0</v>
      </c>
      <c r="N73">
        <f>IF(O73,TRUE,AND(R73:W73))</f>
        <v>0</v>
      </c>
      <c r="O73">
        <f>COUNTBLANK(Metadata!B73:G73)=COLUMNS(Metadata!B73:G73)</f>
        <v>0</v>
      </c>
      <c r="P73">
        <v>0</v>
      </c>
      <c r="R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S73">
        <f>IF(Metadata!C73="",FALSE,TRUE)</f>
        <v>0</v>
      </c>
      <c r="T73">
        <f>IF(Metadata!D73="",FALSE,TRUE)</f>
        <v>0</v>
      </c>
      <c r="U73">
        <f>IF(Metadata!E73="",FALSE,TRUE)</f>
        <v>0</v>
      </c>
      <c r="V73">
        <f>AND(IF(Metadata!F73="",FALSE,TRUE),exact(Metadata!F73,"rat gut metagenome"))</f>
        <v>0</v>
      </c>
      <c r="W73">
        <f>AND(IF(Metadata!G73="",FALSE,TRUE),exact(Metadata!G73,"1436733"))</f>
        <v>0</v>
      </c>
    </row>
    <row r="74" spans="1:23">
      <c r="A74" s="4">
        <f>IF(B74=" "," ",HYPERLINK(CONCATENATE("#metadata!",ADDRESS(INDEX($M$2:$M$1001,MATCH(ROWS($K$2:K74),$K$2:$K$1001,0),0),1)),INDEX($P$2:$P$1001,MATCH(ROWS($K$2:K74),$K$2:$K$1001,0),0)))</f>
        <v>0</v>
      </c>
      <c r="B74" s="3">
        <f>IF(OR(INDEX($L$2:$L$1001,MATCH(ROWS($K$2:K74),$K$2:$K$1001,0),1)&gt;=100000,INDEX($R$1005:$W$1005,1,MATCH(COLUMNS($R$1006:R1006),$R$1006:$W$1006,0))&gt;=100000), " ",IF(INDEX($R$2:$W$1001,MATCH(ROWS($K$2:K74),$K$2:$K$1001,0),MATCH(COLUMNS($R$1006:R1006),$R$1006:$W$1006,0)), HYPERLINK("#",""), HYPERLINK(CONCATENATE("#Metadata!", ADDRESS(INDEX($M$2:$M$1001,MATCH(ROWS($K$2:K74),$K$2:$K$1001,0),0), INDEX($R$1004:$W$1004,1,MATCH(COLUMNS($R$1006:R1006),$R$1006:$W$1006,0)))),"Fix")))</f>
        <v>0</v>
      </c>
      <c r="C74" s="3">
        <f>IF(OR(INDEX($L$2:$L$1001,MATCH(ROWS($K$2:K74),$K$2:$K$1001,0),1)&gt;=100000,INDEX($R$1005:$W$1005,1,MATCH(COLUMNS($R$1006:S1006),$R$1006:$W$1006,0))&gt;=100000), " ",IF(INDEX($R$2:$W$1001,MATCH(ROWS($K$2:K74),$K$2:$K$1001,0),MATCH(COLUMNS($R$1006:S1006),$R$1006:$W$1006,0)), HYPERLINK("#",""), HYPERLINK(CONCATENATE("#Metadata!", ADDRESS(INDEX($M$2:$M$1001,MATCH(ROWS($K$2:K74),$K$2:$K$1001,0),0), INDEX($R$1004:$W$1004,1,MATCH(COLUMNS($R$1006:S1006),$R$1006:$W$1006,0)))),"Fix")))</f>
        <v>0</v>
      </c>
      <c r="D74" s="3">
        <f>IF(OR(INDEX($L$2:$L$1001,MATCH(ROWS($K$2:K74),$K$2:$K$1001,0),1)&gt;=100000,INDEX($R$1005:$W$1005,1,MATCH(COLUMNS($R$1006:T1006),$R$1006:$W$1006,0))&gt;=100000), " ",IF(INDEX($R$2:$W$1001,MATCH(ROWS($K$2:K74),$K$2:$K$1001,0),MATCH(COLUMNS($R$1006:T1006),$R$1006:$W$1006,0)), HYPERLINK("#",""), HYPERLINK(CONCATENATE("#Metadata!", ADDRESS(INDEX($M$2:$M$1001,MATCH(ROWS($K$2:K74),$K$2:$K$1001,0),0), INDEX($R$1004:$W$1004,1,MATCH(COLUMNS($R$1006:T1006),$R$1006:$W$1006,0)))),"Fix")))</f>
        <v>0</v>
      </c>
      <c r="E74" s="3">
        <f>IF(OR(INDEX($L$2:$L$1001,MATCH(ROWS($K$2:K74),$K$2:$K$1001,0),1)&gt;=100000,INDEX($R$1005:$W$1005,1,MATCH(COLUMNS($R$1006:U1006),$R$1006:$W$1006,0))&gt;=100000), " ",IF(INDEX($R$2:$W$1001,MATCH(ROWS($K$2:K74),$K$2:$K$1001,0),MATCH(COLUMNS($R$1006:U1006),$R$1006:$W$1006,0)), HYPERLINK("#",""), HYPERLINK(CONCATENATE("#Metadata!", ADDRESS(INDEX($M$2:$M$1001,MATCH(ROWS($K$2:K74),$K$2:$K$1001,0),0), INDEX($R$1004:$W$1004,1,MATCH(COLUMNS($R$1006:U1006),$R$1006:$W$1006,0)))),"Fix")))</f>
        <v>0</v>
      </c>
      <c r="F74" s="3">
        <f>IF(OR(INDEX($L$2:$L$1001,MATCH(ROWS($K$2:K74),$K$2:$K$1001,0),1)&gt;=100000,INDEX($R$1005:$W$1005,1,MATCH(COLUMNS($R$1006:V1006),$R$1006:$W$1006,0))&gt;=100000), " ",IF(INDEX($R$2:$W$1001,MATCH(ROWS($K$2:K74),$K$2:$K$1001,0),MATCH(COLUMNS($R$1006:V1006),$R$1006:$W$1006,0)), HYPERLINK("#",""), HYPERLINK(CONCATENATE("#Metadata!", ADDRESS(INDEX($M$2:$M$1001,MATCH(ROWS($K$2:K74),$K$2:$K$1001,0),0), INDEX($R$1004:$W$1004,1,MATCH(COLUMNS($R$1006:V1006),$R$1006:$W$1006,0)))),"Fix")))</f>
        <v>0</v>
      </c>
      <c r="G74" s="3">
        <f>IF(OR(INDEX($L$2:$L$1001,MATCH(ROWS($K$2:K74),$K$2:$K$1001,0),1)&gt;=100000,INDEX($R$1005:$W$1005,1,MATCH(COLUMNS($R$1006:W1006),$R$1006:$W$1006,0))&gt;=100000), " ",IF(INDEX($R$2:$W$1001,MATCH(ROWS($K$2:K74),$K$2:$K$1001,0),MATCH(COLUMNS($R$1006:W1006),$R$1006:$W$1006,0)), HYPERLINK("#",""), HYPERLINK(CONCATENATE("#Metadata!", ADDRESS(INDEX($M$2:$M$1001,MATCH(ROWS($K$2:K74),$K$2:$K$1001,0),0), INDEX($R$1004:$W$1004,1,MATCH(COLUMNS($R$1006:W1006),$R$1006:$W$1006,0)))),"Fix")))</f>
        <v>0</v>
      </c>
      <c r="K74">
        <v>0</v>
      </c>
      <c r="L74">
        <v>0</v>
      </c>
      <c r="M74">
        <v>0</v>
      </c>
      <c r="N74">
        <f>IF(O74,TRUE,AND(R74:W74))</f>
        <v>0</v>
      </c>
      <c r="O74">
        <f>COUNTBLANK(Metadata!B74:G74)=COLUMNS(Metadata!B74:G74)</f>
        <v>0</v>
      </c>
      <c r="P74">
        <v>0</v>
      </c>
      <c r="R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S74">
        <f>IF(Metadata!C74="",FALSE,TRUE)</f>
        <v>0</v>
      </c>
      <c r="T74">
        <f>IF(Metadata!D74="",FALSE,TRUE)</f>
        <v>0</v>
      </c>
      <c r="U74">
        <f>IF(Metadata!E74="",FALSE,TRUE)</f>
        <v>0</v>
      </c>
      <c r="V74">
        <f>AND(IF(Metadata!F74="",FALSE,TRUE),exact(Metadata!F74,"rat gut metagenome"))</f>
        <v>0</v>
      </c>
      <c r="W74">
        <f>AND(IF(Metadata!G74="",FALSE,TRUE),exact(Metadata!G74,"1436733"))</f>
        <v>0</v>
      </c>
    </row>
    <row r="75" spans="1:23">
      <c r="A75" s="4">
        <f>IF(B75=" "," ",HYPERLINK(CONCATENATE("#metadata!",ADDRESS(INDEX($M$2:$M$1001,MATCH(ROWS($K$2:K75),$K$2:$K$1001,0),0),1)),INDEX($P$2:$P$1001,MATCH(ROWS($K$2:K75),$K$2:$K$1001,0),0)))</f>
        <v>0</v>
      </c>
      <c r="B75" s="3">
        <f>IF(OR(INDEX($L$2:$L$1001,MATCH(ROWS($K$2:K75),$K$2:$K$1001,0),1)&gt;=100000,INDEX($R$1005:$W$1005,1,MATCH(COLUMNS($R$1006:R1006),$R$1006:$W$1006,0))&gt;=100000), " ",IF(INDEX($R$2:$W$1001,MATCH(ROWS($K$2:K75),$K$2:$K$1001,0),MATCH(COLUMNS($R$1006:R1006),$R$1006:$W$1006,0)), HYPERLINK("#",""), HYPERLINK(CONCATENATE("#Metadata!", ADDRESS(INDEX($M$2:$M$1001,MATCH(ROWS($K$2:K75),$K$2:$K$1001,0),0), INDEX($R$1004:$W$1004,1,MATCH(COLUMNS($R$1006:R1006),$R$1006:$W$1006,0)))),"Fix")))</f>
        <v>0</v>
      </c>
      <c r="C75" s="3">
        <f>IF(OR(INDEX($L$2:$L$1001,MATCH(ROWS($K$2:K75),$K$2:$K$1001,0),1)&gt;=100000,INDEX($R$1005:$W$1005,1,MATCH(COLUMNS($R$1006:S1006),$R$1006:$W$1006,0))&gt;=100000), " ",IF(INDEX($R$2:$W$1001,MATCH(ROWS($K$2:K75),$K$2:$K$1001,0),MATCH(COLUMNS($R$1006:S1006),$R$1006:$W$1006,0)), HYPERLINK("#",""), HYPERLINK(CONCATENATE("#Metadata!", ADDRESS(INDEX($M$2:$M$1001,MATCH(ROWS($K$2:K75),$K$2:$K$1001,0),0), INDEX($R$1004:$W$1004,1,MATCH(COLUMNS($R$1006:S1006),$R$1006:$W$1006,0)))),"Fix")))</f>
        <v>0</v>
      </c>
      <c r="D75" s="3">
        <f>IF(OR(INDEX($L$2:$L$1001,MATCH(ROWS($K$2:K75),$K$2:$K$1001,0),1)&gt;=100000,INDEX($R$1005:$W$1005,1,MATCH(COLUMNS($R$1006:T1006),$R$1006:$W$1006,0))&gt;=100000), " ",IF(INDEX($R$2:$W$1001,MATCH(ROWS($K$2:K75),$K$2:$K$1001,0),MATCH(COLUMNS($R$1006:T1006),$R$1006:$W$1006,0)), HYPERLINK("#",""), HYPERLINK(CONCATENATE("#Metadata!", ADDRESS(INDEX($M$2:$M$1001,MATCH(ROWS($K$2:K75),$K$2:$K$1001,0),0), INDEX($R$1004:$W$1004,1,MATCH(COLUMNS($R$1006:T1006),$R$1006:$W$1006,0)))),"Fix")))</f>
        <v>0</v>
      </c>
      <c r="E75" s="3">
        <f>IF(OR(INDEX($L$2:$L$1001,MATCH(ROWS($K$2:K75),$K$2:$K$1001,0),1)&gt;=100000,INDEX($R$1005:$W$1005,1,MATCH(COLUMNS($R$1006:U1006),$R$1006:$W$1006,0))&gt;=100000), " ",IF(INDEX($R$2:$W$1001,MATCH(ROWS($K$2:K75),$K$2:$K$1001,0),MATCH(COLUMNS($R$1006:U1006),$R$1006:$W$1006,0)), HYPERLINK("#",""), HYPERLINK(CONCATENATE("#Metadata!", ADDRESS(INDEX($M$2:$M$1001,MATCH(ROWS($K$2:K75),$K$2:$K$1001,0),0), INDEX($R$1004:$W$1004,1,MATCH(COLUMNS($R$1006:U1006),$R$1006:$W$1006,0)))),"Fix")))</f>
        <v>0</v>
      </c>
      <c r="F75" s="3">
        <f>IF(OR(INDEX($L$2:$L$1001,MATCH(ROWS($K$2:K75),$K$2:$K$1001,0),1)&gt;=100000,INDEX($R$1005:$W$1005,1,MATCH(COLUMNS($R$1006:V1006),$R$1006:$W$1006,0))&gt;=100000), " ",IF(INDEX($R$2:$W$1001,MATCH(ROWS($K$2:K75),$K$2:$K$1001,0),MATCH(COLUMNS($R$1006:V1006),$R$1006:$W$1006,0)), HYPERLINK("#",""), HYPERLINK(CONCATENATE("#Metadata!", ADDRESS(INDEX($M$2:$M$1001,MATCH(ROWS($K$2:K75),$K$2:$K$1001,0),0), INDEX($R$1004:$W$1004,1,MATCH(COLUMNS($R$1006:V1006),$R$1006:$W$1006,0)))),"Fix")))</f>
        <v>0</v>
      </c>
      <c r="G75" s="3">
        <f>IF(OR(INDEX($L$2:$L$1001,MATCH(ROWS($K$2:K75),$K$2:$K$1001,0),1)&gt;=100000,INDEX($R$1005:$W$1005,1,MATCH(COLUMNS($R$1006:W1006),$R$1006:$W$1006,0))&gt;=100000), " ",IF(INDEX($R$2:$W$1001,MATCH(ROWS($K$2:K75),$K$2:$K$1001,0),MATCH(COLUMNS($R$1006:W1006),$R$1006:$W$1006,0)), HYPERLINK("#",""), HYPERLINK(CONCATENATE("#Metadata!", ADDRESS(INDEX($M$2:$M$1001,MATCH(ROWS($K$2:K75),$K$2:$K$1001,0),0), INDEX($R$1004:$W$1004,1,MATCH(COLUMNS($R$1006:W1006),$R$1006:$W$1006,0)))),"Fix")))</f>
        <v>0</v>
      </c>
      <c r="K75">
        <v>0</v>
      </c>
      <c r="L75">
        <v>0</v>
      </c>
      <c r="M75">
        <v>0</v>
      </c>
      <c r="N75">
        <f>IF(O75,TRUE,AND(R75:W75))</f>
        <v>0</v>
      </c>
      <c r="O75">
        <f>COUNTBLANK(Metadata!B75:G75)=COLUMNS(Metadata!B75:G75)</f>
        <v>0</v>
      </c>
      <c r="P75">
        <v>0</v>
      </c>
      <c r="R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S75">
        <f>IF(Metadata!C75="",FALSE,TRUE)</f>
        <v>0</v>
      </c>
      <c r="T75">
        <f>IF(Metadata!D75="",FALSE,TRUE)</f>
        <v>0</v>
      </c>
      <c r="U75">
        <f>IF(Metadata!E75="",FALSE,TRUE)</f>
        <v>0</v>
      </c>
      <c r="V75">
        <f>AND(IF(Metadata!F75="",FALSE,TRUE),exact(Metadata!F75,"rat gut metagenome"))</f>
        <v>0</v>
      </c>
      <c r="W75">
        <f>AND(IF(Metadata!G75="",FALSE,TRUE),exact(Metadata!G75,"1436733"))</f>
        <v>0</v>
      </c>
    </row>
    <row r="76" spans="1:23">
      <c r="A76" s="4">
        <f>IF(B76=" "," ",HYPERLINK(CONCATENATE("#metadata!",ADDRESS(INDEX($M$2:$M$1001,MATCH(ROWS($K$2:K76),$K$2:$K$1001,0),0),1)),INDEX($P$2:$P$1001,MATCH(ROWS($K$2:K76),$K$2:$K$1001,0),0)))</f>
        <v>0</v>
      </c>
      <c r="B76" s="3">
        <f>IF(OR(INDEX($L$2:$L$1001,MATCH(ROWS($K$2:K76),$K$2:$K$1001,0),1)&gt;=100000,INDEX($R$1005:$W$1005,1,MATCH(COLUMNS($R$1006:R1006),$R$1006:$W$1006,0))&gt;=100000), " ",IF(INDEX($R$2:$W$1001,MATCH(ROWS($K$2:K76),$K$2:$K$1001,0),MATCH(COLUMNS($R$1006:R1006),$R$1006:$W$1006,0)), HYPERLINK("#",""), HYPERLINK(CONCATENATE("#Metadata!", ADDRESS(INDEX($M$2:$M$1001,MATCH(ROWS($K$2:K76),$K$2:$K$1001,0),0), INDEX($R$1004:$W$1004,1,MATCH(COLUMNS($R$1006:R1006),$R$1006:$W$1006,0)))),"Fix")))</f>
        <v>0</v>
      </c>
      <c r="C76" s="3">
        <f>IF(OR(INDEX($L$2:$L$1001,MATCH(ROWS($K$2:K76),$K$2:$K$1001,0),1)&gt;=100000,INDEX($R$1005:$W$1005,1,MATCH(COLUMNS($R$1006:S1006),$R$1006:$W$1006,0))&gt;=100000), " ",IF(INDEX($R$2:$W$1001,MATCH(ROWS($K$2:K76),$K$2:$K$1001,0),MATCH(COLUMNS($R$1006:S1006),$R$1006:$W$1006,0)), HYPERLINK("#",""), HYPERLINK(CONCATENATE("#Metadata!", ADDRESS(INDEX($M$2:$M$1001,MATCH(ROWS($K$2:K76),$K$2:$K$1001,0),0), INDEX($R$1004:$W$1004,1,MATCH(COLUMNS($R$1006:S1006),$R$1006:$W$1006,0)))),"Fix")))</f>
        <v>0</v>
      </c>
      <c r="D76" s="3">
        <f>IF(OR(INDEX($L$2:$L$1001,MATCH(ROWS($K$2:K76),$K$2:$K$1001,0),1)&gt;=100000,INDEX($R$1005:$W$1005,1,MATCH(COLUMNS($R$1006:T1006),$R$1006:$W$1006,0))&gt;=100000), " ",IF(INDEX($R$2:$W$1001,MATCH(ROWS($K$2:K76),$K$2:$K$1001,0),MATCH(COLUMNS($R$1006:T1006),$R$1006:$W$1006,0)), HYPERLINK("#",""), HYPERLINK(CONCATENATE("#Metadata!", ADDRESS(INDEX($M$2:$M$1001,MATCH(ROWS($K$2:K76),$K$2:$K$1001,0),0), INDEX($R$1004:$W$1004,1,MATCH(COLUMNS($R$1006:T1006),$R$1006:$W$1006,0)))),"Fix")))</f>
        <v>0</v>
      </c>
      <c r="E76" s="3">
        <f>IF(OR(INDEX($L$2:$L$1001,MATCH(ROWS($K$2:K76),$K$2:$K$1001,0),1)&gt;=100000,INDEX($R$1005:$W$1005,1,MATCH(COLUMNS($R$1006:U1006),$R$1006:$W$1006,0))&gt;=100000), " ",IF(INDEX($R$2:$W$1001,MATCH(ROWS($K$2:K76),$K$2:$K$1001,0),MATCH(COLUMNS($R$1006:U1006),$R$1006:$W$1006,0)), HYPERLINK("#",""), HYPERLINK(CONCATENATE("#Metadata!", ADDRESS(INDEX($M$2:$M$1001,MATCH(ROWS($K$2:K76),$K$2:$K$1001,0),0), INDEX($R$1004:$W$1004,1,MATCH(COLUMNS($R$1006:U1006),$R$1006:$W$1006,0)))),"Fix")))</f>
        <v>0</v>
      </c>
      <c r="F76" s="3">
        <f>IF(OR(INDEX($L$2:$L$1001,MATCH(ROWS($K$2:K76),$K$2:$K$1001,0),1)&gt;=100000,INDEX($R$1005:$W$1005,1,MATCH(COLUMNS($R$1006:V1006),$R$1006:$W$1006,0))&gt;=100000), " ",IF(INDEX($R$2:$W$1001,MATCH(ROWS($K$2:K76),$K$2:$K$1001,0),MATCH(COLUMNS($R$1006:V1006),$R$1006:$W$1006,0)), HYPERLINK("#",""), HYPERLINK(CONCATENATE("#Metadata!", ADDRESS(INDEX($M$2:$M$1001,MATCH(ROWS($K$2:K76),$K$2:$K$1001,0),0), INDEX($R$1004:$W$1004,1,MATCH(COLUMNS($R$1006:V1006),$R$1006:$W$1006,0)))),"Fix")))</f>
        <v>0</v>
      </c>
      <c r="G76" s="3">
        <f>IF(OR(INDEX($L$2:$L$1001,MATCH(ROWS($K$2:K76),$K$2:$K$1001,0),1)&gt;=100000,INDEX($R$1005:$W$1005,1,MATCH(COLUMNS($R$1006:W1006),$R$1006:$W$1006,0))&gt;=100000), " ",IF(INDEX($R$2:$W$1001,MATCH(ROWS($K$2:K76),$K$2:$K$1001,0),MATCH(COLUMNS($R$1006:W1006),$R$1006:$W$1006,0)), HYPERLINK("#",""), HYPERLINK(CONCATENATE("#Metadata!", ADDRESS(INDEX($M$2:$M$1001,MATCH(ROWS($K$2:K76),$K$2:$K$1001,0),0), INDEX($R$1004:$W$1004,1,MATCH(COLUMNS($R$1006:W1006),$R$1006:$W$1006,0)))),"Fix")))</f>
        <v>0</v>
      </c>
      <c r="K76">
        <v>0</v>
      </c>
      <c r="L76">
        <v>0</v>
      </c>
      <c r="M76">
        <v>0</v>
      </c>
      <c r="N76">
        <f>IF(O76,TRUE,AND(R76:W76))</f>
        <v>0</v>
      </c>
      <c r="O76">
        <f>COUNTBLANK(Metadata!B76:G76)=COLUMNS(Metadata!B76:G76)</f>
        <v>0</v>
      </c>
      <c r="P76">
        <v>0</v>
      </c>
      <c r="R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S76">
        <f>IF(Metadata!C76="",FALSE,TRUE)</f>
        <v>0</v>
      </c>
      <c r="T76">
        <f>IF(Metadata!D76="",FALSE,TRUE)</f>
        <v>0</v>
      </c>
      <c r="U76">
        <f>IF(Metadata!E76="",FALSE,TRUE)</f>
        <v>0</v>
      </c>
      <c r="V76">
        <f>AND(IF(Metadata!F76="",FALSE,TRUE),exact(Metadata!F76,"rat gut metagenome"))</f>
        <v>0</v>
      </c>
      <c r="W76">
        <f>AND(IF(Metadata!G76="",FALSE,TRUE),exact(Metadata!G76,"1436733"))</f>
        <v>0</v>
      </c>
    </row>
    <row r="77" spans="1:23">
      <c r="A77" s="4">
        <f>IF(B77=" "," ",HYPERLINK(CONCATENATE("#metadata!",ADDRESS(INDEX($M$2:$M$1001,MATCH(ROWS($K$2:K77),$K$2:$K$1001,0),0),1)),INDEX($P$2:$P$1001,MATCH(ROWS($K$2:K77),$K$2:$K$1001,0),0)))</f>
        <v>0</v>
      </c>
      <c r="B77" s="3">
        <f>IF(OR(INDEX($L$2:$L$1001,MATCH(ROWS($K$2:K77),$K$2:$K$1001,0),1)&gt;=100000,INDEX($R$1005:$W$1005,1,MATCH(COLUMNS($R$1006:R1006),$R$1006:$W$1006,0))&gt;=100000), " ",IF(INDEX($R$2:$W$1001,MATCH(ROWS($K$2:K77),$K$2:$K$1001,0),MATCH(COLUMNS($R$1006:R1006),$R$1006:$W$1006,0)), HYPERLINK("#",""), HYPERLINK(CONCATENATE("#Metadata!", ADDRESS(INDEX($M$2:$M$1001,MATCH(ROWS($K$2:K77),$K$2:$K$1001,0),0), INDEX($R$1004:$W$1004,1,MATCH(COLUMNS($R$1006:R1006),$R$1006:$W$1006,0)))),"Fix")))</f>
        <v>0</v>
      </c>
      <c r="C77" s="3">
        <f>IF(OR(INDEX($L$2:$L$1001,MATCH(ROWS($K$2:K77),$K$2:$K$1001,0),1)&gt;=100000,INDEX($R$1005:$W$1005,1,MATCH(COLUMNS($R$1006:S1006),$R$1006:$W$1006,0))&gt;=100000), " ",IF(INDEX($R$2:$W$1001,MATCH(ROWS($K$2:K77),$K$2:$K$1001,0),MATCH(COLUMNS($R$1006:S1006),$R$1006:$W$1006,0)), HYPERLINK("#",""), HYPERLINK(CONCATENATE("#Metadata!", ADDRESS(INDEX($M$2:$M$1001,MATCH(ROWS($K$2:K77),$K$2:$K$1001,0),0), INDEX($R$1004:$W$1004,1,MATCH(COLUMNS($R$1006:S1006),$R$1006:$W$1006,0)))),"Fix")))</f>
        <v>0</v>
      </c>
      <c r="D77" s="3">
        <f>IF(OR(INDEX($L$2:$L$1001,MATCH(ROWS($K$2:K77),$K$2:$K$1001,0),1)&gt;=100000,INDEX($R$1005:$W$1005,1,MATCH(COLUMNS($R$1006:T1006),$R$1006:$W$1006,0))&gt;=100000), " ",IF(INDEX($R$2:$W$1001,MATCH(ROWS($K$2:K77),$K$2:$K$1001,0),MATCH(COLUMNS($R$1006:T1006),$R$1006:$W$1006,0)), HYPERLINK("#",""), HYPERLINK(CONCATENATE("#Metadata!", ADDRESS(INDEX($M$2:$M$1001,MATCH(ROWS($K$2:K77),$K$2:$K$1001,0),0), INDEX($R$1004:$W$1004,1,MATCH(COLUMNS($R$1006:T1006),$R$1006:$W$1006,0)))),"Fix")))</f>
        <v>0</v>
      </c>
      <c r="E77" s="3">
        <f>IF(OR(INDEX($L$2:$L$1001,MATCH(ROWS($K$2:K77),$K$2:$K$1001,0),1)&gt;=100000,INDEX($R$1005:$W$1005,1,MATCH(COLUMNS($R$1006:U1006),$R$1006:$W$1006,0))&gt;=100000), " ",IF(INDEX($R$2:$W$1001,MATCH(ROWS($K$2:K77),$K$2:$K$1001,0),MATCH(COLUMNS($R$1006:U1006),$R$1006:$W$1006,0)), HYPERLINK("#",""), HYPERLINK(CONCATENATE("#Metadata!", ADDRESS(INDEX($M$2:$M$1001,MATCH(ROWS($K$2:K77),$K$2:$K$1001,0),0), INDEX($R$1004:$W$1004,1,MATCH(COLUMNS($R$1006:U1006),$R$1006:$W$1006,0)))),"Fix")))</f>
        <v>0</v>
      </c>
      <c r="F77" s="3">
        <f>IF(OR(INDEX($L$2:$L$1001,MATCH(ROWS($K$2:K77),$K$2:$K$1001,0),1)&gt;=100000,INDEX($R$1005:$W$1005,1,MATCH(COLUMNS($R$1006:V1006),$R$1006:$W$1006,0))&gt;=100000), " ",IF(INDEX($R$2:$W$1001,MATCH(ROWS($K$2:K77),$K$2:$K$1001,0),MATCH(COLUMNS($R$1006:V1006),$R$1006:$W$1006,0)), HYPERLINK("#",""), HYPERLINK(CONCATENATE("#Metadata!", ADDRESS(INDEX($M$2:$M$1001,MATCH(ROWS($K$2:K77),$K$2:$K$1001,0),0), INDEX($R$1004:$W$1004,1,MATCH(COLUMNS($R$1006:V1006),$R$1006:$W$1006,0)))),"Fix")))</f>
        <v>0</v>
      </c>
      <c r="G77" s="3">
        <f>IF(OR(INDEX($L$2:$L$1001,MATCH(ROWS($K$2:K77),$K$2:$K$1001,0),1)&gt;=100000,INDEX($R$1005:$W$1005,1,MATCH(COLUMNS($R$1006:W1006),$R$1006:$W$1006,0))&gt;=100000), " ",IF(INDEX($R$2:$W$1001,MATCH(ROWS($K$2:K77),$K$2:$K$1001,0),MATCH(COLUMNS($R$1006:W1006),$R$1006:$W$1006,0)), HYPERLINK("#",""), HYPERLINK(CONCATENATE("#Metadata!", ADDRESS(INDEX($M$2:$M$1001,MATCH(ROWS($K$2:K77),$K$2:$K$1001,0),0), INDEX($R$1004:$W$1004,1,MATCH(COLUMNS($R$1006:W1006),$R$1006:$W$1006,0)))),"Fix")))</f>
        <v>0</v>
      </c>
      <c r="K77">
        <v>0</v>
      </c>
      <c r="L77">
        <v>0</v>
      </c>
      <c r="M77">
        <v>0</v>
      </c>
      <c r="N77">
        <f>IF(O77,TRUE,AND(R77:W77))</f>
        <v>0</v>
      </c>
      <c r="O77">
        <f>COUNTBLANK(Metadata!B77:G77)=COLUMNS(Metadata!B77:G77)</f>
        <v>0</v>
      </c>
      <c r="P77">
        <v>0</v>
      </c>
      <c r="R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S77">
        <f>IF(Metadata!C77="",FALSE,TRUE)</f>
        <v>0</v>
      </c>
      <c r="T77">
        <f>IF(Metadata!D77="",FALSE,TRUE)</f>
        <v>0</v>
      </c>
      <c r="U77">
        <f>IF(Metadata!E77="",FALSE,TRUE)</f>
        <v>0</v>
      </c>
      <c r="V77">
        <f>AND(IF(Metadata!F77="",FALSE,TRUE),exact(Metadata!F77,"rat gut metagenome"))</f>
        <v>0</v>
      </c>
      <c r="W77">
        <f>AND(IF(Metadata!G77="",FALSE,TRUE),exact(Metadata!G77,"1436733"))</f>
        <v>0</v>
      </c>
    </row>
    <row r="78" spans="1:23">
      <c r="A78" s="4">
        <f>IF(B78=" "," ",HYPERLINK(CONCATENATE("#metadata!",ADDRESS(INDEX($M$2:$M$1001,MATCH(ROWS($K$2:K78),$K$2:$K$1001,0),0),1)),INDEX($P$2:$P$1001,MATCH(ROWS($K$2:K78),$K$2:$K$1001,0),0)))</f>
        <v>0</v>
      </c>
      <c r="B78" s="3">
        <f>IF(OR(INDEX($L$2:$L$1001,MATCH(ROWS($K$2:K78),$K$2:$K$1001,0),1)&gt;=100000,INDEX($R$1005:$W$1005,1,MATCH(COLUMNS($R$1006:R1006),$R$1006:$W$1006,0))&gt;=100000), " ",IF(INDEX($R$2:$W$1001,MATCH(ROWS($K$2:K78),$K$2:$K$1001,0),MATCH(COLUMNS($R$1006:R1006),$R$1006:$W$1006,0)), HYPERLINK("#",""), HYPERLINK(CONCATENATE("#Metadata!", ADDRESS(INDEX($M$2:$M$1001,MATCH(ROWS($K$2:K78),$K$2:$K$1001,0),0), INDEX($R$1004:$W$1004,1,MATCH(COLUMNS($R$1006:R1006),$R$1006:$W$1006,0)))),"Fix")))</f>
        <v>0</v>
      </c>
      <c r="C78" s="3">
        <f>IF(OR(INDEX($L$2:$L$1001,MATCH(ROWS($K$2:K78),$K$2:$K$1001,0),1)&gt;=100000,INDEX($R$1005:$W$1005,1,MATCH(COLUMNS($R$1006:S1006),$R$1006:$W$1006,0))&gt;=100000), " ",IF(INDEX($R$2:$W$1001,MATCH(ROWS($K$2:K78),$K$2:$K$1001,0),MATCH(COLUMNS($R$1006:S1006),$R$1006:$W$1006,0)), HYPERLINK("#",""), HYPERLINK(CONCATENATE("#Metadata!", ADDRESS(INDEX($M$2:$M$1001,MATCH(ROWS($K$2:K78),$K$2:$K$1001,0),0), INDEX($R$1004:$W$1004,1,MATCH(COLUMNS($R$1006:S1006),$R$1006:$W$1006,0)))),"Fix")))</f>
        <v>0</v>
      </c>
      <c r="D78" s="3">
        <f>IF(OR(INDEX($L$2:$L$1001,MATCH(ROWS($K$2:K78),$K$2:$K$1001,0),1)&gt;=100000,INDEX($R$1005:$W$1005,1,MATCH(COLUMNS($R$1006:T1006),$R$1006:$W$1006,0))&gt;=100000), " ",IF(INDEX($R$2:$W$1001,MATCH(ROWS($K$2:K78),$K$2:$K$1001,0),MATCH(COLUMNS($R$1006:T1006),$R$1006:$W$1006,0)), HYPERLINK("#",""), HYPERLINK(CONCATENATE("#Metadata!", ADDRESS(INDEX($M$2:$M$1001,MATCH(ROWS($K$2:K78),$K$2:$K$1001,0),0), INDEX($R$1004:$W$1004,1,MATCH(COLUMNS($R$1006:T1006),$R$1006:$W$1006,0)))),"Fix")))</f>
        <v>0</v>
      </c>
      <c r="E78" s="3">
        <f>IF(OR(INDEX($L$2:$L$1001,MATCH(ROWS($K$2:K78),$K$2:$K$1001,0),1)&gt;=100000,INDEX($R$1005:$W$1005,1,MATCH(COLUMNS($R$1006:U1006),$R$1006:$W$1006,0))&gt;=100000), " ",IF(INDEX($R$2:$W$1001,MATCH(ROWS($K$2:K78),$K$2:$K$1001,0),MATCH(COLUMNS($R$1006:U1006),$R$1006:$W$1006,0)), HYPERLINK("#",""), HYPERLINK(CONCATENATE("#Metadata!", ADDRESS(INDEX($M$2:$M$1001,MATCH(ROWS($K$2:K78),$K$2:$K$1001,0),0), INDEX($R$1004:$W$1004,1,MATCH(COLUMNS($R$1006:U1006),$R$1006:$W$1006,0)))),"Fix")))</f>
        <v>0</v>
      </c>
      <c r="F78" s="3">
        <f>IF(OR(INDEX($L$2:$L$1001,MATCH(ROWS($K$2:K78),$K$2:$K$1001,0),1)&gt;=100000,INDEX($R$1005:$W$1005,1,MATCH(COLUMNS($R$1006:V1006),$R$1006:$W$1006,0))&gt;=100000), " ",IF(INDEX($R$2:$W$1001,MATCH(ROWS($K$2:K78),$K$2:$K$1001,0),MATCH(COLUMNS($R$1006:V1006),$R$1006:$W$1006,0)), HYPERLINK("#",""), HYPERLINK(CONCATENATE("#Metadata!", ADDRESS(INDEX($M$2:$M$1001,MATCH(ROWS($K$2:K78),$K$2:$K$1001,0),0), INDEX($R$1004:$W$1004,1,MATCH(COLUMNS($R$1006:V1006),$R$1006:$W$1006,0)))),"Fix")))</f>
        <v>0</v>
      </c>
      <c r="G78" s="3">
        <f>IF(OR(INDEX($L$2:$L$1001,MATCH(ROWS($K$2:K78),$K$2:$K$1001,0),1)&gt;=100000,INDEX($R$1005:$W$1005,1,MATCH(COLUMNS($R$1006:W1006),$R$1006:$W$1006,0))&gt;=100000), " ",IF(INDEX($R$2:$W$1001,MATCH(ROWS($K$2:K78),$K$2:$K$1001,0),MATCH(COLUMNS($R$1006:W1006),$R$1006:$W$1006,0)), HYPERLINK("#",""), HYPERLINK(CONCATENATE("#Metadata!", ADDRESS(INDEX($M$2:$M$1001,MATCH(ROWS($K$2:K78),$K$2:$K$1001,0),0), INDEX($R$1004:$W$1004,1,MATCH(COLUMNS($R$1006:W1006),$R$1006:$W$1006,0)))),"Fix")))</f>
        <v>0</v>
      </c>
      <c r="K78">
        <v>0</v>
      </c>
      <c r="L78">
        <v>0</v>
      </c>
      <c r="M78">
        <v>0</v>
      </c>
      <c r="N78">
        <f>IF(O78,TRUE,AND(R78:W78))</f>
        <v>0</v>
      </c>
      <c r="O78">
        <f>COUNTBLANK(Metadata!B78:G78)=COLUMNS(Metadata!B78:G78)</f>
        <v>0</v>
      </c>
      <c r="P78">
        <v>0</v>
      </c>
      <c r="R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S78">
        <f>IF(Metadata!C78="",FALSE,TRUE)</f>
        <v>0</v>
      </c>
      <c r="T78">
        <f>IF(Metadata!D78="",FALSE,TRUE)</f>
        <v>0</v>
      </c>
      <c r="U78">
        <f>IF(Metadata!E78="",FALSE,TRUE)</f>
        <v>0</v>
      </c>
      <c r="V78">
        <f>AND(IF(Metadata!F78="",FALSE,TRUE),exact(Metadata!F78,"rat gut metagenome"))</f>
        <v>0</v>
      </c>
      <c r="W78">
        <f>AND(IF(Metadata!G78="",FALSE,TRUE),exact(Metadata!G78,"1436733"))</f>
        <v>0</v>
      </c>
    </row>
    <row r="79" spans="1:23">
      <c r="A79" s="4">
        <f>IF(B79=" "," ",HYPERLINK(CONCATENATE("#metadata!",ADDRESS(INDEX($M$2:$M$1001,MATCH(ROWS($K$2:K79),$K$2:$K$1001,0),0),1)),INDEX($P$2:$P$1001,MATCH(ROWS($K$2:K79),$K$2:$K$1001,0),0)))</f>
        <v>0</v>
      </c>
      <c r="B79" s="3">
        <f>IF(OR(INDEX($L$2:$L$1001,MATCH(ROWS($K$2:K79),$K$2:$K$1001,0),1)&gt;=100000,INDEX($R$1005:$W$1005,1,MATCH(COLUMNS($R$1006:R1006),$R$1006:$W$1006,0))&gt;=100000), " ",IF(INDEX($R$2:$W$1001,MATCH(ROWS($K$2:K79),$K$2:$K$1001,0),MATCH(COLUMNS($R$1006:R1006),$R$1006:$W$1006,0)), HYPERLINK("#",""), HYPERLINK(CONCATENATE("#Metadata!", ADDRESS(INDEX($M$2:$M$1001,MATCH(ROWS($K$2:K79),$K$2:$K$1001,0),0), INDEX($R$1004:$W$1004,1,MATCH(COLUMNS($R$1006:R1006),$R$1006:$W$1006,0)))),"Fix")))</f>
        <v>0</v>
      </c>
      <c r="C79" s="3">
        <f>IF(OR(INDEX($L$2:$L$1001,MATCH(ROWS($K$2:K79),$K$2:$K$1001,0),1)&gt;=100000,INDEX($R$1005:$W$1005,1,MATCH(COLUMNS($R$1006:S1006),$R$1006:$W$1006,0))&gt;=100000), " ",IF(INDEX($R$2:$W$1001,MATCH(ROWS($K$2:K79),$K$2:$K$1001,0),MATCH(COLUMNS($R$1006:S1006),$R$1006:$W$1006,0)), HYPERLINK("#",""), HYPERLINK(CONCATENATE("#Metadata!", ADDRESS(INDEX($M$2:$M$1001,MATCH(ROWS($K$2:K79),$K$2:$K$1001,0),0), INDEX($R$1004:$W$1004,1,MATCH(COLUMNS($R$1006:S1006),$R$1006:$W$1006,0)))),"Fix")))</f>
        <v>0</v>
      </c>
      <c r="D79" s="3">
        <f>IF(OR(INDEX($L$2:$L$1001,MATCH(ROWS($K$2:K79),$K$2:$K$1001,0),1)&gt;=100000,INDEX($R$1005:$W$1005,1,MATCH(COLUMNS($R$1006:T1006),$R$1006:$W$1006,0))&gt;=100000), " ",IF(INDEX($R$2:$W$1001,MATCH(ROWS($K$2:K79),$K$2:$K$1001,0),MATCH(COLUMNS($R$1006:T1006),$R$1006:$W$1006,0)), HYPERLINK("#",""), HYPERLINK(CONCATENATE("#Metadata!", ADDRESS(INDEX($M$2:$M$1001,MATCH(ROWS($K$2:K79),$K$2:$K$1001,0),0), INDEX($R$1004:$W$1004,1,MATCH(COLUMNS($R$1006:T1006),$R$1006:$W$1006,0)))),"Fix")))</f>
        <v>0</v>
      </c>
      <c r="E79" s="3">
        <f>IF(OR(INDEX($L$2:$L$1001,MATCH(ROWS($K$2:K79),$K$2:$K$1001,0),1)&gt;=100000,INDEX($R$1005:$W$1005,1,MATCH(COLUMNS($R$1006:U1006),$R$1006:$W$1006,0))&gt;=100000), " ",IF(INDEX($R$2:$W$1001,MATCH(ROWS($K$2:K79),$K$2:$K$1001,0),MATCH(COLUMNS($R$1006:U1006),$R$1006:$W$1006,0)), HYPERLINK("#",""), HYPERLINK(CONCATENATE("#Metadata!", ADDRESS(INDEX($M$2:$M$1001,MATCH(ROWS($K$2:K79),$K$2:$K$1001,0),0), INDEX($R$1004:$W$1004,1,MATCH(COLUMNS($R$1006:U1006),$R$1006:$W$1006,0)))),"Fix")))</f>
        <v>0</v>
      </c>
      <c r="F79" s="3">
        <f>IF(OR(INDEX($L$2:$L$1001,MATCH(ROWS($K$2:K79),$K$2:$K$1001,0),1)&gt;=100000,INDEX($R$1005:$W$1005,1,MATCH(COLUMNS($R$1006:V1006),$R$1006:$W$1006,0))&gt;=100000), " ",IF(INDEX($R$2:$W$1001,MATCH(ROWS($K$2:K79),$K$2:$K$1001,0),MATCH(COLUMNS($R$1006:V1006),$R$1006:$W$1006,0)), HYPERLINK("#",""), HYPERLINK(CONCATENATE("#Metadata!", ADDRESS(INDEX($M$2:$M$1001,MATCH(ROWS($K$2:K79),$K$2:$K$1001,0),0), INDEX($R$1004:$W$1004,1,MATCH(COLUMNS($R$1006:V1006),$R$1006:$W$1006,0)))),"Fix")))</f>
        <v>0</v>
      </c>
      <c r="G79" s="3">
        <f>IF(OR(INDEX($L$2:$L$1001,MATCH(ROWS($K$2:K79),$K$2:$K$1001,0),1)&gt;=100000,INDEX($R$1005:$W$1005,1,MATCH(COLUMNS($R$1006:W1006),$R$1006:$W$1006,0))&gt;=100000), " ",IF(INDEX($R$2:$W$1001,MATCH(ROWS($K$2:K79),$K$2:$K$1001,0),MATCH(COLUMNS($R$1006:W1006),$R$1006:$W$1006,0)), HYPERLINK("#",""), HYPERLINK(CONCATENATE("#Metadata!", ADDRESS(INDEX($M$2:$M$1001,MATCH(ROWS($K$2:K79),$K$2:$K$1001,0),0), INDEX($R$1004:$W$1004,1,MATCH(COLUMNS($R$1006:W1006),$R$1006:$W$1006,0)))),"Fix")))</f>
        <v>0</v>
      </c>
      <c r="K79">
        <v>0</v>
      </c>
      <c r="L79">
        <v>0</v>
      </c>
      <c r="M79">
        <v>0</v>
      </c>
      <c r="N79">
        <f>IF(O79,TRUE,AND(R79:W79))</f>
        <v>0</v>
      </c>
      <c r="O79">
        <f>COUNTBLANK(Metadata!B79:G79)=COLUMNS(Metadata!B79:G79)</f>
        <v>0</v>
      </c>
      <c r="P79">
        <v>0</v>
      </c>
      <c r="R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S79">
        <f>IF(Metadata!C79="",FALSE,TRUE)</f>
        <v>0</v>
      </c>
      <c r="T79">
        <f>IF(Metadata!D79="",FALSE,TRUE)</f>
        <v>0</v>
      </c>
      <c r="U79">
        <f>IF(Metadata!E79="",FALSE,TRUE)</f>
        <v>0</v>
      </c>
      <c r="V79">
        <f>AND(IF(Metadata!F79="",FALSE,TRUE),exact(Metadata!F79,"rat gut metagenome"))</f>
        <v>0</v>
      </c>
      <c r="W79">
        <f>AND(IF(Metadata!G79="",FALSE,TRUE),exact(Metadata!G79,"1436733"))</f>
        <v>0</v>
      </c>
    </row>
    <row r="80" spans="1:23">
      <c r="A80" s="4">
        <f>IF(B80=" "," ",HYPERLINK(CONCATENATE("#metadata!",ADDRESS(INDEX($M$2:$M$1001,MATCH(ROWS($K$2:K80),$K$2:$K$1001,0),0),1)),INDEX($P$2:$P$1001,MATCH(ROWS($K$2:K80),$K$2:$K$1001,0),0)))</f>
        <v>0</v>
      </c>
      <c r="B80" s="3">
        <f>IF(OR(INDEX($L$2:$L$1001,MATCH(ROWS($K$2:K80),$K$2:$K$1001,0),1)&gt;=100000,INDEX($R$1005:$W$1005,1,MATCH(COLUMNS($R$1006:R1006),$R$1006:$W$1006,0))&gt;=100000), " ",IF(INDEX($R$2:$W$1001,MATCH(ROWS($K$2:K80),$K$2:$K$1001,0),MATCH(COLUMNS($R$1006:R1006),$R$1006:$W$1006,0)), HYPERLINK("#",""), HYPERLINK(CONCATENATE("#Metadata!", ADDRESS(INDEX($M$2:$M$1001,MATCH(ROWS($K$2:K80),$K$2:$K$1001,0),0), INDEX($R$1004:$W$1004,1,MATCH(COLUMNS($R$1006:R1006),$R$1006:$W$1006,0)))),"Fix")))</f>
        <v>0</v>
      </c>
      <c r="C80" s="3">
        <f>IF(OR(INDEX($L$2:$L$1001,MATCH(ROWS($K$2:K80),$K$2:$K$1001,0),1)&gt;=100000,INDEX($R$1005:$W$1005,1,MATCH(COLUMNS($R$1006:S1006),$R$1006:$W$1006,0))&gt;=100000), " ",IF(INDEX($R$2:$W$1001,MATCH(ROWS($K$2:K80),$K$2:$K$1001,0),MATCH(COLUMNS($R$1006:S1006),$R$1006:$W$1006,0)), HYPERLINK("#",""), HYPERLINK(CONCATENATE("#Metadata!", ADDRESS(INDEX($M$2:$M$1001,MATCH(ROWS($K$2:K80),$K$2:$K$1001,0),0), INDEX($R$1004:$W$1004,1,MATCH(COLUMNS($R$1006:S1006),$R$1006:$W$1006,0)))),"Fix")))</f>
        <v>0</v>
      </c>
      <c r="D80" s="3">
        <f>IF(OR(INDEX($L$2:$L$1001,MATCH(ROWS($K$2:K80),$K$2:$K$1001,0),1)&gt;=100000,INDEX($R$1005:$W$1005,1,MATCH(COLUMNS($R$1006:T1006),$R$1006:$W$1006,0))&gt;=100000), " ",IF(INDEX($R$2:$W$1001,MATCH(ROWS($K$2:K80),$K$2:$K$1001,0),MATCH(COLUMNS($R$1006:T1006),$R$1006:$W$1006,0)), HYPERLINK("#",""), HYPERLINK(CONCATENATE("#Metadata!", ADDRESS(INDEX($M$2:$M$1001,MATCH(ROWS($K$2:K80),$K$2:$K$1001,0),0), INDEX($R$1004:$W$1004,1,MATCH(COLUMNS($R$1006:T1006),$R$1006:$W$1006,0)))),"Fix")))</f>
        <v>0</v>
      </c>
      <c r="E80" s="3">
        <f>IF(OR(INDEX($L$2:$L$1001,MATCH(ROWS($K$2:K80),$K$2:$K$1001,0),1)&gt;=100000,INDEX($R$1005:$W$1005,1,MATCH(COLUMNS($R$1006:U1006),$R$1006:$W$1006,0))&gt;=100000), " ",IF(INDEX($R$2:$W$1001,MATCH(ROWS($K$2:K80),$K$2:$K$1001,0),MATCH(COLUMNS($R$1006:U1006),$R$1006:$W$1006,0)), HYPERLINK("#",""), HYPERLINK(CONCATENATE("#Metadata!", ADDRESS(INDEX($M$2:$M$1001,MATCH(ROWS($K$2:K80),$K$2:$K$1001,0),0), INDEX($R$1004:$W$1004,1,MATCH(COLUMNS($R$1006:U1006),$R$1006:$W$1006,0)))),"Fix")))</f>
        <v>0</v>
      </c>
      <c r="F80" s="3">
        <f>IF(OR(INDEX($L$2:$L$1001,MATCH(ROWS($K$2:K80),$K$2:$K$1001,0),1)&gt;=100000,INDEX($R$1005:$W$1005,1,MATCH(COLUMNS($R$1006:V1006),$R$1006:$W$1006,0))&gt;=100000), " ",IF(INDEX($R$2:$W$1001,MATCH(ROWS($K$2:K80),$K$2:$K$1001,0),MATCH(COLUMNS($R$1006:V1006),$R$1006:$W$1006,0)), HYPERLINK("#",""), HYPERLINK(CONCATENATE("#Metadata!", ADDRESS(INDEX($M$2:$M$1001,MATCH(ROWS($K$2:K80),$K$2:$K$1001,0),0), INDEX($R$1004:$W$1004,1,MATCH(COLUMNS($R$1006:V1006),$R$1006:$W$1006,0)))),"Fix")))</f>
        <v>0</v>
      </c>
      <c r="G80" s="3">
        <f>IF(OR(INDEX($L$2:$L$1001,MATCH(ROWS($K$2:K80),$K$2:$K$1001,0),1)&gt;=100000,INDEX($R$1005:$W$1005,1,MATCH(COLUMNS($R$1006:W1006),$R$1006:$W$1006,0))&gt;=100000), " ",IF(INDEX($R$2:$W$1001,MATCH(ROWS($K$2:K80),$K$2:$K$1001,0),MATCH(COLUMNS($R$1006:W1006),$R$1006:$W$1006,0)), HYPERLINK("#",""), HYPERLINK(CONCATENATE("#Metadata!", ADDRESS(INDEX($M$2:$M$1001,MATCH(ROWS($K$2:K80),$K$2:$K$1001,0),0), INDEX($R$1004:$W$1004,1,MATCH(COLUMNS($R$1006:W1006),$R$1006:$W$1006,0)))),"Fix")))</f>
        <v>0</v>
      </c>
      <c r="K80">
        <v>0</v>
      </c>
      <c r="L80">
        <v>0</v>
      </c>
      <c r="M80">
        <v>0</v>
      </c>
      <c r="N80">
        <f>IF(O80,TRUE,AND(R80:W80))</f>
        <v>0</v>
      </c>
      <c r="O80">
        <f>COUNTBLANK(Metadata!B80:G80)=COLUMNS(Metadata!B80:G80)</f>
        <v>0</v>
      </c>
      <c r="P80">
        <v>0</v>
      </c>
      <c r="R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S80">
        <f>IF(Metadata!C80="",FALSE,TRUE)</f>
        <v>0</v>
      </c>
      <c r="T80">
        <f>IF(Metadata!D80="",FALSE,TRUE)</f>
        <v>0</v>
      </c>
      <c r="U80">
        <f>IF(Metadata!E80="",FALSE,TRUE)</f>
        <v>0</v>
      </c>
      <c r="V80">
        <f>AND(IF(Metadata!F80="",FALSE,TRUE),exact(Metadata!F80,"rat gut metagenome"))</f>
        <v>0</v>
      </c>
      <c r="W80">
        <f>AND(IF(Metadata!G80="",FALSE,TRUE),exact(Metadata!G80,"1436733"))</f>
        <v>0</v>
      </c>
    </row>
    <row r="81" spans="1:23">
      <c r="A81" s="4">
        <f>IF(B81=" "," ",HYPERLINK(CONCATENATE("#metadata!",ADDRESS(INDEX($M$2:$M$1001,MATCH(ROWS($K$2:K81),$K$2:$K$1001,0),0),1)),INDEX($P$2:$P$1001,MATCH(ROWS($K$2:K81),$K$2:$K$1001,0),0)))</f>
        <v>0</v>
      </c>
      <c r="B81" s="3">
        <f>IF(OR(INDEX($L$2:$L$1001,MATCH(ROWS($K$2:K81),$K$2:$K$1001,0),1)&gt;=100000,INDEX($R$1005:$W$1005,1,MATCH(COLUMNS($R$1006:R1006),$R$1006:$W$1006,0))&gt;=100000), " ",IF(INDEX($R$2:$W$1001,MATCH(ROWS($K$2:K81),$K$2:$K$1001,0),MATCH(COLUMNS($R$1006:R1006),$R$1006:$W$1006,0)), HYPERLINK("#",""), HYPERLINK(CONCATENATE("#Metadata!", ADDRESS(INDEX($M$2:$M$1001,MATCH(ROWS($K$2:K81),$K$2:$K$1001,0),0), INDEX($R$1004:$W$1004,1,MATCH(COLUMNS($R$1006:R1006),$R$1006:$W$1006,0)))),"Fix")))</f>
        <v>0</v>
      </c>
      <c r="C81" s="3">
        <f>IF(OR(INDEX($L$2:$L$1001,MATCH(ROWS($K$2:K81),$K$2:$K$1001,0),1)&gt;=100000,INDEX($R$1005:$W$1005,1,MATCH(COLUMNS($R$1006:S1006),$R$1006:$W$1006,0))&gt;=100000), " ",IF(INDEX($R$2:$W$1001,MATCH(ROWS($K$2:K81),$K$2:$K$1001,0),MATCH(COLUMNS($R$1006:S1006),$R$1006:$W$1006,0)), HYPERLINK("#",""), HYPERLINK(CONCATENATE("#Metadata!", ADDRESS(INDEX($M$2:$M$1001,MATCH(ROWS($K$2:K81),$K$2:$K$1001,0),0), INDEX($R$1004:$W$1004,1,MATCH(COLUMNS($R$1006:S1006),$R$1006:$W$1006,0)))),"Fix")))</f>
        <v>0</v>
      </c>
      <c r="D81" s="3">
        <f>IF(OR(INDEX($L$2:$L$1001,MATCH(ROWS($K$2:K81),$K$2:$K$1001,0),1)&gt;=100000,INDEX($R$1005:$W$1005,1,MATCH(COLUMNS($R$1006:T1006),$R$1006:$W$1006,0))&gt;=100000), " ",IF(INDEX($R$2:$W$1001,MATCH(ROWS($K$2:K81),$K$2:$K$1001,0),MATCH(COLUMNS($R$1006:T1006),$R$1006:$W$1006,0)), HYPERLINK("#",""), HYPERLINK(CONCATENATE("#Metadata!", ADDRESS(INDEX($M$2:$M$1001,MATCH(ROWS($K$2:K81),$K$2:$K$1001,0),0), INDEX($R$1004:$W$1004,1,MATCH(COLUMNS($R$1006:T1006),$R$1006:$W$1006,0)))),"Fix")))</f>
        <v>0</v>
      </c>
      <c r="E81" s="3">
        <f>IF(OR(INDEX($L$2:$L$1001,MATCH(ROWS($K$2:K81),$K$2:$K$1001,0),1)&gt;=100000,INDEX($R$1005:$W$1005,1,MATCH(COLUMNS($R$1006:U1006),$R$1006:$W$1006,0))&gt;=100000), " ",IF(INDEX($R$2:$W$1001,MATCH(ROWS($K$2:K81),$K$2:$K$1001,0),MATCH(COLUMNS($R$1006:U1006),$R$1006:$W$1006,0)), HYPERLINK("#",""), HYPERLINK(CONCATENATE("#Metadata!", ADDRESS(INDEX($M$2:$M$1001,MATCH(ROWS($K$2:K81),$K$2:$K$1001,0),0), INDEX($R$1004:$W$1004,1,MATCH(COLUMNS($R$1006:U1006),$R$1006:$W$1006,0)))),"Fix")))</f>
        <v>0</v>
      </c>
      <c r="F81" s="3">
        <f>IF(OR(INDEX($L$2:$L$1001,MATCH(ROWS($K$2:K81),$K$2:$K$1001,0),1)&gt;=100000,INDEX($R$1005:$W$1005,1,MATCH(COLUMNS($R$1006:V1006),$R$1006:$W$1006,0))&gt;=100000), " ",IF(INDEX($R$2:$W$1001,MATCH(ROWS($K$2:K81),$K$2:$K$1001,0),MATCH(COLUMNS($R$1006:V1006),$R$1006:$W$1006,0)), HYPERLINK("#",""), HYPERLINK(CONCATENATE("#Metadata!", ADDRESS(INDEX($M$2:$M$1001,MATCH(ROWS($K$2:K81),$K$2:$K$1001,0),0), INDEX($R$1004:$W$1004,1,MATCH(COLUMNS($R$1006:V1006),$R$1006:$W$1006,0)))),"Fix")))</f>
        <v>0</v>
      </c>
      <c r="G81" s="3">
        <f>IF(OR(INDEX($L$2:$L$1001,MATCH(ROWS($K$2:K81),$K$2:$K$1001,0),1)&gt;=100000,INDEX($R$1005:$W$1005,1,MATCH(COLUMNS($R$1006:W1006),$R$1006:$W$1006,0))&gt;=100000), " ",IF(INDEX($R$2:$W$1001,MATCH(ROWS($K$2:K81),$K$2:$K$1001,0),MATCH(COLUMNS($R$1006:W1006),$R$1006:$W$1006,0)), HYPERLINK("#",""), HYPERLINK(CONCATENATE("#Metadata!", ADDRESS(INDEX($M$2:$M$1001,MATCH(ROWS($K$2:K81),$K$2:$K$1001,0),0), INDEX($R$1004:$W$1004,1,MATCH(COLUMNS($R$1006:W1006),$R$1006:$W$1006,0)))),"Fix")))</f>
        <v>0</v>
      </c>
      <c r="K81">
        <v>0</v>
      </c>
      <c r="L81">
        <v>0</v>
      </c>
      <c r="M81">
        <v>0</v>
      </c>
      <c r="N81">
        <f>IF(O81,TRUE,AND(R81:W81))</f>
        <v>0</v>
      </c>
      <c r="O81">
        <f>COUNTBLANK(Metadata!B81:G81)=COLUMNS(Metadata!B81:G81)</f>
        <v>0</v>
      </c>
      <c r="P81">
        <v>0</v>
      </c>
      <c r="R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S81">
        <f>IF(Metadata!C81="",FALSE,TRUE)</f>
        <v>0</v>
      </c>
      <c r="T81">
        <f>IF(Metadata!D81="",FALSE,TRUE)</f>
        <v>0</v>
      </c>
      <c r="U81">
        <f>IF(Metadata!E81="",FALSE,TRUE)</f>
        <v>0</v>
      </c>
      <c r="V81">
        <f>AND(IF(Metadata!F81="",FALSE,TRUE),exact(Metadata!F81,"rat gut metagenome"))</f>
        <v>0</v>
      </c>
      <c r="W81">
        <f>AND(IF(Metadata!G81="",FALSE,TRUE),exact(Metadata!G81,"1436733"))</f>
        <v>0</v>
      </c>
    </row>
    <row r="82" spans="1:23">
      <c r="A82" s="4">
        <f>IF(B82=" "," ",HYPERLINK(CONCATENATE("#metadata!",ADDRESS(INDEX($M$2:$M$1001,MATCH(ROWS($K$2:K82),$K$2:$K$1001,0),0),1)),INDEX($P$2:$P$1001,MATCH(ROWS($K$2:K82),$K$2:$K$1001,0),0)))</f>
        <v>0</v>
      </c>
      <c r="B82" s="3">
        <f>IF(OR(INDEX($L$2:$L$1001,MATCH(ROWS($K$2:K82),$K$2:$K$1001,0),1)&gt;=100000,INDEX($R$1005:$W$1005,1,MATCH(COLUMNS($R$1006:R1006),$R$1006:$W$1006,0))&gt;=100000), " ",IF(INDEX($R$2:$W$1001,MATCH(ROWS($K$2:K82),$K$2:$K$1001,0),MATCH(COLUMNS($R$1006:R1006),$R$1006:$W$1006,0)), HYPERLINK("#",""), HYPERLINK(CONCATENATE("#Metadata!", ADDRESS(INDEX($M$2:$M$1001,MATCH(ROWS($K$2:K82),$K$2:$K$1001,0),0), INDEX($R$1004:$W$1004,1,MATCH(COLUMNS($R$1006:R1006),$R$1006:$W$1006,0)))),"Fix")))</f>
        <v>0</v>
      </c>
      <c r="C82" s="3">
        <f>IF(OR(INDEX($L$2:$L$1001,MATCH(ROWS($K$2:K82),$K$2:$K$1001,0),1)&gt;=100000,INDEX($R$1005:$W$1005,1,MATCH(COLUMNS($R$1006:S1006),$R$1006:$W$1006,0))&gt;=100000), " ",IF(INDEX($R$2:$W$1001,MATCH(ROWS($K$2:K82),$K$2:$K$1001,0),MATCH(COLUMNS($R$1006:S1006),$R$1006:$W$1006,0)), HYPERLINK("#",""), HYPERLINK(CONCATENATE("#Metadata!", ADDRESS(INDEX($M$2:$M$1001,MATCH(ROWS($K$2:K82),$K$2:$K$1001,0),0), INDEX($R$1004:$W$1004,1,MATCH(COLUMNS($R$1006:S1006),$R$1006:$W$1006,0)))),"Fix")))</f>
        <v>0</v>
      </c>
      <c r="D82" s="3">
        <f>IF(OR(INDEX($L$2:$L$1001,MATCH(ROWS($K$2:K82),$K$2:$K$1001,0),1)&gt;=100000,INDEX($R$1005:$W$1005,1,MATCH(COLUMNS($R$1006:T1006),$R$1006:$W$1006,0))&gt;=100000), " ",IF(INDEX($R$2:$W$1001,MATCH(ROWS($K$2:K82),$K$2:$K$1001,0),MATCH(COLUMNS($R$1006:T1006),$R$1006:$W$1006,0)), HYPERLINK("#",""), HYPERLINK(CONCATENATE("#Metadata!", ADDRESS(INDEX($M$2:$M$1001,MATCH(ROWS($K$2:K82),$K$2:$K$1001,0),0), INDEX($R$1004:$W$1004,1,MATCH(COLUMNS($R$1006:T1006),$R$1006:$W$1006,0)))),"Fix")))</f>
        <v>0</v>
      </c>
      <c r="E82" s="3">
        <f>IF(OR(INDEX($L$2:$L$1001,MATCH(ROWS($K$2:K82),$K$2:$K$1001,0),1)&gt;=100000,INDEX($R$1005:$W$1005,1,MATCH(COLUMNS($R$1006:U1006),$R$1006:$W$1006,0))&gt;=100000), " ",IF(INDEX($R$2:$W$1001,MATCH(ROWS($K$2:K82),$K$2:$K$1001,0),MATCH(COLUMNS($R$1006:U1006),$R$1006:$W$1006,0)), HYPERLINK("#",""), HYPERLINK(CONCATENATE("#Metadata!", ADDRESS(INDEX($M$2:$M$1001,MATCH(ROWS($K$2:K82),$K$2:$K$1001,0),0), INDEX($R$1004:$W$1004,1,MATCH(COLUMNS($R$1006:U1006),$R$1006:$W$1006,0)))),"Fix")))</f>
        <v>0</v>
      </c>
      <c r="F82" s="3">
        <f>IF(OR(INDEX($L$2:$L$1001,MATCH(ROWS($K$2:K82),$K$2:$K$1001,0),1)&gt;=100000,INDEX($R$1005:$W$1005,1,MATCH(COLUMNS($R$1006:V1006),$R$1006:$W$1006,0))&gt;=100000), " ",IF(INDEX($R$2:$W$1001,MATCH(ROWS($K$2:K82),$K$2:$K$1001,0),MATCH(COLUMNS($R$1006:V1006),$R$1006:$W$1006,0)), HYPERLINK("#",""), HYPERLINK(CONCATENATE("#Metadata!", ADDRESS(INDEX($M$2:$M$1001,MATCH(ROWS($K$2:K82),$K$2:$K$1001,0),0), INDEX($R$1004:$W$1004,1,MATCH(COLUMNS($R$1006:V1006),$R$1006:$W$1006,0)))),"Fix")))</f>
        <v>0</v>
      </c>
      <c r="G82" s="3">
        <f>IF(OR(INDEX($L$2:$L$1001,MATCH(ROWS($K$2:K82),$K$2:$K$1001,0),1)&gt;=100000,INDEX($R$1005:$W$1005,1,MATCH(COLUMNS($R$1006:W1006),$R$1006:$W$1006,0))&gt;=100000), " ",IF(INDEX($R$2:$W$1001,MATCH(ROWS($K$2:K82),$K$2:$K$1001,0),MATCH(COLUMNS($R$1006:W1006),$R$1006:$W$1006,0)), HYPERLINK("#",""), HYPERLINK(CONCATENATE("#Metadata!", ADDRESS(INDEX($M$2:$M$1001,MATCH(ROWS($K$2:K82),$K$2:$K$1001,0),0), INDEX($R$1004:$W$1004,1,MATCH(COLUMNS($R$1006:W1006),$R$1006:$W$1006,0)))),"Fix")))</f>
        <v>0</v>
      </c>
      <c r="K82">
        <v>0</v>
      </c>
      <c r="L82">
        <v>0</v>
      </c>
      <c r="M82">
        <v>0</v>
      </c>
      <c r="N82">
        <f>IF(O82,TRUE,AND(R82:W82))</f>
        <v>0</v>
      </c>
      <c r="O82">
        <f>COUNTBLANK(Metadata!B82:G82)=COLUMNS(Metadata!B82:G82)</f>
        <v>0</v>
      </c>
      <c r="P82">
        <v>0</v>
      </c>
      <c r="R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S82">
        <f>IF(Metadata!C82="",FALSE,TRUE)</f>
        <v>0</v>
      </c>
      <c r="T82">
        <f>IF(Metadata!D82="",FALSE,TRUE)</f>
        <v>0</v>
      </c>
      <c r="U82">
        <f>IF(Metadata!E82="",FALSE,TRUE)</f>
        <v>0</v>
      </c>
      <c r="V82">
        <f>AND(IF(Metadata!F82="",FALSE,TRUE),exact(Metadata!F82,"rat gut metagenome"))</f>
        <v>0</v>
      </c>
      <c r="W82">
        <f>AND(IF(Metadata!G82="",FALSE,TRUE),exact(Metadata!G82,"1436733"))</f>
        <v>0</v>
      </c>
    </row>
    <row r="83" spans="1:23">
      <c r="A83" s="4">
        <f>IF(B83=" "," ",HYPERLINK(CONCATENATE("#metadata!",ADDRESS(INDEX($M$2:$M$1001,MATCH(ROWS($K$2:K83),$K$2:$K$1001,0),0),1)),INDEX($P$2:$P$1001,MATCH(ROWS($K$2:K83),$K$2:$K$1001,0),0)))</f>
        <v>0</v>
      </c>
      <c r="B83" s="3">
        <f>IF(OR(INDEX($L$2:$L$1001,MATCH(ROWS($K$2:K83),$K$2:$K$1001,0),1)&gt;=100000,INDEX($R$1005:$W$1005,1,MATCH(COLUMNS($R$1006:R1006),$R$1006:$W$1006,0))&gt;=100000), " ",IF(INDEX($R$2:$W$1001,MATCH(ROWS($K$2:K83),$K$2:$K$1001,0),MATCH(COLUMNS($R$1006:R1006),$R$1006:$W$1006,0)), HYPERLINK("#",""), HYPERLINK(CONCATENATE("#Metadata!", ADDRESS(INDEX($M$2:$M$1001,MATCH(ROWS($K$2:K83),$K$2:$K$1001,0),0), INDEX($R$1004:$W$1004,1,MATCH(COLUMNS($R$1006:R1006),$R$1006:$W$1006,0)))),"Fix")))</f>
        <v>0</v>
      </c>
      <c r="C83" s="3">
        <f>IF(OR(INDEX($L$2:$L$1001,MATCH(ROWS($K$2:K83),$K$2:$K$1001,0),1)&gt;=100000,INDEX($R$1005:$W$1005,1,MATCH(COLUMNS($R$1006:S1006),$R$1006:$W$1006,0))&gt;=100000), " ",IF(INDEX($R$2:$W$1001,MATCH(ROWS($K$2:K83),$K$2:$K$1001,0),MATCH(COLUMNS($R$1006:S1006),$R$1006:$W$1006,0)), HYPERLINK("#",""), HYPERLINK(CONCATENATE("#Metadata!", ADDRESS(INDEX($M$2:$M$1001,MATCH(ROWS($K$2:K83),$K$2:$K$1001,0),0), INDEX($R$1004:$W$1004,1,MATCH(COLUMNS($R$1006:S1006),$R$1006:$W$1006,0)))),"Fix")))</f>
        <v>0</v>
      </c>
      <c r="D83" s="3">
        <f>IF(OR(INDEX($L$2:$L$1001,MATCH(ROWS($K$2:K83),$K$2:$K$1001,0),1)&gt;=100000,INDEX($R$1005:$W$1005,1,MATCH(COLUMNS($R$1006:T1006),$R$1006:$W$1006,0))&gt;=100000), " ",IF(INDEX($R$2:$W$1001,MATCH(ROWS($K$2:K83),$K$2:$K$1001,0),MATCH(COLUMNS($R$1006:T1006),$R$1006:$W$1006,0)), HYPERLINK("#",""), HYPERLINK(CONCATENATE("#Metadata!", ADDRESS(INDEX($M$2:$M$1001,MATCH(ROWS($K$2:K83),$K$2:$K$1001,0),0), INDEX($R$1004:$W$1004,1,MATCH(COLUMNS($R$1006:T1006),$R$1006:$W$1006,0)))),"Fix")))</f>
        <v>0</v>
      </c>
      <c r="E83" s="3">
        <f>IF(OR(INDEX($L$2:$L$1001,MATCH(ROWS($K$2:K83),$K$2:$K$1001,0),1)&gt;=100000,INDEX($R$1005:$W$1005,1,MATCH(COLUMNS($R$1006:U1006),$R$1006:$W$1006,0))&gt;=100000), " ",IF(INDEX($R$2:$W$1001,MATCH(ROWS($K$2:K83),$K$2:$K$1001,0),MATCH(COLUMNS($R$1006:U1006),$R$1006:$W$1006,0)), HYPERLINK("#",""), HYPERLINK(CONCATENATE("#Metadata!", ADDRESS(INDEX($M$2:$M$1001,MATCH(ROWS($K$2:K83),$K$2:$K$1001,0),0), INDEX($R$1004:$W$1004,1,MATCH(COLUMNS($R$1006:U1006),$R$1006:$W$1006,0)))),"Fix")))</f>
        <v>0</v>
      </c>
      <c r="F83" s="3">
        <f>IF(OR(INDEX($L$2:$L$1001,MATCH(ROWS($K$2:K83),$K$2:$K$1001,0),1)&gt;=100000,INDEX($R$1005:$W$1005,1,MATCH(COLUMNS($R$1006:V1006),$R$1006:$W$1006,0))&gt;=100000), " ",IF(INDEX($R$2:$W$1001,MATCH(ROWS($K$2:K83),$K$2:$K$1001,0),MATCH(COLUMNS($R$1006:V1006),$R$1006:$W$1006,0)), HYPERLINK("#",""), HYPERLINK(CONCATENATE("#Metadata!", ADDRESS(INDEX($M$2:$M$1001,MATCH(ROWS($K$2:K83),$K$2:$K$1001,0),0), INDEX($R$1004:$W$1004,1,MATCH(COLUMNS($R$1006:V1006),$R$1006:$W$1006,0)))),"Fix")))</f>
        <v>0</v>
      </c>
      <c r="G83" s="3">
        <f>IF(OR(INDEX($L$2:$L$1001,MATCH(ROWS($K$2:K83),$K$2:$K$1001,0),1)&gt;=100000,INDEX($R$1005:$W$1005,1,MATCH(COLUMNS($R$1006:W1006),$R$1006:$W$1006,0))&gt;=100000), " ",IF(INDEX($R$2:$W$1001,MATCH(ROWS($K$2:K83),$K$2:$K$1001,0),MATCH(COLUMNS($R$1006:W1006),$R$1006:$W$1006,0)), HYPERLINK("#",""), HYPERLINK(CONCATENATE("#Metadata!", ADDRESS(INDEX($M$2:$M$1001,MATCH(ROWS($K$2:K83),$K$2:$K$1001,0),0), INDEX($R$1004:$W$1004,1,MATCH(COLUMNS($R$1006:W1006),$R$1006:$W$1006,0)))),"Fix")))</f>
        <v>0</v>
      </c>
      <c r="K83">
        <v>0</v>
      </c>
      <c r="L83">
        <v>0</v>
      </c>
      <c r="M83">
        <v>0</v>
      </c>
      <c r="N83">
        <f>IF(O83,TRUE,AND(R83:W83))</f>
        <v>0</v>
      </c>
      <c r="O83">
        <f>COUNTBLANK(Metadata!B83:G83)=COLUMNS(Metadata!B83:G83)</f>
        <v>0</v>
      </c>
      <c r="P83">
        <v>0</v>
      </c>
      <c r="R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S83">
        <f>IF(Metadata!C83="",FALSE,TRUE)</f>
        <v>0</v>
      </c>
      <c r="T83">
        <f>IF(Metadata!D83="",FALSE,TRUE)</f>
        <v>0</v>
      </c>
      <c r="U83">
        <f>IF(Metadata!E83="",FALSE,TRUE)</f>
        <v>0</v>
      </c>
      <c r="V83">
        <f>AND(IF(Metadata!F83="",FALSE,TRUE),exact(Metadata!F83,"rat gut metagenome"))</f>
        <v>0</v>
      </c>
      <c r="W83">
        <f>AND(IF(Metadata!G83="",FALSE,TRUE),exact(Metadata!G83,"1436733"))</f>
        <v>0</v>
      </c>
    </row>
    <row r="84" spans="1:23">
      <c r="A84" s="4">
        <f>IF(B84=" "," ",HYPERLINK(CONCATENATE("#metadata!",ADDRESS(INDEX($M$2:$M$1001,MATCH(ROWS($K$2:K84),$K$2:$K$1001,0),0),1)),INDEX($P$2:$P$1001,MATCH(ROWS($K$2:K84),$K$2:$K$1001,0),0)))</f>
        <v>0</v>
      </c>
      <c r="B84" s="3">
        <f>IF(OR(INDEX($L$2:$L$1001,MATCH(ROWS($K$2:K84),$K$2:$K$1001,0),1)&gt;=100000,INDEX($R$1005:$W$1005,1,MATCH(COLUMNS($R$1006:R1006),$R$1006:$W$1006,0))&gt;=100000), " ",IF(INDEX($R$2:$W$1001,MATCH(ROWS($K$2:K84),$K$2:$K$1001,0),MATCH(COLUMNS($R$1006:R1006),$R$1006:$W$1006,0)), HYPERLINK("#",""), HYPERLINK(CONCATENATE("#Metadata!", ADDRESS(INDEX($M$2:$M$1001,MATCH(ROWS($K$2:K84),$K$2:$K$1001,0),0), INDEX($R$1004:$W$1004,1,MATCH(COLUMNS($R$1006:R1006),$R$1006:$W$1006,0)))),"Fix")))</f>
        <v>0</v>
      </c>
      <c r="C84" s="3">
        <f>IF(OR(INDEX($L$2:$L$1001,MATCH(ROWS($K$2:K84),$K$2:$K$1001,0),1)&gt;=100000,INDEX($R$1005:$W$1005,1,MATCH(COLUMNS($R$1006:S1006),$R$1006:$W$1006,0))&gt;=100000), " ",IF(INDEX($R$2:$W$1001,MATCH(ROWS($K$2:K84),$K$2:$K$1001,0),MATCH(COLUMNS($R$1006:S1006),$R$1006:$W$1006,0)), HYPERLINK("#",""), HYPERLINK(CONCATENATE("#Metadata!", ADDRESS(INDEX($M$2:$M$1001,MATCH(ROWS($K$2:K84),$K$2:$K$1001,0),0), INDEX($R$1004:$W$1004,1,MATCH(COLUMNS($R$1006:S1006),$R$1006:$W$1006,0)))),"Fix")))</f>
        <v>0</v>
      </c>
      <c r="D84" s="3">
        <f>IF(OR(INDEX($L$2:$L$1001,MATCH(ROWS($K$2:K84),$K$2:$K$1001,0),1)&gt;=100000,INDEX($R$1005:$W$1005,1,MATCH(COLUMNS($R$1006:T1006),$R$1006:$W$1006,0))&gt;=100000), " ",IF(INDEX($R$2:$W$1001,MATCH(ROWS($K$2:K84),$K$2:$K$1001,0),MATCH(COLUMNS($R$1006:T1006),$R$1006:$W$1006,0)), HYPERLINK("#",""), HYPERLINK(CONCATENATE("#Metadata!", ADDRESS(INDEX($M$2:$M$1001,MATCH(ROWS($K$2:K84),$K$2:$K$1001,0),0), INDEX($R$1004:$W$1004,1,MATCH(COLUMNS($R$1006:T1006),$R$1006:$W$1006,0)))),"Fix")))</f>
        <v>0</v>
      </c>
      <c r="E84" s="3">
        <f>IF(OR(INDEX($L$2:$L$1001,MATCH(ROWS($K$2:K84),$K$2:$K$1001,0),1)&gt;=100000,INDEX($R$1005:$W$1005,1,MATCH(COLUMNS($R$1006:U1006),$R$1006:$W$1006,0))&gt;=100000), " ",IF(INDEX($R$2:$W$1001,MATCH(ROWS($K$2:K84),$K$2:$K$1001,0),MATCH(COLUMNS($R$1006:U1006),$R$1006:$W$1006,0)), HYPERLINK("#",""), HYPERLINK(CONCATENATE("#Metadata!", ADDRESS(INDEX($M$2:$M$1001,MATCH(ROWS($K$2:K84),$K$2:$K$1001,0),0), INDEX($R$1004:$W$1004,1,MATCH(COLUMNS($R$1006:U1006),$R$1006:$W$1006,0)))),"Fix")))</f>
        <v>0</v>
      </c>
      <c r="F84" s="3">
        <f>IF(OR(INDEX($L$2:$L$1001,MATCH(ROWS($K$2:K84),$K$2:$K$1001,0),1)&gt;=100000,INDEX($R$1005:$W$1005,1,MATCH(COLUMNS($R$1006:V1006),$R$1006:$W$1006,0))&gt;=100000), " ",IF(INDEX($R$2:$W$1001,MATCH(ROWS($K$2:K84),$K$2:$K$1001,0),MATCH(COLUMNS($R$1006:V1006),$R$1006:$W$1006,0)), HYPERLINK("#",""), HYPERLINK(CONCATENATE("#Metadata!", ADDRESS(INDEX($M$2:$M$1001,MATCH(ROWS($K$2:K84),$K$2:$K$1001,0),0), INDEX($R$1004:$W$1004,1,MATCH(COLUMNS($R$1006:V1006),$R$1006:$W$1006,0)))),"Fix")))</f>
        <v>0</v>
      </c>
      <c r="G84" s="3">
        <f>IF(OR(INDEX($L$2:$L$1001,MATCH(ROWS($K$2:K84),$K$2:$K$1001,0),1)&gt;=100000,INDEX($R$1005:$W$1005,1,MATCH(COLUMNS($R$1006:W1006),$R$1006:$W$1006,0))&gt;=100000), " ",IF(INDEX($R$2:$W$1001,MATCH(ROWS($K$2:K84),$K$2:$K$1001,0),MATCH(COLUMNS($R$1006:W1006),$R$1006:$W$1006,0)), HYPERLINK("#",""), HYPERLINK(CONCATENATE("#Metadata!", ADDRESS(INDEX($M$2:$M$1001,MATCH(ROWS($K$2:K84),$K$2:$K$1001,0),0), INDEX($R$1004:$W$1004,1,MATCH(COLUMNS($R$1006:W1006),$R$1006:$W$1006,0)))),"Fix")))</f>
        <v>0</v>
      </c>
      <c r="K84">
        <v>0</v>
      </c>
      <c r="L84">
        <v>0</v>
      </c>
      <c r="M84">
        <v>0</v>
      </c>
      <c r="N84">
        <f>IF(O84,TRUE,AND(R84:W84))</f>
        <v>0</v>
      </c>
      <c r="O84">
        <f>COUNTBLANK(Metadata!B84:G84)=COLUMNS(Metadata!B84:G84)</f>
        <v>0</v>
      </c>
      <c r="P84">
        <v>0</v>
      </c>
      <c r="R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S84">
        <f>IF(Metadata!C84="",FALSE,TRUE)</f>
        <v>0</v>
      </c>
      <c r="T84">
        <f>IF(Metadata!D84="",FALSE,TRUE)</f>
        <v>0</v>
      </c>
      <c r="U84">
        <f>IF(Metadata!E84="",FALSE,TRUE)</f>
        <v>0</v>
      </c>
      <c r="V84">
        <f>AND(IF(Metadata!F84="",FALSE,TRUE),exact(Metadata!F84,"rat gut metagenome"))</f>
        <v>0</v>
      </c>
      <c r="W84">
        <f>AND(IF(Metadata!G84="",FALSE,TRUE),exact(Metadata!G84,"1436733"))</f>
        <v>0</v>
      </c>
    </row>
    <row r="85" spans="1:23">
      <c r="A85" s="4">
        <f>IF(B85=" "," ",HYPERLINK(CONCATENATE("#metadata!",ADDRESS(INDEX($M$2:$M$1001,MATCH(ROWS($K$2:K85),$K$2:$K$1001,0),0),1)),INDEX($P$2:$P$1001,MATCH(ROWS($K$2:K85),$K$2:$K$1001,0),0)))</f>
        <v>0</v>
      </c>
      <c r="B85" s="3">
        <f>IF(OR(INDEX($L$2:$L$1001,MATCH(ROWS($K$2:K85),$K$2:$K$1001,0),1)&gt;=100000,INDEX($R$1005:$W$1005,1,MATCH(COLUMNS($R$1006:R1006),$R$1006:$W$1006,0))&gt;=100000), " ",IF(INDEX($R$2:$W$1001,MATCH(ROWS($K$2:K85),$K$2:$K$1001,0),MATCH(COLUMNS($R$1006:R1006),$R$1006:$W$1006,0)), HYPERLINK("#",""), HYPERLINK(CONCATENATE("#Metadata!", ADDRESS(INDEX($M$2:$M$1001,MATCH(ROWS($K$2:K85),$K$2:$K$1001,0),0), INDEX($R$1004:$W$1004,1,MATCH(COLUMNS($R$1006:R1006),$R$1006:$W$1006,0)))),"Fix")))</f>
        <v>0</v>
      </c>
      <c r="C85" s="3">
        <f>IF(OR(INDEX($L$2:$L$1001,MATCH(ROWS($K$2:K85),$K$2:$K$1001,0),1)&gt;=100000,INDEX($R$1005:$W$1005,1,MATCH(COLUMNS($R$1006:S1006),$R$1006:$W$1006,0))&gt;=100000), " ",IF(INDEX($R$2:$W$1001,MATCH(ROWS($K$2:K85),$K$2:$K$1001,0),MATCH(COLUMNS($R$1006:S1006),$R$1006:$W$1006,0)), HYPERLINK("#",""), HYPERLINK(CONCATENATE("#Metadata!", ADDRESS(INDEX($M$2:$M$1001,MATCH(ROWS($K$2:K85),$K$2:$K$1001,0),0), INDEX($R$1004:$W$1004,1,MATCH(COLUMNS($R$1006:S1006),$R$1006:$W$1006,0)))),"Fix")))</f>
        <v>0</v>
      </c>
      <c r="D85" s="3">
        <f>IF(OR(INDEX($L$2:$L$1001,MATCH(ROWS($K$2:K85),$K$2:$K$1001,0),1)&gt;=100000,INDEX($R$1005:$W$1005,1,MATCH(COLUMNS($R$1006:T1006),$R$1006:$W$1006,0))&gt;=100000), " ",IF(INDEX($R$2:$W$1001,MATCH(ROWS($K$2:K85),$K$2:$K$1001,0),MATCH(COLUMNS($R$1006:T1006),$R$1006:$W$1006,0)), HYPERLINK("#",""), HYPERLINK(CONCATENATE("#Metadata!", ADDRESS(INDEX($M$2:$M$1001,MATCH(ROWS($K$2:K85),$K$2:$K$1001,0),0), INDEX($R$1004:$W$1004,1,MATCH(COLUMNS($R$1006:T1006),$R$1006:$W$1006,0)))),"Fix")))</f>
        <v>0</v>
      </c>
      <c r="E85" s="3">
        <f>IF(OR(INDEX($L$2:$L$1001,MATCH(ROWS($K$2:K85),$K$2:$K$1001,0),1)&gt;=100000,INDEX($R$1005:$W$1005,1,MATCH(COLUMNS($R$1006:U1006),$R$1006:$W$1006,0))&gt;=100000), " ",IF(INDEX($R$2:$W$1001,MATCH(ROWS($K$2:K85),$K$2:$K$1001,0),MATCH(COLUMNS($R$1006:U1006),$R$1006:$W$1006,0)), HYPERLINK("#",""), HYPERLINK(CONCATENATE("#Metadata!", ADDRESS(INDEX($M$2:$M$1001,MATCH(ROWS($K$2:K85),$K$2:$K$1001,0),0), INDEX($R$1004:$W$1004,1,MATCH(COLUMNS($R$1006:U1006),$R$1006:$W$1006,0)))),"Fix")))</f>
        <v>0</v>
      </c>
      <c r="F85" s="3">
        <f>IF(OR(INDEX($L$2:$L$1001,MATCH(ROWS($K$2:K85),$K$2:$K$1001,0),1)&gt;=100000,INDEX($R$1005:$W$1005,1,MATCH(COLUMNS($R$1006:V1006),$R$1006:$W$1006,0))&gt;=100000), " ",IF(INDEX($R$2:$W$1001,MATCH(ROWS($K$2:K85),$K$2:$K$1001,0),MATCH(COLUMNS($R$1006:V1006),$R$1006:$W$1006,0)), HYPERLINK("#",""), HYPERLINK(CONCATENATE("#Metadata!", ADDRESS(INDEX($M$2:$M$1001,MATCH(ROWS($K$2:K85),$K$2:$K$1001,0),0), INDEX($R$1004:$W$1004,1,MATCH(COLUMNS($R$1006:V1006),$R$1006:$W$1006,0)))),"Fix")))</f>
        <v>0</v>
      </c>
      <c r="G85" s="3">
        <f>IF(OR(INDEX($L$2:$L$1001,MATCH(ROWS($K$2:K85),$K$2:$K$1001,0),1)&gt;=100000,INDEX($R$1005:$W$1005,1,MATCH(COLUMNS($R$1006:W1006),$R$1006:$W$1006,0))&gt;=100000), " ",IF(INDEX($R$2:$W$1001,MATCH(ROWS($K$2:K85),$K$2:$K$1001,0),MATCH(COLUMNS($R$1006:W1006),$R$1006:$W$1006,0)), HYPERLINK("#",""), HYPERLINK(CONCATENATE("#Metadata!", ADDRESS(INDEX($M$2:$M$1001,MATCH(ROWS($K$2:K85),$K$2:$K$1001,0),0), INDEX($R$1004:$W$1004,1,MATCH(COLUMNS($R$1006:W1006),$R$1006:$W$1006,0)))),"Fix")))</f>
        <v>0</v>
      </c>
      <c r="K85">
        <v>0</v>
      </c>
      <c r="L85">
        <v>0</v>
      </c>
      <c r="M85">
        <v>0</v>
      </c>
      <c r="N85">
        <f>IF(O85,TRUE,AND(R85:W85))</f>
        <v>0</v>
      </c>
      <c r="O85">
        <f>COUNTBLANK(Metadata!B85:G85)=COLUMNS(Metadata!B85:G85)</f>
        <v>0</v>
      </c>
      <c r="P85">
        <v>0</v>
      </c>
      <c r="R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S85">
        <f>IF(Metadata!C85="",FALSE,TRUE)</f>
        <v>0</v>
      </c>
      <c r="T85">
        <f>IF(Metadata!D85="",FALSE,TRUE)</f>
        <v>0</v>
      </c>
      <c r="U85">
        <f>IF(Metadata!E85="",FALSE,TRUE)</f>
        <v>0</v>
      </c>
      <c r="V85">
        <f>AND(IF(Metadata!F85="",FALSE,TRUE),exact(Metadata!F85,"rat gut metagenome"))</f>
        <v>0</v>
      </c>
      <c r="W85">
        <f>AND(IF(Metadata!G85="",FALSE,TRUE),exact(Metadata!G85,"1436733"))</f>
        <v>0</v>
      </c>
    </row>
    <row r="86" spans="1:23">
      <c r="A86" s="4">
        <f>IF(B86=" "," ",HYPERLINK(CONCATENATE("#metadata!",ADDRESS(INDEX($M$2:$M$1001,MATCH(ROWS($K$2:K86),$K$2:$K$1001,0),0),1)),INDEX($P$2:$P$1001,MATCH(ROWS($K$2:K86),$K$2:$K$1001,0),0)))</f>
        <v>0</v>
      </c>
      <c r="B86" s="3">
        <f>IF(OR(INDEX($L$2:$L$1001,MATCH(ROWS($K$2:K86),$K$2:$K$1001,0),1)&gt;=100000,INDEX($R$1005:$W$1005,1,MATCH(COLUMNS($R$1006:R1006),$R$1006:$W$1006,0))&gt;=100000), " ",IF(INDEX($R$2:$W$1001,MATCH(ROWS($K$2:K86),$K$2:$K$1001,0),MATCH(COLUMNS($R$1006:R1006),$R$1006:$W$1006,0)), HYPERLINK("#",""), HYPERLINK(CONCATENATE("#Metadata!", ADDRESS(INDEX($M$2:$M$1001,MATCH(ROWS($K$2:K86),$K$2:$K$1001,0),0), INDEX($R$1004:$W$1004,1,MATCH(COLUMNS($R$1006:R1006),$R$1006:$W$1006,0)))),"Fix")))</f>
        <v>0</v>
      </c>
      <c r="C86" s="3">
        <f>IF(OR(INDEX($L$2:$L$1001,MATCH(ROWS($K$2:K86),$K$2:$K$1001,0),1)&gt;=100000,INDEX($R$1005:$W$1005,1,MATCH(COLUMNS($R$1006:S1006),$R$1006:$W$1006,0))&gt;=100000), " ",IF(INDEX($R$2:$W$1001,MATCH(ROWS($K$2:K86),$K$2:$K$1001,0),MATCH(COLUMNS($R$1006:S1006),$R$1006:$W$1006,0)), HYPERLINK("#",""), HYPERLINK(CONCATENATE("#Metadata!", ADDRESS(INDEX($M$2:$M$1001,MATCH(ROWS($K$2:K86),$K$2:$K$1001,0),0), INDEX($R$1004:$W$1004,1,MATCH(COLUMNS($R$1006:S1006),$R$1006:$W$1006,0)))),"Fix")))</f>
        <v>0</v>
      </c>
      <c r="D86" s="3">
        <f>IF(OR(INDEX($L$2:$L$1001,MATCH(ROWS($K$2:K86),$K$2:$K$1001,0),1)&gt;=100000,INDEX($R$1005:$W$1005,1,MATCH(COLUMNS($R$1006:T1006),$R$1006:$W$1006,0))&gt;=100000), " ",IF(INDEX($R$2:$W$1001,MATCH(ROWS($K$2:K86),$K$2:$K$1001,0),MATCH(COLUMNS($R$1006:T1006),$R$1006:$W$1006,0)), HYPERLINK("#",""), HYPERLINK(CONCATENATE("#Metadata!", ADDRESS(INDEX($M$2:$M$1001,MATCH(ROWS($K$2:K86),$K$2:$K$1001,0),0), INDEX($R$1004:$W$1004,1,MATCH(COLUMNS($R$1006:T1006),$R$1006:$W$1006,0)))),"Fix")))</f>
        <v>0</v>
      </c>
      <c r="E86" s="3">
        <f>IF(OR(INDEX($L$2:$L$1001,MATCH(ROWS($K$2:K86),$K$2:$K$1001,0),1)&gt;=100000,INDEX($R$1005:$W$1005,1,MATCH(COLUMNS($R$1006:U1006),$R$1006:$W$1006,0))&gt;=100000), " ",IF(INDEX($R$2:$W$1001,MATCH(ROWS($K$2:K86),$K$2:$K$1001,0),MATCH(COLUMNS($R$1006:U1006),$R$1006:$W$1006,0)), HYPERLINK("#",""), HYPERLINK(CONCATENATE("#Metadata!", ADDRESS(INDEX($M$2:$M$1001,MATCH(ROWS($K$2:K86),$K$2:$K$1001,0),0), INDEX($R$1004:$W$1004,1,MATCH(COLUMNS($R$1006:U1006),$R$1006:$W$1006,0)))),"Fix")))</f>
        <v>0</v>
      </c>
      <c r="F86" s="3">
        <f>IF(OR(INDEX($L$2:$L$1001,MATCH(ROWS($K$2:K86),$K$2:$K$1001,0),1)&gt;=100000,INDEX($R$1005:$W$1005,1,MATCH(COLUMNS($R$1006:V1006),$R$1006:$W$1006,0))&gt;=100000), " ",IF(INDEX($R$2:$W$1001,MATCH(ROWS($K$2:K86),$K$2:$K$1001,0),MATCH(COLUMNS($R$1006:V1006),$R$1006:$W$1006,0)), HYPERLINK("#",""), HYPERLINK(CONCATENATE("#Metadata!", ADDRESS(INDEX($M$2:$M$1001,MATCH(ROWS($K$2:K86),$K$2:$K$1001,0),0), INDEX($R$1004:$W$1004,1,MATCH(COLUMNS($R$1006:V1006),$R$1006:$W$1006,0)))),"Fix")))</f>
        <v>0</v>
      </c>
      <c r="G86" s="3">
        <f>IF(OR(INDEX($L$2:$L$1001,MATCH(ROWS($K$2:K86),$K$2:$K$1001,0),1)&gt;=100000,INDEX($R$1005:$W$1005,1,MATCH(COLUMNS($R$1006:W1006),$R$1006:$W$1006,0))&gt;=100000), " ",IF(INDEX($R$2:$W$1001,MATCH(ROWS($K$2:K86),$K$2:$K$1001,0),MATCH(COLUMNS($R$1006:W1006),$R$1006:$W$1006,0)), HYPERLINK("#",""), HYPERLINK(CONCATENATE("#Metadata!", ADDRESS(INDEX($M$2:$M$1001,MATCH(ROWS($K$2:K86),$K$2:$K$1001,0),0), INDEX($R$1004:$W$1004,1,MATCH(COLUMNS($R$1006:W1006),$R$1006:$W$1006,0)))),"Fix")))</f>
        <v>0</v>
      </c>
      <c r="K86">
        <v>0</v>
      </c>
      <c r="L86">
        <v>0</v>
      </c>
      <c r="M86">
        <v>0</v>
      </c>
      <c r="N86">
        <f>IF(O86,TRUE,AND(R86:W86))</f>
        <v>0</v>
      </c>
      <c r="O86">
        <f>COUNTBLANK(Metadata!B86:G86)=COLUMNS(Metadata!B86:G86)</f>
        <v>0</v>
      </c>
      <c r="P86">
        <v>0</v>
      </c>
      <c r="R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S86">
        <f>IF(Metadata!C86="",FALSE,TRUE)</f>
        <v>0</v>
      </c>
      <c r="T86">
        <f>IF(Metadata!D86="",FALSE,TRUE)</f>
        <v>0</v>
      </c>
      <c r="U86">
        <f>IF(Metadata!E86="",FALSE,TRUE)</f>
        <v>0</v>
      </c>
      <c r="V86">
        <f>AND(IF(Metadata!F86="",FALSE,TRUE),exact(Metadata!F86,"rat gut metagenome"))</f>
        <v>0</v>
      </c>
      <c r="W86">
        <f>AND(IF(Metadata!G86="",FALSE,TRUE),exact(Metadata!G86,"1436733"))</f>
        <v>0</v>
      </c>
    </row>
    <row r="87" spans="1:23">
      <c r="A87" s="4">
        <f>IF(B87=" "," ",HYPERLINK(CONCATENATE("#metadata!",ADDRESS(INDEX($M$2:$M$1001,MATCH(ROWS($K$2:K87),$K$2:$K$1001,0),0),1)),INDEX($P$2:$P$1001,MATCH(ROWS($K$2:K87),$K$2:$K$1001,0),0)))</f>
        <v>0</v>
      </c>
      <c r="B87" s="3">
        <f>IF(OR(INDEX($L$2:$L$1001,MATCH(ROWS($K$2:K87),$K$2:$K$1001,0),1)&gt;=100000,INDEX($R$1005:$W$1005,1,MATCH(COLUMNS($R$1006:R1006),$R$1006:$W$1006,0))&gt;=100000), " ",IF(INDEX($R$2:$W$1001,MATCH(ROWS($K$2:K87),$K$2:$K$1001,0),MATCH(COLUMNS($R$1006:R1006),$R$1006:$W$1006,0)), HYPERLINK("#",""), HYPERLINK(CONCATENATE("#Metadata!", ADDRESS(INDEX($M$2:$M$1001,MATCH(ROWS($K$2:K87),$K$2:$K$1001,0),0), INDEX($R$1004:$W$1004,1,MATCH(COLUMNS($R$1006:R1006),$R$1006:$W$1006,0)))),"Fix")))</f>
        <v>0</v>
      </c>
      <c r="C87" s="3">
        <f>IF(OR(INDEX($L$2:$L$1001,MATCH(ROWS($K$2:K87),$K$2:$K$1001,0),1)&gt;=100000,INDEX($R$1005:$W$1005,1,MATCH(COLUMNS($R$1006:S1006),$R$1006:$W$1006,0))&gt;=100000), " ",IF(INDEX($R$2:$W$1001,MATCH(ROWS($K$2:K87),$K$2:$K$1001,0),MATCH(COLUMNS($R$1006:S1006),$R$1006:$W$1006,0)), HYPERLINK("#",""), HYPERLINK(CONCATENATE("#Metadata!", ADDRESS(INDEX($M$2:$M$1001,MATCH(ROWS($K$2:K87),$K$2:$K$1001,0),0), INDEX($R$1004:$W$1004,1,MATCH(COLUMNS($R$1006:S1006),$R$1006:$W$1006,0)))),"Fix")))</f>
        <v>0</v>
      </c>
      <c r="D87" s="3">
        <f>IF(OR(INDEX($L$2:$L$1001,MATCH(ROWS($K$2:K87),$K$2:$K$1001,0),1)&gt;=100000,INDEX($R$1005:$W$1005,1,MATCH(COLUMNS($R$1006:T1006),$R$1006:$W$1006,0))&gt;=100000), " ",IF(INDEX($R$2:$W$1001,MATCH(ROWS($K$2:K87),$K$2:$K$1001,0),MATCH(COLUMNS($R$1006:T1006),$R$1006:$W$1006,0)), HYPERLINK("#",""), HYPERLINK(CONCATENATE("#Metadata!", ADDRESS(INDEX($M$2:$M$1001,MATCH(ROWS($K$2:K87),$K$2:$K$1001,0),0), INDEX($R$1004:$W$1004,1,MATCH(COLUMNS($R$1006:T1006),$R$1006:$W$1006,0)))),"Fix")))</f>
        <v>0</v>
      </c>
      <c r="E87" s="3">
        <f>IF(OR(INDEX($L$2:$L$1001,MATCH(ROWS($K$2:K87),$K$2:$K$1001,0),1)&gt;=100000,INDEX($R$1005:$W$1005,1,MATCH(COLUMNS($R$1006:U1006),$R$1006:$W$1006,0))&gt;=100000), " ",IF(INDEX($R$2:$W$1001,MATCH(ROWS($K$2:K87),$K$2:$K$1001,0),MATCH(COLUMNS($R$1006:U1006),$R$1006:$W$1006,0)), HYPERLINK("#",""), HYPERLINK(CONCATENATE("#Metadata!", ADDRESS(INDEX($M$2:$M$1001,MATCH(ROWS($K$2:K87),$K$2:$K$1001,0),0), INDEX($R$1004:$W$1004,1,MATCH(COLUMNS($R$1006:U1006),$R$1006:$W$1006,0)))),"Fix")))</f>
        <v>0</v>
      </c>
      <c r="F87" s="3">
        <f>IF(OR(INDEX($L$2:$L$1001,MATCH(ROWS($K$2:K87),$K$2:$K$1001,0),1)&gt;=100000,INDEX($R$1005:$W$1005,1,MATCH(COLUMNS($R$1006:V1006),$R$1006:$W$1006,0))&gt;=100000), " ",IF(INDEX($R$2:$W$1001,MATCH(ROWS($K$2:K87),$K$2:$K$1001,0),MATCH(COLUMNS($R$1006:V1006),$R$1006:$W$1006,0)), HYPERLINK("#",""), HYPERLINK(CONCATENATE("#Metadata!", ADDRESS(INDEX($M$2:$M$1001,MATCH(ROWS($K$2:K87),$K$2:$K$1001,0),0), INDEX($R$1004:$W$1004,1,MATCH(COLUMNS($R$1006:V1006),$R$1006:$W$1006,0)))),"Fix")))</f>
        <v>0</v>
      </c>
      <c r="G87" s="3">
        <f>IF(OR(INDEX($L$2:$L$1001,MATCH(ROWS($K$2:K87),$K$2:$K$1001,0),1)&gt;=100000,INDEX($R$1005:$W$1005,1,MATCH(COLUMNS($R$1006:W1006),$R$1006:$W$1006,0))&gt;=100000), " ",IF(INDEX($R$2:$W$1001,MATCH(ROWS($K$2:K87),$K$2:$K$1001,0),MATCH(COLUMNS($R$1006:W1006),$R$1006:$W$1006,0)), HYPERLINK("#",""), HYPERLINK(CONCATENATE("#Metadata!", ADDRESS(INDEX($M$2:$M$1001,MATCH(ROWS($K$2:K87),$K$2:$K$1001,0),0), INDEX($R$1004:$W$1004,1,MATCH(COLUMNS($R$1006:W1006),$R$1006:$W$1006,0)))),"Fix")))</f>
        <v>0</v>
      </c>
      <c r="K87">
        <v>0</v>
      </c>
      <c r="L87">
        <v>0</v>
      </c>
      <c r="M87">
        <v>0</v>
      </c>
      <c r="N87">
        <f>IF(O87,TRUE,AND(R87:W87))</f>
        <v>0</v>
      </c>
      <c r="O87">
        <f>COUNTBLANK(Metadata!B87:G87)=COLUMNS(Metadata!B87:G87)</f>
        <v>0</v>
      </c>
      <c r="P87">
        <v>0</v>
      </c>
      <c r="R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S87">
        <f>IF(Metadata!C87="",FALSE,TRUE)</f>
        <v>0</v>
      </c>
      <c r="T87">
        <f>IF(Metadata!D87="",FALSE,TRUE)</f>
        <v>0</v>
      </c>
      <c r="U87">
        <f>IF(Metadata!E87="",FALSE,TRUE)</f>
        <v>0</v>
      </c>
      <c r="V87">
        <f>AND(IF(Metadata!F87="",FALSE,TRUE),exact(Metadata!F87,"rat gut metagenome"))</f>
        <v>0</v>
      </c>
      <c r="W87">
        <f>AND(IF(Metadata!G87="",FALSE,TRUE),exact(Metadata!G87,"1436733"))</f>
        <v>0</v>
      </c>
    </row>
    <row r="88" spans="1:23">
      <c r="A88" s="4">
        <f>IF(B88=" "," ",HYPERLINK(CONCATENATE("#metadata!",ADDRESS(INDEX($M$2:$M$1001,MATCH(ROWS($K$2:K88),$K$2:$K$1001,0),0),1)),INDEX($P$2:$P$1001,MATCH(ROWS($K$2:K88),$K$2:$K$1001,0),0)))</f>
        <v>0</v>
      </c>
      <c r="B88" s="3">
        <f>IF(OR(INDEX($L$2:$L$1001,MATCH(ROWS($K$2:K88),$K$2:$K$1001,0),1)&gt;=100000,INDEX($R$1005:$W$1005,1,MATCH(COLUMNS($R$1006:R1006),$R$1006:$W$1006,0))&gt;=100000), " ",IF(INDEX($R$2:$W$1001,MATCH(ROWS($K$2:K88),$K$2:$K$1001,0),MATCH(COLUMNS($R$1006:R1006),$R$1006:$W$1006,0)), HYPERLINK("#",""), HYPERLINK(CONCATENATE("#Metadata!", ADDRESS(INDEX($M$2:$M$1001,MATCH(ROWS($K$2:K88),$K$2:$K$1001,0),0), INDEX($R$1004:$W$1004,1,MATCH(COLUMNS($R$1006:R1006),$R$1006:$W$1006,0)))),"Fix")))</f>
        <v>0</v>
      </c>
      <c r="C88" s="3">
        <f>IF(OR(INDEX($L$2:$L$1001,MATCH(ROWS($K$2:K88),$K$2:$K$1001,0),1)&gt;=100000,INDEX($R$1005:$W$1005,1,MATCH(COLUMNS($R$1006:S1006),$R$1006:$W$1006,0))&gt;=100000), " ",IF(INDEX($R$2:$W$1001,MATCH(ROWS($K$2:K88),$K$2:$K$1001,0),MATCH(COLUMNS($R$1006:S1006),$R$1006:$W$1006,0)), HYPERLINK("#",""), HYPERLINK(CONCATENATE("#Metadata!", ADDRESS(INDEX($M$2:$M$1001,MATCH(ROWS($K$2:K88),$K$2:$K$1001,0),0), INDEX($R$1004:$W$1004,1,MATCH(COLUMNS($R$1006:S1006),$R$1006:$W$1006,0)))),"Fix")))</f>
        <v>0</v>
      </c>
      <c r="D88" s="3">
        <f>IF(OR(INDEX($L$2:$L$1001,MATCH(ROWS($K$2:K88),$K$2:$K$1001,0),1)&gt;=100000,INDEX($R$1005:$W$1005,1,MATCH(COLUMNS($R$1006:T1006),$R$1006:$W$1006,0))&gt;=100000), " ",IF(INDEX($R$2:$W$1001,MATCH(ROWS($K$2:K88),$K$2:$K$1001,0),MATCH(COLUMNS($R$1006:T1006),$R$1006:$W$1006,0)), HYPERLINK("#",""), HYPERLINK(CONCATENATE("#Metadata!", ADDRESS(INDEX($M$2:$M$1001,MATCH(ROWS($K$2:K88),$K$2:$K$1001,0),0), INDEX($R$1004:$W$1004,1,MATCH(COLUMNS($R$1006:T1006),$R$1006:$W$1006,0)))),"Fix")))</f>
        <v>0</v>
      </c>
      <c r="E88" s="3">
        <f>IF(OR(INDEX($L$2:$L$1001,MATCH(ROWS($K$2:K88),$K$2:$K$1001,0),1)&gt;=100000,INDEX($R$1005:$W$1005,1,MATCH(COLUMNS($R$1006:U1006),$R$1006:$W$1006,0))&gt;=100000), " ",IF(INDEX($R$2:$W$1001,MATCH(ROWS($K$2:K88),$K$2:$K$1001,0),MATCH(COLUMNS($R$1006:U1006),$R$1006:$W$1006,0)), HYPERLINK("#",""), HYPERLINK(CONCATENATE("#Metadata!", ADDRESS(INDEX($M$2:$M$1001,MATCH(ROWS($K$2:K88),$K$2:$K$1001,0),0), INDEX($R$1004:$W$1004,1,MATCH(COLUMNS($R$1006:U1006),$R$1006:$W$1006,0)))),"Fix")))</f>
        <v>0</v>
      </c>
      <c r="F88" s="3">
        <f>IF(OR(INDEX($L$2:$L$1001,MATCH(ROWS($K$2:K88),$K$2:$K$1001,0),1)&gt;=100000,INDEX($R$1005:$W$1005,1,MATCH(COLUMNS($R$1006:V1006),$R$1006:$W$1006,0))&gt;=100000), " ",IF(INDEX($R$2:$W$1001,MATCH(ROWS($K$2:K88),$K$2:$K$1001,0),MATCH(COLUMNS($R$1006:V1006),$R$1006:$W$1006,0)), HYPERLINK("#",""), HYPERLINK(CONCATENATE("#Metadata!", ADDRESS(INDEX($M$2:$M$1001,MATCH(ROWS($K$2:K88),$K$2:$K$1001,0),0), INDEX($R$1004:$W$1004,1,MATCH(COLUMNS($R$1006:V1006),$R$1006:$W$1006,0)))),"Fix")))</f>
        <v>0</v>
      </c>
      <c r="G88" s="3">
        <f>IF(OR(INDEX($L$2:$L$1001,MATCH(ROWS($K$2:K88),$K$2:$K$1001,0),1)&gt;=100000,INDEX($R$1005:$W$1005,1,MATCH(COLUMNS($R$1006:W1006),$R$1006:$W$1006,0))&gt;=100000), " ",IF(INDEX($R$2:$W$1001,MATCH(ROWS($K$2:K88),$K$2:$K$1001,0),MATCH(COLUMNS($R$1006:W1006),$R$1006:$W$1006,0)), HYPERLINK("#",""), HYPERLINK(CONCATENATE("#Metadata!", ADDRESS(INDEX($M$2:$M$1001,MATCH(ROWS($K$2:K88),$K$2:$K$1001,0),0), INDEX($R$1004:$W$1004,1,MATCH(COLUMNS($R$1006:W1006),$R$1006:$W$1006,0)))),"Fix")))</f>
        <v>0</v>
      </c>
      <c r="K88">
        <v>0</v>
      </c>
      <c r="L88">
        <v>0</v>
      </c>
      <c r="M88">
        <v>0</v>
      </c>
      <c r="N88">
        <f>IF(O88,TRUE,AND(R88:W88))</f>
        <v>0</v>
      </c>
      <c r="O88">
        <f>COUNTBLANK(Metadata!B88:G88)=COLUMNS(Metadata!B88:G88)</f>
        <v>0</v>
      </c>
      <c r="P88">
        <v>0</v>
      </c>
      <c r="R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S88">
        <f>IF(Metadata!C88="",FALSE,TRUE)</f>
        <v>0</v>
      </c>
      <c r="T88">
        <f>IF(Metadata!D88="",FALSE,TRUE)</f>
        <v>0</v>
      </c>
      <c r="U88">
        <f>IF(Metadata!E88="",FALSE,TRUE)</f>
        <v>0</v>
      </c>
      <c r="V88">
        <f>AND(IF(Metadata!F88="",FALSE,TRUE),exact(Metadata!F88,"rat gut metagenome"))</f>
        <v>0</v>
      </c>
      <c r="W88">
        <f>AND(IF(Metadata!G88="",FALSE,TRUE),exact(Metadata!G88,"1436733"))</f>
        <v>0</v>
      </c>
    </row>
    <row r="89" spans="1:23">
      <c r="A89" s="4">
        <f>IF(B89=" "," ",HYPERLINK(CONCATENATE("#metadata!",ADDRESS(INDEX($M$2:$M$1001,MATCH(ROWS($K$2:K89),$K$2:$K$1001,0),0),1)),INDEX($P$2:$P$1001,MATCH(ROWS($K$2:K89),$K$2:$K$1001,0),0)))</f>
        <v>0</v>
      </c>
      <c r="B89" s="3">
        <f>IF(OR(INDEX($L$2:$L$1001,MATCH(ROWS($K$2:K89),$K$2:$K$1001,0),1)&gt;=100000,INDEX($R$1005:$W$1005,1,MATCH(COLUMNS($R$1006:R1006),$R$1006:$W$1006,0))&gt;=100000), " ",IF(INDEX($R$2:$W$1001,MATCH(ROWS($K$2:K89),$K$2:$K$1001,0),MATCH(COLUMNS($R$1006:R1006),$R$1006:$W$1006,0)), HYPERLINK("#",""), HYPERLINK(CONCATENATE("#Metadata!", ADDRESS(INDEX($M$2:$M$1001,MATCH(ROWS($K$2:K89),$K$2:$K$1001,0),0), INDEX($R$1004:$W$1004,1,MATCH(COLUMNS($R$1006:R1006),$R$1006:$W$1006,0)))),"Fix")))</f>
        <v>0</v>
      </c>
      <c r="C89" s="3">
        <f>IF(OR(INDEX($L$2:$L$1001,MATCH(ROWS($K$2:K89),$K$2:$K$1001,0),1)&gt;=100000,INDEX($R$1005:$W$1005,1,MATCH(COLUMNS($R$1006:S1006),$R$1006:$W$1006,0))&gt;=100000), " ",IF(INDEX($R$2:$W$1001,MATCH(ROWS($K$2:K89),$K$2:$K$1001,0),MATCH(COLUMNS($R$1006:S1006),$R$1006:$W$1006,0)), HYPERLINK("#",""), HYPERLINK(CONCATENATE("#Metadata!", ADDRESS(INDEX($M$2:$M$1001,MATCH(ROWS($K$2:K89),$K$2:$K$1001,0),0), INDEX($R$1004:$W$1004,1,MATCH(COLUMNS($R$1006:S1006),$R$1006:$W$1006,0)))),"Fix")))</f>
        <v>0</v>
      </c>
      <c r="D89" s="3">
        <f>IF(OR(INDEX($L$2:$L$1001,MATCH(ROWS($K$2:K89),$K$2:$K$1001,0),1)&gt;=100000,INDEX($R$1005:$W$1005,1,MATCH(COLUMNS($R$1006:T1006),$R$1006:$W$1006,0))&gt;=100000), " ",IF(INDEX($R$2:$W$1001,MATCH(ROWS($K$2:K89),$K$2:$K$1001,0),MATCH(COLUMNS($R$1006:T1006),$R$1006:$W$1006,0)), HYPERLINK("#",""), HYPERLINK(CONCATENATE("#Metadata!", ADDRESS(INDEX($M$2:$M$1001,MATCH(ROWS($K$2:K89),$K$2:$K$1001,0),0), INDEX($R$1004:$W$1004,1,MATCH(COLUMNS($R$1006:T1006),$R$1006:$W$1006,0)))),"Fix")))</f>
        <v>0</v>
      </c>
      <c r="E89" s="3">
        <f>IF(OR(INDEX($L$2:$L$1001,MATCH(ROWS($K$2:K89),$K$2:$K$1001,0),1)&gt;=100000,INDEX($R$1005:$W$1005,1,MATCH(COLUMNS($R$1006:U1006),$R$1006:$W$1006,0))&gt;=100000), " ",IF(INDEX($R$2:$W$1001,MATCH(ROWS($K$2:K89),$K$2:$K$1001,0),MATCH(COLUMNS($R$1006:U1006),$R$1006:$W$1006,0)), HYPERLINK("#",""), HYPERLINK(CONCATENATE("#Metadata!", ADDRESS(INDEX($M$2:$M$1001,MATCH(ROWS($K$2:K89),$K$2:$K$1001,0),0), INDEX($R$1004:$W$1004,1,MATCH(COLUMNS($R$1006:U1006),$R$1006:$W$1006,0)))),"Fix")))</f>
        <v>0</v>
      </c>
      <c r="F89" s="3">
        <f>IF(OR(INDEX($L$2:$L$1001,MATCH(ROWS($K$2:K89),$K$2:$K$1001,0),1)&gt;=100000,INDEX($R$1005:$W$1005,1,MATCH(COLUMNS($R$1006:V1006),$R$1006:$W$1006,0))&gt;=100000), " ",IF(INDEX($R$2:$W$1001,MATCH(ROWS($K$2:K89),$K$2:$K$1001,0),MATCH(COLUMNS($R$1006:V1006),$R$1006:$W$1006,0)), HYPERLINK("#",""), HYPERLINK(CONCATENATE("#Metadata!", ADDRESS(INDEX($M$2:$M$1001,MATCH(ROWS($K$2:K89),$K$2:$K$1001,0),0), INDEX($R$1004:$W$1004,1,MATCH(COLUMNS($R$1006:V1006),$R$1006:$W$1006,0)))),"Fix")))</f>
        <v>0</v>
      </c>
      <c r="G89" s="3">
        <f>IF(OR(INDEX($L$2:$L$1001,MATCH(ROWS($K$2:K89),$K$2:$K$1001,0),1)&gt;=100000,INDEX($R$1005:$W$1005,1,MATCH(COLUMNS($R$1006:W1006),$R$1006:$W$1006,0))&gt;=100000), " ",IF(INDEX($R$2:$W$1001,MATCH(ROWS($K$2:K89),$K$2:$K$1001,0),MATCH(COLUMNS($R$1006:W1006),$R$1006:$W$1006,0)), HYPERLINK("#",""), HYPERLINK(CONCATENATE("#Metadata!", ADDRESS(INDEX($M$2:$M$1001,MATCH(ROWS($K$2:K89),$K$2:$K$1001,0),0), INDEX($R$1004:$W$1004,1,MATCH(COLUMNS($R$1006:W1006),$R$1006:$W$1006,0)))),"Fix")))</f>
        <v>0</v>
      </c>
      <c r="K89">
        <v>0</v>
      </c>
      <c r="L89">
        <v>0</v>
      </c>
      <c r="M89">
        <v>0</v>
      </c>
      <c r="N89">
        <f>IF(O89,TRUE,AND(R89:W89))</f>
        <v>0</v>
      </c>
      <c r="O89">
        <f>COUNTBLANK(Metadata!B89:G89)=COLUMNS(Metadata!B89:G89)</f>
        <v>0</v>
      </c>
      <c r="P89">
        <v>0</v>
      </c>
      <c r="R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S89">
        <f>IF(Metadata!C89="",FALSE,TRUE)</f>
        <v>0</v>
      </c>
      <c r="T89">
        <f>IF(Metadata!D89="",FALSE,TRUE)</f>
        <v>0</v>
      </c>
      <c r="U89">
        <f>IF(Metadata!E89="",FALSE,TRUE)</f>
        <v>0</v>
      </c>
      <c r="V89">
        <f>AND(IF(Metadata!F89="",FALSE,TRUE),exact(Metadata!F89,"rat gut metagenome"))</f>
        <v>0</v>
      </c>
      <c r="W89">
        <f>AND(IF(Metadata!G89="",FALSE,TRUE),exact(Metadata!G89,"1436733"))</f>
        <v>0</v>
      </c>
    </row>
    <row r="90" spans="1:23">
      <c r="A90" s="4">
        <f>IF(B90=" "," ",HYPERLINK(CONCATENATE("#metadata!",ADDRESS(INDEX($M$2:$M$1001,MATCH(ROWS($K$2:K90),$K$2:$K$1001,0),0),1)),INDEX($P$2:$P$1001,MATCH(ROWS($K$2:K90),$K$2:$K$1001,0),0)))</f>
        <v>0</v>
      </c>
      <c r="B90" s="3">
        <f>IF(OR(INDEX($L$2:$L$1001,MATCH(ROWS($K$2:K90),$K$2:$K$1001,0),1)&gt;=100000,INDEX($R$1005:$W$1005,1,MATCH(COLUMNS($R$1006:R1006),$R$1006:$W$1006,0))&gt;=100000), " ",IF(INDEX($R$2:$W$1001,MATCH(ROWS($K$2:K90),$K$2:$K$1001,0),MATCH(COLUMNS($R$1006:R1006),$R$1006:$W$1006,0)), HYPERLINK("#",""), HYPERLINK(CONCATENATE("#Metadata!", ADDRESS(INDEX($M$2:$M$1001,MATCH(ROWS($K$2:K90),$K$2:$K$1001,0),0), INDEX($R$1004:$W$1004,1,MATCH(COLUMNS($R$1006:R1006),$R$1006:$W$1006,0)))),"Fix")))</f>
        <v>0</v>
      </c>
      <c r="C90" s="3">
        <f>IF(OR(INDEX($L$2:$L$1001,MATCH(ROWS($K$2:K90),$K$2:$K$1001,0),1)&gt;=100000,INDEX($R$1005:$W$1005,1,MATCH(COLUMNS($R$1006:S1006),$R$1006:$W$1006,0))&gt;=100000), " ",IF(INDEX($R$2:$W$1001,MATCH(ROWS($K$2:K90),$K$2:$K$1001,0),MATCH(COLUMNS($R$1006:S1006),$R$1006:$W$1006,0)), HYPERLINK("#",""), HYPERLINK(CONCATENATE("#Metadata!", ADDRESS(INDEX($M$2:$M$1001,MATCH(ROWS($K$2:K90),$K$2:$K$1001,0),0), INDEX($R$1004:$W$1004,1,MATCH(COLUMNS($R$1006:S1006),$R$1006:$W$1006,0)))),"Fix")))</f>
        <v>0</v>
      </c>
      <c r="D90" s="3">
        <f>IF(OR(INDEX($L$2:$L$1001,MATCH(ROWS($K$2:K90),$K$2:$K$1001,0),1)&gt;=100000,INDEX($R$1005:$W$1005,1,MATCH(COLUMNS($R$1006:T1006),$R$1006:$W$1006,0))&gt;=100000), " ",IF(INDEX($R$2:$W$1001,MATCH(ROWS($K$2:K90),$K$2:$K$1001,0),MATCH(COLUMNS($R$1006:T1006),$R$1006:$W$1006,0)), HYPERLINK("#",""), HYPERLINK(CONCATENATE("#Metadata!", ADDRESS(INDEX($M$2:$M$1001,MATCH(ROWS($K$2:K90),$K$2:$K$1001,0),0), INDEX($R$1004:$W$1004,1,MATCH(COLUMNS($R$1006:T1006),$R$1006:$W$1006,0)))),"Fix")))</f>
        <v>0</v>
      </c>
      <c r="E90" s="3">
        <f>IF(OR(INDEX($L$2:$L$1001,MATCH(ROWS($K$2:K90),$K$2:$K$1001,0),1)&gt;=100000,INDEX($R$1005:$W$1005,1,MATCH(COLUMNS($R$1006:U1006),$R$1006:$W$1006,0))&gt;=100000), " ",IF(INDEX($R$2:$W$1001,MATCH(ROWS($K$2:K90),$K$2:$K$1001,0),MATCH(COLUMNS($R$1006:U1006),$R$1006:$W$1006,0)), HYPERLINK("#",""), HYPERLINK(CONCATENATE("#Metadata!", ADDRESS(INDEX($M$2:$M$1001,MATCH(ROWS($K$2:K90),$K$2:$K$1001,0),0), INDEX($R$1004:$W$1004,1,MATCH(COLUMNS($R$1006:U1006),$R$1006:$W$1006,0)))),"Fix")))</f>
        <v>0</v>
      </c>
      <c r="F90" s="3">
        <f>IF(OR(INDEX($L$2:$L$1001,MATCH(ROWS($K$2:K90),$K$2:$K$1001,0),1)&gt;=100000,INDEX($R$1005:$W$1005,1,MATCH(COLUMNS($R$1006:V1006),$R$1006:$W$1006,0))&gt;=100000), " ",IF(INDEX($R$2:$W$1001,MATCH(ROWS($K$2:K90),$K$2:$K$1001,0),MATCH(COLUMNS($R$1006:V1006),$R$1006:$W$1006,0)), HYPERLINK("#",""), HYPERLINK(CONCATENATE("#Metadata!", ADDRESS(INDEX($M$2:$M$1001,MATCH(ROWS($K$2:K90),$K$2:$K$1001,0),0), INDEX($R$1004:$W$1004,1,MATCH(COLUMNS($R$1006:V1006),$R$1006:$W$1006,0)))),"Fix")))</f>
        <v>0</v>
      </c>
      <c r="G90" s="3">
        <f>IF(OR(INDEX($L$2:$L$1001,MATCH(ROWS($K$2:K90),$K$2:$K$1001,0),1)&gt;=100000,INDEX($R$1005:$W$1005,1,MATCH(COLUMNS($R$1006:W1006),$R$1006:$W$1006,0))&gt;=100000), " ",IF(INDEX($R$2:$W$1001,MATCH(ROWS($K$2:K90),$K$2:$K$1001,0),MATCH(COLUMNS($R$1006:W1006),$R$1006:$W$1006,0)), HYPERLINK("#",""), HYPERLINK(CONCATENATE("#Metadata!", ADDRESS(INDEX($M$2:$M$1001,MATCH(ROWS($K$2:K90),$K$2:$K$1001,0),0), INDEX($R$1004:$W$1004,1,MATCH(COLUMNS($R$1006:W1006),$R$1006:$W$1006,0)))),"Fix")))</f>
        <v>0</v>
      </c>
      <c r="K90">
        <v>0</v>
      </c>
      <c r="L90">
        <v>0</v>
      </c>
      <c r="M90">
        <v>0</v>
      </c>
      <c r="N90">
        <f>IF(O90,TRUE,AND(R90:W90))</f>
        <v>0</v>
      </c>
      <c r="O90">
        <f>COUNTBLANK(Metadata!B90:G90)=COLUMNS(Metadata!B90:G90)</f>
        <v>0</v>
      </c>
      <c r="P90">
        <v>0</v>
      </c>
      <c r="R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S90">
        <f>IF(Metadata!C90="",FALSE,TRUE)</f>
        <v>0</v>
      </c>
      <c r="T90">
        <f>IF(Metadata!D90="",FALSE,TRUE)</f>
        <v>0</v>
      </c>
      <c r="U90">
        <f>IF(Metadata!E90="",FALSE,TRUE)</f>
        <v>0</v>
      </c>
      <c r="V90">
        <f>AND(IF(Metadata!F90="",FALSE,TRUE),exact(Metadata!F90,"rat gut metagenome"))</f>
        <v>0</v>
      </c>
      <c r="W90">
        <f>AND(IF(Metadata!G90="",FALSE,TRUE),exact(Metadata!G90,"1436733"))</f>
        <v>0</v>
      </c>
    </row>
    <row r="91" spans="1:23">
      <c r="A91" s="4">
        <f>IF(B91=" "," ",HYPERLINK(CONCATENATE("#metadata!",ADDRESS(INDEX($M$2:$M$1001,MATCH(ROWS($K$2:K91),$K$2:$K$1001,0),0),1)),INDEX($P$2:$P$1001,MATCH(ROWS($K$2:K91),$K$2:$K$1001,0),0)))</f>
        <v>0</v>
      </c>
      <c r="B91" s="3">
        <f>IF(OR(INDEX($L$2:$L$1001,MATCH(ROWS($K$2:K91),$K$2:$K$1001,0),1)&gt;=100000,INDEX($R$1005:$W$1005,1,MATCH(COLUMNS($R$1006:R1006),$R$1006:$W$1006,0))&gt;=100000), " ",IF(INDEX($R$2:$W$1001,MATCH(ROWS($K$2:K91),$K$2:$K$1001,0),MATCH(COLUMNS($R$1006:R1006),$R$1006:$W$1006,0)), HYPERLINK("#",""), HYPERLINK(CONCATENATE("#Metadata!", ADDRESS(INDEX($M$2:$M$1001,MATCH(ROWS($K$2:K91),$K$2:$K$1001,0),0), INDEX($R$1004:$W$1004,1,MATCH(COLUMNS($R$1006:R1006),$R$1006:$W$1006,0)))),"Fix")))</f>
        <v>0</v>
      </c>
      <c r="C91" s="3">
        <f>IF(OR(INDEX($L$2:$L$1001,MATCH(ROWS($K$2:K91),$K$2:$K$1001,0),1)&gt;=100000,INDEX($R$1005:$W$1005,1,MATCH(COLUMNS($R$1006:S1006),$R$1006:$W$1006,0))&gt;=100000), " ",IF(INDEX($R$2:$W$1001,MATCH(ROWS($K$2:K91),$K$2:$K$1001,0),MATCH(COLUMNS($R$1006:S1006),$R$1006:$W$1006,0)), HYPERLINK("#",""), HYPERLINK(CONCATENATE("#Metadata!", ADDRESS(INDEX($M$2:$M$1001,MATCH(ROWS($K$2:K91),$K$2:$K$1001,0),0), INDEX($R$1004:$W$1004,1,MATCH(COLUMNS($R$1006:S1006),$R$1006:$W$1006,0)))),"Fix")))</f>
        <v>0</v>
      </c>
      <c r="D91" s="3">
        <f>IF(OR(INDEX($L$2:$L$1001,MATCH(ROWS($K$2:K91),$K$2:$K$1001,0),1)&gt;=100000,INDEX($R$1005:$W$1005,1,MATCH(COLUMNS($R$1006:T1006),$R$1006:$W$1006,0))&gt;=100000), " ",IF(INDEX($R$2:$W$1001,MATCH(ROWS($K$2:K91),$K$2:$K$1001,0),MATCH(COLUMNS($R$1006:T1006),$R$1006:$W$1006,0)), HYPERLINK("#",""), HYPERLINK(CONCATENATE("#Metadata!", ADDRESS(INDEX($M$2:$M$1001,MATCH(ROWS($K$2:K91),$K$2:$K$1001,0),0), INDEX($R$1004:$W$1004,1,MATCH(COLUMNS($R$1006:T1006),$R$1006:$W$1006,0)))),"Fix")))</f>
        <v>0</v>
      </c>
      <c r="E91" s="3">
        <f>IF(OR(INDEX($L$2:$L$1001,MATCH(ROWS($K$2:K91),$K$2:$K$1001,0),1)&gt;=100000,INDEX($R$1005:$W$1005,1,MATCH(COLUMNS($R$1006:U1006),$R$1006:$W$1006,0))&gt;=100000), " ",IF(INDEX($R$2:$W$1001,MATCH(ROWS($K$2:K91),$K$2:$K$1001,0),MATCH(COLUMNS($R$1006:U1006),$R$1006:$W$1006,0)), HYPERLINK("#",""), HYPERLINK(CONCATENATE("#Metadata!", ADDRESS(INDEX($M$2:$M$1001,MATCH(ROWS($K$2:K91),$K$2:$K$1001,0),0), INDEX($R$1004:$W$1004,1,MATCH(COLUMNS($R$1006:U1006),$R$1006:$W$1006,0)))),"Fix")))</f>
        <v>0</v>
      </c>
      <c r="F91" s="3">
        <f>IF(OR(INDEX($L$2:$L$1001,MATCH(ROWS($K$2:K91),$K$2:$K$1001,0),1)&gt;=100000,INDEX($R$1005:$W$1005,1,MATCH(COLUMNS($R$1006:V1006),$R$1006:$W$1006,0))&gt;=100000), " ",IF(INDEX($R$2:$W$1001,MATCH(ROWS($K$2:K91),$K$2:$K$1001,0),MATCH(COLUMNS($R$1006:V1006),$R$1006:$W$1006,0)), HYPERLINK("#",""), HYPERLINK(CONCATENATE("#Metadata!", ADDRESS(INDEX($M$2:$M$1001,MATCH(ROWS($K$2:K91),$K$2:$K$1001,0),0), INDEX($R$1004:$W$1004,1,MATCH(COLUMNS($R$1006:V1006),$R$1006:$W$1006,0)))),"Fix")))</f>
        <v>0</v>
      </c>
      <c r="G91" s="3">
        <f>IF(OR(INDEX($L$2:$L$1001,MATCH(ROWS($K$2:K91),$K$2:$K$1001,0),1)&gt;=100000,INDEX($R$1005:$W$1005,1,MATCH(COLUMNS($R$1006:W1006),$R$1006:$W$1006,0))&gt;=100000), " ",IF(INDEX($R$2:$W$1001,MATCH(ROWS($K$2:K91),$K$2:$K$1001,0),MATCH(COLUMNS($R$1006:W1006),$R$1006:$W$1006,0)), HYPERLINK("#",""), HYPERLINK(CONCATENATE("#Metadata!", ADDRESS(INDEX($M$2:$M$1001,MATCH(ROWS($K$2:K91),$K$2:$K$1001,0),0), INDEX($R$1004:$W$1004,1,MATCH(COLUMNS($R$1006:W1006),$R$1006:$W$1006,0)))),"Fix")))</f>
        <v>0</v>
      </c>
      <c r="K91">
        <v>0</v>
      </c>
      <c r="L91">
        <v>0</v>
      </c>
      <c r="M91">
        <v>0</v>
      </c>
      <c r="N91">
        <f>IF(O91,TRUE,AND(R91:W91))</f>
        <v>0</v>
      </c>
      <c r="O91">
        <f>COUNTBLANK(Metadata!B91:G91)=COLUMNS(Metadata!B91:G91)</f>
        <v>0</v>
      </c>
      <c r="P91">
        <v>0</v>
      </c>
      <c r="R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S91">
        <f>IF(Metadata!C91="",FALSE,TRUE)</f>
        <v>0</v>
      </c>
      <c r="T91">
        <f>IF(Metadata!D91="",FALSE,TRUE)</f>
        <v>0</v>
      </c>
      <c r="U91">
        <f>IF(Metadata!E91="",FALSE,TRUE)</f>
        <v>0</v>
      </c>
      <c r="V91">
        <f>AND(IF(Metadata!F91="",FALSE,TRUE),exact(Metadata!F91,"rat gut metagenome"))</f>
        <v>0</v>
      </c>
      <c r="W91">
        <f>AND(IF(Metadata!G91="",FALSE,TRUE),exact(Metadata!G91,"1436733"))</f>
        <v>0</v>
      </c>
    </row>
    <row r="92" spans="1:23">
      <c r="A92" s="4">
        <f>IF(B92=" "," ",HYPERLINK(CONCATENATE("#metadata!",ADDRESS(INDEX($M$2:$M$1001,MATCH(ROWS($K$2:K92),$K$2:$K$1001,0),0),1)),INDEX($P$2:$P$1001,MATCH(ROWS($K$2:K92),$K$2:$K$1001,0),0)))</f>
        <v>0</v>
      </c>
      <c r="B92" s="3">
        <f>IF(OR(INDEX($L$2:$L$1001,MATCH(ROWS($K$2:K92),$K$2:$K$1001,0),1)&gt;=100000,INDEX($R$1005:$W$1005,1,MATCH(COLUMNS($R$1006:R1006),$R$1006:$W$1006,0))&gt;=100000), " ",IF(INDEX($R$2:$W$1001,MATCH(ROWS($K$2:K92),$K$2:$K$1001,0),MATCH(COLUMNS($R$1006:R1006),$R$1006:$W$1006,0)), HYPERLINK("#",""), HYPERLINK(CONCATENATE("#Metadata!", ADDRESS(INDEX($M$2:$M$1001,MATCH(ROWS($K$2:K92),$K$2:$K$1001,0),0), INDEX($R$1004:$W$1004,1,MATCH(COLUMNS($R$1006:R1006),$R$1006:$W$1006,0)))),"Fix")))</f>
        <v>0</v>
      </c>
      <c r="C92" s="3">
        <f>IF(OR(INDEX($L$2:$L$1001,MATCH(ROWS($K$2:K92),$K$2:$K$1001,0),1)&gt;=100000,INDEX($R$1005:$W$1005,1,MATCH(COLUMNS($R$1006:S1006),$R$1006:$W$1006,0))&gt;=100000), " ",IF(INDEX($R$2:$W$1001,MATCH(ROWS($K$2:K92),$K$2:$K$1001,0),MATCH(COLUMNS($R$1006:S1006),$R$1006:$W$1006,0)), HYPERLINK("#",""), HYPERLINK(CONCATENATE("#Metadata!", ADDRESS(INDEX($M$2:$M$1001,MATCH(ROWS($K$2:K92),$K$2:$K$1001,0),0), INDEX($R$1004:$W$1004,1,MATCH(COLUMNS($R$1006:S1006),$R$1006:$W$1006,0)))),"Fix")))</f>
        <v>0</v>
      </c>
      <c r="D92" s="3">
        <f>IF(OR(INDEX($L$2:$L$1001,MATCH(ROWS($K$2:K92),$K$2:$K$1001,0),1)&gt;=100000,INDEX($R$1005:$W$1005,1,MATCH(COLUMNS($R$1006:T1006),$R$1006:$W$1006,0))&gt;=100000), " ",IF(INDEX($R$2:$W$1001,MATCH(ROWS($K$2:K92),$K$2:$K$1001,0),MATCH(COLUMNS($R$1006:T1006),$R$1006:$W$1006,0)), HYPERLINK("#",""), HYPERLINK(CONCATENATE("#Metadata!", ADDRESS(INDEX($M$2:$M$1001,MATCH(ROWS($K$2:K92),$K$2:$K$1001,0),0), INDEX($R$1004:$W$1004,1,MATCH(COLUMNS($R$1006:T1006),$R$1006:$W$1006,0)))),"Fix")))</f>
        <v>0</v>
      </c>
      <c r="E92" s="3">
        <f>IF(OR(INDEX($L$2:$L$1001,MATCH(ROWS($K$2:K92),$K$2:$K$1001,0),1)&gt;=100000,INDEX($R$1005:$W$1005,1,MATCH(COLUMNS($R$1006:U1006),$R$1006:$W$1006,0))&gt;=100000), " ",IF(INDEX($R$2:$W$1001,MATCH(ROWS($K$2:K92),$K$2:$K$1001,0),MATCH(COLUMNS($R$1006:U1006),$R$1006:$W$1006,0)), HYPERLINK("#",""), HYPERLINK(CONCATENATE("#Metadata!", ADDRESS(INDEX($M$2:$M$1001,MATCH(ROWS($K$2:K92),$K$2:$K$1001,0),0), INDEX($R$1004:$W$1004,1,MATCH(COLUMNS($R$1006:U1006),$R$1006:$W$1006,0)))),"Fix")))</f>
        <v>0</v>
      </c>
      <c r="F92" s="3">
        <f>IF(OR(INDEX($L$2:$L$1001,MATCH(ROWS($K$2:K92),$K$2:$K$1001,0),1)&gt;=100000,INDEX($R$1005:$W$1005,1,MATCH(COLUMNS($R$1006:V1006),$R$1006:$W$1006,0))&gt;=100000), " ",IF(INDEX($R$2:$W$1001,MATCH(ROWS($K$2:K92),$K$2:$K$1001,0),MATCH(COLUMNS($R$1006:V1006),$R$1006:$W$1006,0)), HYPERLINK("#",""), HYPERLINK(CONCATENATE("#Metadata!", ADDRESS(INDEX($M$2:$M$1001,MATCH(ROWS($K$2:K92),$K$2:$K$1001,0),0), INDEX($R$1004:$W$1004,1,MATCH(COLUMNS($R$1006:V1006),$R$1006:$W$1006,0)))),"Fix")))</f>
        <v>0</v>
      </c>
      <c r="G92" s="3">
        <f>IF(OR(INDEX($L$2:$L$1001,MATCH(ROWS($K$2:K92),$K$2:$K$1001,0),1)&gt;=100000,INDEX($R$1005:$W$1005,1,MATCH(COLUMNS($R$1006:W1006),$R$1006:$W$1006,0))&gt;=100000), " ",IF(INDEX($R$2:$W$1001,MATCH(ROWS($K$2:K92),$K$2:$K$1001,0),MATCH(COLUMNS($R$1006:W1006),$R$1006:$W$1006,0)), HYPERLINK("#",""), HYPERLINK(CONCATENATE("#Metadata!", ADDRESS(INDEX($M$2:$M$1001,MATCH(ROWS($K$2:K92),$K$2:$K$1001,0),0), INDEX($R$1004:$W$1004,1,MATCH(COLUMNS($R$1006:W1006),$R$1006:$W$1006,0)))),"Fix")))</f>
        <v>0</v>
      </c>
      <c r="K92">
        <v>0</v>
      </c>
      <c r="L92">
        <v>0</v>
      </c>
      <c r="M92">
        <v>0</v>
      </c>
      <c r="N92">
        <f>IF(O92,TRUE,AND(R92:W92))</f>
        <v>0</v>
      </c>
      <c r="O92">
        <f>COUNTBLANK(Metadata!B92:G92)=COLUMNS(Metadata!B92:G92)</f>
        <v>0</v>
      </c>
      <c r="P92">
        <v>0</v>
      </c>
      <c r="R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S92">
        <f>IF(Metadata!C92="",FALSE,TRUE)</f>
        <v>0</v>
      </c>
      <c r="T92">
        <f>IF(Metadata!D92="",FALSE,TRUE)</f>
        <v>0</v>
      </c>
      <c r="U92">
        <f>IF(Metadata!E92="",FALSE,TRUE)</f>
        <v>0</v>
      </c>
      <c r="V92">
        <f>AND(IF(Metadata!F92="",FALSE,TRUE),exact(Metadata!F92,"rat gut metagenome"))</f>
        <v>0</v>
      </c>
      <c r="W92">
        <f>AND(IF(Metadata!G92="",FALSE,TRUE),exact(Metadata!G92,"1436733"))</f>
        <v>0</v>
      </c>
    </row>
    <row r="93" spans="1:23">
      <c r="A93" s="4">
        <f>IF(B93=" "," ",HYPERLINK(CONCATENATE("#metadata!",ADDRESS(INDEX($M$2:$M$1001,MATCH(ROWS($K$2:K93),$K$2:$K$1001,0),0),1)),INDEX($P$2:$P$1001,MATCH(ROWS($K$2:K93),$K$2:$K$1001,0),0)))</f>
        <v>0</v>
      </c>
      <c r="B93" s="3">
        <f>IF(OR(INDEX($L$2:$L$1001,MATCH(ROWS($K$2:K93),$K$2:$K$1001,0),1)&gt;=100000,INDEX($R$1005:$W$1005,1,MATCH(COLUMNS($R$1006:R1006),$R$1006:$W$1006,0))&gt;=100000), " ",IF(INDEX($R$2:$W$1001,MATCH(ROWS($K$2:K93),$K$2:$K$1001,0),MATCH(COLUMNS($R$1006:R1006),$R$1006:$W$1006,0)), HYPERLINK("#",""), HYPERLINK(CONCATENATE("#Metadata!", ADDRESS(INDEX($M$2:$M$1001,MATCH(ROWS($K$2:K93),$K$2:$K$1001,0),0), INDEX($R$1004:$W$1004,1,MATCH(COLUMNS($R$1006:R1006),$R$1006:$W$1006,0)))),"Fix")))</f>
        <v>0</v>
      </c>
      <c r="C93" s="3">
        <f>IF(OR(INDEX($L$2:$L$1001,MATCH(ROWS($K$2:K93),$K$2:$K$1001,0),1)&gt;=100000,INDEX($R$1005:$W$1005,1,MATCH(COLUMNS($R$1006:S1006),$R$1006:$W$1006,0))&gt;=100000), " ",IF(INDEX($R$2:$W$1001,MATCH(ROWS($K$2:K93),$K$2:$K$1001,0),MATCH(COLUMNS($R$1006:S1006),$R$1006:$W$1006,0)), HYPERLINK("#",""), HYPERLINK(CONCATENATE("#Metadata!", ADDRESS(INDEX($M$2:$M$1001,MATCH(ROWS($K$2:K93),$K$2:$K$1001,0),0), INDEX($R$1004:$W$1004,1,MATCH(COLUMNS($R$1006:S1006),$R$1006:$W$1006,0)))),"Fix")))</f>
        <v>0</v>
      </c>
      <c r="D93" s="3">
        <f>IF(OR(INDEX($L$2:$L$1001,MATCH(ROWS($K$2:K93),$K$2:$K$1001,0),1)&gt;=100000,INDEX($R$1005:$W$1005,1,MATCH(COLUMNS($R$1006:T1006),$R$1006:$W$1006,0))&gt;=100000), " ",IF(INDEX($R$2:$W$1001,MATCH(ROWS($K$2:K93),$K$2:$K$1001,0),MATCH(COLUMNS($R$1006:T1006),$R$1006:$W$1006,0)), HYPERLINK("#",""), HYPERLINK(CONCATENATE("#Metadata!", ADDRESS(INDEX($M$2:$M$1001,MATCH(ROWS($K$2:K93),$K$2:$K$1001,0),0), INDEX($R$1004:$W$1004,1,MATCH(COLUMNS($R$1006:T1006),$R$1006:$W$1006,0)))),"Fix")))</f>
        <v>0</v>
      </c>
      <c r="E93" s="3">
        <f>IF(OR(INDEX($L$2:$L$1001,MATCH(ROWS($K$2:K93),$K$2:$K$1001,0),1)&gt;=100000,INDEX($R$1005:$W$1005,1,MATCH(COLUMNS($R$1006:U1006),$R$1006:$W$1006,0))&gt;=100000), " ",IF(INDEX($R$2:$W$1001,MATCH(ROWS($K$2:K93),$K$2:$K$1001,0),MATCH(COLUMNS($R$1006:U1006),$R$1006:$W$1006,0)), HYPERLINK("#",""), HYPERLINK(CONCATENATE("#Metadata!", ADDRESS(INDEX($M$2:$M$1001,MATCH(ROWS($K$2:K93),$K$2:$K$1001,0),0), INDEX($R$1004:$W$1004,1,MATCH(COLUMNS($R$1006:U1006),$R$1006:$W$1006,0)))),"Fix")))</f>
        <v>0</v>
      </c>
      <c r="F93" s="3">
        <f>IF(OR(INDEX($L$2:$L$1001,MATCH(ROWS($K$2:K93),$K$2:$K$1001,0),1)&gt;=100000,INDEX($R$1005:$W$1005,1,MATCH(COLUMNS($R$1006:V1006),$R$1006:$W$1006,0))&gt;=100000), " ",IF(INDEX($R$2:$W$1001,MATCH(ROWS($K$2:K93),$K$2:$K$1001,0),MATCH(COLUMNS($R$1006:V1006),$R$1006:$W$1006,0)), HYPERLINK("#",""), HYPERLINK(CONCATENATE("#Metadata!", ADDRESS(INDEX($M$2:$M$1001,MATCH(ROWS($K$2:K93),$K$2:$K$1001,0),0), INDEX($R$1004:$W$1004,1,MATCH(COLUMNS($R$1006:V1006),$R$1006:$W$1006,0)))),"Fix")))</f>
        <v>0</v>
      </c>
      <c r="G93" s="3">
        <f>IF(OR(INDEX($L$2:$L$1001,MATCH(ROWS($K$2:K93),$K$2:$K$1001,0),1)&gt;=100000,INDEX($R$1005:$W$1005,1,MATCH(COLUMNS($R$1006:W1006),$R$1006:$W$1006,0))&gt;=100000), " ",IF(INDEX($R$2:$W$1001,MATCH(ROWS($K$2:K93),$K$2:$K$1001,0),MATCH(COLUMNS($R$1006:W1006),$R$1006:$W$1006,0)), HYPERLINK("#",""), HYPERLINK(CONCATENATE("#Metadata!", ADDRESS(INDEX($M$2:$M$1001,MATCH(ROWS($K$2:K93),$K$2:$K$1001,0),0), INDEX($R$1004:$W$1004,1,MATCH(COLUMNS($R$1006:W1006),$R$1006:$W$1006,0)))),"Fix")))</f>
        <v>0</v>
      </c>
      <c r="K93">
        <v>0</v>
      </c>
      <c r="L93">
        <v>0</v>
      </c>
      <c r="M93">
        <v>0</v>
      </c>
      <c r="N93">
        <f>IF(O93,TRUE,AND(R93:W93))</f>
        <v>0</v>
      </c>
      <c r="O93">
        <f>COUNTBLANK(Metadata!B93:G93)=COLUMNS(Metadata!B93:G93)</f>
        <v>0</v>
      </c>
      <c r="P93">
        <v>0</v>
      </c>
      <c r="R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S93">
        <f>IF(Metadata!C93="",FALSE,TRUE)</f>
        <v>0</v>
      </c>
      <c r="T93">
        <f>IF(Metadata!D93="",FALSE,TRUE)</f>
        <v>0</v>
      </c>
      <c r="U93">
        <f>IF(Metadata!E93="",FALSE,TRUE)</f>
        <v>0</v>
      </c>
      <c r="V93">
        <f>AND(IF(Metadata!F93="",FALSE,TRUE),exact(Metadata!F93,"rat gut metagenome"))</f>
        <v>0</v>
      </c>
      <c r="W93">
        <f>AND(IF(Metadata!G93="",FALSE,TRUE),exact(Metadata!G93,"1436733"))</f>
        <v>0</v>
      </c>
    </row>
    <row r="94" spans="1:23">
      <c r="A94" s="4">
        <f>IF(B94=" "," ",HYPERLINK(CONCATENATE("#metadata!",ADDRESS(INDEX($M$2:$M$1001,MATCH(ROWS($K$2:K94),$K$2:$K$1001,0),0),1)),INDEX($P$2:$P$1001,MATCH(ROWS($K$2:K94),$K$2:$K$1001,0),0)))</f>
        <v>0</v>
      </c>
      <c r="B94" s="3">
        <f>IF(OR(INDEX($L$2:$L$1001,MATCH(ROWS($K$2:K94),$K$2:$K$1001,0),1)&gt;=100000,INDEX($R$1005:$W$1005,1,MATCH(COLUMNS($R$1006:R1006),$R$1006:$W$1006,0))&gt;=100000), " ",IF(INDEX($R$2:$W$1001,MATCH(ROWS($K$2:K94),$K$2:$K$1001,0),MATCH(COLUMNS($R$1006:R1006),$R$1006:$W$1006,0)), HYPERLINK("#",""), HYPERLINK(CONCATENATE("#Metadata!", ADDRESS(INDEX($M$2:$M$1001,MATCH(ROWS($K$2:K94),$K$2:$K$1001,0),0), INDEX($R$1004:$W$1004,1,MATCH(COLUMNS($R$1006:R1006),$R$1006:$W$1006,0)))),"Fix")))</f>
        <v>0</v>
      </c>
      <c r="C94" s="3">
        <f>IF(OR(INDEX($L$2:$L$1001,MATCH(ROWS($K$2:K94),$K$2:$K$1001,0),1)&gt;=100000,INDEX($R$1005:$W$1005,1,MATCH(COLUMNS($R$1006:S1006),$R$1006:$W$1006,0))&gt;=100000), " ",IF(INDEX($R$2:$W$1001,MATCH(ROWS($K$2:K94),$K$2:$K$1001,0),MATCH(COLUMNS($R$1006:S1006),$R$1006:$W$1006,0)), HYPERLINK("#",""), HYPERLINK(CONCATENATE("#Metadata!", ADDRESS(INDEX($M$2:$M$1001,MATCH(ROWS($K$2:K94),$K$2:$K$1001,0),0), INDEX($R$1004:$W$1004,1,MATCH(COLUMNS($R$1006:S1006),$R$1006:$W$1006,0)))),"Fix")))</f>
        <v>0</v>
      </c>
      <c r="D94" s="3">
        <f>IF(OR(INDEX($L$2:$L$1001,MATCH(ROWS($K$2:K94),$K$2:$K$1001,0),1)&gt;=100000,INDEX($R$1005:$W$1005,1,MATCH(COLUMNS($R$1006:T1006),$R$1006:$W$1006,0))&gt;=100000), " ",IF(INDEX($R$2:$W$1001,MATCH(ROWS($K$2:K94),$K$2:$K$1001,0),MATCH(COLUMNS($R$1006:T1006),$R$1006:$W$1006,0)), HYPERLINK("#",""), HYPERLINK(CONCATENATE("#Metadata!", ADDRESS(INDEX($M$2:$M$1001,MATCH(ROWS($K$2:K94),$K$2:$K$1001,0),0), INDEX($R$1004:$W$1004,1,MATCH(COLUMNS($R$1006:T1006),$R$1006:$W$1006,0)))),"Fix")))</f>
        <v>0</v>
      </c>
      <c r="E94" s="3">
        <f>IF(OR(INDEX($L$2:$L$1001,MATCH(ROWS($K$2:K94),$K$2:$K$1001,0),1)&gt;=100000,INDEX($R$1005:$W$1005,1,MATCH(COLUMNS($R$1006:U1006),$R$1006:$W$1006,0))&gt;=100000), " ",IF(INDEX($R$2:$W$1001,MATCH(ROWS($K$2:K94),$K$2:$K$1001,0),MATCH(COLUMNS($R$1006:U1006),$R$1006:$W$1006,0)), HYPERLINK("#",""), HYPERLINK(CONCATENATE("#Metadata!", ADDRESS(INDEX($M$2:$M$1001,MATCH(ROWS($K$2:K94),$K$2:$K$1001,0),0), INDEX($R$1004:$W$1004,1,MATCH(COLUMNS($R$1006:U1006),$R$1006:$W$1006,0)))),"Fix")))</f>
        <v>0</v>
      </c>
      <c r="F94" s="3">
        <f>IF(OR(INDEX($L$2:$L$1001,MATCH(ROWS($K$2:K94),$K$2:$K$1001,0),1)&gt;=100000,INDEX($R$1005:$W$1005,1,MATCH(COLUMNS($R$1006:V1006),$R$1006:$W$1006,0))&gt;=100000), " ",IF(INDEX($R$2:$W$1001,MATCH(ROWS($K$2:K94),$K$2:$K$1001,0),MATCH(COLUMNS($R$1006:V1006),$R$1006:$W$1006,0)), HYPERLINK("#",""), HYPERLINK(CONCATENATE("#Metadata!", ADDRESS(INDEX($M$2:$M$1001,MATCH(ROWS($K$2:K94),$K$2:$K$1001,0),0), INDEX($R$1004:$W$1004,1,MATCH(COLUMNS($R$1006:V1006),$R$1006:$W$1006,0)))),"Fix")))</f>
        <v>0</v>
      </c>
      <c r="G94" s="3">
        <f>IF(OR(INDEX($L$2:$L$1001,MATCH(ROWS($K$2:K94),$K$2:$K$1001,0),1)&gt;=100000,INDEX($R$1005:$W$1005,1,MATCH(COLUMNS($R$1006:W1006),$R$1006:$W$1006,0))&gt;=100000), " ",IF(INDEX($R$2:$W$1001,MATCH(ROWS($K$2:K94),$K$2:$K$1001,0),MATCH(COLUMNS($R$1006:W1006),$R$1006:$W$1006,0)), HYPERLINK("#",""), HYPERLINK(CONCATENATE("#Metadata!", ADDRESS(INDEX($M$2:$M$1001,MATCH(ROWS($K$2:K94),$K$2:$K$1001,0),0), INDEX($R$1004:$W$1004,1,MATCH(COLUMNS($R$1006:W1006),$R$1006:$W$1006,0)))),"Fix")))</f>
        <v>0</v>
      </c>
      <c r="K94">
        <v>0</v>
      </c>
      <c r="L94">
        <v>0</v>
      </c>
      <c r="M94">
        <v>0</v>
      </c>
      <c r="N94">
        <f>IF(O94,TRUE,AND(R94:W94))</f>
        <v>0</v>
      </c>
      <c r="O94">
        <f>COUNTBLANK(Metadata!B94:G94)=COLUMNS(Metadata!B94:G94)</f>
        <v>0</v>
      </c>
      <c r="P94">
        <v>0</v>
      </c>
      <c r="R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S94">
        <f>IF(Metadata!C94="",FALSE,TRUE)</f>
        <v>0</v>
      </c>
      <c r="T94">
        <f>IF(Metadata!D94="",FALSE,TRUE)</f>
        <v>0</v>
      </c>
      <c r="U94">
        <f>IF(Metadata!E94="",FALSE,TRUE)</f>
        <v>0</v>
      </c>
      <c r="V94">
        <f>AND(IF(Metadata!F94="",FALSE,TRUE),exact(Metadata!F94,"rat gut metagenome"))</f>
        <v>0</v>
      </c>
      <c r="W94">
        <f>AND(IF(Metadata!G94="",FALSE,TRUE),exact(Metadata!G94,"1436733"))</f>
        <v>0</v>
      </c>
    </row>
    <row r="95" spans="1:23">
      <c r="A95" s="4">
        <f>IF(B95=" "," ",HYPERLINK(CONCATENATE("#metadata!",ADDRESS(INDEX($M$2:$M$1001,MATCH(ROWS($K$2:K95),$K$2:$K$1001,0),0),1)),INDEX($P$2:$P$1001,MATCH(ROWS($K$2:K95),$K$2:$K$1001,0),0)))</f>
        <v>0</v>
      </c>
      <c r="B95" s="3">
        <f>IF(OR(INDEX($L$2:$L$1001,MATCH(ROWS($K$2:K95),$K$2:$K$1001,0),1)&gt;=100000,INDEX($R$1005:$W$1005,1,MATCH(COLUMNS($R$1006:R1006),$R$1006:$W$1006,0))&gt;=100000), " ",IF(INDEX($R$2:$W$1001,MATCH(ROWS($K$2:K95),$K$2:$K$1001,0),MATCH(COLUMNS($R$1006:R1006),$R$1006:$W$1006,0)), HYPERLINK("#",""), HYPERLINK(CONCATENATE("#Metadata!", ADDRESS(INDEX($M$2:$M$1001,MATCH(ROWS($K$2:K95),$K$2:$K$1001,0),0), INDEX($R$1004:$W$1004,1,MATCH(COLUMNS($R$1006:R1006),$R$1006:$W$1006,0)))),"Fix")))</f>
        <v>0</v>
      </c>
      <c r="C95" s="3">
        <f>IF(OR(INDEX($L$2:$L$1001,MATCH(ROWS($K$2:K95),$K$2:$K$1001,0),1)&gt;=100000,INDEX($R$1005:$W$1005,1,MATCH(COLUMNS($R$1006:S1006),$R$1006:$W$1006,0))&gt;=100000), " ",IF(INDEX($R$2:$W$1001,MATCH(ROWS($K$2:K95),$K$2:$K$1001,0),MATCH(COLUMNS($R$1006:S1006),$R$1006:$W$1006,0)), HYPERLINK("#",""), HYPERLINK(CONCATENATE("#Metadata!", ADDRESS(INDEX($M$2:$M$1001,MATCH(ROWS($K$2:K95),$K$2:$K$1001,0),0), INDEX($R$1004:$W$1004,1,MATCH(COLUMNS($R$1006:S1006),$R$1006:$W$1006,0)))),"Fix")))</f>
        <v>0</v>
      </c>
      <c r="D95" s="3">
        <f>IF(OR(INDEX($L$2:$L$1001,MATCH(ROWS($K$2:K95),$K$2:$K$1001,0),1)&gt;=100000,INDEX($R$1005:$W$1005,1,MATCH(COLUMNS($R$1006:T1006),$R$1006:$W$1006,0))&gt;=100000), " ",IF(INDEX($R$2:$W$1001,MATCH(ROWS($K$2:K95),$K$2:$K$1001,0),MATCH(COLUMNS($R$1006:T1006),$R$1006:$W$1006,0)), HYPERLINK("#",""), HYPERLINK(CONCATENATE("#Metadata!", ADDRESS(INDEX($M$2:$M$1001,MATCH(ROWS($K$2:K95),$K$2:$K$1001,0),0), INDEX($R$1004:$W$1004,1,MATCH(COLUMNS($R$1006:T1006),$R$1006:$W$1006,0)))),"Fix")))</f>
        <v>0</v>
      </c>
      <c r="E95" s="3">
        <f>IF(OR(INDEX($L$2:$L$1001,MATCH(ROWS($K$2:K95),$K$2:$K$1001,0),1)&gt;=100000,INDEX($R$1005:$W$1005,1,MATCH(COLUMNS($R$1006:U1006),$R$1006:$W$1006,0))&gt;=100000), " ",IF(INDEX($R$2:$W$1001,MATCH(ROWS($K$2:K95),$K$2:$K$1001,0),MATCH(COLUMNS($R$1006:U1006),$R$1006:$W$1006,0)), HYPERLINK("#",""), HYPERLINK(CONCATENATE("#Metadata!", ADDRESS(INDEX($M$2:$M$1001,MATCH(ROWS($K$2:K95),$K$2:$K$1001,0),0), INDEX($R$1004:$W$1004,1,MATCH(COLUMNS($R$1006:U1006),$R$1006:$W$1006,0)))),"Fix")))</f>
        <v>0</v>
      </c>
      <c r="F95" s="3">
        <f>IF(OR(INDEX($L$2:$L$1001,MATCH(ROWS($K$2:K95),$K$2:$K$1001,0),1)&gt;=100000,INDEX($R$1005:$W$1005,1,MATCH(COLUMNS($R$1006:V1006),$R$1006:$W$1006,0))&gt;=100000), " ",IF(INDEX($R$2:$W$1001,MATCH(ROWS($K$2:K95),$K$2:$K$1001,0),MATCH(COLUMNS($R$1006:V1006),$R$1006:$W$1006,0)), HYPERLINK("#",""), HYPERLINK(CONCATENATE("#Metadata!", ADDRESS(INDEX($M$2:$M$1001,MATCH(ROWS($K$2:K95),$K$2:$K$1001,0),0), INDEX($R$1004:$W$1004,1,MATCH(COLUMNS($R$1006:V1006),$R$1006:$W$1006,0)))),"Fix")))</f>
        <v>0</v>
      </c>
      <c r="G95" s="3">
        <f>IF(OR(INDEX($L$2:$L$1001,MATCH(ROWS($K$2:K95),$K$2:$K$1001,0),1)&gt;=100000,INDEX($R$1005:$W$1005,1,MATCH(COLUMNS($R$1006:W1006),$R$1006:$W$1006,0))&gt;=100000), " ",IF(INDEX($R$2:$W$1001,MATCH(ROWS($K$2:K95),$K$2:$K$1001,0),MATCH(COLUMNS($R$1006:W1006),$R$1006:$W$1006,0)), HYPERLINK("#",""), HYPERLINK(CONCATENATE("#Metadata!", ADDRESS(INDEX($M$2:$M$1001,MATCH(ROWS($K$2:K95),$K$2:$K$1001,0),0), INDEX($R$1004:$W$1004,1,MATCH(COLUMNS($R$1006:W1006),$R$1006:$W$1006,0)))),"Fix")))</f>
        <v>0</v>
      </c>
      <c r="K95">
        <v>0</v>
      </c>
      <c r="L95">
        <v>0</v>
      </c>
      <c r="M95">
        <v>0</v>
      </c>
      <c r="N95">
        <f>IF(O95,TRUE,AND(R95:W95))</f>
        <v>0</v>
      </c>
      <c r="O95">
        <f>COUNTBLANK(Metadata!B95:G95)=COLUMNS(Metadata!B95:G95)</f>
        <v>0</v>
      </c>
      <c r="P95">
        <v>0</v>
      </c>
      <c r="R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S95">
        <f>IF(Metadata!C95="",FALSE,TRUE)</f>
        <v>0</v>
      </c>
      <c r="T95">
        <f>IF(Metadata!D95="",FALSE,TRUE)</f>
        <v>0</v>
      </c>
      <c r="U95">
        <f>IF(Metadata!E95="",FALSE,TRUE)</f>
        <v>0</v>
      </c>
      <c r="V95">
        <f>AND(IF(Metadata!F95="",FALSE,TRUE),exact(Metadata!F95,"rat gut metagenome"))</f>
        <v>0</v>
      </c>
      <c r="W95">
        <f>AND(IF(Metadata!G95="",FALSE,TRUE),exact(Metadata!G95,"1436733"))</f>
        <v>0</v>
      </c>
    </row>
    <row r="96" spans="1:23">
      <c r="A96" s="4">
        <f>IF(B96=" "," ",HYPERLINK(CONCATENATE("#metadata!",ADDRESS(INDEX($M$2:$M$1001,MATCH(ROWS($K$2:K96),$K$2:$K$1001,0),0),1)),INDEX($P$2:$P$1001,MATCH(ROWS($K$2:K96),$K$2:$K$1001,0),0)))</f>
        <v>0</v>
      </c>
      <c r="B96" s="3">
        <f>IF(OR(INDEX($L$2:$L$1001,MATCH(ROWS($K$2:K96),$K$2:$K$1001,0),1)&gt;=100000,INDEX($R$1005:$W$1005,1,MATCH(COLUMNS($R$1006:R1006),$R$1006:$W$1006,0))&gt;=100000), " ",IF(INDEX($R$2:$W$1001,MATCH(ROWS($K$2:K96),$K$2:$K$1001,0),MATCH(COLUMNS($R$1006:R1006),$R$1006:$W$1006,0)), HYPERLINK("#",""), HYPERLINK(CONCATENATE("#Metadata!", ADDRESS(INDEX($M$2:$M$1001,MATCH(ROWS($K$2:K96),$K$2:$K$1001,0),0), INDEX($R$1004:$W$1004,1,MATCH(COLUMNS($R$1006:R1006),$R$1006:$W$1006,0)))),"Fix")))</f>
        <v>0</v>
      </c>
      <c r="C96" s="3">
        <f>IF(OR(INDEX($L$2:$L$1001,MATCH(ROWS($K$2:K96),$K$2:$K$1001,0),1)&gt;=100000,INDEX($R$1005:$W$1005,1,MATCH(COLUMNS($R$1006:S1006),$R$1006:$W$1006,0))&gt;=100000), " ",IF(INDEX($R$2:$W$1001,MATCH(ROWS($K$2:K96),$K$2:$K$1001,0),MATCH(COLUMNS($R$1006:S1006),$R$1006:$W$1006,0)), HYPERLINK("#",""), HYPERLINK(CONCATENATE("#Metadata!", ADDRESS(INDEX($M$2:$M$1001,MATCH(ROWS($K$2:K96),$K$2:$K$1001,0),0), INDEX($R$1004:$W$1004,1,MATCH(COLUMNS($R$1006:S1006),$R$1006:$W$1006,0)))),"Fix")))</f>
        <v>0</v>
      </c>
      <c r="D96" s="3">
        <f>IF(OR(INDEX($L$2:$L$1001,MATCH(ROWS($K$2:K96),$K$2:$K$1001,0),1)&gt;=100000,INDEX($R$1005:$W$1005,1,MATCH(COLUMNS($R$1006:T1006),$R$1006:$W$1006,0))&gt;=100000), " ",IF(INDEX($R$2:$W$1001,MATCH(ROWS($K$2:K96),$K$2:$K$1001,0),MATCH(COLUMNS($R$1006:T1006),$R$1006:$W$1006,0)), HYPERLINK("#",""), HYPERLINK(CONCATENATE("#Metadata!", ADDRESS(INDEX($M$2:$M$1001,MATCH(ROWS($K$2:K96),$K$2:$K$1001,0),0), INDEX($R$1004:$W$1004,1,MATCH(COLUMNS($R$1006:T1006),$R$1006:$W$1006,0)))),"Fix")))</f>
        <v>0</v>
      </c>
      <c r="E96" s="3">
        <f>IF(OR(INDEX($L$2:$L$1001,MATCH(ROWS($K$2:K96),$K$2:$K$1001,0),1)&gt;=100000,INDEX($R$1005:$W$1005,1,MATCH(COLUMNS($R$1006:U1006),$R$1006:$W$1006,0))&gt;=100000), " ",IF(INDEX($R$2:$W$1001,MATCH(ROWS($K$2:K96),$K$2:$K$1001,0),MATCH(COLUMNS($R$1006:U1006),$R$1006:$W$1006,0)), HYPERLINK("#",""), HYPERLINK(CONCATENATE("#Metadata!", ADDRESS(INDEX($M$2:$M$1001,MATCH(ROWS($K$2:K96),$K$2:$K$1001,0),0), INDEX($R$1004:$W$1004,1,MATCH(COLUMNS($R$1006:U1006),$R$1006:$W$1006,0)))),"Fix")))</f>
        <v>0</v>
      </c>
      <c r="F96" s="3">
        <f>IF(OR(INDEX($L$2:$L$1001,MATCH(ROWS($K$2:K96),$K$2:$K$1001,0),1)&gt;=100000,INDEX($R$1005:$W$1005,1,MATCH(COLUMNS($R$1006:V1006),$R$1006:$W$1006,0))&gt;=100000), " ",IF(INDEX($R$2:$W$1001,MATCH(ROWS($K$2:K96),$K$2:$K$1001,0),MATCH(COLUMNS($R$1006:V1006),$R$1006:$W$1006,0)), HYPERLINK("#",""), HYPERLINK(CONCATENATE("#Metadata!", ADDRESS(INDEX($M$2:$M$1001,MATCH(ROWS($K$2:K96),$K$2:$K$1001,0),0), INDEX($R$1004:$W$1004,1,MATCH(COLUMNS($R$1006:V1006),$R$1006:$W$1006,0)))),"Fix")))</f>
        <v>0</v>
      </c>
      <c r="G96" s="3">
        <f>IF(OR(INDEX($L$2:$L$1001,MATCH(ROWS($K$2:K96),$K$2:$K$1001,0),1)&gt;=100000,INDEX($R$1005:$W$1005,1,MATCH(COLUMNS($R$1006:W1006),$R$1006:$W$1006,0))&gt;=100000), " ",IF(INDEX($R$2:$W$1001,MATCH(ROWS($K$2:K96),$K$2:$K$1001,0),MATCH(COLUMNS($R$1006:W1006),$R$1006:$W$1006,0)), HYPERLINK("#",""), HYPERLINK(CONCATENATE("#Metadata!", ADDRESS(INDEX($M$2:$M$1001,MATCH(ROWS($K$2:K96),$K$2:$K$1001,0),0), INDEX($R$1004:$W$1004,1,MATCH(COLUMNS($R$1006:W1006),$R$1006:$W$1006,0)))),"Fix")))</f>
        <v>0</v>
      </c>
      <c r="K96">
        <v>0</v>
      </c>
      <c r="L96">
        <v>0</v>
      </c>
      <c r="M96">
        <v>0</v>
      </c>
      <c r="N96">
        <f>IF(O96,TRUE,AND(R96:W96))</f>
        <v>0</v>
      </c>
      <c r="O96">
        <f>COUNTBLANK(Metadata!B96:G96)=COLUMNS(Metadata!B96:G96)</f>
        <v>0</v>
      </c>
      <c r="P96">
        <v>0</v>
      </c>
      <c r="R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S96">
        <f>IF(Metadata!C96="",FALSE,TRUE)</f>
        <v>0</v>
      </c>
      <c r="T96">
        <f>IF(Metadata!D96="",FALSE,TRUE)</f>
        <v>0</v>
      </c>
      <c r="U96">
        <f>IF(Metadata!E96="",FALSE,TRUE)</f>
        <v>0</v>
      </c>
      <c r="V96">
        <f>AND(IF(Metadata!F96="",FALSE,TRUE),exact(Metadata!F96,"rat gut metagenome"))</f>
        <v>0</v>
      </c>
      <c r="W96">
        <f>AND(IF(Metadata!G96="",FALSE,TRUE),exact(Metadata!G96,"1436733"))</f>
        <v>0</v>
      </c>
    </row>
    <row r="97" spans="1:23">
      <c r="A97" s="4">
        <f>IF(B97=" "," ",HYPERLINK(CONCATENATE("#metadata!",ADDRESS(INDEX($M$2:$M$1001,MATCH(ROWS($K$2:K97),$K$2:$K$1001,0),0),1)),INDEX($P$2:$P$1001,MATCH(ROWS($K$2:K97),$K$2:$K$1001,0),0)))</f>
        <v>0</v>
      </c>
      <c r="B97" s="3">
        <f>IF(OR(INDEX($L$2:$L$1001,MATCH(ROWS($K$2:K97),$K$2:$K$1001,0),1)&gt;=100000,INDEX($R$1005:$W$1005,1,MATCH(COLUMNS($R$1006:R1006),$R$1006:$W$1006,0))&gt;=100000), " ",IF(INDEX($R$2:$W$1001,MATCH(ROWS($K$2:K97),$K$2:$K$1001,0),MATCH(COLUMNS($R$1006:R1006),$R$1006:$W$1006,0)), HYPERLINK("#",""), HYPERLINK(CONCATENATE("#Metadata!", ADDRESS(INDEX($M$2:$M$1001,MATCH(ROWS($K$2:K97),$K$2:$K$1001,0),0), INDEX($R$1004:$W$1004,1,MATCH(COLUMNS($R$1006:R1006),$R$1006:$W$1006,0)))),"Fix")))</f>
        <v>0</v>
      </c>
      <c r="C97" s="3">
        <f>IF(OR(INDEX($L$2:$L$1001,MATCH(ROWS($K$2:K97),$K$2:$K$1001,0),1)&gt;=100000,INDEX($R$1005:$W$1005,1,MATCH(COLUMNS($R$1006:S1006),$R$1006:$W$1006,0))&gt;=100000), " ",IF(INDEX($R$2:$W$1001,MATCH(ROWS($K$2:K97),$K$2:$K$1001,0),MATCH(COLUMNS($R$1006:S1006),$R$1006:$W$1006,0)), HYPERLINK("#",""), HYPERLINK(CONCATENATE("#Metadata!", ADDRESS(INDEX($M$2:$M$1001,MATCH(ROWS($K$2:K97),$K$2:$K$1001,0),0), INDEX($R$1004:$W$1004,1,MATCH(COLUMNS($R$1006:S1006),$R$1006:$W$1006,0)))),"Fix")))</f>
        <v>0</v>
      </c>
      <c r="D97" s="3">
        <f>IF(OR(INDEX($L$2:$L$1001,MATCH(ROWS($K$2:K97),$K$2:$K$1001,0),1)&gt;=100000,INDEX($R$1005:$W$1005,1,MATCH(COLUMNS($R$1006:T1006),$R$1006:$W$1006,0))&gt;=100000), " ",IF(INDEX($R$2:$W$1001,MATCH(ROWS($K$2:K97),$K$2:$K$1001,0),MATCH(COLUMNS($R$1006:T1006),$R$1006:$W$1006,0)), HYPERLINK("#",""), HYPERLINK(CONCATENATE("#Metadata!", ADDRESS(INDEX($M$2:$M$1001,MATCH(ROWS($K$2:K97),$K$2:$K$1001,0),0), INDEX($R$1004:$W$1004,1,MATCH(COLUMNS($R$1006:T1006),$R$1006:$W$1006,0)))),"Fix")))</f>
        <v>0</v>
      </c>
      <c r="E97" s="3">
        <f>IF(OR(INDEX($L$2:$L$1001,MATCH(ROWS($K$2:K97),$K$2:$K$1001,0),1)&gt;=100000,INDEX($R$1005:$W$1005,1,MATCH(COLUMNS($R$1006:U1006),$R$1006:$W$1006,0))&gt;=100000), " ",IF(INDEX($R$2:$W$1001,MATCH(ROWS($K$2:K97),$K$2:$K$1001,0),MATCH(COLUMNS($R$1006:U1006),$R$1006:$W$1006,0)), HYPERLINK("#",""), HYPERLINK(CONCATENATE("#Metadata!", ADDRESS(INDEX($M$2:$M$1001,MATCH(ROWS($K$2:K97),$K$2:$K$1001,0),0), INDEX($R$1004:$W$1004,1,MATCH(COLUMNS($R$1006:U1006),$R$1006:$W$1006,0)))),"Fix")))</f>
        <v>0</v>
      </c>
      <c r="F97" s="3">
        <f>IF(OR(INDEX($L$2:$L$1001,MATCH(ROWS($K$2:K97),$K$2:$K$1001,0),1)&gt;=100000,INDEX($R$1005:$W$1005,1,MATCH(COLUMNS($R$1006:V1006),$R$1006:$W$1006,0))&gt;=100000), " ",IF(INDEX($R$2:$W$1001,MATCH(ROWS($K$2:K97),$K$2:$K$1001,0),MATCH(COLUMNS($R$1006:V1006),$R$1006:$W$1006,0)), HYPERLINK("#",""), HYPERLINK(CONCATENATE("#Metadata!", ADDRESS(INDEX($M$2:$M$1001,MATCH(ROWS($K$2:K97),$K$2:$K$1001,0),0), INDEX($R$1004:$W$1004,1,MATCH(COLUMNS($R$1006:V1006),$R$1006:$W$1006,0)))),"Fix")))</f>
        <v>0</v>
      </c>
      <c r="G97" s="3">
        <f>IF(OR(INDEX($L$2:$L$1001,MATCH(ROWS($K$2:K97),$K$2:$K$1001,0),1)&gt;=100000,INDEX($R$1005:$W$1005,1,MATCH(COLUMNS($R$1006:W1006),$R$1006:$W$1006,0))&gt;=100000), " ",IF(INDEX($R$2:$W$1001,MATCH(ROWS($K$2:K97),$K$2:$K$1001,0),MATCH(COLUMNS($R$1006:W1006),$R$1006:$W$1006,0)), HYPERLINK("#",""), HYPERLINK(CONCATENATE("#Metadata!", ADDRESS(INDEX($M$2:$M$1001,MATCH(ROWS($K$2:K97),$K$2:$K$1001,0),0), INDEX($R$1004:$W$1004,1,MATCH(COLUMNS($R$1006:W1006),$R$1006:$W$1006,0)))),"Fix")))</f>
        <v>0</v>
      </c>
      <c r="K97">
        <v>0</v>
      </c>
      <c r="L97">
        <v>0</v>
      </c>
      <c r="M97">
        <v>0</v>
      </c>
      <c r="N97">
        <f>IF(O97,TRUE,AND(R97:W97))</f>
        <v>0</v>
      </c>
      <c r="O97">
        <f>COUNTBLANK(Metadata!B97:G97)=COLUMNS(Metadata!B97:G97)</f>
        <v>0</v>
      </c>
      <c r="P97">
        <v>0</v>
      </c>
      <c r="R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S97">
        <f>IF(Metadata!C97="",FALSE,TRUE)</f>
        <v>0</v>
      </c>
      <c r="T97">
        <f>IF(Metadata!D97="",FALSE,TRUE)</f>
        <v>0</v>
      </c>
      <c r="U97">
        <f>IF(Metadata!E97="",FALSE,TRUE)</f>
        <v>0</v>
      </c>
      <c r="V97">
        <f>AND(IF(Metadata!F97="",FALSE,TRUE),exact(Metadata!F97,"rat gut metagenome"))</f>
        <v>0</v>
      </c>
      <c r="W97">
        <f>AND(IF(Metadata!G97="",FALSE,TRUE),exact(Metadata!G97,"1436733"))</f>
        <v>0</v>
      </c>
    </row>
    <row r="98" spans="1:23">
      <c r="A98" s="4">
        <f>IF(B98=" "," ",HYPERLINK(CONCATENATE("#metadata!",ADDRESS(INDEX($M$2:$M$1001,MATCH(ROWS($K$2:K98),$K$2:$K$1001,0),0),1)),INDEX($P$2:$P$1001,MATCH(ROWS($K$2:K98),$K$2:$K$1001,0),0)))</f>
        <v>0</v>
      </c>
      <c r="B98" s="3">
        <f>IF(OR(INDEX($L$2:$L$1001,MATCH(ROWS($K$2:K98),$K$2:$K$1001,0),1)&gt;=100000,INDEX($R$1005:$W$1005,1,MATCH(COLUMNS($R$1006:R1006),$R$1006:$W$1006,0))&gt;=100000), " ",IF(INDEX($R$2:$W$1001,MATCH(ROWS($K$2:K98),$K$2:$K$1001,0),MATCH(COLUMNS($R$1006:R1006),$R$1006:$W$1006,0)), HYPERLINK("#",""), HYPERLINK(CONCATENATE("#Metadata!", ADDRESS(INDEX($M$2:$M$1001,MATCH(ROWS($K$2:K98),$K$2:$K$1001,0),0), INDEX($R$1004:$W$1004,1,MATCH(COLUMNS($R$1006:R1006),$R$1006:$W$1006,0)))),"Fix")))</f>
        <v>0</v>
      </c>
      <c r="C98" s="3">
        <f>IF(OR(INDEX($L$2:$L$1001,MATCH(ROWS($K$2:K98),$K$2:$K$1001,0),1)&gt;=100000,INDEX($R$1005:$W$1005,1,MATCH(COLUMNS($R$1006:S1006),$R$1006:$W$1006,0))&gt;=100000), " ",IF(INDEX($R$2:$W$1001,MATCH(ROWS($K$2:K98),$K$2:$K$1001,0),MATCH(COLUMNS($R$1006:S1006),$R$1006:$W$1006,0)), HYPERLINK("#",""), HYPERLINK(CONCATENATE("#Metadata!", ADDRESS(INDEX($M$2:$M$1001,MATCH(ROWS($K$2:K98),$K$2:$K$1001,0),0), INDEX($R$1004:$W$1004,1,MATCH(COLUMNS($R$1006:S1006),$R$1006:$W$1006,0)))),"Fix")))</f>
        <v>0</v>
      </c>
      <c r="D98" s="3">
        <f>IF(OR(INDEX($L$2:$L$1001,MATCH(ROWS($K$2:K98),$K$2:$K$1001,0),1)&gt;=100000,INDEX($R$1005:$W$1005,1,MATCH(COLUMNS($R$1006:T1006),$R$1006:$W$1006,0))&gt;=100000), " ",IF(INDEX($R$2:$W$1001,MATCH(ROWS($K$2:K98),$K$2:$K$1001,0),MATCH(COLUMNS($R$1006:T1006),$R$1006:$W$1006,0)), HYPERLINK("#",""), HYPERLINK(CONCATENATE("#Metadata!", ADDRESS(INDEX($M$2:$M$1001,MATCH(ROWS($K$2:K98),$K$2:$K$1001,0),0), INDEX($R$1004:$W$1004,1,MATCH(COLUMNS($R$1006:T1006),$R$1006:$W$1006,0)))),"Fix")))</f>
        <v>0</v>
      </c>
      <c r="E98" s="3">
        <f>IF(OR(INDEX($L$2:$L$1001,MATCH(ROWS($K$2:K98),$K$2:$K$1001,0),1)&gt;=100000,INDEX($R$1005:$W$1005,1,MATCH(COLUMNS($R$1006:U1006),$R$1006:$W$1006,0))&gt;=100000), " ",IF(INDEX($R$2:$W$1001,MATCH(ROWS($K$2:K98),$K$2:$K$1001,0),MATCH(COLUMNS($R$1006:U1006),$R$1006:$W$1006,0)), HYPERLINK("#",""), HYPERLINK(CONCATENATE("#Metadata!", ADDRESS(INDEX($M$2:$M$1001,MATCH(ROWS($K$2:K98),$K$2:$K$1001,0),0), INDEX($R$1004:$W$1004,1,MATCH(COLUMNS($R$1006:U1006),$R$1006:$W$1006,0)))),"Fix")))</f>
        <v>0</v>
      </c>
      <c r="F98" s="3">
        <f>IF(OR(INDEX($L$2:$L$1001,MATCH(ROWS($K$2:K98),$K$2:$K$1001,0),1)&gt;=100000,INDEX($R$1005:$W$1005,1,MATCH(COLUMNS($R$1006:V1006),$R$1006:$W$1006,0))&gt;=100000), " ",IF(INDEX($R$2:$W$1001,MATCH(ROWS($K$2:K98),$K$2:$K$1001,0),MATCH(COLUMNS($R$1006:V1006),$R$1006:$W$1006,0)), HYPERLINK("#",""), HYPERLINK(CONCATENATE("#Metadata!", ADDRESS(INDEX($M$2:$M$1001,MATCH(ROWS($K$2:K98),$K$2:$K$1001,0),0), INDEX($R$1004:$W$1004,1,MATCH(COLUMNS($R$1006:V1006),$R$1006:$W$1006,0)))),"Fix")))</f>
        <v>0</v>
      </c>
      <c r="G98" s="3">
        <f>IF(OR(INDEX($L$2:$L$1001,MATCH(ROWS($K$2:K98),$K$2:$K$1001,0),1)&gt;=100000,INDEX($R$1005:$W$1005,1,MATCH(COLUMNS($R$1006:W1006),$R$1006:$W$1006,0))&gt;=100000), " ",IF(INDEX($R$2:$W$1001,MATCH(ROWS($K$2:K98),$K$2:$K$1001,0),MATCH(COLUMNS($R$1006:W1006),$R$1006:$W$1006,0)), HYPERLINK("#",""), HYPERLINK(CONCATENATE("#Metadata!", ADDRESS(INDEX($M$2:$M$1001,MATCH(ROWS($K$2:K98),$K$2:$K$1001,0),0), INDEX($R$1004:$W$1004,1,MATCH(COLUMNS($R$1006:W1006),$R$1006:$W$1006,0)))),"Fix")))</f>
        <v>0</v>
      </c>
      <c r="K98">
        <v>0</v>
      </c>
      <c r="L98">
        <v>0</v>
      </c>
      <c r="M98">
        <v>0</v>
      </c>
      <c r="N98">
        <f>IF(O98,TRUE,AND(R98:W98))</f>
        <v>0</v>
      </c>
      <c r="O98">
        <f>COUNTBLANK(Metadata!B98:G98)=COLUMNS(Metadata!B98:G98)</f>
        <v>0</v>
      </c>
      <c r="P98">
        <v>0</v>
      </c>
      <c r="R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S98">
        <f>IF(Metadata!C98="",FALSE,TRUE)</f>
        <v>0</v>
      </c>
      <c r="T98">
        <f>IF(Metadata!D98="",FALSE,TRUE)</f>
        <v>0</v>
      </c>
      <c r="U98">
        <f>IF(Metadata!E98="",FALSE,TRUE)</f>
        <v>0</v>
      </c>
      <c r="V98">
        <f>AND(IF(Metadata!F98="",FALSE,TRUE),exact(Metadata!F98,"rat gut metagenome"))</f>
        <v>0</v>
      </c>
      <c r="W98">
        <f>AND(IF(Metadata!G98="",FALSE,TRUE),exact(Metadata!G98,"1436733"))</f>
        <v>0</v>
      </c>
    </row>
    <row r="99" spans="1:23">
      <c r="A99" s="4">
        <f>IF(B99=" "," ",HYPERLINK(CONCATENATE("#metadata!",ADDRESS(INDEX($M$2:$M$1001,MATCH(ROWS($K$2:K99),$K$2:$K$1001,0),0),1)),INDEX($P$2:$P$1001,MATCH(ROWS($K$2:K99),$K$2:$K$1001,0),0)))</f>
        <v>0</v>
      </c>
      <c r="B99" s="3">
        <f>IF(OR(INDEX($L$2:$L$1001,MATCH(ROWS($K$2:K99),$K$2:$K$1001,0),1)&gt;=100000,INDEX($R$1005:$W$1005,1,MATCH(COLUMNS($R$1006:R1006),$R$1006:$W$1006,0))&gt;=100000), " ",IF(INDEX($R$2:$W$1001,MATCH(ROWS($K$2:K99),$K$2:$K$1001,0),MATCH(COLUMNS($R$1006:R1006),$R$1006:$W$1006,0)), HYPERLINK("#",""), HYPERLINK(CONCATENATE("#Metadata!", ADDRESS(INDEX($M$2:$M$1001,MATCH(ROWS($K$2:K99),$K$2:$K$1001,0),0), INDEX($R$1004:$W$1004,1,MATCH(COLUMNS($R$1006:R1006),$R$1006:$W$1006,0)))),"Fix")))</f>
        <v>0</v>
      </c>
      <c r="C99" s="3">
        <f>IF(OR(INDEX($L$2:$L$1001,MATCH(ROWS($K$2:K99),$K$2:$K$1001,0),1)&gt;=100000,INDEX($R$1005:$W$1005,1,MATCH(COLUMNS($R$1006:S1006),$R$1006:$W$1006,0))&gt;=100000), " ",IF(INDEX($R$2:$W$1001,MATCH(ROWS($K$2:K99),$K$2:$K$1001,0),MATCH(COLUMNS($R$1006:S1006),$R$1006:$W$1006,0)), HYPERLINK("#",""), HYPERLINK(CONCATENATE("#Metadata!", ADDRESS(INDEX($M$2:$M$1001,MATCH(ROWS($K$2:K99),$K$2:$K$1001,0),0), INDEX($R$1004:$W$1004,1,MATCH(COLUMNS($R$1006:S1006),$R$1006:$W$1006,0)))),"Fix")))</f>
        <v>0</v>
      </c>
      <c r="D99" s="3">
        <f>IF(OR(INDEX($L$2:$L$1001,MATCH(ROWS($K$2:K99),$K$2:$K$1001,0),1)&gt;=100000,INDEX($R$1005:$W$1005,1,MATCH(COLUMNS($R$1006:T1006),$R$1006:$W$1006,0))&gt;=100000), " ",IF(INDEX($R$2:$W$1001,MATCH(ROWS($K$2:K99),$K$2:$K$1001,0),MATCH(COLUMNS($R$1006:T1006),$R$1006:$W$1006,0)), HYPERLINK("#",""), HYPERLINK(CONCATENATE("#Metadata!", ADDRESS(INDEX($M$2:$M$1001,MATCH(ROWS($K$2:K99),$K$2:$K$1001,0),0), INDEX($R$1004:$W$1004,1,MATCH(COLUMNS($R$1006:T1006),$R$1006:$W$1006,0)))),"Fix")))</f>
        <v>0</v>
      </c>
      <c r="E99" s="3">
        <f>IF(OR(INDEX($L$2:$L$1001,MATCH(ROWS($K$2:K99),$K$2:$K$1001,0),1)&gt;=100000,INDEX($R$1005:$W$1005,1,MATCH(COLUMNS($R$1006:U1006),$R$1006:$W$1006,0))&gt;=100000), " ",IF(INDEX($R$2:$W$1001,MATCH(ROWS($K$2:K99),$K$2:$K$1001,0),MATCH(COLUMNS($R$1006:U1006),$R$1006:$W$1006,0)), HYPERLINK("#",""), HYPERLINK(CONCATENATE("#Metadata!", ADDRESS(INDEX($M$2:$M$1001,MATCH(ROWS($K$2:K99),$K$2:$K$1001,0),0), INDEX($R$1004:$W$1004,1,MATCH(COLUMNS($R$1006:U1006),$R$1006:$W$1006,0)))),"Fix")))</f>
        <v>0</v>
      </c>
      <c r="F99" s="3">
        <f>IF(OR(INDEX($L$2:$L$1001,MATCH(ROWS($K$2:K99),$K$2:$K$1001,0),1)&gt;=100000,INDEX($R$1005:$W$1005,1,MATCH(COLUMNS($R$1006:V1006),$R$1006:$W$1006,0))&gt;=100000), " ",IF(INDEX($R$2:$W$1001,MATCH(ROWS($K$2:K99),$K$2:$K$1001,0),MATCH(COLUMNS($R$1006:V1006),$R$1006:$W$1006,0)), HYPERLINK("#",""), HYPERLINK(CONCATENATE("#Metadata!", ADDRESS(INDEX($M$2:$M$1001,MATCH(ROWS($K$2:K99),$K$2:$K$1001,0),0), INDEX($R$1004:$W$1004,1,MATCH(COLUMNS($R$1006:V1006),$R$1006:$W$1006,0)))),"Fix")))</f>
        <v>0</v>
      </c>
      <c r="G99" s="3">
        <f>IF(OR(INDEX($L$2:$L$1001,MATCH(ROWS($K$2:K99),$K$2:$K$1001,0),1)&gt;=100000,INDEX($R$1005:$W$1005,1,MATCH(COLUMNS($R$1006:W1006),$R$1006:$W$1006,0))&gt;=100000), " ",IF(INDEX($R$2:$W$1001,MATCH(ROWS($K$2:K99),$K$2:$K$1001,0),MATCH(COLUMNS($R$1006:W1006),$R$1006:$W$1006,0)), HYPERLINK("#",""), HYPERLINK(CONCATENATE("#Metadata!", ADDRESS(INDEX($M$2:$M$1001,MATCH(ROWS($K$2:K99),$K$2:$K$1001,0),0), INDEX($R$1004:$W$1004,1,MATCH(COLUMNS($R$1006:W1006),$R$1006:$W$1006,0)))),"Fix")))</f>
        <v>0</v>
      </c>
      <c r="K99">
        <v>0</v>
      </c>
      <c r="L99">
        <v>0</v>
      </c>
      <c r="M99">
        <v>0</v>
      </c>
      <c r="N99">
        <f>IF(O99,TRUE,AND(R99:W99))</f>
        <v>0</v>
      </c>
      <c r="O99">
        <f>COUNTBLANK(Metadata!B99:G99)=COLUMNS(Metadata!B99:G99)</f>
        <v>0</v>
      </c>
      <c r="P99">
        <v>0</v>
      </c>
      <c r="R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S99">
        <f>IF(Metadata!C99="",FALSE,TRUE)</f>
        <v>0</v>
      </c>
      <c r="T99">
        <f>IF(Metadata!D99="",FALSE,TRUE)</f>
        <v>0</v>
      </c>
      <c r="U99">
        <f>IF(Metadata!E99="",FALSE,TRUE)</f>
        <v>0</v>
      </c>
      <c r="V99">
        <f>AND(IF(Metadata!F99="",FALSE,TRUE),exact(Metadata!F99,"rat gut metagenome"))</f>
        <v>0</v>
      </c>
      <c r="W99">
        <f>AND(IF(Metadata!G99="",FALSE,TRUE),exact(Metadata!G99,"1436733"))</f>
        <v>0</v>
      </c>
    </row>
    <row r="100" spans="1:23">
      <c r="A100" s="4">
        <f>IF(B100=" "," ",HYPERLINK(CONCATENATE("#metadata!",ADDRESS(INDEX($M$2:$M$1001,MATCH(ROWS($K$2:K100),$K$2:$K$1001,0),0),1)),INDEX($P$2:$P$1001,MATCH(ROWS($K$2:K100),$K$2:$K$1001,0),0)))</f>
        <v>0</v>
      </c>
      <c r="B100" s="3">
        <f>IF(OR(INDEX($L$2:$L$1001,MATCH(ROWS($K$2:K100),$K$2:$K$1001,0),1)&gt;=100000,INDEX($R$1005:$W$1005,1,MATCH(COLUMNS($R$1006:R1006),$R$1006:$W$1006,0))&gt;=100000), " ",IF(INDEX($R$2:$W$1001,MATCH(ROWS($K$2:K100),$K$2:$K$1001,0),MATCH(COLUMNS($R$1006:R1006),$R$1006:$W$1006,0)), HYPERLINK("#",""), HYPERLINK(CONCATENATE("#Metadata!", ADDRESS(INDEX($M$2:$M$1001,MATCH(ROWS($K$2:K100),$K$2:$K$1001,0),0), INDEX($R$1004:$W$1004,1,MATCH(COLUMNS($R$1006:R1006),$R$1006:$W$1006,0)))),"Fix")))</f>
        <v>0</v>
      </c>
      <c r="C100" s="3">
        <f>IF(OR(INDEX($L$2:$L$1001,MATCH(ROWS($K$2:K100),$K$2:$K$1001,0),1)&gt;=100000,INDEX($R$1005:$W$1005,1,MATCH(COLUMNS($R$1006:S1006),$R$1006:$W$1006,0))&gt;=100000), " ",IF(INDEX($R$2:$W$1001,MATCH(ROWS($K$2:K100),$K$2:$K$1001,0),MATCH(COLUMNS($R$1006:S1006),$R$1006:$W$1006,0)), HYPERLINK("#",""), HYPERLINK(CONCATENATE("#Metadata!", ADDRESS(INDEX($M$2:$M$1001,MATCH(ROWS($K$2:K100),$K$2:$K$1001,0),0), INDEX($R$1004:$W$1004,1,MATCH(COLUMNS($R$1006:S1006),$R$1006:$W$1006,0)))),"Fix")))</f>
        <v>0</v>
      </c>
      <c r="D100" s="3">
        <f>IF(OR(INDEX($L$2:$L$1001,MATCH(ROWS($K$2:K100),$K$2:$K$1001,0),1)&gt;=100000,INDEX($R$1005:$W$1005,1,MATCH(COLUMNS($R$1006:T1006),$R$1006:$W$1006,0))&gt;=100000), " ",IF(INDEX($R$2:$W$1001,MATCH(ROWS($K$2:K100),$K$2:$K$1001,0),MATCH(COLUMNS($R$1006:T1006),$R$1006:$W$1006,0)), HYPERLINK("#",""), HYPERLINK(CONCATENATE("#Metadata!", ADDRESS(INDEX($M$2:$M$1001,MATCH(ROWS($K$2:K100),$K$2:$K$1001,0),0), INDEX($R$1004:$W$1004,1,MATCH(COLUMNS($R$1006:T1006),$R$1006:$W$1006,0)))),"Fix")))</f>
        <v>0</v>
      </c>
      <c r="E100" s="3">
        <f>IF(OR(INDEX($L$2:$L$1001,MATCH(ROWS($K$2:K100),$K$2:$K$1001,0),1)&gt;=100000,INDEX($R$1005:$W$1005,1,MATCH(COLUMNS($R$1006:U1006),$R$1006:$W$1006,0))&gt;=100000), " ",IF(INDEX($R$2:$W$1001,MATCH(ROWS($K$2:K100),$K$2:$K$1001,0),MATCH(COLUMNS($R$1006:U1006),$R$1006:$W$1006,0)), HYPERLINK("#",""), HYPERLINK(CONCATENATE("#Metadata!", ADDRESS(INDEX($M$2:$M$1001,MATCH(ROWS($K$2:K100),$K$2:$K$1001,0),0), INDEX($R$1004:$W$1004,1,MATCH(COLUMNS($R$1006:U1006),$R$1006:$W$1006,0)))),"Fix")))</f>
        <v>0</v>
      </c>
      <c r="F100" s="3">
        <f>IF(OR(INDEX($L$2:$L$1001,MATCH(ROWS($K$2:K100),$K$2:$K$1001,0),1)&gt;=100000,INDEX($R$1005:$W$1005,1,MATCH(COLUMNS($R$1006:V1006),$R$1006:$W$1006,0))&gt;=100000), " ",IF(INDEX($R$2:$W$1001,MATCH(ROWS($K$2:K100),$K$2:$K$1001,0),MATCH(COLUMNS($R$1006:V1006),$R$1006:$W$1006,0)), HYPERLINK("#",""), HYPERLINK(CONCATENATE("#Metadata!", ADDRESS(INDEX($M$2:$M$1001,MATCH(ROWS($K$2:K100),$K$2:$K$1001,0),0), INDEX($R$1004:$W$1004,1,MATCH(COLUMNS($R$1006:V1006),$R$1006:$W$1006,0)))),"Fix")))</f>
        <v>0</v>
      </c>
      <c r="G100" s="3">
        <f>IF(OR(INDEX($L$2:$L$1001,MATCH(ROWS($K$2:K100),$K$2:$K$1001,0),1)&gt;=100000,INDEX($R$1005:$W$1005,1,MATCH(COLUMNS($R$1006:W1006),$R$1006:$W$1006,0))&gt;=100000), " ",IF(INDEX($R$2:$W$1001,MATCH(ROWS($K$2:K100),$K$2:$K$1001,0),MATCH(COLUMNS($R$1006:W1006),$R$1006:$W$1006,0)), HYPERLINK("#",""), HYPERLINK(CONCATENATE("#Metadata!", ADDRESS(INDEX($M$2:$M$1001,MATCH(ROWS($K$2:K100),$K$2:$K$1001,0),0), INDEX($R$1004:$W$1004,1,MATCH(COLUMNS($R$1006:W1006),$R$1006:$W$1006,0)))),"Fix")))</f>
        <v>0</v>
      </c>
      <c r="K100">
        <v>0</v>
      </c>
      <c r="L100">
        <v>0</v>
      </c>
      <c r="M100">
        <v>0</v>
      </c>
      <c r="N100">
        <f>IF(O100,TRUE,AND(R100:W100))</f>
        <v>0</v>
      </c>
      <c r="O100">
        <f>COUNTBLANK(Metadata!B100:G100)=COLUMNS(Metadata!B100:G100)</f>
        <v>0</v>
      </c>
      <c r="P100">
        <v>0</v>
      </c>
      <c r="R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S100">
        <f>IF(Metadata!C100="",FALSE,TRUE)</f>
        <v>0</v>
      </c>
      <c r="T100">
        <f>IF(Metadata!D100="",FALSE,TRUE)</f>
        <v>0</v>
      </c>
      <c r="U100">
        <f>IF(Metadata!E100="",FALSE,TRUE)</f>
        <v>0</v>
      </c>
      <c r="V100">
        <f>AND(IF(Metadata!F100="",FALSE,TRUE),exact(Metadata!F100,"rat gut metagenome"))</f>
        <v>0</v>
      </c>
      <c r="W100">
        <f>AND(IF(Metadata!G100="",FALSE,TRUE),exact(Metadata!G100,"1436733"))</f>
        <v>0</v>
      </c>
    </row>
    <row r="101" spans="1:23">
      <c r="A101" s="4">
        <f>IF(B101=" "," ",HYPERLINK(CONCATENATE("#metadata!",ADDRESS(INDEX($M$2:$M$1001,MATCH(ROWS($K$2:K101),$K$2:$K$1001,0),0),1)),INDEX($P$2:$P$1001,MATCH(ROWS($K$2:K101),$K$2:$K$1001,0),0)))</f>
        <v>0</v>
      </c>
      <c r="B101" s="3">
        <f>IF(OR(INDEX($L$2:$L$1001,MATCH(ROWS($K$2:K101),$K$2:$K$1001,0),1)&gt;=100000,INDEX($R$1005:$W$1005,1,MATCH(COLUMNS($R$1006:R1006),$R$1006:$W$1006,0))&gt;=100000), " ",IF(INDEX($R$2:$W$1001,MATCH(ROWS($K$2:K101),$K$2:$K$1001,0),MATCH(COLUMNS($R$1006:R1006),$R$1006:$W$1006,0)), HYPERLINK("#",""), HYPERLINK(CONCATENATE("#Metadata!", ADDRESS(INDEX($M$2:$M$1001,MATCH(ROWS($K$2:K101),$K$2:$K$1001,0),0), INDEX($R$1004:$W$1004,1,MATCH(COLUMNS($R$1006:R1006),$R$1006:$W$1006,0)))),"Fix")))</f>
        <v>0</v>
      </c>
      <c r="C101" s="3">
        <f>IF(OR(INDEX($L$2:$L$1001,MATCH(ROWS($K$2:K101),$K$2:$K$1001,0),1)&gt;=100000,INDEX($R$1005:$W$1005,1,MATCH(COLUMNS($R$1006:S1006),$R$1006:$W$1006,0))&gt;=100000), " ",IF(INDEX($R$2:$W$1001,MATCH(ROWS($K$2:K101),$K$2:$K$1001,0),MATCH(COLUMNS($R$1006:S1006),$R$1006:$W$1006,0)), HYPERLINK("#",""), HYPERLINK(CONCATENATE("#Metadata!", ADDRESS(INDEX($M$2:$M$1001,MATCH(ROWS($K$2:K101),$K$2:$K$1001,0),0), INDEX($R$1004:$W$1004,1,MATCH(COLUMNS($R$1006:S1006),$R$1006:$W$1006,0)))),"Fix")))</f>
        <v>0</v>
      </c>
      <c r="D101" s="3">
        <f>IF(OR(INDEX($L$2:$L$1001,MATCH(ROWS($K$2:K101),$K$2:$K$1001,0),1)&gt;=100000,INDEX($R$1005:$W$1005,1,MATCH(COLUMNS($R$1006:T1006),$R$1006:$W$1006,0))&gt;=100000), " ",IF(INDEX($R$2:$W$1001,MATCH(ROWS($K$2:K101),$K$2:$K$1001,0),MATCH(COLUMNS($R$1006:T1006),$R$1006:$W$1006,0)), HYPERLINK("#",""), HYPERLINK(CONCATENATE("#Metadata!", ADDRESS(INDEX($M$2:$M$1001,MATCH(ROWS($K$2:K101),$K$2:$K$1001,0),0), INDEX($R$1004:$W$1004,1,MATCH(COLUMNS($R$1006:T1006),$R$1006:$W$1006,0)))),"Fix")))</f>
        <v>0</v>
      </c>
      <c r="E101" s="3">
        <f>IF(OR(INDEX($L$2:$L$1001,MATCH(ROWS($K$2:K101),$K$2:$K$1001,0),1)&gt;=100000,INDEX($R$1005:$W$1005,1,MATCH(COLUMNS($R$1006:U1006),$R$1006:$W$1006,0))&gt;=100000), " ",IF(INDEX($R$2:$W$1001,MATCH(ROWS($K$2:K101),$K$2:$K$1001,0),MATCH(COLUMNS($R$1006:U1006),$R$1006:$W$1006,0)), HYPERLINK("#",""), HYPERLINK(CONCATENATE("#Metadata!", ADDRESS(INDEX($M$2:$M$1001,MATCH(ROWS($K$2:K101),$K$2:$K$1001,0),0), INDEX($R$1004:$W$1004,1,MATCH(COLUMNS($R$1006:U1006),$R$1006:$W$1006,0)))),"Fix")))</f>
        <v>0</v>
      </c>
      <c r="F101" s="3">
        <f>IF(OR(INDEX($L$2:$L$1001,MATCH(ROWS($K$2:K101),$K$2:$K$1001,0),1)&gt;=100000,INDEX($R$1005:$W$1005,1,MATCH(COLUMNS($R$1006:V1006),$R$1006:$W$1006,0))&gt;=100000), " ",IF(INDEX($R$2:$W$1001,MATCH(ROWS($K$2:K101),$K$2:$K$1001,0),MATCH(COLUMNS($R$1006:V1006),$R$1006:$W$1006,0)), HYPERLINK("#",""), HYPERLINK(CONCATENATE("#Metadata!", ADDRESS(INDEX($M$2:$M$1001,MATCH(ROWS($K$2:K101),$K$2:$K$1001,0),0), INDEX($R$1004:$W$1004,1,MATCH(COLUMNS($R$1006:V1006),$R$1006:$W$1006,0)))),"Fix")))</f>
        <v>0</v>
      </c>
      <c r="G101" s="3">
        <f>IF(OR(INDEX($L$2:$L$1001,MATCH(ROWS($K$2:K101),$K$2:$K$1001,0),1)&gt;=100000,INDEX($R$1005:$W$1005,1,MATCH(COLUMNS($R$1006:W1006),$R$1006:$W$1006,0))&gt;=100000), " ",IF(INDEX($R$2:$W$1001,MATCH(ROWS($K$2:K101),$K$2:$K$1001,0),MATCH(COLUMNS($R$1006:W1006),$R$1006:$W$1006,0)), HYPERLINK("#",""), HYPERLINK(CONCATENATE("#Metadata!", ADDRESS(INDEX($M$2:$M$1001,MATCH(ROWS($K$2:K101),$K$2:$K$1001,0),0), INDEX($R$1004:$W$1004,1,MATCH(COLUMNS($R$1006:W1006),$R$1006:$W$1006,0)))),"Fix")))</f>
        <v>0</v>
      </c>
      <c r="K101">
        <v>0</v>
      </c>
      <c r="L101">
        <v>0</v>
      </c>
      <c r="M101">
        <v>0</v>
      </c>
      <c r="N101">
        <f>IF(O101,TRUE,AND(R101:W101))</f>
        <v>0</v>
      </c>
      <c r="O101">
        <f>COUNTBLANK(Metadata!B101:G101)=COLUMNS(Metadata!B101:G101)</f>
        <v>0</v>
      </c>
      <c r="P101">
        <v>0</v>
      </c>
      <c r="R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S101">
        <f>IF(Metadata!C101="",FALSE,TRUE)</f>
        <v>0</v>
      </c>
      <c r="T101">
        <f>IF(Metadata!D101="",FALSE,TRUE)</f>
        <v>0</v>
      </c>
      <c r="U101">
        <f>IF(Metadata!E101="",FALSE,TRUE)</f>
        <v>0</v>
      </c>
      <c r="V101">
        <f>AND(IF(Metadata!F101="",FALSE,TRUE),exact(Metadata!F101,"rat gut metagenome"))</f>
        <v>0</v>
      </c>
      <c r="W101">
        <f>AND(IF(Metadata!G101="",FALSE,TRUE),exact(Metadata!G101,"1436733"))</f>
        <v>0</v>
      </c>
    </row>
    <row r="102" spans="1:23">
      <c r="A102" s="4">
        <f>IF(B102=" "," ",HYPERLINK(CONCATENATE("#metadata!",ADDRESS(INDEX($M$2:$M$1001,MATCH(ROWS($K$2:K102),$K$2:$K$1001,0),0),1)),INDEX($P$2:$P$1001,MATCH(ROWS($K$2:K102),$K$2:$K$1001,0),0)))</f>
        <v>0</v>
      </c>
      <c r="B102" s="3">
        <f>IF(OR(INDEX($L$2:$L$1001,MATCH(ROWS($K$2:K102),$K$2:$K$1001,0),1)&gt;=100000,INDEX($R$1005:$W$1005,1,MATCH(COLUMNS($R$1006:R1006),$R$1006:$W$1006,0))&gt;=100000), " ",IF(INDEX($R$2:$W$1001,MATCH(ROWS($K$2:K102),$K$2:$K$1001,0),MATCH(COLUMNS($R$1006:R1006),$R$1006:$W$1006,0)), HYPERLINK("#",""), HYPERLINK(CONCATENATE("#Metadata!", ADDRESS(INDEX($M$2:$M$1001,MATCH(ROWS($K$2:K102),$K$2:$K$1001,0),0), INDEX($R$1004:$W$1004,1,MATCH(COLUMNS($R$1006:R1006),$R$1006:$W$1006,0)))),"Fix")))</f>
        <v>0</v>
      </c>
      <c r="C102" s="3">
        <f>IF(OR(INDEX($L$2:$L$1001,MATCH(ROWS($K$2:K102),$K$2:$K$1001,0),1)&gt;=100000,INDEX($R$1005:$W$1005,1,MATCH(COLUMNS($R$1006:S1006),$R$1006:$W$1006,0))&gt;=100000), " ",IF(INDEX($R$2:$W$1001,MATCH(ROWS($K$2:K102),$K$2:$K$1001,0),MATCH(COLUMNS($R$1006:S1006),$R$1006:$W$1006,0)), HYPERLINK("#",""), HYPERLINK(CONCATENATE("#Metadata!", ADDRESS(INDEX($M$2:$M$1001,MATCH(ROWS($K$2:K102),$K$2:$K$1001,0),0), INDEX($R$1004:$W$1004,1,MATCH(COLUMNS($R$1006:S1006),$R$1006:$W$1006,0)))),"Fix")))</f>
        <v>0</v>
      </c>
      <c r="D102" s="3">
        <f>IF(OR(INDEX($L$2:$L$1001,MATCH(ROWS($K$2:K102),$K$2:$K$1001,0),1)&gt;=100000,INDEX($R$1005:$W$1005,1,MATCH(COLUMNS($R$1006:T1006),$R$1006:$W$1006,0))&gt;=100000), " ",IF(INDEX($R$2:$W$1001,MATCH(ROWS($K$2:K102),$K$2:$K$1001,0),MATCH(COLUMNS($R$1006:T1006),$R$1006:$W$1006,0)), HYPERLINK("#",""), HYPERLINK(CONCATENATE("#Metadata!", ADDRESS(INDEX($M$2:$M$1001,MATCH(ROWS($K$2:K102),$K$2:$K$1001,0),0), INDEX($R$1004:$W$1004,1,MATCH(COLUMNS($R$1006:T1006),$R$1006:$W$1006,0)))),"Fix")))</f>
        <v>0</v>
      </c>
      <c r="E102" s="3">
        <f>IF(OR(INDEX($L$2:$L$1001,MATCH(ROWS($K$2:K102),$K$2:$K$1001,0),1)&gt;=100000,INDEX($R$1005:$W$1005,1,MATCH(COLUMNS($R$1006:U1006),$R$1006:$W$1006,0))&gt;=100000), " ",IF(INDEX($R$2:$W$1001,MATCH(ROWS($K$2:K102),$K$2:$K$1001,0),MATCH(COLUMNS($R$1006:U1006),$R$1006:$W$1006,0)), HYPERLINK("#",""), HYPERLINK(CONCATENATE("#Metadata!", ADDRESS(INDEX($M$2:$M$1001,MATCH(ROWS($K$2:K102),$K$2:$K$1001,0),0), INDEX($R$1004:$W$1004,1,MATCH(COLUMNS($R$1006:U1006),$R$1006:$W$1006,0)))),"Fix")))</f>
        <v>0</v>
      </c>
      <c r="F102" s="3">
        <f>IF(OR(INDEX($L$2:$L$1001,MATCH(ROWS($K$2:K102),$K$2:$K$1001,0),1)&gt;=100000,INDEX($R$1005:$W$1005,1,MATCH(COLUMNS($R$1006:V1006),$R$1006:$W$1006,0))&gt;=100000), " ",IF(INDEX($R$2:$W$1001,MATCH(ROWS($K$2:K102),$K$2:$K$1001,0),MATCH(COLUMNS($R$1006:V1006),$R$1006:$W$1006,0)), HYPERLINK("#",""), HYPERLINK(CONCATENATE("#Metadata!", ADDRESS(INDEX($M$2:$M$1001,MATCH(ROWS($K$2:K102),$K$2:$K$1001,0),0), INDEX($R$1004:$W$1004,1,MATCH(COLUMNS($R$1006:V1006),$R$1006:$W$1006,0)))),"Fix")))</f>
        <v>0</v>
      </c>
      <c r="G102" s="3">
        <f>IF(OR(INDEX($L$2:$L$1001,MATCH(ROWS($K$2:K102),$K$2:$K$1001,0),1)&gt;=100000,INDEX($R$1005:$W$1005,1,MATCH(COLUMNS($R$1006:W1006),$R$1006:$W$1006,0))&gt;=100000), " ",IF(INDEX($R$2:$W$1001,MATCH(ROWS($K$2:K102),$K$2:$K$1001,0),MATCH(COLUMNS($R$1006:W1006),$R$1006:$W$1006,0)), HYPERLINK("#",""), HYPERLINK(CONCATENATE("#Metadata!", ADDRESS(INDEX($M$2:$M$1001,MATCH(ROWS($K$2:K102),$K$2:$K$1001,0),0), INDEX($R$1004:$W$1004,1,MATCH(COLUMNS($R$1006:W1006),$R$1006:$W$1006,0)))),"Fix")))</f>
        <v>0</v>
      </c>
      <c r="K102">
        <v>0</v>
      </c>
      <c r="L102">
        <v>0</v>
      </c>
      <c r="M102">
        <v>0</v>
      </c>
      <c r="N102">
        <f>IF(O102,TRUE,AND(R102:W102))</f>
        <v>0</v>
      </c>
      <c r="O102">
        <f>COUNTBLANK(Metadata!B102:G102)=COLUMNS(Metadata!B102:G102)</f>
        <v>0</v>
      </c>
      <c r="P102">
        <v>0</v>
      </c>
      <c r="R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S102">
        <f>IF(Metadata!C102="",FALSE,TRUE)</f>
        <v>0</v>
      </c>
      <c r="T102">
        <f>IF(Metadata!D102="",FALSE,TRUE)</f>
        <v>0</v>
      </c>
      <c r="U102">
        <f>IF(Metadata!E102="",FALSE,TRUE)</f>
        <v>0</v>
      </c>
      <c r="V102">
        <f>AND(IF(Metadata!F102="",FALSE,TRUE),exact(Metadata!F102,"rat gut metagenome"))</f>
        <v>0</v>
      </c>
      <c r="W102">
        <f>AND(IF(Metadata!G102="",FALSE,TRUE),exact(Metadata!G102,"1436733"))</f>
        <v>0</v>
      </c>
    </row>
    <row r="103" spans="1:23">
      <c r="A103" s="4">
        <f>IF(B103=" "," ",HYPERLINK(CONCATENATE("#metadata!",ADDRESS(INDEX($M$2:$M$1001,MATCH(ROWS($K$2:K103),$K$2:$K$1001,0),0),1)),INDEX($P$2:$P$1001,MATCH(ROWS($K$2:K103),$K$2:$K$1001,0),0)))</f>
        <v>0</v>
      </c>
      <c r="B103" s="3">
        <f>IF(OR(INDEX($L$2:$L$1001,MATCH(ROWS($K$2:K103),$K$2:$K$1001,0),1)&gt;=100000,INDEX($R$1005:$W$1005,1,MATCH(COLUMNS($R$1006:R1006),$R$1006:$W$1006,0))&gt;=100000), " ",IF(INDEX($R$2:$W$1001,MATCH(ROWS($K$2:K103),$K$2:$K$1001,0),MATCH(COLUMNS($R$1006:R1006),$R$1006:$W$1006,0)), HYPERLINK("#",""), HYPERLINK(CONCATENATE("#Metadata!", ADDRESS(INDEX($M$2:$M$1001,MATCH(ROWS($K$2:K103),$K$2:$K$1001,0),0), INDEX($R$1004:$W$1004,1,MATCH(COLUMNS($R$1006:R1006),$R$1006:$W$1006,0)))),"Fix")))</f>
        <v>0</v>
      </c>
      <c r="C103" s="3">
        <f>IF(OR(INDEX($L$2:$L$1001,MATCH(ROWS($K$2:K103),$K$2:$K$1001,0),1)&gt;=100000,INDEX($R$1005:$W$1005,1,MATCH(COLUMNS($R$1006:S1006),$R$1006:$W$1006,0))&gt;=100000), " ",IF(INDEX($R$2:$W$1001,MATCH(ROWS($K$2:K103),$K$2:$K$1001,0),MATCH(COLUMNS($R$1006:S1006),$R$1006:$W$1006,0)), HYPERLINK("#",""), HYPERLINK(CONCATENATE("#Metadata!", ADDRESS(INDEX($M$2:$M$1001,MATCH(ROWS($K$2:K103),$K$2:$K$1001,0),0), INDEX($R$1004:$W$1004,1,MATCH(COLUMNS($R$1006:S1006),$R$1006:$W$1006,0)))),"Fix")))</f>
        <v>0</v>
      </c>
      <c r="D103" s="3">
        <f>IF(OR(INDEX($L$2:$L$1001,MATCH(ROWS($K$2:K103),$K$2:$K$1001,0),1)&gt;=100000,INDEX($R$1005:$W$1005,1,MATCH(COLUMNS($R$1006:T1006),$R$1006:$W$1006,0))&gt;=100000), " ",IF(INDEX($R$2:$W$1001,MATCH(ROWS($K$2:K103),$K$2:$K$1001,0),MATCH(COLUMNS($R$1006:T1006),$R$1006:$W$1006,0)), HYPERLINK("#",""), HYPERLINK(CONCATENATE("#Metadata!", ADDRESS(INDEX($M$2:$M$1001,MATCH(ROWS($K$2:K103),$K$2:$K$1001,0),0), INDEX($R$1004:$W$1004,1,MATCH(COLUMNS($R$1006:T1006),$R$1006:$W$1006,0)))),"Fix")))</f>
        <v>0</v>
      </c>
      <c r="E103" s="3">
        <f>IF(OR(INDEX($L$2:$L$1001,MATCH(ROWS($K$2:K103),$K$2:$K$1001,0),1)&gt;=100000,INDEX($R$1005:$W$1005,1,MATCH(COLUMNS($R$1006:U1006),$R$1006:$W$1006,0))&gt;=100000), " ",IF(INDEX($R$2:$W$1001,MATCH(ROWS($K$2:K103),$K$2:$K$1001,0),MATCH(COLUMNS($R$1006:U1006),$R$1006:$W$1006,0)), HYPERLINK("#",""), HYPERLINK(CONCATENATE("#Metadata!", ADDRESS(INDEX($M$2:$M$1001,MATCH(ROWS($K$2:K103),$K$2:$K$1001,0),0), INDEX($R$1004:$W$1004,1,MATCH(COLUMNS($R$1006:U1006),$R$1006:$W$1006,0)))),"Fix")))</f>
        <v>0</v>
      </c>
      <c r="F103" s="3">
        <f>IF(OR(INDEX($L$2:$L$1001,MATCH(ROWS($K$2:K103),$K$2:$K$1001,0),1)&gt;=100000,INDEX($R$1005:$W$1005,1,MATCH(COLUMNS($R$1006:V1006),$R$1006:$W$1006,0))&gt;=100000), " ",IF(INDEX($R$2:$W$1001,MATCH(ROWS($K$2:K103),$K$2:$K$1001,0),MATCH(COLUMNS($R$1006:V1006),$R$1006:$W$1006,0)), HYPERLINK("#",""), HYPERLINK(CONCATENATE("#Metadata!", ADDRESS(INDEX($M$2:$M$1001,MATCH(ROWS($K$2:K103),$K$2:$K$1001,0),0), INDEX($R$1004:$W$1004,1,MATCH(COLUMNS($R$1006:V1006),$R$1006:$W$1006,0)))),"Fix")))</f>
        <v>0</v>
      </c>
      <c r="G103" s="3">
        <f>IF(OR(INDEX($L$2:$L$1001,MATCH(ROWS($K$2:K103),$K$2:$K$1001,0),1)&gt;=100000,INDEX($R$1005:$W$1005,1,MATCH(COLUMNS($R$1006:W1006),$R$1006:$W$1006,0))&gt;=100000), " ",IF(INDEX($R$2:$W$1001,MATCH(ROWS($K$2:K103),$K$2:$K$1001,0),MATCH(COLUMNS($R$1006:W1006),$R$1006:$W$1006,0)), HYPERLINK("#",""), HYPERLINK(CONCATENATE("#Metadata!", ADDRESS(INDEX($M$2:$M$1001,MATCH(ROWS($K$2:K103),$K$2:$K$1001,0),0), INDEX($R$1004:$W$1004,1,MATCH(COLUMNS($R$1006:W1006),$R$1006:$W$1006,0)))),"Fix")))</f>
        <v>0</v>
      </c>
      <c r="K103">
        <v>0</v>
      </c>
      <c r="L103">
        <v>0</v>
      </c>
      <c r="M103">
        <v>0</v>
      </c>
      <c r="N103">
        <f>IF(O103,TRUE,AND(R103:W103))</f>
        <v>0</v>
      </c>
      <c r="O103">
        <f>COUNTBLANK(Metadata!B103:G103)=COLUMNS(Metadata!B103:G103)</f>
        <v>0</v>
      </c>
      <c r="P103">
        <v>0</v>
      </c>
      <c r="R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S103">
        <f>IF(Metadata!C103="",FALSE,TRUE)</f>
        <v>0</v>
      </c>
      <c r="T103">
        <f>IF(Metadata!D103="",FALSE,TRUE)</f>
        <v>0</v>
      </c>
      <c r="U103">
        <f>IF(Metadata!E103="",FALSE,TRUE)</f>
        <v>0</v>
      </c>
      <c r="V103">
        <f>AND(IF(Metadata!F103="",FALSE,TRUE),exact(Metadata!F103,"rat gut metagenome"))</f>
        <v>0</v>
      </c>
      <c r="W103">
        <f>AND(IF(Metadata!G103="",FALSE,TRUE),exact(Metadata!G103,"1436733"))</f>
        <v>0</v>
      </c>
    </row>
    <row r="104" spans="1:23">
      <c r="A104" s="4">
        <f>IF(B104=" "," ",HYPERLINK(CONCATENATE("#metadata!",ADDRESS(INDEX($M$2:$M$1001,MATCH(ROWS($K$2:K104),$K$2:$K$1001,0),0),1)),INDEX($P$2:$P$1001,MATCH(ROWS($K$2:K104),$K$2:$K$1001,0),0)))</f>
        <v>0</v>
      </c>
      <c r="B104" s="3">
        <f>IF(OR(INDEX($L$2:$L$1001,MATCH(ROWS($K$2:K104),$K$2:$K$1001,0),1)&gt;=100000,INDEX($R$1005:$W$1005,1,MATCH(COLUMNS($R$1006:R1006),$R$1006:$W$1006,0))&gt;=100000), " ",IF(INDEX($R$2:$W$1001,MATCH(ROWS($K$2:K104),$K$2:$K$1001,0),MATCH(COLUMNS($R$1006:R1006),$R$1006:$W$1006,0)), HYPERLINK("#",""), HYPERLINK(CONCATENATE("#Metadata!", ADDRESS(INDEX($M$2:$M$1001,MATCH(ROWS($K$2:K104),$K$2:$K$1001,0),0), INDEX($R$1004:$W$1004,1,MATCH(COLUMNS($R$1006:R1006),$R$1006:$W$1006,0)))),"Fix")))</f>
        <v>0</v>
      </c>
      <c r="C104" s="3">
        <f>IF(OR(INDEX($L$2:$L$1001,MATCH(ROWS($K$2:K104),$K$2:$K$1001,0),1)&gt;=100000,INDEX($R$1005:$W$1005,1,MATCH(COLUMNS($R$1006:S1006),$R$1006:$W$1006,0))&gt;=100000), " ",IF(INDEX($R$2:$W$1001,MATCH(ROWS($K$2:K104),$K$2:$K$1001,0),MATCH(COLUMNS($R$1006:S1006),$R$1006:$W$1006,0)), HYPERLINK("#",""), HYPERLINK(CONCATENATE("#Metadata!", ADDRESS(INDEX($M$2:$M$1001,MATCH(ROWS($K$2:K104),$K$2:$K$1001,0),0), INDEX($R$1004:$W$1004,1,MATCH(COLUMNS($R$1006:S1006),$R$1006:$W$1006,0)))),"Fix")))</f>
        <v>0</v>
      </c>
      <c r="D104" s="3">
        <f>IF(OR(INDEX($L$2:$L$1001,MATCH(ROWS($K$2:K104),$K$2:$K$1001,0),1)&gt;=100000,INDEX($R$1005:$W$1005,1,MATCH(COLUMNS($R$1006:T1006),$R$1006:$W$1006,0))&gt;=100000), " ",IF(INDEX($R$2:$W$1001,MATCH(ROWS($K$2:K104),$K$2:$K$1001,0),MATCH(COLUMNS($R$1006:T1006),$R$1006:$W$1006,0)), HYPERLINK("#",""), HYPERLINK(CONCATENATE("#Metadata!", ADDRESS(INDEX($M$2:$M$1001,MATCH(ROWS($K$2:K104),$K$2:$K$1001,0),0), INDEX($R$1004:$W$1004,1,MATCH(COLUMNS($R$1006:T1006),$R$1006:$W$1006,0)))),"Fix")))</f>
        <v>0</v>
      </c>
      <c r="E104" s="3">
        <f>IF(OR(INDEX($L$2:$L$1001,MATCH(ROWS($K$2:K104),$K$2:$K$1001,0),1)&gt;=100000,INDEX($R$1005:$W$1005,1,MATCH(COLUMNS($R$1006:U1006),$R$1006:$W$1006,0))&gt;=100000), " ",IF(INDEX($R$2:$W$1001,MATCH(ROWS($K$2:K104),$K$2:$K$1001,0),MATCH(COLUMNS($R$1006:U1006),$R$1006:$W$1006,0)), HYPERLINK("#",""), HYPERLINK(CONCATENATE("#Metadata!", ADDRESS(INDEX($M$2:$M$1001,MATCH(ROWS($K$2:K104),$K$2:$K$1001,0),0), INDEX($R$1004:$W$1004,1,MATCH(COLUMNS($R$1006:U1006),$R$1006:$W$1006,0)))),"Fix")))</f>
        <v>0</v>
      </c>
      <c r="F104" s="3">
        <f>IF(OR(INDEX($L$2:$L$1001,MATCH(ROWS($K$2:K104),$K$2:$K$1001,0),1)&gt;=100000,INDEX($R$1005:$W$1005,1,MATCH(COLUMNS($R$1006:V1006),$R$1006:$W$1006,0))&gt;=100000), " ",IF(INDEX($R$2:$W$1001,MATCH(ROWS($K$2:K104),$K$2:$K$1001,0),MATCH(COLUMNS($R$1006:V1006),$R$1006:$W$1006,0)), HYPERLINK("#",""), HYPERLINK(CONCATENATE("#Metadata!", ADDRESS(INDEX($M$2:$M$1001,MATCH(ROWS($K$2:K104),$K$2:$K$1001,0),0), INDEX($R$1004:$W$1004,1,MATCH(COLUMNS($R$1006:V1006),$R$1006:$W$1006,0)))),"Fix")))</f>
        <v>0</v>
      </c>
      <c r="G104" s="3">
        <f>IF(OR(INDEX($L$2:$L$1001,MATCH(ROWS($K$2:K104),$K$2:$K$1001,0),1)&gt;=100000,INDEX($R$1005:$W$1005,1,MATCH(COLUMNS($R$1006:W1006),$R$1006:$W$1006,0))&gt;=100000), " ",IF(INDEX($R$2:$W$1001,MATCH(ROWS($K$2:K104),$K$2:$K$1001,0),MATCH(COLUMNS($R$1006:W1006),$R$1006:$W$1006,0)), HYPERLINK("#",""), HYPERLINK(CONCATENATE("#Metadata!", ADDRESS(INDEX($M$2:$M$1001,MATCH(ROWS($K$2:K104),$K$2:$K$1001,0),0), INDEX($R$1004:$W$1004,1,MATCH(COLUMNS($R$1006:W1006),$R$1006:$W$1006,0)))),"Fix")))</f>
        <v>0</v>
      </c>
      <c r="K104">
        <v>0</v>
      </c>
      <c r="L104">
        <v>0</v>
      </c>
      <c r="M104">
        <v>0</v>
      </c>
      <c r="N104">
        <f>IF(O104,TRUE,AND(R104:W104))</f>
        <v>0</v>
      </c>
      <c r="O104">
        <f>COUNTBLANK(Metadata!B104:G104)=COLUMNS(Metadata!B104:G104)</f>
        <v>0</v>
      </c>
      <c r="P104">
        <v>0</v>
      </c>
      <c r="R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S104">
        <f>IF(Metadata!C104="",FALSE,TRUE)</f>
        <v>0</v>
      </c>
      <c r="T104">
        <f>IF(Metadata!D104="",FALSE,TRUE)</f>
        <v>0</v>
      </c>
      <c r="U104">
        <f>IF(Metadata!E104="",FALSE,TRUE)</f>
        <v>0</v>
      </c>
      <c r="V104">
        <f>AND(IF(Metadata!F104="",FALSE,TRUE),exact(Metadata!F104,"rat gut metagenome"))</f>
        <v>0</v>
      </c>
      <c r="W104">
        <f>AND(IF(Metadata!G104="",FALSE,TRUE),exact(Metadata!G104,"1436733"))</f>
        <v>0</v>
      </c>
    </row>
    <row r="105" spans="1:23">
      <c r="A105" s="4">
        <f>IF(B105=" "," ",HYPERLINK(CONCATENATE("#metadata!",ADDRESS(INDEX($M$2:$M$1001,MATCH(ROWS($K$2:K105),$K$2:$K$1001,0),0),1)),INDEX($P$2:$P$1001,MATCH(ROWS($K$2:K105),$K$2:$K$1001,0),0)))</f>
        <v>0</v>
      </c>
      <c r="B105" s="3">
        <f>IF(OR(INDEX($L$2:$L$1001,MATCH(ROWS($K$2:K105),$K$2:$K$1001,0),1)&gt;=100000,INDEX($R$1005:$W$1005,1,MATCH(COLUMNS($R$1006:R1006),$R$1006:$W$1006,0))&gt;=100000), " ",IF(INDEX($R$2:$W$1001,MATCH(ROWS($K$2:K105),$K$2:$K$1001,0),MATCH(COLUMNS($R$1006:R1006),$R$1006:$W$1006,0)), HYPERLINK("#",""), HYPERLINK(CONCATENATE("#Metadata!", ADDRESS(INDEX($M$2:$M$1001,MATCH(ROWS($K$2:K105),$K$2:$K$1001,0),0), INDEX($R$1004:$W$1004,1,MATCH(COLUMNS($R$1006:R1006),$R$1006:$W$1006,0)))),"Fix")))</f>
        <v>0</v>
      </c>
      <c r="C105" s="3">
        <f>IF(OR(INDEX($L$2:$L$1001,MATCH(ROWS($K$2:K105),$K$2:$K$1001,0),1)&gt;=100000,INDEX($R$1005:$W$1005,1,MATCH(COLUMNS($R$1006:S1006),$R$1006:$W$1006,0))&gt;=100000), " ",IF(INDEX($R$2:$W$1001,MATCH(ROWS($K$2:K105),$K$2:$K$1001,0),MATCH(COLUMNS($R$1006:S1006),$R$1006:$W$1006,0)), HYPERLINK("#",""), HYPERLINK(CONCATENATE("#Metadata!", ADDRESS(INDEX($M$2:$M$1001,MATCH(ROWS($K$2:K105),$K$2:$K$1001,0),0), INDEX($R$1004:$W$1004,1,MATCH(COLUMNS($R$1006:S1006),$R$1006:$W$1006,0)))),"Fix")))</f>
        <v>0</v>
      </c>
      <c r="D105" s="3">
        <f>IF(OR(INDEX($L$2:$L$1001,MATCH(ROWS($K$2:K105),$K$2:$K$1001,0),1)&gt;=100000,INDEX($R$1005:$W$1005,1,MATCH(COLUMNS($R$1006:T1006),$R$1006:$W$1006,0))&gt;=100000), " ",IF(INDEX($R$2:$W$1001,MATCH(ROWS($K$2:K105),$K$2:$K$1001,0),MATCH(COLUMNS($R$1006:T1006),$R$1006:$W$1006,0)), HYPERLINK("#",""), HYPERLINK(CONCATENATE("#Metadata!", ADDRESS(INDEX($M$2:$M$1001,MATCH(ROWS($K$2:K105),$K$2:$K$1001,0),0), INDEX($R$1004:$W$1004,1,MATCH(COLUMNS($R$1006:T1006),$R$1006:$W$1006,0)))),"Fix")))</f>
        <v>0</v>
      </c>
      <c r="E105" s="3">
        <f>IF(OR(INDEX($L$2:$L$1001,MATCH(ROWS($K$2:K105),$K$2:$K$1001,0),1)&gt;=100000,INDEX($R$1005:$W$1005,1,MATCH(COLUMNS($R$1006:U1006),$R$1006:$W$1006,0))&gt;=100000), " ",IF(INDEX($R$2:$W$1001,MATCH(ROWS($K$2:K105),$K$2:$K$1001,0),MATCH(COLUMNS($R$1006:U1006),$R$1006:$W$1006,0)), HYPERLINK("#",""), HYPERLINK(CONCATENATE("#Metadata!", ADDRESS(INDEX($M$2:$M$1001,MATCH(ROWS($K$2:K105),$K$2:$K$1001,0),0), INDEX($R$1004:$W$1004,1,MATCH(COLUMNS($R$1006:U1006),$R$1006:$W$1006,0)))),"Fix")))</f>
        <v>0</v>
      </c>
      <c r="F105" s="3">
        <f>IF(OR(INDEX($L$2:$L$1001,MATCH(ROWS($K$2:K105),$K$2:$K$1001,0),1)&gt;=100000,INDEX($R$1005:$W$1005,1,MATCH(COLUMNS($R$1006:V1006),$R$1006:$W$1006,0))&gt;=100000), " ",IF(INDEX($R$2:$W$1001,MATCH(ROWS($K$2:K105),$K$2:$K$1001,0),MATCH(COLUMNS($R$1006:V1006),$R$1006:$W$1006,0)), HYPERLINK("#",""), HYPERLINK(CONCATENATE("#Metadata!", ADDRESS(INDEX($M$2:$M$1001,MATCH(ROWS($K$2:K105),$K$2:$K$1001,0),0), INDEX($R$1004:$W$1004,1,MATCH(COLUMNS($R$1006:V1006),$R$1006:$W$1006,0)))),"Fix")))</f>
        <v>0</v>
      </c>
      <c r="G105" s="3">
        <f>IF(OR(INDEX($L$2:$L$1001,MATCH(ROWS($K$2:K105),$K$2:$K$1001,0),1)&gt;=100000,INDEX($R$1005:$W$1005,1,MATCH(COLUMNS($R$1006:W1006),$R$1006:$W$1006,0))&gt;=100000), " ",IF(INDEX($R$2:$W$1001,MATCH(ROWS($K$2:K105),$K$2:$K$1001,0),MATCH(COLUMNS($R$1006:W1006),$R$1006:$W$1006,0)), HYPERLINK("#",""), HYPERLINK(CONCATENATE("#Metadata!", ADDRESS(INDEX($M$2:$M$1001,MATCH(ROWS($K$2:K105),$K$2:$K$1001,0),0), INDEX($R$1004:$W$1004,1,MATCH(COLUMNS($R$1006:W1006),$R$1006:$W$1006,0)))),"Fix")))</f>
        <v>0</v>
      </c>
      <c r="K105">
        <v>0</v>
      </c>
      <c r="L105">
        <v>0</v>
      </c>
      <c r="M105">
        <v>0</v>
      </c>
      <c r="N105">
        <f>IF(O105,TRUE,AND(R105:W105))</f>
        <v>0</v>
      </c>
      <c r="O105">
        <f>COUNTBLANK(Metadata!B105:G105)=COLUMNS(Metadata!B105:G105)</f>
        <v>0</v>
      </c>
      <c r="P105">
        <v>0</v>
      </c>
      <c r="R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S105">
        <f>IF(Metadata!C105="",FALSE,TRUE)</f>
        <v>0</v>
      </c>
      <c r="T105">
        <f>IF(Metadata!D105="",FALSE,TRUE)</f>
        <v>0</v>
      </c>
      <c r="U105">
        <f>IF(Metadata!E105="",FALSE,TRUE)</f>
        <v>0</v>
      </c>
      <c r="V105">
        <f>AND(IF(Metadata!F105="",FALSE,TRUE),exact(Metadata!F105,"rat gut metagenome"))</f>
        <v>0</v>
      </c>
      <c r="W105">
        <f>AND(IF(Metadata!G105="",FALSE,TRUE),exact(Metadata!G105,"1436733"))</f>
        <v>0</v>
      </c>
    </row>
    <row r="106" spans="1:23">
      <c r="A106" s="4">
        <f>IF(B106=" "," ",HYPERLINK(CONCATENATE("#metadata!",ADDRESS(INDEX($M$2:$M$1001,MATCH(ROWS($K$2:K106),$K$2:$K$1001,0),0),1)),INDEX($P$2:$P$1001,MATCH(ROWS($K$2:K106),$K$2:$K$1001,0),0)))</f>
        <v>0</v>
      </c>
      <c r="B106" s="3">
        <f>IF(OR(INDEX($L$2:$L$1001,MATCH(ROWS($K$2:K106),$K$2:$K$1001,0),1)&gt;=100000,INDEX($R$1005:$W$1005,1,MATCH(COLUMNS($R$1006:R1006),$R$1006:$W$1006,0))&gt;=100000), " ",IF(INDEX($R$2:$W$1001,MATCH(ROWS($K$2:K106),$K$2:$K$1001,0),MATCH(COLUMNS($R$1006:R1006),$R$1006:$W$1006,0)), HYPERLINK("#",""), HYPERLINK(CONCATENATE("#Metadata!", ADDRESS(INDEX($M$2:$M$1001,MATCH(ROWS($K$2:K106),$K$2:$K$1001,0),0), INDEX($R$1004:$W$1004,1,MATCH(COLUMNS($R$1006:R1006),$R$1006:$W$1006,0)))),"Fix")))</f>
        <v>0</v>
      </c>
      <c r="C106" s="3">
        <f>IF(OR(INDEX($L$2:$L$1001,MATCH(ROWS($K$2:K106),$K$2:$K$1001,0),1)&gt;=100000,INDEX($R$1005:$W$1005,1,MATCH(COLUMNS($R$1006:S1006),$R$1006:$W$1006,0))&gt;=100000), " ",IF(INDEX($R$2:$W$1001,MATCH(ROWS($K$2:K106),$K$2:$K$1001,0),MATCH(COLUMNS($R$1006:S1006),$R$1006:$W$1006,0)), HYPERLINK("#",""), HYPERLINK(CONCATENATE("#Metadata!", ADDRESS(INDEX($M$2:$M$1001,MATCH(ROWS($K$2:K106),$K$2:$K$1001,0),0), INDEX($R$1004:$W$1004,1,MATCH(COLUMNS($R$1006:S1006),$R$1006:$W$1006,0)))),"Fix")))</f>
        <v>0</v>
      </c>
      <c r="D106" s="3">
        <f>IF(OR(INDEX($L$2:$L$1001,MATCH(ROWS($K$2:K106),$K$2:$K$1001,0),1)&gt;=100000,INDEX($R$1005:$W$1005,1,MATCH(COLUMNS($R$1006:T1006),$R$1006:$W$1006,0))&gt;=100000), " ",IF(INDEX($R$2:$W$1001,MATCH(ROWS($K$2:K106),$K$2:$K$1001,0),MATCH(COLUMNS($R$1006:T1006),$R$1006:$W$1006,0)), HYPERLINK("#",""), HYPERLINK(CONCATENATE("#Metadata!", ADDRESS(INDEX($M$2:$M$1001,MATCH(ROWS($K$2:K106),$K$2:$K$1001,0),0), INDEX($R$1004:$W$1004,1,MATCH(COLUMNS($R$1006:T1006),$R$1006:$W$1006,0)))),"Fix")))</f>
        <v>0</v>
      </c>
      <c r="E106" s="3">
        <f>IF(OR(INDEX($L$2:$L$1001,MATCH(ROWS($K$2:K106),$K$2:$K$1001,0),1)&gt;=100000,INDEX($R$1005:$W$1005,1,MATCH(COLUMNS($R$1006:U1006),$R$1006:$W$1006,0))&gt;=100000), " ",IF(INDEX($R$2:$W$1001,MATCH(ROWS($K$2:K106),$K$2:$K$1001,0),MATCH(COLUMNS($R$1006:U1006),$R$1006:$W$1006,0)), HYPERLINK("#",""), HYPERLINK(CONCATENATE("#Metadata!", ADDRESS(INDEX($M$2:$M$1001,MATCH(ROWS($K$2:K106),$K$2:$K$1001,0),0), INDEX($R$1004:$W$1004,1,MATCH(COLUMNS($R$1006:U1006),$R$1006:$W$1006,0)))),"Fix")))</f>
        <v>0</v>
      </c>
      <c r="F106" s="3">
        <f>IF(OR(INDEX($L$2:$L$1001,MATCH(ROWS($K$2:K106),$K$2:$K$1001,0),1)&gt;=100000,INDEX($R$1005:$W$1005,1,MATCH(COLUMNS($R$1006:V1006),$R$1006:$W$1006,0))&gt;=100000), " ",IF(INDEX($R$2:$W$1001,MATCH(ROWS($K$2:K106),$K$2:$K$1001,0),MATCH(COLUMNS($R$1006:V1006),$R$1006:$W$1006,0)), HYPERLINK("#",""), HYPERLINK(CONCATENATE("#Metadata!", ADDRESS(INDEX($M$2:$M$1001,MATCH(ROWS($K$2:K106),$K$2:$K$1001,0),0), INDEX($R$1004:$W$1004,1,MATCH(COLUMNS($R$1006:V1006),$R$1006:$W$1006,0)))),"Fix")))</f>
        <v>0</v>
      </c>
      <c r="G106" s="3">
        <f>IF(OR(INDEX($L$2:$L$1001,MATCH(ROWS($K$2:K106),$K$2:$K$1001,0),1)&gt;=100000,INDEX($R$1005:$W$1005,1,MATCH(COLUMNS($R$1006:W1006),$R$1006:$W$1006,0))&gt;=100000), " ",IF(INDEX($R$2:$W$1001,MATCH(ROWS($K$2:K106),$K$2:$K$1001,0),MATCH(COLUMNS($R$1006:W1006),$R$1006:$W$1006,0)), HYPERLINK("#",""), HYPERLINK(CONCATENATE("#Metadata!", ADDRESS(INDEX($M$2:$M$1001,MATCH(ROWS($K$2:K106),$K$2:$K$1001,0),0), INDEX($R$1004:$W$1004,1,MATCH(COLUMNS($R$1006:W1006),$R$1006:$W$1006,0)))),"Fix")))</f>
        <v>0</v>
      </c>
      <c r="K106">
        <v>0</v>
      </c>
      <c r="L106">
        <v>0</v>
      </c>
      <c r="M106">
        <v>0</v>
      </c>
      <c r="N106">
        <f>IF(O106,TRUE,AND(R106:W106))</f>
        <v>0</v>
      </c>
      <c r="O106">
        <f>COUNTBLANK(Metadata!B106:G106)=COLUMNS(Metadata!B106:G106)</f>
        <v>0</v>
      </c>
      <c r="P106">
        <v>0</v>
      </c>
      <c r="R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S106">
        <f>IF(Metadata!C106="",FALSE,TRUE)</f>
        <v>0</v>
      </c>
      <c r="T106">
        <f>IF(Metadata!D106="",FALSE,TRUE)</f>
        <v>0</v>
      </c>
      <c r="U106">
        <f>IF(Metadata!E106="",FALSE,TRUE)</f>
        <v>0</v>
      </c>
      <c r="V106">
        <f>AND(IF(Metadata!F106="",FALSE,TRUE),exact(Metadata!F106,"rat gut metagenome"))</f>
        <v>0</v>
      </c>
      <c r="W106">
        <f>AND(IF(Metadata!G106="",FALSE,TRUE),exact(Metadata!G106,"1436733"))</f>
        <v>0</v>
      </c>
    </row>
    <row r="107" spans="1:23">
      <c r="A107" s="4">
        <f>IF(B107=" "," ",HYPERLINK(CONCATENATE("#metadata!",ADDRESS(INDEX($M$2:$M$1001,MATCH(ROWS($K$2:K107),$K$2:$K$1001,0),0),1)),INDEX($P$2:$P$1001,MATCH(ROWS($K$2:K107),$K$2:$K$1001,0),0)))</f>
        <v>0</v>
      </c>
      <c r="B107" s="3">
        <f>IF(OR(INDEX($L$2:$L$1001,MATCH(ROWS($K$2:K107),$K$2:$K$1001,0),1)&gt;=100000,INDEX($R$1005:$W$1005,1,MATCH(COLUMNS($R$1006:R1006),$R$1006:$W$1006,0))&gt;=100000), " ",IF(INDEX($R$2:$W$1001,MATCH(ROWS($K$2:K107),$K$2:$K$1001,0),MATCH(COLUMNS($R$1006:R1006),$R$1006:$W$1006,0)), HYPERLINK("#",""), HYPERLINK(CONCATENATE("#Metadata!", ADDRESS(INDEX($M$2:$M$1001,MATCH(ROWS($K$2:K107),$K$2:$K$1001,0),0), INDEX($R$1004:$W$1004,1,MATCH(COLUMNS($R$1006:R1006),$R$1006:$W$1006,0)))),"Fix")))</f>
        <v>0</v>
      </c>
      <c r="C107" s="3">
        <f>IF(OR(INDEX($L$2:$L$1001,MATCH(ROWS($K$2:K107),$K$2:$K$1001,0),1)&gt;=100000,INDEX($R$1005:$W$1005,1,MATCH(COLUMNS($R$1006:S1006),$R$1006:$W$1006,0))&gt;=100000), " ",IF(INDEX($R$2:$W$1001,MATCH(ROWS($K$2:K107),$K$2:$K$1001,0),MATCH(COLUMNS($R$1006:S1006),$R$1006:$W$1006,0)), HYPERLINK("#",""), HYPERLINK(CONCATENATE("#Metadata!", ADDRESS(INDEX($M$2:$M$1001,MATCH(ROWS($K$2:K107),$K$2:$K$1001,0),0), INDEX($R$1004:$W$1004,1,MATCH(COLUMNS($R$1006:S1006),$R$1006:$W$1006,0)))),"Fix")))</f>
        <v>0</v>
      </c>
      <c r="D107" s="3">
        <f>IF(OR(INDEX($L$2:$L$1001,MATCH(ROWS($K$2:K107),$K$2:$K$1001,0),1)&gt;=100000,INDEX($R$1005:$W$1005,1,MATCH(COLUMNS($R$1006:T1006),$R$1006:$W$1006,0))&gt;=100000), " ",IF(INDEX($R$2:$W$1001,MATCH(ROWS($K$2:K107),$K$2:$K$1001,0),MATCH(COLUMNS($R$1006:T1006),$R$1006:$W$1006,0)), HYPERLINK("#",""), HYPERLINK(CONCATENATE("#Metadata!", ADDRESS(INDEX($M$2:$M$1001,MATCH(ROWS($K$2:K107),$K$2:$K$1001,0),0), INDEX($R$1004:$W$1004,1,MATCH(COLUMNS($R$1006:T1006),$R$1006:$W$1006,0)))),"Fix")))</f>
        <v>0</v>
      </c>
      <c r="E107" s="3">
        <f>IF(OR(INDEX($L$2:$L$1001,MATCH(ROWS($K$2:K107),$K$2:$K$1001,0),1)&gt;=100000,INDEX($R$1005:$W$1005,1,MATCH(COLUMNS($R$1006:U1006),$R$1006:$W$1006,0))&gt;=100000), " ",IF(INDEX($R$2:$W$1001,MATCH(ROWS($K$2:K107),$K$2:$K$1001,0),MATCH(COLUMNS($R$1006:U1006),$R$1006:$W$1006,0)), HYPERLINK("#",""), HYPERLINK(CONCATENATE("#Metadata!", ADDRESS(INDEX($M$2:$M$1001,MATCH(ROWS($K$2:K107),$K$2:$K$1001,0),0), INDEX($R$1004:$W$1004,1,MATCH(COLUMNS($R$1006:U1006),$R$1006:$W$1006,0)))),"Fix")))</f>
        <v>0</v>
      </c>
      <c r="F107" s="3">
        <f>IF(OR(INDEX($L$2:$L$1001,MATCH(ROWS($K$2:K107),$K$2:$K$1001,0),1)&gt;=100000,INDEX($R$1005:$W$1005,1,MATCH(COLUMNS($R$1006:V1006),$R$1006:$W$1006,0))&gt;=100000), " ",IF(INDEX($R$2:$W$1001,MATCH(ROWS($K$2:K107),$K$2:$K$1001,0),MATCH(COLUMNS($R$1006:V1006),$R$1006:$W$1006,0)), HYPERLINK("#",""), HYPERLINK(CONCATENATE("#Metadata!", ADDRESS(INDEX($M$2:$M$1001,MATCH(ROWS($K$2:K107),$K$2:$K$1001,0),0), INDEX($R$1004:$W$1004,1,MATCH(COLUMNS($R$1006:V1006),$R$1006:$W$1006,0)))),"Fix")))</f>
        <v>0</v>
      </c>
      <c r="G107" s="3">
        <f>IF(OR(INDEX($L$2:$L$1001,MATCH(ROWS($K$2:K107),$K$2:$K$1001,0),1)&gt;=100000,INDEX($R$1005:$W$1005,1,MATCH(COLUMNS($R$1006:W1006),$R$1006:$W$1006,0))&gt;=100000), " ",IF(INDEX($R$2:$W$1001,MATCH(ROWS($K$2:K107),$K$2:$K$1001,0),MATCH(COLUMNS($R$1006:W1006),$R$1006:$W$1006,0)), HYPERLINK("#",""), HYPERLINK(CONCATENATE("#Metadata!", ADDRESS(INDEX($M$2:$M$1001,MATCH(ROWS($K$2:K107),$K$2:$K$1001,0),0), INDEX($R$1004:$W$1004,1,MATCH(COLUMNS($R$1006:W1006),$R$1006:$W$1006,0)))),"Fix")))</f>
        <v>0</v>
      </c>
      <c r="K107">
        <v>0</v>
      </c>
      <c r="L107">
        <v>0</v>
      </c>
      <c r="M107">
        <v>0</v>
      </c>
      <c r="N107">
        <f>IF(O107,TRUE,AND(R107:W107))</f>
        <v>0</v>
      </c>
      <c r="O107">
        <f>COUNTBLANK(Metadata!B107:G107)=COLUMNS(Metadata!B107:G107)</f>
        <v>0</v>
      </c>
      <c r="P107">
        <v>0</v>
      </c>
      <c r="R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S107">
        <f>IF(Metadata!C107="",FALSE,TRUE)</f>
        <v>0</v>
      </c>
      <c r="T107">
        <f>IF(Metadata!D107="",FALSE,TRUE)</f>
        <v>0</v>
      </c>
      <c r="U107">
        <f>IF(Metadata!E107="",FALSE,TRUE)</f>
        <v>0</v>
      </c>
      <c r="V107">
        <f>AND(IF(Metadata!F107="",FALSE,TRUE),exact(Metadata!F107,"rat gut metagenome"))</f>
        <v>0</v>
      </c>
      <c r="W107">
        <f>AND(IF(Metadata!G107="",FALSE,TRUE),exact(Metadata!G107,"1436733"))</f>
        <v>0</v>
      </c>
    </row>
    <row r="108" spans="1:23">
      <c r="A108" s="4">
        <f>IF(B108=" "," ",HYPERLINK(CONCATENATE("#metadata!",ADDRESS(INDEX($M$2:$M$1001,MATCH(ROWS($K$2:K108),$K$2:$K$1001,0),0),1)),INDEX($P$2:$P$1001,MATCH(ROWS($K$2:K108),$K$2:$K$1001,0),0)))</f>
        <v>0</v>
      </c>
      <c r="B108" s="3">
        <f>IF(OR(INDEX($L$2:$L$1001,MATCH(ROWS($K$2:K108),$K$2:$K$1001,0),1)&gt;=100000,INDEX($R$1005:$W$1005,1,MATCH(COLUMNS($R$1006:R1006),$R$1006:$W$1006,0))&gt;=100000), " ",IF(INDEX($R$2:$W$1001,MATCH(ROWS($K$2:K108),$K$2:$K$1001,0),MATCH(COLUMNS($R$1006:R1006),$R$1006:$W$1006,0)), HYPERLINK("#",""), HYPERLINK(CONCATENATE("#Metadata!", ADDRESS(INDEX($M$2:$M$1001,MATCH(ROWS($K$2:K108),$K$2:$K$1001,0),0), INDEX($R$1004:$W$1004,1,MATCH(COLUMNS($R$1006:R1006),$R$1006:$W$1006,0)))),"Fix")))</f>
        <v>0</v>
      </c>
      <c r="C108" s="3">
        <f>IF(OR(INDEX($L$2:$L$1001,MATCH(ROWS($K$2:K108),$K$2:$K$1001,0),1)&gt;=100000,INDEX($R$1005:$W$1005,1,MATCH(COLUMNS($R$1006:S1006),$R$1006:$W$1006,0))&gt;=100000), " ",IF(INDEX($R$2:$W$1001,MATCH(ROWS($K$2:K108),$K$2:$K$1001,0),MATCH(COLUMNS($R$1006:S1006),$R$1006:$W$1006,0)), HYPERLINK("#",""), HYPERLINK(CONCATENATE("#Metadata!", ADDRESS(INDEX($M$2:$M$1001,MATCH(ROWS($K$2:K108),$K$2:$K$1001,0),0), INDEX($R$1004:$W$1004,1,MATCH(COLUMNS($R$1006:S1006),$R$1006:$W$1006,0)))),"Fix")))</f>
        <v>0</v>
      </c>
      <c r="D108" s="3">
        <f>IF(OR(INDEX($L$2:$L$1001,MATCH(ROWS($K$2:K108),$K$2:$K$1001,0),1)&gt;=100000,INDEX($R$1005:$W$1005,1,MATCH(COLUMNS($R$1006:T1006),$R$1006:$W$1006,0))&gt;=100000), " ",IF(INDEX($R$2:$W$1001,MATCH(ROWS($K$2:K108),$K$2:$K$1001,0),MATCH(COLUMNS($R$1006:T1006),$R$1006:$W$1006,0)), HYPERLINK("#",""), HYPERLINK(CONCATENATE("#Metadata!", ADDRESS(INDEX($M$2:$M$1001,MATCH(ROWS($K$2:K108),$K$2:$K$1001,0),0), INDEX($R$1004:$W$1004,1,MATCH(COLUMNS($R$1006:T1006),$R$1006:$W$1006,0)))),"Fix")))</f>
        <v>0</v>
      </c>
      <c r="E108" s="3">
        <f>IF(OR(INDEX($L$2:$L$1001,MATCH(ROWS($K$2:K108),$K$2:$K$1001,0),1)&gt;=100000,INDEX($R$1005:$W$1005,1,MATCH(COLUMNS($R$1006:U1006),$R$1006:$W$1006,0))&gt;=100000), " ",IF(INDEX($R$2:$W$1001,MATCH(ROWS($K$2:K108),$K$2:$K$1001,0),MATCH(COLUMNS($R$1006:U1006),$R$1006:$W$1006,0)), HYPERLINK("#",""), HYPERLINK(CONCATENATE("#Metadata!", ADDRESS(INDEX($M$2:$M$1001,MATCH(ROWS($K$2:K108),$K$2:$K$1001,0),0), INDEX($R$1004:$W$1004,1,MATCH(COLUMNS($R$1006:U1006),$R$1006:$W$1006,0)))),"Fix")))</f>
        <v>0</v>
      </c>
      <c r="F108" s="3">
        <f>IF(OR(INDEX($L$2:$L$1001,MATCH(ROWS($K$2:K108),$K$2:$K$1001,0),1)&gt;=100000,INDEX($R$1005:$W$1005,1,MATCH(COLUMNS($R$1006:V1006),$R$1006:$W$1006,0))&gt;=100000), " ",IF(INDEX($R$2:$W$1001,MATCH(ROWS($K$2:K108),$K$2:$K$1001,0),MATCH(COLUMNS($R$1006:V1006),$R$1006:$W$1006,0)), HYPERLINK("#",""), HYPERLINK(CONCATENATE("#Metadata!", ADDRESS(INDEX($M$2:$M$1001,MATCH(ROWS($K$2:K108),$K$2:$K$1001,0),0), INDEX($R$1004:$W$1004,1,MATCH(COLUMNS($R$1006:V1006),$R$1006:$W$1006,0)))),"Fix")))</f>
        <v>0</v>
      </c>
      <c r="G108" s="3">
        <f>IF(OR(INDEX($L$2:$L$1001,MATCH(ROWS($K$2:K108),$K$2:$K$1001,0),1)&gt;=100000,INDEX($R$1005:$W$1005,1,MATCH(COLUMNS($R$1006:W1006),$R$1006:$W$1006,0))&gt;=100000), " ",IF(INDEX($R$2:$W$1001,MATCH(ROWS($K$2:K108),$K$2:$K$1001,0),MATCH(COLUMNS($R$1006:W1006),$R$1006:$W$1006,0)), HYPERLINK("#",""), HYPERLINK(CONCATENATE("#Metadata!", ADDRESS(INDEX($M$2:$M$1001,MATCH(ROWS($K$2:K108),$K$2:$K$1001,0),0), INDEX($R$1004:$W$1004,1,MATCH(COLUMNS($R$1006:W1006),$R$1006:$W$1006,0)))),"Fix")))</f>
        <v>0</v>
      </c>
      <c r="K108">
        <v>0</v>
      </c>
      <c r="L108">
        <v>0</v>
      </c>
      <c r="M108">
        <v>0</v>
      </c>
      <c r="N108">
        <f>IF(O108,TRUE,AND(R108:W108))</f>
        <v>0</v>
      </c>
      <c r="O108">
        <f>COUNTBLANK(Metadata!B108:G108)=COLUMNS(Metadata!B108:G108)</f>
        <v>0</v>
      </c>
      <c r="P108">
        <v>0</v>
      </c>
      <c r="R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S108">
        <f>IF(Metadata!C108="",FALSE,TRUE)</f>
        <v>0</v>
      </c>
      <c r="T108">
        <f>IF(Metadata!D108="",FALSE,TRUE)</f>
        <v>0</v>
      </c>
      <c r="U108">
        <f>IF(Metadata!E108="",FALSE,TRUE)</f>
        <v>0</v>
      </c>
      <c r="V108">
        <f>AND(IF(Metadata!F108="",FALSE,TRUE),exact(Metadata!F108,"rat gut metagenome"))</f>
        <v>0</v>
      </c>
      <c r="W108">
        <f>AND(IF(Metadata!G108="",FALSE,TRUE),exact(Metadata!G108,"1436733"))</f>
        <v>0</v>
      </c>
    </row>
    <row r="109" spans="1:23">
      <c r="A109" s="4">
        <f>IF(B109=" "," ",HYPERLINK(CONCATENATE("#metadata!",ADDRESS(INDEX($M$2:$M$1001,MATCH(ROWS($K$2:K109),$K$2:$K$1001,0),0),1)),INDEX($P$2:$P$1001,MATCH(ROWS($K$2:K109),$K$2:$K$1001,0),0)))</f>
        <v>0</v>
      </c>
      <c r="B109" s="3">
        <f>IF(OR(INDEX($L$2:$L$1001,MATCH(ROWS($K$2:K109),$K$2:$K$1001,0),1)&gt;=100000,INDEX($R$1005:$W$1005,1,MATCH(COLUMNS($R$1006:R1006),$R$1006:$W$1006,0))&gt;=100000), " ",IF(INDEX($R$2:$W$1001,MATCH(ROWS($K$2:K109),$K$2:$K$1001,0),MATCH(COLUMNS($R$1006:R1006),$R$1006:$W$1006,0)), HYPERLINK("#",""), HYPERLINK(CONCATENATE("#Metadata!", ADDRESS(INDEX($M$2:$M$1001,MATCH(ROWS($K$2:K109),$K$2:$K$1001,0),0), INDEX($R$1004:$W$1004,1,MATCH(COLUMNS($R$1006:R1006),$R$1006:$W$1006,0)))),"Fix")))</f>
        <v>0</v>
      </c>
      <c r="C109" s="3">
        <f>IF(OR(INDEX($L$2:$L$1001,MATCH(ROWS($K$2:K109),$K$2:$K$1001,0),1)&gt;=100000,INDEX($R$1005:$W$1005,1,MATCH(COLUMNS($R$1006:S1006),$R$1006:$W$1006,0))&gt;=100000), " ",IF(INDEX($R$2:$W$1001,MATCH(ROWS($K$2:K109),$K$2:$K$1001,0),MATCH(COLUMNS($R$1006:S1006),$R$1006:$W$1006,0)), HYPERLINK("#",""), HYPERLINK(CONCATENATE("#Metadata!", ADDRESS(INDEX($M$2:$M$1001,MATCH(ROWS($K$2:K109),$K$2:$K$1001,0),0), INDEX($R$1004:$W$1004,1,MATCH(COLUMNS($R$1006:S1006),$R$1006:$W$1006,0)))),"Fix")))</f>
        <v>0</v>
      </c>
      <c r="D109" s="3">
        <f>IF(OR(INDEX($L$2:$L$1001,MATCH(ROWS($K$2:K109),$K$2:$K$1001,0),1)&gt;=100000,INDEX($R$1005:$W$1005,1,MATCH(COLUMNS($R$1006:T1006),$R$1006:$W$1006,0))&gt;=100000), " ",IF(INDEX($R$2:$W$1001,MATCH(ROWS($K$2:K109),$K$2:$K$1001,0),MATCH(COLUMNS($R$1006:T1006),$R$1006:$W$1006,0)), HYPERLINK("#",""), HYPERLINK(CONCATENATE("#Metadata!", ADDRESS(INDEX($M$2:$M$1001,MATCH(ROWS($K$2:K109),$K$2:$K$1001,0),0), INDEX($R$1004:$W$1004,1,MATCH(COLUMNS($R$1006:T1006),$R$1006:$W$1006,0)))),"Fix")))</f>
        <v>0</v>
      </c>
      <c r="E109" s="3">
        <f>IF(OR(INDEX($L$2:$L$1001,MATCH(ROWS($K$2:K109),$K$2:$K$1001,0),1)&gt;=100000,INDEX($R$1005:$W$1005,1,MATCH(COLUMNS($R$1006:U1006),$R$1006:$W$1006,0))&gt;=100000), " ",IF(INDEX($R$2:$W$1001,MATCH(ROWS($K$2:K109),$K$2:$K$1001,0),MATCH(COLUMNS($R$1006:U1006),$R$1006:$W$1006,0)), HYPERLINK("#",""), HYPERLINK(CONCATENATE("#Metadata!", ADDRESS(INDEX($M$2:$M$1001,MATCH(ROWS($K$2:K109),$K$2:$K$1001,0),0), INDEX($R$1004:$W$1004,1,MATCH(COLUMNS($R$1006:U1006),$R$1006:$W$1006,0)))),"Fix")))</f>
        <v>0</v>
      </c>
      <c r="F109" s="3">
        <f>IF(OR(INDEX($L$2:$L$1001,MATCH(ROWS($K$2:K109),$K$2:$K$1001,0),1)&gt;=100000,INDEX($R$1005:$W$1005,1,MATCH(COLUMNS($R$1006:V1006),$R$1006:$W$1006,0))&gt;=100000), " ",IF(INDEX($R$2:$W$1001,MATCH(ROWS($K$2:K109),$K$2:$K$1001,0),MATCH(COLUMNS($R$1006:V1006),$R$1006:$W$1006,0)), HYPERLINK("#",""), HYPERLINK(CONCATENATE("#Metadata!", ADDRESS(INDEX($M$2:$M$1001,MATCH(ROWS($K$2:K109),$K$2:$K$1001,0),0), INDEX($R$1004:$W$1004,1,MATCH(COLUMNS($R$1006:V1006),$R$1006:$W$1006,0)))),"Fix")))</f>
        <v>0</v>
      </c>
      <c r="G109" s="3">
        <f>IF(OR(INDEX($L$2:$L$1001,MATCH(ROWS($K$2:K109),$K$2:$K$1001,0),1)&gt;=100000,INDEX($R$1005:$W$1005,1,MATCH(COLUMNS($R$1006:W1006),$R$1006:$W$1006,0))&gt;=100000), " ",IF(INDEX($R$2:$W$1001,MATCH(ROWS($K$2:K109),$K$2:$K$1001,0),MATCH(COLUMNS($R$1006:W1006),$R$1006:$W$1006,0)), HYPERLINK("#",""), HYPERLINK(CONCATENATE("#Metadata!", ADDRESS(INDEX($M$2:$M$1001,MATCH(ROWS($K$2:K109),$K$2:$K$1001,0),0), INDEX($R$1004:$W$1004,1,MATCH(COLUMNS($R$1006:W1006),$R$1006:$W$1006,0)))),"Fix")))</f>
        <v>0</v>
      </c>
      <c r="K109">
        <v>0</v>
      </c>
      <c r="L109">
        <v>0</v>
      </c>
      <c r="M109">
        <v>0</v>
      </c>
      <c r="N109">
        <f>IF(O109,TRUE,AND(R109:W109))</f>
        <v>0</v>
      </c>
      <c r="O109">
        <f>COUNTBLANK(Metadata!B109:G109)=COLUMNS(Metadata!B109:G109)</f>
        <v>0</v>
      </c>
      <c r="P109">
        <v>0</v>
      </c>
      <c r="R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S109">
        <f>IF(Metadata!C109="",FALSE,TRUE)</f>
        <v>0</v>
      </c>
      <c r="T109">
        <f>IF(Metadata!D109="",FALSE,TRUE)</f>
        <v>0</v>
      </c>
      <c r="U109">
        <f>IF(Metadata!E109="",FALSE,TRUE)</f>
        <v>0</v>
      </c>
      <c r="V109">
        <f>AND(IF(Metadata!F109="",FALSE,TRUE),exact(Metadata!F109,"rat gut metagenome"))</f>
        <v>0</v>
      </c>
      <c r="W109">
        <f>AND(IF(Metadata!G109="",FALSE,TRUE),exact(Metadata!G109,"1436733"))</f>
        <v>0</v>
      </c>
    </row>
    <row r="110" spans="1:23">
      <c r="A110" s="4">
        <f>IF(B110=" "," ",HYPERLINK(CONCATENATE("#metadata!",ADDRESS(INDEX($M$2:$M$1001,MATCH(ROWS($K$2:K110),$K$2:$K$1001,0),0),1)),INDEX($P$2:$P$1001,MATCH(ROWS($K$2:K110),$K$2:$K$1001,0),0)))</f>
        <v>0</v>
      </c>
      <c r="B110" s="3">
        <f>IF(OR(INDEX($L$2:$L$1001,MATCH(ROWS($K$2:K110),$K$2:$K$1001,0),1)&gt;=100000,INDEX($R$1005:$W$1005,1,MATCH(COLUMNS($R$1006:R1006),$R$1006:$W$1006,0))&gt;=100000), " ",IF(INDEX($R$2:$W$1001,MATCH(ROWS($K$2:K110),$K$2:$K$1001,0),MATCH(COLUMNS($R$1006:R1006),$R$1006:$W$1006,0)), HYPERLINK("#",""), HYPERLINK(CONCATENATE("#Metadata!", ADDRESS(INDEX($M$2:$M$1001,MATCH(ROWS($K$2:K110),$K$2:$K$1001,0),0), INDEX($R$1004:$W$1004,1,MATCH(COLUMNS($R$1006:R1006),$R$1006:$W$1006,0)))),"Fix")))</f>
        <v>0</v>
      </c>
      <c r="C110" s="3">
        <f>IF(OR(INDEX($L$2:$L$1001,MATCH(ROWS($K$2:K110),$K$2:$K$1001,0),1)&gt;=100000,INDEX($R$1005:$W$1005,1,MATCH(COLUMNS($R$1006:S1006),$R$1006:$W$1006,0))&gt;=100000), " ",IF(INDEX($R$2:$W$1001,MATCH(ROWS($K$2:K110),$K$2:$K$1001,0),MATCH(COLUMNS($R$1006:S1006),$R$1006:$W$1006,0)), HYPERLINK("#",""), HYPERLINK(CONCATENATE("#Metadata!", ADDRESS(INDEX($M$2:$M$1001,MATCH(ROWS($K$2:K110),$K$2:$K$1001,0),0), INDEX($R$1004:$W$1004,1,MATCH(COLUMNS($R$1006:S1006),$R$1006:$W$1006,0)))),"Fix")))</f>
        <v>0</v>
      </c>
      <c r="D110" s="3">
        <f>IF(OR(INDEX($L$2:$L$1001,MATCH(ROWS($K$2:K110),$K$2:$K$1001,0),1)&gt;=100000,INDEX($R$1005:$W$1005,1,MATCH(COLUMNS($R$1006:T1006),$R$1006:$W$1006,0))&gt;=100000), " ",IF(INDEX($R$2:$W$1001,MATCH(ROWS($K$2:K110),$K$2:$K$1001,0),MATCH(COLUMNS($R$1006:T1006),$R$1006:$W$1006,0)), HYPERLINK("#",""), HYPERLINK(CONCATENATE("#Metadata!", ADDRESS(INDEX($M$2:$M$1001,MATCH(ROWS($K$2:K110),$K$2:$K$1001,0),0), INDEX($R$1004:$W$1004,1,MATCH(COLUMNS($R$1006:T1006),$R$1006:$W$1006,0)))),"Fix")))</f>
        <v>0</v>
      </c>
      <c r="E110" s="3">
        <f>IF(OR(INDEX($L$2:$L$1001,MATCH(ROWS($K$2:K110),$K$2:$K$1001,0),1)&gt;=100000,INDEX($R$1005:$W$1005,1,MATCH(COLUMNS($R$1006:U1006),$R$1006:$W$1006,0))&gt;=100000), " ",IF(INDEX($R$2:$W$1001,MATCH(ROWS($K$2:K110),$K$2:$K$1001,0),MATCH(COLUMNS($R$1006:U1006),$R$1006:$W$1006,0)), HYPERLINK("#",""), HYPERLINK(CONCATENATE("#Metadata!", ADDRESS(INDEX($M$2:$M$1001,MATCH(ROWS($K$2:K110),$K$2:$K$1001,0),0), INDEX($R$1004:$W$1004,1,MATCH(COLUMNS($R$1006:U1006),$R$1006:$W$1006,0)))),"Fix")))</f>
        <v>0</v>
      </c>
      <c r="F110" s="3">
        <f>IF(OR(INDEX($L$2:$L$1001,MATCH(ROWS($K$2:K110),$K$2:$K$1001,0),1)&gt;=100000,INDEX($R$1005:$W$1005,1,MATCH(COLUMNS($R$1006:V1006),$R$1006:$W$1006,0))&gt;=100000), " ",IF(INDEX($R$2:$W$1001,MATCH(ROWS($K$2:K110),$K$2:$K$1001,0),MATCH(COLUMNS($R$1006:V1006),$R$1006:$W$1006,0)), HYPERLINK("#",""), HYPERLINK(CONCATENATE("#Metadata!", ADDRESS(INDEX($M$2:$M$1001,MATCH(ROWS($K$2:K110),$K$2:$K$1001,0),0), INDEX($R$1004:$W$1004,1,MATCH(COLUMNS($R$1006:V1006),$R$1006:$W$1006,0)))),"Fix")))</f>
        <v>0</v>
      </c>
      <c r="G110" s="3">
        <f>IF(OR(INDEX($L$2:$L$1001,MATCH(ROWS($K$2:K110),$K$2:$K$1001,0),1)&gt;=100000,INDEX($R$1005:$W$1005,1,MATCH(COLUMNS($R$1006:W1006),$R$1006:$W$1006,0))&gt;=100000), " ",IF(INDEX($R$2:$W$1001,MATCH(ROWS($K$2:K110),$K$2:$K$1001,0),MATCH(COLUMNS($R$1006:W1006),$R$1006:$W$1006,0)), HYPERLINK("#",""), HYPERLINK(CONCATENATE("#Metadata!", ADDRESS(INDEX($M$2:$M$1001,MATCH(ROWS($K$2:K110),$K$2:$K$1001,0),0), INDEX($R$1004:$W$1004,1,MATCH(COLUMNS($R$1006:W1006),$R$1006:$W$1006,0)))),"Fix")))</f>
        <v>0</v>
      </c>
      <c r="K110">
        <v>0</v>
      </c>
      <c r="L110">
        <v>0</v>
      </c>
      <c r="M110">
        <v>0</v>
      </c>
      <c r="N110">
        <f>IF(O110,TRUE,AND(R110:W110))</f>
        <v>0</v>
      </c>
      <c r="O110">
        <f>COUNTBLANK(Metadata!B110:G110)=COLUMNS(Metadata!B110:G110)</f>
        <v>0</v>
      </c>
      <c r="P110">
        <v>0</v>
      </c>
      <c r="R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S110">
        <f>IF(Metadata!C110="",FALSE,TRUE)</f>
        <v>0</v>
      </c>
      <c r="T110">
        <f>IF(Metadata!D110="",FALSE,TRUE)</f>
        <v>0</v>
      </c>
      <c r="U110">
        <f>IF(Metadata!E110="",FALSE,TRUE)</f>
        <v>0</v>
      </c>
      <c r="V110">
        <f>AND(IF(Metadata!F110="",FALSE,TRUE),exact(Metadata!F110,"rat gut metagenome"))</f>
        <v>0</v>
      </c>
      <c r="W110">
        <f>AND(IF(Metadata!G110="",FALSE,TRUE),exact(Metadata!G110,"1436733"))</f>
        <v>0</v>
      </c>
    </row>
    <row r="111" spans="1:23">
      <c r="A111" s="4">
        <f>IF(B111=" "," ",HYPERLINK(CONCATENATE("#metadata!",ADDRESS(INDEX($M$2:$M$1001,MATCH(ROWS($K$2:K111),$K$2:$K$1001,0),0),1)),INDEX($P$2:$P$1001,MATCH(ROWS($K$2:K111),$K$2:$K$1001,0),0)))</f>
        <v>0</v>
      </c>
      <c r="B111" s="3">
        <f>IF(OR(INDEX($L$2:$L$1001,MATCH(ROWS($K$2:K111),$K$2:$K$1001,0),1)&gt;=100000,INDEX($R$1005:$W$1005,1,MATCH(COLUMNS($R$1006:R1006),$R$1006:$W$1006,0))&gt;=100000), " ",IF(INDEX($R$2:$W$1001,MATCH(ROWS($K$2:K111),$K$2:$K$1001,0),MATCH(COLUMNS($R$1006:R1006),$R$1006:$W$1006,0)), HYPERLINK("#",""), HYPERLINK(CONCATENATE("#Metadata!", ADDRESS(INDEX($M$2:$M$1001,MATCH(ROWS($K$2:K111),$K$2:$K$1001,0),0), INDEX($R$1004:$W$1004,1,MATCH(COLUMNS($R$1006:R1006),$R$1006:$W$1006,0)))),"Fix")))</f>
        <v>0</v>
      </c>
      <c r="C111" s="3">
        <f>IF(OR(INDEX($L$2:$L$1001,MATCH(ROWS($K$2:K111),$K$2:$K$1001,0),1)&gt;=100000,INDEX($R$1005:$W$1005,1,MATCH(COLUMNS($R$1006:S1006),$R$1006:$W$1006,0))&gt;=100000), " ",IF(INDEX($R$2:$W$1001,MATCH(ROWS($K$2:K111),$K$2:$K$1001,0),MATCH(COLUMNS($R$1006:S1006),$R$1006:$W$1006,0)), HYPERLINK("#",""), HYPERLINK(CONCATENATE("#Metadata!", ADDRESS(INDEX($M$2:$M$1001,MATCH(ROWS($K$2:K111),$K$2:$K$1001,0),0), INDEX($R$1004:$W$1004,1,MATCH(COLUMNS($R$1006:S1006),$R$1006:$W$1006,0)))),"Fix")))</f>
        <v>0</v>
      </c>
      <c r="D111" s="3">
        <f>IF(OR(INDEX($L$2:$L$1001,MATCH(ROWS($K$2:K111),$K$2:$K$1001,0),1)&gt;=100000,INDEX($R$1005:$W$1005,1,MATCH(COLUMNS($R$1006:T1006),$R$1006:$W$1006,0))&gt;=100000), " ",IF(INDEX($R$2:$W$1001,MATCH(ROWS($K$2:K111),$K$2:$K$1001,0),MATCH(COLUMNS($R$1006:T1006),$R$1006:$W$1006,0)), HYPERLINK("#",""), HYPERLINK(CONCATENATE("#Metadata!", ADDRESS(INDEX($M$2:$M$1001,MATCH(ROWS($K$2:K111),$K$2:$K$1001,0),0), INDEX($R$1004:$W$1004,1,MATCH(COLUMNS($R$1006:T1006),$R$1006:$W$1006,0)))),"Fix")))</f>
        <v>0</v>
      </c>
      <c r="E111" s="3">
        <f>IF(OR(INDEX($L$2:$L$1001,MATCH(ROWS($K$2:K111),$K$2:$K$1001,0),1)&gt;=100000,INDEX($R$1005:$W$1005,1,MATCH(COLUMNS($R$1006:U1006),$R$1006:$W$1006,0))&gt;=100000), " ",IF(INDEX($R$2:$W$1001,MATCH(ROWS($K$2:K111),$K$2:$K$1001,0),MATCH(COLUMNS($R$1006:U1006),$R$1006:$W$1006,0)), HYPERLINK("#",""), HYPERLINK(CONCATENATE("#Metadata!", ADDRESS(INDEX($M$2:$M$1001,MATCH(ROWS($K$2:K111),$K$2:$K$1001,0),0), INDEX($R$1004:$W$1004,1,MATCH(COLUMNS($R$1006:U1006),$R$1006:$W$1006,0)))),"Fix")))</f>
        <v>0</v>
      </c>
      <c r="F111" s="3">
        <f>IF(OR(INDEX($L$2:$L$1001,MATCH(ROWS($K$2:K111),$K$2:$K$1001,0),1)&gt;=100000,INDEX($R$1005:$W$1005,1,MATCH(COLUMNS($R$1006:V1006),$R$1006:$W$1006,0))&gt;=100000), " ",IF(INDEX($R$2:$W$1001,MATCH(ROWS($K$2:K111),$K$2:$K$1001,0),MATCH(COLUMNS($R$1006:V1006),$R$1006:$W$1006,0)), HYPERLINK("#",""), HYPERLINK(CONCATENATE("#Metadata!", ADDRESS(INDEX($M$2:$M$1001,MATCH(ROWS($K$2:K111),$K$2:$K$1001,0),0), INDEX($R$1004:$W$1004,1,MATCH(COLUMNS($R$1006:V1006),$R$1006:$W$1006,0)))),"Fix")))</f>
        <v>0</v>
      </c>
      <c r="G111" s="3">
        <f>IF(OR(INDEX($L$2:$L$1001,MATCH(ROWS($K$2:K111),$K$2:$K$1001,0),1)&gt;=100000,INDEX($R$1005:$W$1005,1,MATCH(COLUMNS($R$1006:W1006),$R$1006:$W$1006,0))&gt;=100000), " ",IF(INDEX($R$2:$W$1001,MATCH(ROWS($K$2:K111),$K$2:$K$1001,0),MATCH(COLUMNS($R$1006:W1006),$R$1006:$W$1006,0)), HYPERLINK("#",""), HYPERLINK(CONCATENATE("#Metadata!", ADDRESS(INDEX($M$2:$M$1001,MATCH(ROWS($K$2:K111),$K$2:$K$1001,0),0), INDEX($R$1004:$W$1004,1,MATCH(COLUMNS($R$1006:W1006),$R$1006:$W$1006,0)))),"Fix")))</f>
        <v>0</v>
      </c>
      <c r="K111">
        <v>0</v>
      </c>
      <c r="L111">
        <v>0</v>
      </c>
      <c r="M111">
        <v>0</v>
      </c>
      <c r="N111">
        <f>IF(O111,TRUE,AND(R111:W111))</f>
        <v>0</v>
      </c>
      <c r="O111">
        <f>COUNTBLANK(Metadata!B111:G111)=COLUMNS(Metadata!B111:G111)</f>
        <v>0</v>
      </c>
      <c r="P111">
        <v>0</v>
      </c>
      <c r="R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S111">
        <f>IF(Metadata!C111="",FALSE,TRUE)</f>
        <v>0</v>
      </c>
      <c r="T111">
        <f>IF(Metadata!D111="",FALSE,TRUE)</f>
        <v>0</v>
      </c>
      <c r="U111">
        <f>IF(Metadata!E111="",FALSE,TRUE)</f>
        <v>0</v>
      </c>
      <c r="V111">
        <f>AND(IF(Metadata!F111="",FALSE,TRUE),exact(Metadata!F111,"rat gut metagenome"))</f>
        <v>0</v>
      </c>
      <c r="W111">
        <f>AND(IF(Metadata!G111="",FALSE,TRUE),exact(Metadata!G111,"1436733"))</f>
        <v>0</v>
      </c>
    </row>
    <row r="112" spans="1:23">
      <c r="A112" s="4">
        <f>IF(B112=" "," ",HYPERLINK(CONCATENATE("#metadata!",ADDRESS(INDEX($M$2:$M$1001,MATCH(ROWS($K$2:K112),$K$2:$K$1001,0),0),1)),INDEX($P$2:$P$1001,MATCH(ROWS($K$2:K112),$K$2:$K$1001,0),0)))</f>
        <v>0</v>
      </c>
      <c r="B112" s="3">
        <f>IF(OR(INDEX($L$2:$L$1001,MATCH(ROWS($K$2:K112),$K$2:$K$1001,0),1)&gt;=100000,INDEX($R$1005:$W$1005,1,MATCH(COLUMNS($R$1006:R1006),$R$1006:$W$1006,0))&gt;=100000), " ",IF(INDEX($R$2:$W$1001,MATCH(ROWS($K$2:K112),$K$2:$K$1001,0),MATCH(COLUMNS($R$1006:R1006),$R$1006:$W$1006,0)), HYPERLINK("#",""), HYPERLINK(CONCATENATE("#Metadata!", ADDRESS(INDEX($M$2:$M$1001,MATCH(ROWS($K$2:K112),$K$2:$K$1001,0),0), INDEX($R$1004:$W$1004,1,MATCH(COLUMNS($R$1006:R1006),$R$1006:$W$1006,0)))),"Fix")))</f>
        <v>0</v>
      </c>
      <c r="C112" s="3">
        <f>IF(OR(INDEX($L$2:$L$1001,MATCH(ROWS($K$2:K112),$K$2:$K$1001,0),1)&gt;=100000,INDEX($R$1005:$W$1005,1,MATCH(COLUMNS($R$1006:S1006),$R$1006:$W$1006,0))&gt;=100000), " ",IF(INDEX($R$2:$W$1001,MATCH(ROWS($K$2:K112),$K$2:$K$1001,0),MATCH(COLUMNS($R$1006:S1006),$R$1006:$W$1006,0)), HYPERLINK("#",""), HYPERLINK(CONCATENATE("#Metadata!", ADDRESS(INDEX($M$2:$M$1001,MATCH(ROWS($K$2:K112),$K$2:$K$1001,0),0), INDEX($R$1004:$W$1004,1,MATCH(COLUMNS($R$1006:S1006),$R$1006:$W$1006,0)))),"Fix")))</f>
        <v>0</v>
      </c>
      <c r="D112" s="3">
        <f>IF(OR(INDEX($L$2:$L$1001,MATCH(ROWS($K$2:K112),$K$2:$K$1001,0),1)&gt;=100000,INDEX($R$1005:$W$1005,1,MATCH(COLUMNS($R$1006:T1006),$R$1006:$W$1006,0))&gt;=100000), " ",IF(INDEX($R$2:$W$1001,MATCH(ROWS($K$2:K112),$K$2:$K$1001,0),MATCH(COLUMNS($R$1006:T1006),$R$1006:$W$1006,0)), HYPERLINK("#",""), HYPERLINK(CONCATENATE("#Metadata!", ADDRESS(INDEX($M$2:$M$1001,MATCH(ROWS($K$2:K112),$K$2:$K$1001,0),0), INDEX($R$1004:$W$1004,1,MATCH(COLUMNS($R$1006:T1006),$R$1006:$W$1006,0)))),"Fix")))</f>
        <v>0</v>
      </c>
      <c r="E112" s="3">
        <f>IF(OR(INDEX($L$2:$L$1001,MATCH(ROWS($K$2:K112),$K$2:$K$1001,0),1)&gt;=100000,INDEX($R$1005:$W$1005,1,MATCH(COLUMNS($R$1006:U1006),$R$1006:$W$1006,0))&gt;=100000), " ",IF(INDEX($R$2:$W$1001,MATCH(ROWS($K$2:K112),$K$2:$K$1001,0),MATCH(COLUMNS($R$1006:U1006),$R$1006:$W$1006,0)), HYPERLINK("#",""), HYPERLINK(CONCATENATE("#Metadata!", ADDRESS(INDEX($M$2:$M$1001,MATCH(ROWS($K$2:K112),$K$2:$K$1001,0),0), INDEX($R$1004:$W$1004,1,MATCH(COLUMNS($R$1006:U1006),$R$1006:$W$1006,0)))),"Fix")))</f>
        <v>0</v>
      </c>
      <c r="F112" s="3">
        <f>IF(OR(INDEX($L$2:$L$1001,MATCH(ROWS($K$2:K112),$K$2:$K$1001,0),1)&gt;=100000,INDEX($R$1005:$W$1005,1,MATCH(COLUMNS($R$1006:V1006),$R$1006:$W$1006,0))&gt;=100000), " ",IF(INDEX($R$2:$W$1001,MATCH(ROWS($K$2:K112),$K$2:$K$1001,0),MATCH(COLUMNS($R$1006:V1006),$R$1006:$W$1006,0)), HYPERLINK("#",""), HYPERLINK(CONCATENATE("#Metadata!", ADDRESS(INDEX($M$2:$M$1001,MATCH(ROWS($K$2:K112),$K$2:$K$1001,0),0), INDEX($R$1004:$W$1004,1,MATCH(COLUMNS($R$1006:V1006),$R$1006:$W$1006,0)))),"Fix")))</f>
        <v>0</v>
      </c>
      <c r="G112" s="3">
        <f>IF(OR(INDEX($L$2:$L$1001,MATCH(ROWS($K$2:K112),$K$2:$K$1001,0),1)&gt;=100000,INDEX($R$1005:$W$1005,1,MATCH(COLUMNS($R$1006:W1006),$R$1006:$W$1006,0))&gt;=100000), " ",IF(INDEX($R$2:$W$1001,MATCH(ROWS($K$2:K112),$K$2:$K$1001,0),MATCH(COLUMNS($R$1006:W1006),$R$1006:$W$1006,0)), HYPERLINK("#",""), HYPERLINK(CONCATENATE("#Metadata!", ADDRESS(INDEX($M$2:$M$1001,MATCH(ROWS($K$2:K112),$K$2:$K$1001,0),0), INDEX($R$1004:$W$1004,1,MATCH(COLUMNS($R$1006:W1006),$R$1006:$W$1006,0)))),"Fix")))</f>
        <v>0</v>
      </c>
      <c r="K112">
        <v>0</v>
      </c>
      <c r="L112">
        <v>0</v>
      </c>
      <c r="M112">
        <v>0</v>
      </c>
      <c r="N112">
        <f>IF(O112,TRUE,AND(R112:W112))</f>
        <v>0</v>
      </c>
      <c r="O112">
        <f>COUNTBLANK(Metadata!B112:G112)=COLUMNS(Metadata!B112:G112)</f>
        <v>0</v>
      </c>
      <c r="P112">
        <v>0</v>
      </c>
      <c r="R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S112">
        <f>IF(Metadata!C112="",FALSE,TRUE)</f>
        <v>0</v>
      </c>
      <c r="T112">
        <f>IF(Metadata!D112="",FALSE,TRUE)</f>
        <v>0</v>
      </c>
      <c r="U112">
        <f>IF(Metadata!E112="",FALSE,TRUE)</f>
        <v>0</v>
      </c>
      <c r="V112">
        <f>AND(IF(Metadata!F112="",FALSE,TRUE),exact(Metadata!F112,"rat gut metagenome"))</f>
        <v>0</v>
      </c>
      <c r="W112">
        <f>AND(IF(Metadata!G112="",FALSE,TRUE),exact(Metadata!G112,"1436733"))</f>
        <v>0</v>
      </c>
    </row>
    <row r="113" spans="1:23">
      <c r="A113" s="4">
        <f>IF(B113=" "," ",HYPERLINK(CONCATENATE("#metadata!",ADDRESS(INDEX($M$2:$M$1001,MATCH(ROWS($K$2:K113),$K$2:$K$1001,0),0),1)),INDEX($P$2:$P$1001,MATCH(ROWS($K$2:K113),$K$2:$K$1001,0),0)))</f>
        <v>0</v>
      </c>
      <c r="B113" s="3">
        <f>IF(OR(INDEX($L$2:$L$1001,MATCH(ROWS($K$2:K113),$K$2:$K$1001,0),1)&gt;=100000,INDEX($R$1005:$W$1005,1,MATCH(COLUMNS($R$1006:R1006),$R$1006:$W$1006,0))&gt;=100000), " ",IF(INDEX($R$2:$W$1001,MATCH(ROWS($K$2:K113),$K$2:$K$1001,0),MATCH(COLUMNS($R$1006:R1006),$R$1006:$W$1006,0)), HYPERLINK("#",""), HYPERLINK(CONCATENATE("#Metadata!", ADDRESS(INDEX($M$2:$M$1001,MATCH(ROWS($K$2:K113),$K$2:$K$1001,0),0), INDEX($R$1004:$W$1004,1,MATCH(COLUMNS($R$1006:R1006),$R$1006:$W$1006,0)))),"Fix")))</f>
        <v>0</v>
      </c>
      <c r="C113" s="3">
        <f>IF(OR(INDEX($L$2:$L$1001,MATCH(ROWS($K$2:K113),$K$2:$K$1001,0),1)&gt;=100000,INDEX($R$1005:$W$1005,1,MATCH(COLUMNS($R$1006:S1006),$R$1006:$W$1006,0))&gt;=100000), " ",IF(INDEX($R$2:$W$1001,MATCH(ROWS($K$2:K113),$K$2:$K$1001,0),MATCH(COLUMNS($R$1006:S1006),$R$1006:$W$1006,0)), HYPERLINK("#",""), HYPERLINK(CONCATENATE("#Metadata!", ADDRESS(INDEX($M$2:$M$1001,MATCH(ROWS($K$2:K113),$K$2:$K$1001,0),0), INDEX($R$1004:$W$1004,1,MATCH(COLUMNS($R$1006:S1006),$R$1006:$W$1006,0)))),"Fix")))</f>
        <v>0</v>
      </c>
      <c r="D113" s="3">
        <f>IF(OR(INDEX($L$2:$L$1001,MATCH(ROWS($K$2:K113),$K$2:$K$1001,0),1)&gt;=100000,INDEX($R$1005:$W$1005,1,MATCH(COLUMNS($R$1006:T1006),$R$1006:$W$1006,0))&gt;=100000), " ",IF(INDEX($R$2:$W$1001,MATCH(ROWS($K$2:K113),$K$2:$K$1001,0),MATCH(COLUMNS($R$1006:T1006),$R$1006:$W$1006,0)), HYPERLINK("#",""), HYPERLINK(CONCATENATE("#Metadata!", ADDRESS(INDEX($M$2:$M$1001,MATCH(ROWS($K$2:K113),$K$2:$K$1001,0),0), INDEX($R$1004:$W$1004,1,MATCH(COLUMNS($R$1006:T1006),$R$1006:$W$1006,0)))),"Fix")))</f>
        <v>0</v>
      </c>
      <c r="E113" s="3">
        <f>IF(OR(INDEX($L$2:$L$1001,MATCH(ROWS($K$2:K113),$K$2:$K$1001,0),1)&gt;=100000,INDEX($R$1005:$W$1005,1,MATCH(COLUMNS($R$1006:U1006),$R$1006:$W$1006,0))&gt;=100000), " ",IF(INDEX($R$2:$W$1001,MATCH(ROWS($K$2:K113),$K$2:$K$1001,0),MATCH(COLUMNS($R$1006:U1006),$R$1006:$W$1006,0)), HYPERLINK("#",""), HYPERLINK(CONCATENATE("#Metadata!", ADDRESS(INDEX($M$2:$M$1001,MATCH(ROWS($K$2:K113),$K$2:$K$1001,0),0), INDEX($R$1004:$W$1004,1,MATCH(COLUMNS($R$1006:U1006),$R$1006:$W$1006,0)))),"Fix")))</f>
        <v>0</v>
      </c>
      <c r="F113" s="3">
        <f>IF(OR(INDEX($L$2:$L$1001,MATCH(ROWS($K$2:K113),$K$2:$K$1001,0),1)&gt;=100000,INDEX($R$1005:$W$1005,1,MATCH(COLUMNS($R$1006:V1006),$R$1006:$W$1006,0))&gt;=100000), " ",IF(INDEX($R$2:$W$1001,MATCH(ROWS($K$2:K113),$K$2:$K$1001,0),MATCH(COLUMNS($R$1006:V1006),$R$1006:$W$1006,0)), HYPERLINK("#",""), HYPERLINK(CONCATENATE("#Metadata!", ADDRESS(INDEX($M$2:$M$1001,MATCH(ROWS($K$2:K113),$K$2:$K$1001,0),0), INDEX($R$1004:$W$1004,1,MATCH(COLUMNS($R$1006:V1006),$R$1006:$W$1006,0)))),"Fix")))</f>
        <v>0</v>
      </c>
      <c r="G113" s="3">
        <f>IF(OR(INDEX($L$2:$L$1001,MATCH(ROWS($K$2:K113),$K$2:$K$1001,0),1)&gt;=100000,INDEX($R$1005:$W$1005,1,MATCH(COLUMNS($R$1006:W1006),$R$1006:$W$1006,0))&gt;=100000), " ",IF(INDEX($R$2:$W$1001,MATCH(ROWS($K$2:K113),$K$2:$K$1001,0),MATCH(COLUMNS($R$1006:W1006),$R$1006:$W$1006,0)), HYPERLINK("#",""), HYPERLINK(CONCATENATE("#Metadata!", ADDRESS(INDEX($M$2:$M$1001,MATCH(ROWS($K$2:K113),$K$2:$K$1001,0),0), INDEX($R$1004:$W$1004,1,MATCH(COLUMNS($R$1006:W1006),$R$1006:$W$1006,0)))),"Fix")))</f>
        <v>0</v>
      </c>
      <c r="K113">
        <v>0</v>
      </c>
      <c r="L113">
        <v>0</v>
      </c>
      <c r="M113">
        <v>0</v>
      </c>
      <c r="N113">
        <f>IF(O113,TRUE,AND(R113:W113))</f>
        <v>0</v>
      </c>
      <c r="O113">
        <f>COUNTBLANK(Metadata!B113:G113)=COLUMNS(Metadata!B113:G113)</f>
        <v>0</v>
      </c>
      <c r="P113">
        <v>0</v>
      </c>
      <c r="R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S113">
        <f>IF(Metadata!C113="",FALSE,TRUE)</f>
        <v>0</v>
      </c>
      <c r="T113">
        <f>IF(Metadata!D113="",FALSE,TRUE)</f>
        <v>0</v>
      </c>
      <c r="U113">
        <f>IF(Metadata!E113="",FALSE,TRUE)</f>
        <v>0</v>
      </c>
      <c r="V113">
        <f>AND(IF(Metadata!F113="",FALSE,TRUE),exact(Metadata!F113,"rat gut metagenome"))</f>
        <v>0</v>
      </c>
      <c r="W113">
        <f>AND(IF(Metadata!G113="",FALSE,TRUE),exact(Metadata!G113,"1436733"))</f>
        <v>0</v>
      </c>
    </row>
    <row r="114" spans="1:23">
      <c r="A114" s="4">
        <f>IF(B114=" "," ",HYPERLINK(CONCATENATE("#metadata!",ADDRESS(INDEX($M$2:$M$1001,MATCH(ROWS($K$2:K114),$K$2:$K$1001,0),0),1)),INDEX($P$2:$P$1001,MATCH(ROWS($K$2:K114),$K$2:$K$1001,0),0)))</f>
        <v>0</v>
      </c>
      <c r="B114" s="3">
        <f>IF(OR(INDEX($L$2:$L$1001,MATCH(ROWS($K$2:K114),$K$2:$K$1001,0),1)&gt;=100000,INDEX($R$1005:$W$1005,1,MATCH(COLUMNS($R$1006:R1006),$R$1006:$W$1006,0))&gt;=100000), " ",IF(INDEX($R$2:$W$1001,MATCH(ROWS($K$2:K114),$K$2:$K$1001,0),MATCH(COLUMNS($R$1006:R1006),$R$1006:$W$1006,0)), HYPERLINK("#",""), HYPERLINK(CONCATENATE("#Metadata!", ADDRESS(INDEX($M$2:$M$1001,MATCH(ROWS($K$2:K114),$K$2:$K$1001,0),0), INDEX($R$1004:$W$1004,1,MATCH(COLUMNS($R$1006:R1006),$R$1006:$W$1006,0)))),"Fix")))</f>
        <v>0</v>
      </c>
      <c r="C114" s="3">
        <f>IF(OR(INDEX($L$2:$L$1001,MATCH(ROWS($K$2:K114),$K$2:$K$1001,0),1)&gt;=100000,INDEX($R$1005:$W$1005,1,MATCH(COLUMNS($R$1006:S1006),$R$1006:$W$1006,0))&gt;=100000), " ",IF(INDEX($R$2:$W$1001,MATCH(ROWS($K$2:K114),$K$2:$K$1001,0),MATCH(COLUMNS($R$1006:S1006),$R$1006:$W$1006,0)), HYPERLINK("#",""), HYPERLINK(CONCATENATE("#Metadata!", ADDRESS(INDEX($M$2:$M$1001,MATCH(ROWS($K$2:K114),$K$2:$K$1001,0),0), INDEX($R$1004:$W$1004,1,MATCH(COLUMNS($R$1006:S1006),$R$1006:$W$1006,0)))),"Fix")))</f>
        <v>0</v>
      </c>
      <c r="D114" s="3">
        <f>IF(OR(INDEX($L$2:$L$1001,MATCH(ROWS($K$2:K114),$K$2:$K$1001,0),1)&gt;=100000,INDEX($R$1005:$W$1005,1,MATCH(COLUMNS($R$1006:T1006),$R$1006:$W$1006,0))&gt;=100000), " ",IF(INDEX($R$2:$W$1001,MATCH(ROWS($K$2:K114),$K$2:$K$1001,0),MATCH(COLUMNS($R$1006:T1006),$R$1006:$W$1006,0)), HYPERLINK("#",""), HYPERLINK(CONCATENATE("#Metadata!", ADDRESS(INDEX($M$2:$M$1001,MATCH(ROWS($K$2:K114),$K$2:$K$1001,0),0), INDEX($R$1004:$W$1004,1,MATCH(COLUMNS($R$1006:T1006),$R$1006:$W$1006,0)))),"Fix")))</f>
        <v>0</v>
      </c>
      <c r="E114" s="3">
        <f>IF(OR(INDEX($L$2:$L$1001,MATCH(ROWS($K$2:K114),$K$2:$K$1001,0),1)&gt;=100000,INDEX($R$1005:$W$1005,1,MATCH(COLUMNS($R$1006:U1006),$R$1006:$W$1006,0))&gt;=100000), " ",IF(INDEX($R$2:$W$1001,MATCH(ROWS($K$2:K114),$K$2:$K$1001,0),MATCH(COLUMNS($R$1006:U1006),$R$1006:$W$1006,0)), HYPERLINK("#",""), HYPERLINK(CONCATENATE("#Metadata!", ADDRESS(INDEX($M$2:$M$1001,MATCH(ROWS($K$2:K114),$K$2:$K$1001,0),0), INDEX($R$1004:$W$1004,1,MATCH(COLUMNS($R$1006:U1006),$R$1006:$W$1006,0)))),"Fix")))</f>
        <v>0</v>
      </c>
      <c r="F114" s="3">
        <f>IF(OR(INDEX($L$2:$L$1001,MATCH(ROWS($K$2:K114),$K$2:$K$1001,0),1)&gt;=100000,INDEX($R$1005:$W$1005,1,MATCH(COLUMNS($R$1006:V1006),$R$1006:$W$1006,0))&gt;=100000), " ",IF(INDEX($R$2:$W$1001,MATCH(ROWS($K$2:K114),$K$2:$K$1001,0),MATCH(COLUMNS($R$1006:V1006),$R$1006:$W$1006,0)), HYPERLINK("#",""), HYPERLINK(CONCATENATE("#Metadata!", ADDRESS(INDEX($M$2:$M$1001,MATCH(ROWS($K$2:K114),$K$2:$K$1001,0),0), INDEX($R$1004:$W$1004,1,MATCH(COLUMNS($R$1006:V1006),$R$1006:$W$1006,0)))),"Fix")))</f>
        <v>0</v>
      </c>
      <c r="G114" s="3">
        <f>IF(OR(INDEX($L$2:$L$1001,MATCH(ROWS($K$2:K114),$K$2:$K$1001,0),1)&gt;=100000,INDEX($R$1005:$W$1005,1,MATCH(COLUMNS($R$1006:W1006),$R$1006:$W$1006,0))&gt;=100000), " ",IF(INDEX($R$2:$W$1001,MATCH(ROWS($K$2:K114),$K$2:$K$1001,0),MATCH(COLUMNS($R$1006:W1006),$R$1006:$W$1006,0)), HYPERLINK("#",""), HYPERLINK(CONCATENATE("#Metadata!", ADDRESS(INDEX($M$2:$M$1001,MATCH(ROWS($K$2:K114),$K$2:$K$1001,0),0), INDEX($R$1004:$W$1004,1,MATCH(COLUMNS($R$1006:W1006),$R$1006:$W$1006,0)))),"Fix")))</f>
        <v>0</v>
      </c>
      <c r="K114">
        <v>0</v>
      </c>
      <c r="L114">
        <v>0</v>
      </c>
      <c r="M114">
        <v>0</v>
      </c>
      <c r="N114">
        <f>IF(O114,TRUE,AND(R114:W114))</f>
        <v>0</v>
      </c>
      <c r="O114">
        <f>COUNTBLANK(Metadata!B114:G114)=COLUMNS(Metadata!B114:G114)</f>
        <v>0</v>
      </c>
      <c r="P114">
        <v>0</v>
      </c>
      <c r="R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S114">
        <f>IF(Metadata!C114="",FALSE,TRUE)</f>
        <v>0</v>
      </c>
      <c r="T114">
        <f>IF(Metadata!D114="",FALSE,TRUE)</f>
        <v>0</v>
      </c>
      <c r="U114">
        <f>IF(Metadata!E114="",FALSE,TRUE)</f>
        <v>0</v>
      </c>
      <c r="V114">
        <f>AND(IF(Metadata!F114="",FALSE,TRUE),exact(Metadata!F114,"rat gut metagenome"))</f>
        <v>0</v>
      </c>
      <c r="W114">
        <f>AND(IF(Metadata!G114="",FALSE,TRUE),exact(Metadata!G114,"1436733"))</f>
        <v>0</v>
      </c>
    </row>
    <row r="115" spans="1:23">
      <c r="A115" s="4">
        <f>IF(B115=" "," ",HYPERLINK(CONCATENATE("#metadata!",ADDRESS(INDEX($M$2:$M$1001,MATCH(ROWS($K$2:K115),$K$2:$K$1001,0),0),1)),INDEX($P$2:$P$1001,MATCH(ROWS($K$2:K115),$K$2:$K$1001,0),0)))</f>
        <v>0</v>
      </c>
      <c r="B115" s="3">
        <f>IF(OR(INDEX($L$2:$L$1001,MATCH(ROWS($K$2:K115),$K$2:$K$1001,0),1)&gt;=100000,INDEX($R$1005:$W$1005,1,MATCH(COLUMNS($R$1006:R1006),$R$1006:$W$1006,0))&gt;=100000), " ",IF(INDEX($R$2:$W$1001,MATCH(ROWS($K$2:K115),$K$2:$K$1001,0),MATCH(COLUMNS($R$1006:R1006),$R$1006:$W$1006,0)), HYPERLINK("#",""), HYPERLINK(CONCATENATE("#Metadata!", ADDRESS(INDEX($M$2:$M$1001,MATCH(ROWS($K$2:K115),$K$2:$K$1001,0),0), INDEX($R$1004:$W$1004,1,MATCH(COLUMNS($R$1006:R1006),$R$1006:$W$1006,0)))),"Fix")))</f>
        <v>0</v>
      </c>
      <c r="C115" s="3">
        <f>IF(OR(INDEX($L$2:$L$1001,MATCH(ROWS($K$2:K115),$K$2:$K$1001,0),1)&gt;=100000,INDEX($R$1005:$W$1005,1,MATCH(COLUMNS($R$1006:S1006),$R$1006:$W$1006,0))&gt;=100000), " ",IF(INDEX($R$2:$W$1001,MATCH(ROWS($K$2:K115),$K$2:$K$1001,0),MATCH(COLUMNS($R$1006:S1006),$R$1006:$W$1006,0)), HYPERLINK("#",""), HYPERLINK(CONCATENATE("#Metadata!", ADDRESS(INDEX($M$2:$M$1001,MATCH(ROWS($K$2:K115),$K$2:$K$1001,0),0), INDEX($R$1004:$W$1004,1,MATCH(COLUMNS($R$1006:S1006),$R$1006:$W$1006,0)))),"Fix")))</f>
        <v>0</v>
      </c>
      <c r="D115" s="3">
        <f>IF(OR(INDEX($L$2:$L$1001,MATCH(ROWS($K$2:K115),$K$2:$K$1001,0),1)&gt;=100000,INDEX($R$1005:$W$1005,1,MATCH(COLUMNS($R$1006:T1006),$R$1006:$W$1006,0))&gt;=100000), " ",IF(INDEX($R$2:$W$1001,MATCH(ROWS($K$2:K115),$K$2:$K$1001,0),MATCH(COLUMNS($R$1006:T1006),$R$1006:$W$1006,0)), HYPERLINK("#",""), HYPERLINK(CONCATENATE("#Metadata!", ADDRESS(INDEX($M$2:$M$1001,MATCH(ROWS($K$2:K115),$K$2:$K$1001,0),0), INDEX($R$1004:$W$1004,1,MATCH(COLUMNS($R$1006:T1006),$R$1006:$W$1006,0)))),"Fix")))</f>
        <v>0</v>
      </c>
      <c r="E115" s="3">
        <f>IF(OR(INDEX($L$2:$L$1001,MATCH(ROWS($K$2:K115),$K$2:$K$1001,0),1)&gt;=100000,INDEX($R$1005:$W$1005,1,MATCH(COLUMNS($R$1006:U1006),$R$1006:$W$1006,0))&gt;=100000), " ",IF(INDEX($R$2:$W$1001,MATCH(ROWS($K$2:K115),$K$2:$K$1001,0),MATCH(COLUMNS($R$1006:U1006),$R$1006:$W$1006,0)), HYPERLINK("#",""), HYPERLINK(CONCATENATE("#Metadata!", ADDRESS(INDEX($M$2:$M$1001,MATCH(ROWS($K$2:K115),$K$2:$K$1001,0),0), INDEX($R$1004:$W$1004,1,MATCH(COLUMNS($R$1006:U1006),$R$1006:$W$1006,0)))),"Fix")))</f>
        <v>0</v>
      </c>
      <c r="F115" s="3">
        <f>IF(OR(INDEX($L$2:$L$1001,MATCH(ROWS($K$2:K115),$K$2:$K$1001,0),1)&gt;=100000,INDEX($R$1005:$W$1005,1,MATCH(COLUMNS($R$1006:V1006),$R$1006:$W$1006,0))&gt;=100000), " ",IF(INDEX($R$2:$W$1001,MATCH(ROWS($K$2:K115),$K$2:$K$1001,0),MATCH(COLUMNS($R$1006:V1006),$R$1006:$W$1006,0)), HYPERLINK("#",""), HYPERLINK(CONCATENATE("#Metadata!", ADDRESS(INDEX($M$2:$M$1001,MATCH(ROWS($K$2:K115),$K$2:$K$1001,0),0), INDEX($R$1004:$W$1004,1,MATCH(COLUMNS($R$1006:V1006),$R$1006:$W$1006,0)))),"Fix")))</f>
        <v>0</v>
      </c>
      <c r="G115" s="3">
        <f>IF(OR(INDEX($L$2:$L$1001,MATCH(ROWS($K$2:K115),$K$2:$K$1001,0),1)&gt;=100000,INDEX($R$1005:$W$1005,1,MATCH(COLUMNS($R$1006:W1006),$R$1006:$W$1006,0))&gt;=100000), " ",IF(INDEX($R$2:$W$1001,MATCH(ROWS($K$2:K115),$K$2:$K$1001,0),MATCH(COLUMNS($R$1006:W1006),$R$1006:$W$1006,0)), HYPERLINK("#",""), HYPERLINK(CONCATENATE("#Metadata!", ADDRESS(INDEX($M$2:$M$1001,MATCH(ROWS($K$2:K115),$K$2:$K$1001,0),0), INDEX($R$1004:$W$1004,1,MATCH(COLUMNS($R$1006:W1006),$R$1006:$W$1006,0)))),"Fix")))</f>
        <v>0</v>
      </c>
      <c r="K115">
        <v>0</v>
      </c>
      <c r="L115">
        <v>0</v>
      </c>
      <c r="M115">
        <v>0</v>
      </c>
      <c r="N115">
        <f>IF(O115,TRUE,AND(R115:W115))</f>
        <v>0</v>
      </c>
      <c r="O115">
        <f>COUNTBLANK(Metadata!B115:G115)=COLUMNS(Metadata!B115:G115)</f>
        <v>0</v>
      </c>
      <c r="P115">
        <v>0</v>
      </c>
      <c r="R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S115">
        <f>IF(Metadata!C115="",FALSE,TRUE)</f>
        <v>0</v>
      </c>
      <c r="T115">
        <f>IF(Metadata!D115="",FALSE,TRUE)</f>
        <v>0</v>
      </c>
      <c r="U115">
        <f>IF(Metadata!E115="",FALSE,TRUE)</f>
        <v>0</v>
      </c>
      <c r="V115">
        <f>AND(IF(Metadata!F115="",FALSE,TRUE),exact(Metadata!F115,"rat gut metagenome"))</f>
        <v>0</v>
      </c>
      <c r="W115">
        <f>AND(IF(Metadata!G115="",FALSE,TRUE),exact(Metadata!G115,"1436733"))</f>
        <v>0</v>
      </c>
    </row>
    <row r="116" spans="1:23">
      <c r="A116" s="4">
        <f>IF(B116=" "," ",HYPERLINK(CONCATENATE("#metadata!",ADDRESS(INDEX($M$2:$M$1001,MATCH(ROWS($K$2:K116),$K$2:$K$1001,0),0),1)),INDEX($P$2:$P$1001,MATCH(ROWS($K$2:K116),$K$2:$K$1001,0),0)))</f>
        <v>0</v>
      </c>
      <c r="B116" s="3">
        <f>IF(OR(INDEX($L$2:$L$1001,MATCH(ROWS($K$2:K116),$K$2:$K$1001,0),1)&gt;=100000,INDEX($R$1005:$W$1005,1,MATCH(COLUMNS($R$1006:R1006),$R$1006:$W$1006,0))&gt;=100000), " ",IF(INDEX($R$2:$W$1001,MATCH(ROWS($K$2:K116),$K$2:$K$1001,0),MATCH(COLUMNS($R$1006:R1006),$R$1006:$W$1006,0)), HYPERLINK("#",""), HYPERLINK(CONCATENATE("#Metadata!", ADDRESS(INDEX($M$2:$M$1001,MATCH(ROWS($K$2:K116),$K$2:$K$1001,0),0), INDEX($R$1004:$W$1004,1,MATCH(COLUMNS($R$1006:R1006),$R$1006:$W$1006,0)))),"Fix")))</f>
        <v>0</v>
      </c>
      <c r="C116" s="3">
        <f>IF(OR(INDEX($L$2:$L$1001,MATCH(ROWS($K$2:K116),$K$2:$K$1001,0),1)&gt;=100000,INDEX($R$1005:$W$1005,1,MATCH(COLUMNS($R$1006:S1006),$R$1006:$W$1006,0))&gt;=100000), " ",IF(INDEX($R$2:$W$1001,MATCH(ROWS($K$2:K116),$K$2:$K$1001,0),MATCH(COLUMNS($R$1006:S1006),$R$1006:$W$1006,0)), HYPERLINK("#",""), HYPERLINK(CONCATENATE("#Metadata!", ADDRESS(INDEX($M$2:$M$1001,MATCH(ROWS($K$2:K116),$K$2:$K$1001,0),0), INDEX($R$1004:$W$1004,1,MATCH(COLUMNS($R$1006:S1006),$R$1006:$W$1006,0)))),"Fix")))</f>
        <v>0</v>
      </c>
      <c r="D116" s="3">
        <f>IF(OR(INDEX($L$2:$L$1001,MATCH(ROWS($K$2:K116),$K$2:$K$1001,0),1)&gt;=100000,INDEX($R$1005:$W$1005,1,MATCH(COLUMNS($R$1006:T1006),$R$1006:$W$1006,0))&gt;=100000), " ",IF(INDEX($R$2:$W$1001,MATCH(ROWS($K$2:K116),$K$2:$K$1001,0),MATCH(COLUMNS($R$1006:T1006),$R$1006:$W$1006,0)), HYPERLINK("#",""), HYPERLINK(CONCATENATE("#Metadata!", ADDRESS(INDEX($M$2:$M$1001,MATCH(ROWS($K$2:K116),$K$2:$K$1001,0),0), INDEX($R$1004:$W$1004,1,MATCH(COLUMNS($R$1006:T1006),$R$1006:$W$1006,0)))),"Fix")))</f>
        <v>0</v>
      </c>
      <c r="E116" s="3">
        <f>IF(OR(INDEX($L$2:$L$1001,MATCH(ROWS($K$2:K116),$K$2:$K$1001,0),1)&gt;=100000,INDEX($R$1005:$W$1005,1,MATCH(COLUMNS($R$1006:U1006),$R$1006:$W$1006,0))&gt;=100000), " ",IF(INDEX($R$2:$W$1001,MATCH(ROWS($K$2:K116),$K$2:$K$1001,0),MATCH(COLUMNS($R$1006:U1006),$R$1006:$W$1006,0)), HYPERLINK("#",""), HYPERLINK(CONCATENATE("#Metadata!", ADDRESS(INDEX($M$2:$M$1001,MATCH(ROWS($K$2:K116),$K$2:$K$1001,0),0), INDEX($R$1004:$W$1004,1,MATCH(COLUMNS($R$1006:U1006),$R$1006:$W$1006,0)))),"Fix")))</f>
        <v>0</v>
      </c>
      <c r="F116" s="3">
        <f>IF(OR(INDEX($L$2:$L$1001,MATCH(ROWS($K$2:K116),$K$2:$K$1001,0),1)&gt;=100000,INDEX($R$1005:$W$1005,1,MATCH(COLUMNS($R$1006:V1006),$R$1006:$W$1006,0))&gt;=100000), " ",IF(INDEX($R$2:$W$1001,MATCH(ROWS($K$2:K116),$K$2:$K$1001,0),MATCH(COLUMNS($R$1006:V1006),$R$1006:$W$1006,0)), HYPERLINK("#",""), HYPERLINK(CONCATENATE("#Metadata!", ADDRESS(INDEX($M$2:$M$1001,MATCH(ROWS($K$2:K116),$K$2:$K$1001,0),0), INDEX($R$1004:$W$1004,1,MATCH(COLUMNS($R$1006:V1006),$R$1006:$W$1006,0)))),"Fix")))</f>
        <v>0</v>
      </c>
      <c r="G116" s="3">
        <f>IF(OR(INDEX($L$2:$L$1001,MATCH(ROWS($K$2:K116),$K$2:$K$1001,0),1)&gt;=100000,INDEX($R$1005:$W$1005,1,MATCH(COLUMNS($R$1006:W1006),$R$1006:$W$1006,0))&gt;=100000), " ",IF(INDEX($R$2:$W$1001,MATCH(ROWS($K$2:K116),$K$2:$K$1001,0),MATCH(COLUMNS($R$1006:W1006),$R$1006:$W$1006,0)), HYPERLINK("#",""), HYPERLINK(CONCATENATE("#Metadata!", ADDRESS(INDEX($M$2:$M$1001,MATCH(ROWS($K$2:K116),$K$2:$K$1001,0),0), INDEX($R$1004:$W$1004,1,MATCH(COLUMNS($R$1006:W1006),$R$1006:$W$1006,0)))),"Fix")))</f>
        <v>0</v>
      </c>
      <c r="K116">
        <v>0</v>
      </c>
      <c r="L116">
        <v>0</v>
      </c>
      <c r="M116">
        <v>0</v>
      </c>
      <c r="N116">
        <f>IF(O116,TRUE,AND(R116:W116))</f>
        <v>0</v>
      </c>
      <c r="O116">
        <f>COUNTBLANK(Metadata!B116:G116)=COLUMNS(Metadata!B116:G116)</f>
        <v>0</v>
      </c>
      <c r="P116">
        <v>0</v>
      </c>
      <c r="R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S116">
        <f>IF(Metadata!C116="",FALSE,TRUE)</f>
        <v>0</v>
      </c>
      <c r="T116">
        <f>IF(Metadata!D116="",FALSE,TRUE)</f>
        <v>0</v>
      </c>
      <c r="U116">
        <f>IF(Metadata!E116="",FALSE,TRUE)</f>
        <v>0</v>
      </c>
      <c r="V116">
        <f>AND(IF(Metadata!F116="",FALSE,TRUE),exact(Metadata!F116,"rat gut metagenome"))</f>
        <v>0</v>
      </c>
      <c r="W116">
        <f>AND(IF(Metadata!G116="",FALSE,TRUE),exact(Metadata!G116,"1436733"))</f>
        <v>0</v>
      </c>
    </row>
    <row r="117" spans="1:23">
      <c r="A117" s="4">
        <f>IF(B117=" "," ",HYPERLINK(CONCATENATE("#metadata!",ADDRESS(INDEX($M$2:$M$1001,MATCH(ROWS($K$2:K117),$K$2:$K$1001,0),0),1)),INDEX($P$2:$P$1001,MATCH(ROWS($K$2:K117),$K$2:$K$1001,0),0)))</f>
        <v>0</v>
      </c>
      <c r="B117" s="3">
        <f>IF(OR(INDEX($L$2:$L$1001,MATCH(ROWS($K$2:K117),$K$2:$K$1001,0),1)&gt;=100000,INDEX($R$1005:$W$1005,1,MATCH(COLUMNS($R$1006:R1006),$R$1006:$W$1006,0))&gt;=100000), " ",IF(INDEX($R$2:$W$1001,MATCH(ROWS($K$2:K117),$K$2:$K$1001,0),MATCH(COLUMNS($R$1006:R1006),$R$1006:$W$1006,0)), HYPERLINK("#",""), HYPERLINK(CONCATENATE("#Metadata!", ADDRESS(INDEX($M$2:$M$1001,MATCH(ROWS($K$2:K117),$K$2:$K$1001,0),0), INDEX($R$1004:$W$1004,1,MATCH(COLUMNS($R$1006:R1006),$R$1006:$W$1006,0)))),"Fix")))</f>
        <v>0</v>
      </c>
      <c r="C117" s="3">
        <f>IF(OR(INDEX($L$2:$L$1001,MATCH(ROWS($K$2:K117),$K$2:$K$1001,0),1)&gt;=100000,INDEX($R$1005:$W$1005,1,MATCH(COLUMNS($R$1006:S1006),$R$1006:$W$1006,0))&gt;=100000), " ",IF(INDEX($R$2:$W$1001,MATCH(ROWS($K$2:K117),$K$2:$K$1001,0),MATCH(COLUMNS($R$1006:S1006),$R$1006:$W$1006,0)), HYPERLINK("#",""), HYPERLINK(CONCATENATE("#Metadata!", ADDRESS(INDEX($M$2:$M$1001,MATCH(ROWS($K$2:K117),$K$2:$K$1001,0),0), INDEX($R$1004:$W$1004,1,MATCH(COLUMNS($R$1006:S1006),$R$1006:$W$1006,0)))),"Fix")))</f>
        <v>0</v>
      </c>
      <c r="D117" s="3">
        <f>IF(OR(INDEX($L$2:$L$1001,MATCH(ROWS($K$2:K117),$K$2:$K$1001,0),1)&gt;=100000,INDEX($R$1005:$W$1005,1,MATCH(COLUMNS($R$1006:T1006),$R$1006:$W$1006,0))&gt;=100000), " ",IF(INDEX($R$2:$W$1001,MATCH(ROWS($K$2:K117),$K$2:$K$1001,0),MATCH(COLUMNS($R$1006:T1006),$R$1006:$W$1006,0)), HYPERLINK("#",""), HYPERLINK(CONCATENATE("#Metadata!", ADDRESS(INDEX($M$2:$M$1001,MATCH(ROWS($K$2:K117),$K$2:$K$1001,0),0), INDEX($R$1004:$W$1004,1,MATCH(COLUMNS($R$1006:T1006),$R$1006:$W$1006,0)))),"Fix")))</f>
        <v>0</v>
      </c>
      <c r="E117" s="3">
        <f>IF(OR(INDEX($L$2:$L$1001,MATCH(ROWS($K$2:K117),$K$2:$K$1001,0),1)&gt;=100000,INDEX($R$1005:$W$1005,1,MATCH(COLUMNS($R$1006:U1006),$R$1006:$W$1006,0))&gt;=100000), " ",IF(INDEX($R$2:$W$1001,MATCH(ROWS($K$2:K117),$K$2:$K$1001,0),MATCH(COLUMNS($R$1006:U1006),$R$1006:$W$1006,0)), HYPERLINK("#",""), HYPERLINK(CONCATENATE("#Metadata!", ADDRESS(INDEX($M$2:$M$1001,MATCH(ROWS($K$2:K117),$K$2:$K$1001,0),0), INDEX($R$1004:$W$1004,1,MATCH(COLUMNS($R$1006:U1006),$R$1006:$W$1006,0)))),"Fix")))</f>
        <v>0</v>
      </c>
      <c r="F117" s="3">
        <f>IF(OR(INDEX($L$2:$L$1001,MATCH(ROWS($K$2:K117),$K$2:$K$1001,0),1)&gt;=100000,INDEX($R$1005:$W$1005,1,MATCH(COLUMNS($R$1006:V1006),$R$1006:$W$1006,0))&gt;=100000), " ",IF(INDEX($R$2:$W$1001,MATCH(ROWS($K$2:K117),$K$2:$K$1001,0),MATCH(COLUMNS($R$1006:V1006),$R$1006:$W$1006,0)), HYPERLINK("#",""), HYPERLINK(CONCATENATE("#Metadata!", ADDRESS(INDEX($M$2:$M$1001,MATCH(ROWS($K$2:K117),$K$2:$K$1001,0),0), INDEX($R$1004:$W$1004,1,MATCH(COLUMNS($R$1006:V1006),$R$1006:$W$1006,0)))),"Fix")))</f>
        <v>0</v>
      </c>
      <c r="G117" s="3">
        <f>IF(OR(INDEX($L$2:$L$1001,MATCH(ROWS($K$2:K117),$K$2:$K$1001,0),1)&gt;=100000,INDEX($R$1005:$W$1005,1,MATCH(COLUMNS($R$1006:W1006),$R$1006:$W$1006,0))&gt;=100000), " ",IF(INDEX($R$2:$W$1001,MATCH(ROWS($K$2:K117),$K$2:$K$1001,0),MATCH(COLUMNS($R$1006:W1006),$R$1006:$W$1006,0)), HYPERLINK("#",""), HYPERLINK(CONCATENATE("#Metadata!", ADDRESS(INDEX($M$2:$M$1001,MATCH(ROWS($K$2:K117),$K$2:$K$1001,0),0), INDEX($R$1004:$W$1004,1,MATCH(COLUMNS($R$1006:W1006),$R$1006:$W$1006,0)))),"Fix")))</f>
        <v>0</v>
      </c>
      <c r="K117">
        <v>0</v>
      </c>
      <c r="L117">
        <v>0</v>
      </c>
      <c r="M117">
        <v>0</v>
      </c>
      <c r="N117">
        <f>IF(O117,TRUE,AND(R117:W117))</f>
        <v>0</v>
      </c>
      <c r="O117">
        <f>COUNTBLANK(Metadata!B117:G117)=COLUMNS(Metadata!B117:G117)</f>
        <v>0</v>
      </c>
      <c r="P117">
        <v>0</v>
      </c>
      <c r="R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S117">
        <f>IF(Metadata!C117="",FALSE,TRUE)</f>
        <v>0</v>
      </c>
      <c r="T117">
        <f>IF(Metadata!D117="",FALSE,TRUE)</f>
        <v>0</v>
      </c>
      <c r="U117">
        <f>IF(Metadata!E117="",FALSE,TRUE)</f>
        <v>0</v>
      </c>
      <c r="V117">
        <f>AND(IF(Metadata!F117="",FALSE,TRUE),exact(Metadata!F117,"rat gut metagenome"))</f>
        <v>0</v>
      </c>
      <c r="W117">
        <f>AND(IF(Metadata!G117="",FALSE,TRUE),exact(Metadata!G117,"1436733"))</f>
        <v>0</v>
      </c>
    </row>
    <row r="118" spans="1:23">
      <c r="A118" s="4">
        <f>IF(B118=" "," ",HYPERLINK(CONCATENATE("#metadata!",ADDRESS(INDEX($M$2:$M$1001,MATCH(ROWS($K$2:K118),$K$2:$K$1001,0),0),1)),INDEX($P$2:$P$1001,MATCH(ROWS($K$2:K118),$K$2:$K$1001,0),0)))</f>
        <v>0</v>
      </c>
      <c r="B118" s="3">
        <f>IF(OR(INDEX($L$2:$L$1001,MATCH(ROWS($K$2:K118),$K$2:$K$1001,0),1)&gt;=100000,INDEX($R$1005:$W$1005,1,MATCH(COLUMNS($R$1006:R1006),$R$1006:$W$1006,0))&gt;=100000), " ",IF(INDEX($R$2:$W$1001,MATCH(ROWS($K$2:K118),$K$2:$K$1001,0),MATCH(COLUMNS($R$1006:R1006),$R$1006:$W$1006,0)), HYPERLINK("#",""), HYPERLINK(CONCATENATE("#Metadata!", ADDRESS(INDEX($M$2:$M$1001,MATCH(ROWS($K$2:K118),$K$2:$K$1001,0),0), INDEX($R$1004:$W$1004,1,MATCH(COLUMNS($R$1006:R1006),$R$1006:$W$1006,0)))),"Fix")))</f>
        <v>0</v>
      </c>
      <c r="C118" s="3">
        <f>IF(OR(INDEX($L$2:$L$1001,MATCH(ROWS($K$2:K118),$K$2:$K$1001,0),1)&gt;=100000,INDEX($R$1005:$W$1005,1,MATCH(COLUMNS($R$1006:S1006),$R$1006:$W$1006,0))&gt;=100000), " ",IF(INDEX($R$2:$W$1001,MATCH(ROWS($K$2:K118),$K$2:$K$1001,0),MATCH(COLUMNS($R$1006:S1006),$R$1006:$W$1006,0)), HYPERLINK("#",""), HYPERLINK(CONCATENATE("#Metadata!", ADDRESS(INDEX($M$2:$M$1001,MATCH(ROWS($K$2:K118),$K$2:$K$1001,0),0), INDEX($R$1004:$W$1004,1,MATCH(COLUMNS($R$1006:S1006),$R$1006:$W$1006,0)))),"Fix")))</f>
        <v>0</v>
      </c>
      <c r="D118" s="3">
        <f>IF(OR(INDEX($L$2:$L$1001,MATCH(ROWS($K$2:K118),$K$2:$K$1001,0),1)&gt;=100000,INDEX($R$1005:$W$1005,1,MATCH(COLUMNS($R$1006:T1006),$R$1006:$W$1006,0))&gt;=100000), " ",IF(INDEX($R$2:$W$1001,MATCH(ROWS($K$2:K118),$K$2:$K$1001,0),MATCH(COLUMNS($R$1006:T1006),$R$1006:$W$1006,0)), HYPERLINK("#",""), HYPERLINK(CONCATENATE("#Metadata!", ADDRESS(INDEX($M$2:$M$1001,MATCH(ROWS($K$2:K118),$K$2:$K$1001,0),0), INDEX($R$1004:$W$1004,1,MATCH(COLUMNS($R$1006:T1006),$R$1006:$W$1006,0)))),"Fix")))</f>
        <v>0</v>
      </c>
      <c r="E118" s="3">
        <f>IF(OR(INDEX($L$2:$L$1001,MATCH(ROWS($K$2:K118),$K$2:$K$1001,0),1)&gt;=100000,INDEX($R$1005:$W$1005,1,MATCH(COLUMNS($R$1006:U1006),$R$1006:$W$1006,0))&gt;=100000), " ",IF(INDEX($R$2:$W$1001,MATCH(ROWS($K$2:K118),$K$2:$K$1001,0),MATCH(COLUMNS($R$1006:U1006),$R$1006:$W$1006,0)), HYPERLINK("#",""), HYPERLINK(CONCATENATE("#Metadata!", ADDRESS(INDEX($M$2:$M$1001,MATCH(ROWS($K$2:K118),$K$2:$K$1001,0),0), INDEX($R$1004:$W$1004,1,MATCH(COLUMNS($R$1006:U1006),$R$1006:$W$1006,0)))),"Fix")))</f>
        <v>0</v>
      </c>
      <c r="F118" s="3">
        <f>IF(OR(INDEX($L$2:$L$1001,MATCH(ROWS($K$2:K118),$K$2:$K$1001,0),1)&gt;=100000,INDEX($R$1005:$W$1005,1,MATCH(COLUMNS($R$1006:V1006),$R$1006:$W$1006,0))&gt;=100000), " ",IF(INDEX($R$2:$W$1001,MATCH(ROWS($K$2:K118),$K$2:$K$1001,0),MATCH(COLUMNS($R$1006:V1006),$R$1006:$W$1006,0)), HYPERLINK("#",""), HYPERLINK(CONCATENATE("#Metadata!", ADDRESS(INDEX($M$2:$M$1001,MATCH(ROWS($K$2:K118),$K$2:$K$1001,0),0), INDEX($R$1004:$W$1004,1,MATCH(COLUMNS($R$1006:V1006),$R$1006:$W$1006,0)))),"Fix")))</f>
        <v>0</v>
      </c>
      <c r="G118" s="3">
        <f>IF(OR(INDEX($L$2:$L$1001,MATCH(ROWS($K$2:K118),$K$2:$K$1001,0),1)&gt;=100000,INDEX($R$1005:$W$1005,1,MATCH(COLUMNS($R$1006:W1006),$R$1006:$W$1006,0))&gt;=100000), " ",IF(INDEX($R$2:$W$1001,MATCH(ROWS($K$2:K118),$K$2:$K$1001,0),MATCH(COLUMNS($R$1006:W1006),$R$1006:$W$1006,0)), HYPERLINK("#",""), HYPERLINK(CONCATENATE("#Metadata!", ADDRESS(INDEX($M$2:$M$1001,MATCH(ROWS($K$2:K118),$K$2:$K$1001,0),0), INDEX($R$1004:$W$1004,1,MATCH(COLUMNS($R$1006:W1006),$R$1006:$W$1006,0)))),"Fix")))</f>
        <v>0</v>
      </c>
      <c r="K118">
        <v>0</v>
      </c>
      <c r="L118">
        <v>0</v>
      </c>
      <c r="M118">
        <v>0</v>
      </c>
      <c r="N118">
        <f>IF(O118,TRUE,AND(R118:W118))</f>
        <v>0</v>
      </c>
      <c r="O118">
        <f>COUNTBLANK(Metadata!B118:G118)=COLUMNS(Metadata!B118:G118)</f>
        <v>0</v>
      </c>
      <c r="P118">
        <v>0</v>
      </c>
      <c r="R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S118">
        <f>IF(Metadata!C118="",FALSE,TRUE)</f>
        <v>0</v>
      </c>
      <c r="T118">
        <f>IF(Metadata!D118="",FALSE,TRUE)</f>
        <v>0</v>
      </c>
      <c r="U118">
        <f>IF(Metadata!E118="",FALSE,TRUE)</f>
        <v>0</v>
      </c>
      <c r="V118">
        <f>AND(IF(Metadata!F118="",FALSE,TRUE),exact(Metadata!F118,"rat gut metagenome"))</f>
        <v>0</v>
      </c>
      <c r="W118">
        <f>AND(IF(Metadata!G118="",FALSE,TRUE),exact(Metadata!G118,"1436733"))</f>
        <v>0</v>
      </c>
    </row>
    <row r="119" spans="1:23">
      <c r="A119" s="4">
        <f>IF(B119=" "," ",HYPERLINK(CONCATENATE("#metadata!",ADDRESS(INDEX($M$2:$M$1001,MATCH(ROWS($K$2:K119),$K$2:$K$1001,0),0),1)),INDEX($P$2:$P$1001,MATCH(ROWS($K$2:K119),$K$2:$K$1001,0),0)))</f>
        <v>0</v>
      </c>
      <c r="B119" s="3">
        <f>IF(OR(INDEX($L$2:$L$1001,MATCH(ROWS($K$2:K119),$K$2:$K$1001,0),1)&gt;=100000,INDEX($R$1005:$W$1005,1,MATCH(COLUMNS($R$1006:R1006),$R$1006:$W$1006,0))&gt;=100000), " ",IF(INDEX($R$2:$W$1001,MATCH(ROWS($K$2:K119),$K$2:$K$1001,0),MATCH(COLUMNS($R$1006:R1006),$R$1006:$W$1006,0)), HYPERLINK("#",""), HYPERLINK(CONCATENATE("#Metadata!", ADDRESS(INDEX($M$2:$M$1001,MATCH(ROWS($K$2:K119),$K$2:$K$1001,0),0), INDEX($R$1004:$W$1004,1,MATCH(COLUMNS($R$1006:R1006),$R$1006:$W$1006,0)))),"Fix")))</f>
        <v>0</v>
      </c>
      <c r="C119" s="3">
        <f>IF(OR(INDEX($L$2:$L$1001,MATCH(ROWS($K$2:K119),$K$2:$K$1001,0),1)&gt;=100000,INDEX($R$1005:$W$1005,1,MATCH(COLUMNS($R$1006:S1006),$R$1006:$W$1006,0))&gt;=100000), " ",IF(INDEX($R$2:$W$1001,MATCH(ROWS($K$2:K119),$K$2:$K$1001,0),MATCH(COLUMNS($R$1006:S1006),$R$1006:$W$1006,0)), HYPERLINK("#",""), HYPERLINK(CONCATENATE("#Metadata!", ADDRESS(INDEX($M$2:$M$1001,MATCH(ROWS($K$2:K119),$K$2:$K$1001,0),0), INDEX($R$1004:$W$1004,1,MATCH(COLUMNS($R$1006:S1006),$R$1006:$W$1006,0)))),"Fix")))</f>
        <v>0</v>
      </c>
      <c r="D119" s="3">
        <f>IF(OR(INDEX($L$2:$L$1001,MATCH(ROWS($K$2:K119),$K$2:$K$1001,0),1)&gt;=100000,INDEX($R$1005:$W$1005,1,MATCH(COLUMNS($R$1006:T1006),$R$1006:$W$1006,0))&gt;=100000), " ",IF(INDEX($R$2:$W$1001,MATCH(ROWS($K$2:K119),$K$2:$K$1001,0),MATCH(COLUMNS($R$1006:T1006),$R$1006:$W$1006,0)), HYPERLINK("#",""), HYPERLINK(CONCATENATE("#Metadata!", ADDRESS(INDEX($M$2:$M$1001,MATCH(ROWS($K$2:K119),$K$2:$K$1001,0),0), INDEX($R$1004:$W$1004,1,MATCH(COLUMNS($R$1006:T1006),$R$1006:$W$1006,0)))),"Fix")))</f>
        <v>0</v>
      </c>
      <c r="E119" s="3">
        <f>IF(OR(INDEX($L$2:$L$1001,MATCH(ROWS($K$2:K119),$K$2:$K$1001,0),1)&gt;=100000,INDEX($R$1005:$W$1005,1,MATCH(COLUMNS($R$1006:U1006),$R$1006:$W$1006,0))&gt;=100000), " ",IF(INDEX($R$2:$W$1001,MATCH(ROWS($K$2:K119),$K$2:$K$1001,0),MATCH(COLUMNS($R$1006:U1006),$R$1006:$W$1006,0)), HYPERLINK("#",""), HYPERLINK(CONCATENATE("#Metadata!", ADDRESS(INDEX($M$2:$M$1001,MATCH(ROWS($K$2:K119),$K$2:$K$1001,0),0), INDEX($R$1004:$W$1004,1,MATCH(COLUMNS($R$1006:U1006),$R$1006:$W$1006,0)))),"Fix")))</f>
        <v>0</v>
      </c>
      <c r="F119" s="3">
        <f>IF(OR(INDEX($L$2:$L$1001,MATCH(ROWS($K$2:K119),$K$2:$K$1001,0),1)&gt;=100000,INDEX($R$1005:$W$1005,1,MATCH(COLUMNS($R$1006:V1006),$R$1006:$W$1006,0))&gt;=100000), " ",IF(INDEX($R$2:$W$1001,MATCH(ROWS($K$2:K119),$K$2:$K$1001,0),MATCH(COLUMNS($R$1006:V1006),$R$1006:$W$1006,0)), HYPERLINK("#",""), HYPERLINK(CONCATENATE("#Metadata!", ADDRESS(INDEX($M$2:$M$1001,MATCH(ROWS($K$2:K119),$K$2:$K$1001,0),0), INDEX($R$1004:$W$1004,1,MATCH(COLUMNS($R$1006:V1006),$R$1006:$W$1006,0)))),"Fix")))</f>
        <v>0</v>
      </c>
      <c r="G119" s="3">
        <f>IF(OR(INDEX($L$2:$L$1001,MATCH(ROWS($K$2:K119),$K$2:$K$1001,0),1)&gt;=100000,INDEX($R$1005:$W$1005,1,MATCH(COLUMNS($R$1006:W1006),$R$1006:$W$1006,0))&gt;=100000), " ",IF(INDEX($R$2:$W$1001,MATCH(ROWS($K$2:K119),$K$2:$K$1001,0),MATCH(COLUMNS($R$1006:W1006),$R$1006:$W$1006,0)), HYPERLINK("#",""), HYPERLINK(CONCATENATE("#Metadata!", ADDRESS(INDEX($M$2:$M$1001,MATCH(ROWS($K$2:K119),$K$2:$K$1001,0),0), INDEX($R$1004:$W$1004,1,MATCH(COLUMNS($R$1006:W1006),$R$1006:$W$1006,0)))),"Fix")))</f>
        <v>0</v>
      </c>
      <c r="K119">
        <v>0</v>
      </c>
      <c r="L119">
        <v>0</v>
      </c>
      <c r="M119">
        <v>0</v>
      </c>
      <c r="N119">
        <f>IF(O119,TRUE,AND(R119:W119))</f>
        <v>0</v>
      </c>
      <c r="O119">
        <f>COUNTBLANK(Metadata!B119:G119)=COLUMNS(Metadata!B119:G119)</f>
        <v>0</v>
      </c>
      <c r="P119">
        <v>0</v>
      </c>
      <c r="R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S119">
        <f>IF(Metadata!C119="",FALSE,TRUE)</f>
        <v>0</v>
      </c>
      <c r="T119">
        <f>IF(Metadata!D119="",FALSE,TRUE)</f>
        <v>0</v>
      </c>
      <c r="U119">
        <f>IF(Metadata!E119="",FALSE,TRUE)</f>
        <v>0</v>
      </c>
      <c r="V119">
        <f>AND(IF(Metadata!F119="",FALSE,TRUE),exact(Metadata!F119,"rat gut metagenome"))</f>
        <v>0</v>
      </c>
      <c r="W119">
        <f>AND(IF(Metadata!G119="",FALSE,TRUE),exact(Metadata!G119,"1436733"))</f>
        <v>0</v>
      </c>
    </row>
    <row r="120" spans="1:23">
      <c r="A120" s="4">
        <f>IF(B120=" "," ",HYPERLINK(CONCATENATE("#metadata!",ADDRESS(INDEX($M$2:$M$1001,MATCH(ROWS($K$2:K120),$K$2:$K$1001,0),0),1)),INDEX($P$2:$P$1001,MATCH(ROWS($K$2:K120),$K$2:$K$1001,0),0)))</f>
        <v>0</v>
      </c>
      <c r="B120" s="3">
        <f>IF(OR(INDEX($L$2:$L$1001,MATCH(ROWS($K$2:K120),$K$2:$K$1001,0),1)&gt;=100000,INDEX($R$1005:$W$1005,1,MATCH(COLUMNS($R$1006:R1006),$R$1006:$W$1006,0))&gt;=100000), " ",IF(INDEX($R$2:$W$1001,MATCH(ROWS($K$2:K120),$K$2:$K$1001,0),MATCH(COLUMNS($R$1006:R1006),$R$1006:$W$1006,0)), HYPERLINK("#",""), HYPERLINK(CONCATENATE("#Metadata!", ADDRESS(INDEX($M$2:$M$1001,MATCH(ROWS($K$2:K120),$K$2:$K$1001,0),0), INDEX($R$1004:$W$1004,1,MATCH(COLUMNS($R$1006:R1006),$R$1006:$W$1006,0)))),"Fix")))</f>
        <v>0</v>
      </c>
      <c r="C120" s="3">
        <f>IF(OR(INDEX($L$2:$L$1001,MATCH(ROWS($K$2:K120),$K$2:$K$1001,0),1)&gt;=100000,INDEX($R$1005:$W$1005,1,MATCH(COLUMNS($R$1006:S1006),$R$1006:$W$1006,0))&gt;=100000), " ",IF(INDEX($R$2:$W$1001,MATCH(ROWS($K$2:K120),$K$2:$K$1001,0),MATCH(COLUMNS($R$1006:S1006),$R$1006:$W$1006,0)), HYPERLINK("#",""), HYPERLINK(CONCATENATE("#Metadata!", ADDRESS(INDEX($M$2:$M$1001,MATCH(ROWS($K$2:K120),$K$2:$K$1001,0),0), INDEX($R$1004:$W$1004,1,MATCH(COLUMNS($R$1006:S1006),$R$1006:$W$1006,0)))),"Fix")))</f>
        <v>0</v>
      </c>
      <c r="D120" s="3">
        <f>IF(OR(INDEX($L$2:$L$1001,MATCH(ROWS($K$2:K120),$K$2:$K$1001,0),1)&gt;=100000,INDEX($R$1005:$W$1005,1,MATCH(COLUMNS($R$1006:T1006),$R$1006:$W$1006,0))&gt;=100000), " ",IF(INDEX($R$2:$W$1001,MATCH(ROWS($K$2:K120),$K$2:$K$1001,0),MATCH(COLUMNS($R$1006:T1006),$R$1006:$W$1006,0)), HYPERLINK("#",""), HYPERLINK(CONCATENATE("#Metadata!", ADDRESS(INDEX($M$2:$M$1001,MATCH(ROWS($K$2:K120),$K$2:$K$1001,0),0), INDEX($R$1004:$W$1004,1,MATCH(COLUMNS($R$1006:T1006),$R$1006:$W$1006,0)))),"Fix")))</f>
        <v>0</v>
      </c>
      <c r="E120" s="3">
        <f>IF(OR(INDEX($L$2:$L$1001,MATCH(ROWS($K$2:K120),$K$2:$K$1001,0),1)&gt;=100000,INDEX($R$1005:$W$1005,1,MATCH(COLUMNS($R$1006:U1006),$R$1006:$W$1006,0))&gt;=100000), " ",IF(INDEX($R$2:$W$1001,MATCH(ROWS($K$2:K120),$K$2:$K$1001,0),MATCH(COLUMNS($R$1006:U1006),$R$1006:$W$1006,0)), HYPERLINK("#",""), HYPERLINK(CONCATENATE("#Metadata!", ADDRESS(INDEX($M$2:$M$1001,MATCH(ROWS($K$2:K120),$K$2:$K$1001,0),0), INDEX($R$1004:$W$1004,1,MATCH(COLUMNS($R$1006:U1006),$R$1006:$W$1006,0)))),"Fix")))</f>
        <v>0</v>
      </c>
      <c r="F120" s="3">
        <f>IF(OR(INDEX($L$2:$L$1001,MATCH(ROWS($K$2:K120),$K$2:$K$1001,0),1)&gt;=100000,INDEX($R$1005:$W$1005,1,MATCH(COLUMNS($R$1006:V1006),$R$1006:$W$1006,0))&gt;=100000), " ",IF(INDEX($R$2:$W$1001,MATCH(ROWS($K$2:K120),$K$2:$K$1001,0),MATCH(COLUMNS($R$1006:V1006),$R$1006:$W$1006,0)), HYPERLINK("#",""), HYPERLINK(CONCATENATE("#Metadata!", ADDRESS(INDEX($M$2:$M$1001,MATCH(ROWS($K$2:K120),$K$2:$K$1001,0),0), INDEX($R$1004:$W$1004,1,MATCH(COLUMNS($R$1006:V1006),$R$1006:$W$1006,0)))),"Fix")))</f>
        <v>0</v>
      </c>
      <c r="G120" s="3">
        <f>IF(OR(INDEX($L$2:$L$1001,MATCH(ROWS($K$2:K120),$K$2:$K$1001,0),1)&gt;=100000,INDEX($R$1005:$W$1005,1,MATCH(COLUMNS($R$1006:W1006),$R$1006:$W$1006,0))&gt;=100000), " ",IF(INDEX($R$2:$W$1001,MATCH(ROWS($K$2:K120),$K$2:$K$1001,0),MATCH(COLUMNS($R$1006:W1006),$R$1006:$W$1006,0)), HYPERLINK("#",""), HYPERLINK(CONCATENATE("#Metadata!", ADDRESS(INDEX($M$2:$M$1001,MATCH(ROWS($K$2:K120),$K$2:$K$1001,0),0), INDEX($R$1004:$W$1004,1,MATCH(COLUMNS($R$1006:W1006),$R$1006:$W$1006,0)))),"Fix")))</f>
        <v>0</v>
      </c>
      <c r="K120">
        <v>0</v>
      </c>
      <c r="L120">
        <v>0</v>
      </c>
      <c r="M120">
        <v>0</v>
      </c>
      <c r="N120">
        <f>IF(O120,TRUE,AND(R120:W120))</f>
        <v>0</v>
      </c>
      <c r="O120">
        <f>COUNTBLANK(Metadata!B120:G120)=COLUMNS(Metadata!B120:G120)</f>
        <v>0</v>
      </c>
      <c r="P120">
        <v>0</v>
      </c>
      <c r="R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S120">
        <f>IF(Metadata!C120="",FALSE,TRUE)</f>
        <v>0</v>
      </c>
      <c r="T120">
        <f>IF(Metadata!D120="",FALSE,TRUE)</f>
        <v>0</v>
      </c>
      <c r="U120">
        <f>IF(Metadata!E120="",FALSE,TRUE)</f>
        <v>0</v>
      </c>
      <c r="V120">
        <f>AND(IF(Metadata!F120="",FALSE,TRUE),exact(Metadata!F120,"rat gut metagenome"))</f>
        <v>0</v>
      </c>
      <c r="W120">
        <f>AND(IF(Metadata!G120="",FALSE,TRUE),exact(Metadata!G120,"1436733"))</f>
        <v>0</v>
      </c>
    </row>
    <row r="121" spans="1:23">
      <c r="A121" s="4">
        <f>IF(B121=" "," ",HYPERLINK(CONCATENATE("#metadata!",ADDRESS(INDEX($M$2:$M$1001,MATCH(ROWS($K$2:K121),$K$2:$K$1001,0),0),1)),INDEX($P$2:$P$1001,MATCH(ROWS($K$2:K121),$K$2:$K$1001,0),0)))</f>
        <v>0</v>
      </c>
      <c r="B121" s="3">
        <f>IF(OR(INDEX($L$2:$L$1001,MATCH(ROWS($K$2:K121),$K$2:$K$1001,0),1)&gt;=100000,INDEX($R$1005:$W$1005,1,MATCH(COLUMNS($R$1006:R1006),$R$1006:$W$1006,0))&gt;=100000), " ",IF(INDEX($R$2:$W$1001,MATCH(ROWS($K$2:K121),$K$2:$K$1001,0),MATCH(COLUMNS($R$1006:R1006),$R$1006:$W$1006,0)), HYPERLINK("#",""), HYPERLINK(CONCATENATE("#Metadata!", ADDRESS(INDEX($M$2:$M$1001,MATCH(ROWS($K$2:K121),$K$2:$K$1001,0),0), INDEX($R$1004:$W$1004,1,MATCH(COLUMNS($R$1006:R1006),$R$1006:$W$1006,0)))),"Fix")))</f>
        <v>0</v>
      </c>
      <c r="C121" s="3">
        <f>IF(OR(INDEX($L$2:$L$1001,MATCH(ROWS($K$2:K121),$K$2:$K$1001,0),1)&gt;=100000,INDEX($R$1005:$W$1005,1,MATCH(COLUMNS($R$1006:S1006),$R$1006:$W$1006,0))&gt;=100000), " ",IF(INDEX($R$2:$W$1001,MATCH(ROWS($K$2:K121),$K$2:$K$1001,0),MATCH(COLUMNS($R$1006:S1006),$R$1006:$W$1006,0)), HYPERLINK("#",""), HYPERLINK(CONCATENATE("#Metadata!", ADDRESS(INDEX($M$2:$M$1001,MATCH(ROWS($K$2:K121),$K$2:$K$1001,0),0), INDEX($R$1004:$W$1004,1,MATCH(COLUMNS($R$1006:S1006),$R$1006:$W$1006,0)))),"Fix")))</f>
        <v>0</v>
      </c>
      <c r="D121" s="3">
        <f>IF(OR(INDEX($L$2:$L$1001,MATCH(ROWS($K$2:K121),$K$2:$K$1001,0),1)&gt;=100000,INDEX($R$1005:$W$1005,1,MATCH(COLUMNS($R$1006:T1006),$R$1006:$W$1006,0))&gt;=100000), " ",IF(INDEX($R$2:$W$1001,MATCH(ROWS($K$2:K121),$K$2:$K$1001,0),MATCH(COLUMNS($R$1006:T1006),$R$1006:$W$1006,0)), HYPERLINK("#",""), HYPERLINK(CONCATENATE("#Metadata!", ADDRESS(INDEX($M$2:$M$1001,MATCH(ROWS($K$2:K121),$K$2:$K$1001,0),0), INDEX($R$1004:$W$1004,1,MATCH(COLUMNS($R$1006:T1006),$R$1006:$W$1006,0)))),"Fix")))</f>
        <v>0</v>
      </c>
      <c r="E121" s="3">
        <f>IF(OR(INDEX($L$2:$L$1001,MATCH(ROWS($K$2:K121),$K$2:$K$1001,0),1)&gt;=100000,INDEX($R$1005:$W$1005,1,MATCH(COLUMNS($R$1006:U1006),$R$1006:$W$1006,0))&gt;=100000), " ",IF(INDEX($R$2:$W$1001,MATCH(ROWS($K$2:K121),$K$2:$K$1001,0),MATCH(COLUMNS($R$1006:U1006),$R$1006:$W$1006,0)), HYPERLINK("#",""), HYPERLINK(CONCATENATE("#Metadata!", ADDRESS(INDEX($M$2:$M$1001,MATCH(ROWS($K$2:K121),$K$2:$K$1001,0),0), INDEX($R$1004:$W$1004,1,MATCH(COLUMNS($R$1006:U1006),$R$1006:$W$1006,0)))),"Fix")))</f>
        <v>0</v>
      </c>
      <c r="F121" s="3">
        <f>IF(OR(INDEX($L$2:$L$1001,MATCH(ROWS($K$2:K121),$K$2:$K$1001,0),1)&gt;=100000,INDEX($R$1005:$W$1005,1,MATCH(COLUMNS($R$1006:V1006),$R$1006:$W$1006,0))&gt;=100000), " ",IF(INDEX($R$2:$W$1001,MATCH(ROWS($K$2:K121),$K$2:$K$1001,0),MATCH(COLUMNS($R$1006:V1006),$R$1006:$W$1006,0)), HYPERLINK("#",""), HYPERLINK(CONCATENATE("#Metadata!", ADDRESS(INDEX($M$2:$M$1001,MATCH(ROWS($K$2:K121),$K$2:$K$1001,0),0), INDEX($R$1004:$W$1004,1,MATCH(COLUMNS($R$1006:V1006),$R$1006:$W$1006,0)))),"Fix")))</f>
        <v>0</v>
      </c>
      <c r="G121" s="3">
        <f>IF(OR(INDEX($L$2:$L$1001,MATCH(ROWS($K$2:K121),$K$2:$K$1001,0),1)&gt;=100000,INDEX($R$1005:$W$1005,1,MATCH(COLUMNS($R$1006:W1006),$R$1006:$W$1006,0))&gt;=100000), " ",IF(INDEX($R$2:$W$1001,MATCH(ROWS($K$2:K121),$K$2:$K$1001,0),MATCH(COLUMNS($R$1006:W1006),$R$1006:$W$1006,0)), HYPERLINK("#",""), HYPERLINK(CONCATENATE("#Metadata!", ADDRESS(INDEX($M$2:$M$1001,MATCH(ROWS($K$2:K121),$K$2:$K$1001,0),0), INDEX($R$1004:$W$1004,1,MATCH(COLUMNS($R$1006:W1006),$R$1006:$W$1006,0)))),"Fix")))</f>
        <v>0</v>
      </c>
      <c r="K121">
        <v>0</v>
      </c>
      <c r="L121">
        <v>0</v>
      </c>
      <c r="M121">
        <v>0</v>
      </c>
      <c r="N121">
        <f>IF(O121,TRUE,AND(R121:W121))</f>
        <v>0</v>
      </c>
      <c r="O121">
        <f>COUNTBLANK(Metadata!B121:G121)=COLUMNS(Metadata!B121:G121)</f>
        <v>0</v>
      </c>
      <c r="P121">
        <v>0</v>
      </c>
      <c r="R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S121">
        <f>IF(Metadata!C121="",FALSE,TRUE)</f>
        <v>0</v>
      </c>
      <c r="T121">
        <f>IF(Metadata!D121="",FALSE,TRUE)</f>
        <v>0</v>
      </c>
      <c r="U121">
        <f>IF(Metadata!E121="",FALSE,TRUE)</f>
        <v>0</v>
      </c>
      <c r="V121">
        <f>AND(IF(Metadata!F121="",FALSE,TRUE),exact(Metadata!F121,"rat gut metagenome"))</f>
        <v>0</v>
      </c>
      <c r="W121">
        <f>AND(IF(Metadata!G121="",FALSE,TRUE),exact(Metadata!G121,"1436733"))</f>
        <v>0</v>
      </c>
    </row>
    <row r="122" spans="1:23">
      <c r="A122" s="4">
        <f>IF(B122=" "," ",HYPERLINK(CONCATENATE("#metadata!",ADDRESS(INDEX($M$2:$M$1001,MATCH(ROWS($K$2:K122),$K$2:$K$1001,0),0),1)),INDEX($P$2:$P$1001,MATCH(ROWS($K$2:K122),$K$2:$K$1001,0),0)))</f>
        <v>0</v>
      </c>
      <c r="B122" s="3">
        <f>IF(OR(INDEX($L$2:$L$1001,MATCH(ROWS($K$2:K122),$K$2:$K$1001,0),1)&gt;=100000,INDEX($R$1005:$W$1005,1,MATCH(COLUMNS($R$1006:R1006),$R$1006:$W$1006,0))&gt;=100000), " ",IF(INDEX($R$2:$W$1001,MATCH(ROWS($K$2:K122),$K$2:$K$1001,0),MATCH(COLUMNS($R$1006:R1006),$R$1006:$W$1006,0)), HYPERLINK("#",""), HYPERLINK(CONCATENATE("#Metadata!", ADDRESS(INDEX($M$2:$M$1001,MATCH(ROWS($K$2:K122),$K$2:$K$1001,0),0), INDEX($R$1004:$W$1004,1,MATCH(COLUMNS($R$1006:R1006),$R$1006:$W$1006,0)))),"Fix")))</f>
        <v>0</v>
      </c>
      <c r="C122" s="3">
        <f>IF(OR(INDEX($L$2:$L$1001,MATCH(ROWS($K$2:K122),$K$2:$K$1001,0),1)&gt;=100000,INDEX($R$1005:$W$1005,1,MATCH(COLUMNS($R$1006:S1006),$R$1006:$W$1006,0))&gt;=100000), " ",IF(INDEX($R$2:$W$1001,MATCH(ROWS($K$2:K122),$K$2:$K$1001,0),MATCH(COLUMNS($R$1006:S1006),$R$1006:$W$1006,0)), HYPERLINK("#",""), HYPERLINK(CONCATENATE("#Metadata!", ADDRESS(INDEX($M$2:$M$1001,MATCH(ROWS($K$2:K122),$K$2:$K$1001,0),0), INDEX($R$1004:$W$1004,1,MATCH(COLUMNS($R$1006:S1006),$R$1006:$W$1006,0)))),"Fix")))</f>
        <v>0</v>
      </c>
      <c r="D122" s="3">
        <f>IF(OR(INDEX($L$2:$L$1001,MATCH(ROWS($K$2:K122),$K$2:$K$1001,0),1)&gt;=100000,INDEX($R$1005:$W$1005,1,MATCH(COLUMNS($R$1006:T1006),$R$1006:$W$1006,0))&gt;=100000), " ",IF(INDEX($R$2:$W$1001,MATCH(ROWS($K$2:K122),$K$2:$K$1001,0),MATCH(COLUMNS($R$1006:T1006),$R$1006:$W$1006,0)), HYPERLINK("#",""), HYPERLINK(CONCATENATE("#Metadata!", ADDRESS(INDEX($M$2:$M$1001,MATCH(ROWS($K$2:K122),$K$2:$K$1001,0),0), INDEX($R$1004:$W$1004,1,MATCH(COLUMNS($R$1006:T1006),$R$1006:$W$1006,0)))),"Fix")))</f>
        <v>0</v>
      </c>
      <c r="E122" s="3">
        <f>IF(OR(INDEX($L$2:$L$1001,MATCH(ROWS($K$2:K122),$K$2:$K$1001,0),1)&gt;=100000,INDEX($R$1005:$W$1005,1,MATCH(COLUMNS($R$1006:U1006),$R$1006:$W$1006,0))&gt;=100000), " ",IF(INDEX($R$2:$W$1001,MATCH(ROWS($K$2:K122),$K$2:$K$1001,0),MATCH(COLUMNS($R$1006:U1006),$R$1006:$W$1006,0)), HYPERLINK("#",""), HYPERLINK(CONCATENATE("#Metadata!", ADDRESS(INDEX($M$2:$M$1001,MATCH(ROWS($K$2:K122),$K$2:$K$1001,0),0), INDEX($R$1004:$W$1004,1,MATCH(COLUMNS($R$1006:U1006),$R$1006:$W$1006,0)))),"Fix")))</f>
        <v>0</v>
      </c>
      <c r="F122" s="3">
        <f>IF(OR(INDEX($L$2:$L$1001,MATCH(ROWS($K$2:K122),$K$2:$K$1001,0),1)&gt;=100000,INDEX($R$1005:$W$1005,1,MATCH(COLUMNS($R$1006:V1006),$R$1006:$W$1006,0))&gt;=100000), " ",IF(INDEX($R$2:$W$1001,MATCH(ROWS($K$2:K122),$K$2:$K$1001,0),MATCH(COLUMNS($R$1006:V1006),$R$1006:$W$1006,0)), HYPERLINK("#",""), HYPERLINK(CONCATENATE("#Metadata!", ADDRESS(INDEX($M$2:$M$1001,MATCH(ROWS($K$2:K122),$K$2:$K$1001,0),0), INDEX($R$1004:$W$1004,1,MATCH(COLUMNS($R$1006:V1006),$R$1006:$W$1006,0)))),"Fix")))</f>
        <v>0</v>
      </c>
      <c r="G122" s="3">
        <f>IF(OR(INDEX($L$2:$L$1001,MATCH(ROWS($K$2:K122),$K$2:$K$1001,0),1)&gt;=100000,INDEX($R$1005:$W$1005,1,MATCH(COLUMNS($R$1006:W1006),$R$1006:$W$1006,0))&gt;=100000), " ",IF(INDEX($R$2:$W$1001,MATCH(ROWS($K$2:K122),$K$2:$K$1001,0),MATCH(COLUMNS($R$1006:W1006),$R$1006:$W$1006,0)), HYPERLINK("#",""), HYPERLINK(CONCATENATE("#Metadata!", ADDRESS(INDEX($M$2:$M$1001,MATCH(ROWS($K$2:K122),$K$2:$K$1001,0),0), INDEX($R$1004:$W$1004,1,MATCH(COLUMNS($R$1006:W1006),$R$1006:$W$1006,0)))),"Fix")))</f>
        <v>0</v>
      </c>
      <c r="K122">
        <v>0</v>
      </c>
      <c r="L122">
        <v>0</v>
      </c>
      <c r="M122">
        <v>0</v>
      </c>
      <c r="N122">
        <f>IF(O122,TRUE,AND(R122:W122))</f>
        <v>0</v>
      </c>
      <c r="O122">
        <f>COUNTBLANK(Metadata!B122:G122)=COLUMNS(Metadata!B122:G122)</f>
        <v>0</v>
      </c>
      <c r="P122">
        <v>0</v>
      </c>
      <c r="R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S122">
        <f>IF(Metadata!C122="",FALSE,TRUE)</f>
        <v>0</v>
      </c>
      <c r="T122">
        <f>IF(Metadata!D122="",FALSE,TRUE)</f>
        <v>0</v>
      </c>
      <c r="U122">
        <f>IF(Metadata!E122="",FALSE,TRUE)</f>
        <v>0</v>
      </c>
      <c r="V122">
        <f>AND(IF(Metadata!F122="",FALSE,TRUE),exact(Metadata!F122,"rat gut metagenome"))</f>
        <v>0</v>
      </c>
      <c r="W122">
        <f>AND(IF(Metadata!G122="",FALSE,TRUE),exact(Metadata!G122,"1436733"))</f>
        <v>0</v>
      </c>
    </row>
    <row r="123" spans="1:23">
      <c r="A123" s="4">
        <f>IF(B123=" "," ",HYPERLINK(CONCATENATE("#metadata!",ADDRESS(INDEX($M$2:$M$1001,MATCH(ROWS($K$2:K123),$K$2:$K$1001,0),0),1)),INDEX($P$2:$P$1001,MATCH(ROWS($K$2:K123),$K$2:$K$1001,0),0)))</f>
        <v>0</v>
      </c>
      <c r="B123" s="3">
        <f>IF(OR(INDEX($L$2:$L$1001,MATCH(ROWS($K$2:K123),$K$2:$K$1001,0),1)&gt;=100000,INDEX($R$1005:$W$1005,1,MATCH(COLUMNS($R$1006:R1006),$R$1006:$W$1006,0))&gt;=100000), " ",IF(INDEX($R$2:$W$1001,MATCH(ROWS($K$2:K123),$K$2:$K$1001,0),MATCH(COLUMNS($R$1006:R1006),$R$1006:$W$1006,0)), HYPERLINK("#",""), HYPERLINK(CONCATENATE("#Metadata!", ADDRESS(INDEX($M$2:$M$1001,MATCH(ROWS($K$2:K123),$K$2:$K$1001,0),0), INDEX($R$1004:$W$1004,1,MATCH(COLUMNS($R$1006:R1006),$R$1006:$W$1006,0)))),"Fix")))</f>
        <v>0</v>
      </c>
      <c r="C123" s="3">
        <f>IF(OR(INDEX($L$2:$L$1001,MATCH(ROWS($K$2:K123),$K$2:$K$1001,0),1)&gt;=100000,INDEX($R$1005:$W$1005,1,MATCH(COLUMNS($R$1006:S1006),$R$1006:$W$1006,0))&gt;=100000), " ",IF(INDEX($R$2:$W$1001,MATCH(ROWS($K$2:K123),$K$2:$K$1001,0),MATCH(COLUMNS($R$1006:S1006),$R$1006:$W$1006,0)), HYPERLINK("#",""), HYPERLINK(CONCATENATE("#Metadata!", ADDRESS(INDEX($M$2:$M$1001,MATCH(ROWS($K$2:K123),$K$2:$K$1001,0),0), INDEX($R$1004:$W$1004,1,MATCH(COLUMNS($R$1006:S1006),$R$1006:$W$1006,0)))),"Fix")))</f>
        <v>0</v>
      </c>
      <c r="D123" s="3">
        <f>IF(OR(INDEX($L$2:$L$1001,MATCH(ROWS($K$2:K123),$K$2:$K$1001,0),1)&gt;=100000,INDEX($R$1005:$W$1005,1,MATCH(COLUMNS($R$1006:T1006),$R$1006:$W$1006,0))&gt;=100000), " ",IF(INDEX($R$2:$W$1001,MATCH(ROWS($K$2:K123),$K$2:$K$1001,0),MATCH(COLUMNS($R$1006:T1006),$R$1006:$W$1006,0)), HYPERLINK("#",""), HYPERLINK(CONCATENATE("#Metadata!", ADDRESS(INDEX($M$2:$M$1001,MATCH(ROWS($K$2:K123),$K$2:$K$1001,0),0), INDEX($R$1004:$W$1004,1,MATCH(COLUMNS($R$1006:T1006),$R$1006:$W$1006,0)))),"Fix")))</f>
        <v>0</v>
      </c>
      <c r="E123" s="3">
        <f>IF(OR(INDEX($L$2:$L$1001,MATCH(ROWS($K$2:K123),$K$2:$K$1001,0),1)&gt;=100000,INDEX($R$1005:$W$1005,1,MATCH(COLUMNS($R$1006:U1006),$R$1006:$W$1006,0))&gt;=100000), " ",IF(INDEX($R$2:$W$1001,MATCH(ROWS($K$2:K123),$K$2:$K$1001,0),MATCH(COLUMNS($R$1006:U1006),$R$1006:$W$1006,0)), HYPERLINK("#",""), HYPERLINK(CONCATENATE("#Metadata!", ADDRESS(INDEX($M$2:$M$1001,MATCH(ROWS($K$2:K123),$K$2:$K$1001,0),0), INDEX($R$1004:$W$1004,1,MATCH(COLUMNS($R$1006:U1006),$R$1006:$W$1006,0)))),"Fix")))</f>
        <v>0</v>
      </c>
      <c r="F123" s="3">
        <f>IF(OR(INDEX($L$2:$L$1001,MATCH(ROWS($K$2:K123),$K$2:$K$1001,0),1)&gt;=100000,INDEX($R$1005:$W$1005,1,MATCH(COLUMNS($R$1006:V1006),$R$1006:$W$1006,0))&gt;=100000), " ",IF(INDEX($R$2:$W$1001,MATCH(ROWS($K$2:K123),$K$2:$K$1001,0),MATCH(COLUMNS($R$1006:V1006),$R$1006:$W$1006,0)), HYPERLINK("#",""), HYPERLINK(CONCATENATE("#Metadata!", ADDRESS(INDEX($M$2:$M$1001,MATCH(ROWS($K$2:K123),$K$2:$K$1001,0),0), INDEX($R$1004:$W$1004,1,MATCH(COLUMNS($R$1006:V1006),$R$1006:$W$1006,0)))),"Fix")))</f>
        <v>0</v>
      </c>
      <c r="G123" s="3">
        <f>IF(OR(INDEX($L$2:$L$1001,MATCH(ROWS($K$2:K123),$K$2:$K$1001,0),1)&gt;=100000,INDEX($R$1005:$W$1005,1,MATCH(COLUMNS($R$1006:W1006),$R$1006:$W$1006,0))&gt;=100000), " ",IF(INDEX($R$2:$W$1001,MATCH(ROWS($K$2:K123),$K$2:$K$1001,0),MATCH(COLUMNS($R$1006:W1006),$R$1006:$W$1006,0)), HYPERLINK("#",""), HYPERLINK(CONCATENATE("#Metadata!", ADDRESS(INDEX($M$2:$M$1001,MATCH(ROWS($K$2:K123),$K$2:$K$1001,0),0), INDEX($R$1004:$W$1004,1,MATCH(COLUMNS($R$1006:W1006),$R$1006:$W$1006,0)))),"Fix")))</f>
        <v>0</v>
      </c>
      <c r="K123">
        <v>0</v>
      </c>
      <c r="L123">
        <v>0</v>
      </c>
      <c r="M123">
        <v>0</v>
      </c>
      <c r="N123">
        <f>IF(O123,TRUE,AND(R123:W123))</f>
        <v>0</v>
      </c>
      <c r="O123">
        <f>COUNTBLANK(Metadata!B123:G123)=COLUMNS(Metadata!B123:G123)</f>
        <v>0</v>
      </c>
      <c r="P123">
        <v>0</v>
      </c>
      <c r="R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S123">
        <f>IF(Metadata!C123="",FALSE,TRUE)</f>
        <v>0</v>
      </c>
      <c r="T123">
        <f>IF(Metadata!D123="",FALSE,TRUE)</f>
        <v>0</v>
      </c>
      <c r="U123">
        <f>IF(Metadata!E123="",FALSE,TRUE)</f>
        <v>0</v>
      </c>
      <c r="V123">
        <f>AND(IF(Metadata!F123="",FALSE,TRUE),exact(Metadata!F123,"rat gut metagenome"))</f>
        <v>0</v>
      </c>
      <c r="W123">
        <f>AND(IF(Metadata!G123="",FALSE,TRUE),exact(Metadata!G123,"1436733"))</f>
        <v>0</v>
      </c>
    </row>
    <row r="124" spans="1:23">
      <c r="A124" s="4">
        <f>IF(B124=" "," ",HYPERLINK(CONCATENATE("#metadata!",ADDRESS(INDEX($M$2:$M$1001,MATCH(ROWS($K$2:K124),$K$2:$K$1001,0),0),1)),INDEX($P$2:$P$1001,MATCH(ROWS($K$2:K124),$K$2:$K$1001,0),0)))</f>
        <v>0</v>
      </c>
      <c r="B124" s="3">
        <f>IF(OR(INDEX($L$2:$L$1001,MATCH(ROWS($K$2:K124),$K$2:$K$1001,0),1)&gt;=100000,INDEX($R$1005:$W$1005,1,MATCH(COLUMNS($R$1006:R1006),$R$1006:$W$1006,0))&gt;=100000), " ",IF(INDEX($R$2:$W$1001,MATCH(ROWS($K$2:K124),$K$2:$K$1001,0),MATCH(COLUMNS($R$1006:R1006),$R$1006:$W$1006,0)), HYPERLINK("#",""), HYPERLINK(CONCATENATE("#Metadata!", ADDRESS(INDEX($M$2:$M$1001,MATCH(ROWS($K$2:K124),$K$2:$K$1001,0),0), INDEX($R$1004:$W$1004,1,MATCH(COLUMNS($R$1006:R1006),$R$1006:$W$1006,0)))),"Fix")))</f>
        <v>0</v>
      </c>
      <c r="C124" s="3">
        <f>IF(OR(INDEX($L$2:$L$1001,MATCH(ROWS($K$2:K124),$K$2:$K$1001,0),1)&gt;=100000,INDEX($R$1005:$W$1005,1,MATCH(COLUMNS($R$1006:S1006),$R$1006:$W$1006,0))&gt;=100000), " ",IF(INDEX($R$2:$W$1001,MATCH(ROWS($K$2:K124),$K$2:$K$1001,0),MATCH(COLUMNS($R$1006:S1006),$R$1006:$W$1006,0)), HYPERLINK("#",""), HYPERLINK(CONCATENATE("#Metadata!", ADDRESS(INDEX($M$2:$M$1001,MATCH(ROWS($K$2:K124),$K$2:$K$1001,0),0), INDEX($R$1004:$W$1004,1,MATCH(COLUMNS($R$1006:S1006),$R$1006:$W$1006,0)))),"Fix")))</f>
        <v>0</v>
      </c>
      <c r="D124" s="3">
        <f>IF(OR(INDEX($L$2:$L$1001,MATCH(ROWS($K$2:K124),$K$2:$K$1001,0),1)&gt;=100000,INDEX($R$1005:$W$1005,1,MATCH(COLUMNS($R$1006:T1006),$R$1006:$W$1006,0))&gt;=100000), " ",IF(INDEX($R$2:$W$1001,MATCH(ROWS($K$2:K124),$K$2:$K$1001,0),MATCH(COLUMNS($R$1006:T1006),$R$1006:$W$1006,0)), HYPERLINK("#",""), HYPERLINK(CONCATENATE("#Metadata!", ADDRESS(INDEX($M$2:$M$1001,MATCH(ROWS($K$2:K124),$K$2:$K$1001,0),0), INDEX($R$1004:$W$1004,1,MATCH(COLUMNS($R$1006:T1006),$R$1006:$W$1006,0)))),"Fix")))</f>
        <v>0</v>
      </c>
      <c r="E124" s="3">
        <f>IF(OR(INDEX($L$2:$L$1001,MATCH(ROWS($K$2:K124),$K$2:$K$1001,0),1)&gt;=100000,INDEX($R$1005:$W$1005,1,MATCH(COLUMNS($R$1006:U1006),$R$1006:$W$1006,0))&gt;=100000), " ",IF(INDEX($R$2:$W$1001,MATCH(ROWS($K$2:K124),$K$2:$K$1001,0),MATCH(COLUMNS($R$1006:U1006),$R$1006:$W$1006,0)), HYPERLINK("#",""), HYPERLINK(CONCATENATE("#Metadata!", ADDRESS(INDEX($M$2:$M$1001,MATCH(ROWS($K$2:K124),$K$2:$K$1001,0),0), INDEX($R$1004:$W$1004,1,MATCH(COLUMNS($R$1006:U1006),$R$1006:$W$1006,0)))),"Fix")))</f>
        <v>0</v>
      </c>
      <c r="F124" s="3">
        <f>IF(OR(INDEX($L$2:$L$1001,MATCH(ROWS($K$2:K124),$K$2:$K$1001,0),1)&gt;=100000,INDEX($R$1005:$W$1005,1,MATCH(COLUMNS($R$1006:V1006),$R$1006:$W$1006,0))&gt;=100000), " ",IF(INDEX($R$2:$W$1001,MATCH(ROWS($K$2:K124),$K$2:$K$1001,0),MATCH(COLUMNS($R$1006:V1006),$R$1006:$W$1006,0)), HYPERLINK("#",""), HYPERLINK(CONCATENATE("#Metadata!", ADDRESS(INDEX($M$2:$M$1001,MATCH(ROWS($K$2:K124),$K$2:$K$1001,0),0), INDEX($R$1004:$W$1004,1,MATCH(COLUMNS($R$1006:V1006),$R$1006:$W$1006,0)))),"Fix")))</f>
        <v>0</v>
      </c>
      <c r="G124" s="3">
        <f>IF(OR(INDEX($L$2:$L$1001,MATCH(ROWS($K$2:K124),$K$2:$K$1001,0),1)&gt;=100000,INDEX($R$1005:$W$1005,1,MATCH(COLUMNS($R$1006:W1006),$R$1006:$W$1006,0))&gt;=100000), " ",IF(INDEX($R$2:$W$1001,MATCH(ROWS($K$2:K124),$K$2:$K$1001,0),MATCH(COLUMNS($R$1006:W1006),$R$1006:$W$1006,0)), HYPERLINK("#",""), HYPERLINK(CONCATENATE("#Metadata!", ADDRESS(INDEX($M$2:$M$1001,MATCH(ROWS($K$2:K124),$K$2:$K$1001,0),0), INDEX($R$1004:$W$1004,1,MATCH(COLUMNS($R$1006:W1006),$R$1006:$W$1006,0)))),"Fix")))</f>
        <v>0</v>
      </c>
      <c r="K124">
        <v>0</v>
      </c>
      <c r="L124">
        <v>0</v>
      </c>
      <c r="M124">
        <v>0</v>
      </c>
      <c r="N124">
        <f>IF(O124,TRUE,AND(R124:W124))</f>
        <v>0</v>
      </c>
      <c r="O124">
        <f>COUNTBLANK(Metadata!B124:G124)=COLUMNS(Metadata!B124:G124)</f>
        <v>0</v>
      </c>
      <c r="P124">
        <v>0</v>
      </c>
      <c r="R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S124">
        <f>IF(Metadata!C124="",FALSE,TRUE)</f>
        <v>0</v>
      </c>
      <c r="T124">
        <f>IF(Metadata!D124="",FALSE,TRUE)</f>
        <v>0</v>
      </c>
      <c r="U124">
        <f>IF(Metadata!E124="",FALSE,TRUE)</f>
        <v>0</v>
      </c>
      <c r="V124">
        <f>AND(IF(Metadata!F124="",FALSE,TRUE),exact(Metadata!F124,"rat gut metagenome"))</f>
        <v>0</v>
      </c>
      <c r="W124">
        <f>AND(IF(Metadata!G124="",FALSE,TRUE),exact(Metadata!G124,"1436733"))</f>
        <v>0</v>
      </c>
    </row>
    <row r="125" spans="1:23">
      <c r="A125" s="4">
        <f>IF(B125=" "," ",HYPERLINK(CONCATENATE("#metadata!",ADDRESS(INDEX($M$2:$M$1001,MATCH(ROWS($K$2:K125),$K$2:$K$1001,0),0),1)),INDEX($P$2:$P$1001,MATCH(ROWS($K$2:K125),$K$2:$K$1001,0),0)))</f>
        <v>0</v>
      </c>
      <c r="B125" s="3">
        <f>IF(OR(INDEX($L$2:$L$1001,MATCH(ROWS($K$2:K125),$K$2:$K$1001,0),1)&gt;=100000,INDEX($R$1005:$W$1005,1,MATCH(COLUMNS($R$1006:R1006),$R$1006:$W$1006,0))&gt;=100000), " ",IF(INDEX($R$2:$W$1001,MATCH(ROWS($K$2:K125),$K$2:$K$1001,0),MATCH(COLUMNS($R$1006:R1006),$R$1006:$W$1006,0)), HYPERLINK("#",""), HYPERLINK(CONCATENATE("#Metadata!", ADDRESS(INDEX($M$2:$M$1001,MATCH(ROWS($K$2:K125),$K$2:$K$1001,0),0), INDEX($R$1004:$W$1004,1,MATCH(COLUMNS($R$1006:R1006),$R$1006:$W$1006,0)))),"Fix")))</f>
        <v>0</v>
      </c>
      <c r="C125" s="3">
        <f>IF(OR(INDEX($L$2:$L$1001,MATCH(ROWS($K$2:K125),$K$2:$K$1001,0),1)&gt;=100000,INDEX($R$1005:$W$1005,1,MATCH(COLUMNS($R$1006:S1006),$R$1006:$W$1006,0))&gt;=100000), " ",IF(INDEX($R$2:$W$1001,MATCH(ROWS($K$2:K125),$K$2:$K$1001,0),MATCH(COLUMNS($R$1006:S1006),$R$1006:$W$1006,0)), HYPERLINK("#",""), HYPERLINK(CONCATENATE("#Metadata!", ADDRESS(INDEX($M$2:$M$1001,MATCH(ROWS($K$2:K125),$K$2:$K$1001,0),0), INDEX($R$1004:$W$1004,1,MATCH(COLUMNS($R$1006:S1006),$R$1006:$W$1006,0)))),"Fix")))</f>
        <v>0</v>
      </c>
      <c r="D125" s="3">
        <f>IF(OR(INDEX($L$2:$L$1001,MATCH(ROWS($K$2:K125),$K$2:$K$1001,0),1)&gt;=100000,INDEX($R$1005:$W$1005,1,MATCH(COLUMNS($R$1006:T1006),$R$1006:$W$1006,0))&gt;=100000), " ",IF(INDEX($R$2:$W$1001,MATCH(ROWS($K$2:K125),$K$2:$K$1001,0),MATCH(COLUMNS($R$1006:T1006),$R$1006:$W$1006,0)), HYPERLINK("#",""), HYPERLINK(CONCATENATE("#Metadata!", ADDRESS(INDEX($M$2:$M$1001,MATCH(ROWS($K$2:K125),$K$2:$K$1001,0),0), INDEX($R$1004:$W$1004,1,MATCH(COLUMNS($R$1006:T1006),$R$1006:$W$1006,0)))),"Fix")))</f>
        <v>0</v>
      </c>
      <c r="E125" s="3">
        <f>IF(OR(INDEX($L$2:$L$1001,MATCH(ROWS($K$2:K125),$K$2:$K$1001,0),1)&gt;=100000,INDEX($R$1005:$W$1005,1,MATCH(COLUMNS($R$1006:U1006),$R$1006:$W$1006,0))&gt;=100000), " ",IF(INDEX($R$2:$W$1001,MATCH(ROWS($K$2:K125),$K$2:$K$1001,0),MATCH(COLUMNS($R$1006:U1006),$R$1006:$W$1006,0)), HYPERLINK("#",""), HYPERLINK(CONCATENATE("#Metadata!", ADDRESS(INDEX($M$2:$M$1001,MATCH(ROWS($K$2:K125),$K$2:$K$1001,0),0), INDEX($R$1004:$W$1004,1,MATCH(COLUMNS($R$1006:U1006),$R$1006:$W$1006,0)))),"Fix")))</f>
        <v>0</v>
      </c>
      <c r="F125" s="3">
        <f>IF(OR(INDEX($L$2:$L$1001,MATCH(ROWS($K$2:K125),$K$2:$K$1001,0),1)&gt;=100000,INDEX($R$1005:$W$1005,1,MATCH(COLUMNS($R$1006:V1006),$R$1006:$W$1006,0))&gt;=100000), " ",IF(INDEX($R$2:$W$1001,MATCH(ROWS($K$2:K125),$K$2:$K$1001,0),MATCH(COLUMNS($R$1006:V1006),$R$1006:$W$1006,0)), HYPERLINK("#",""), HYPERLINK(CONCATENATE("#Metadata!", ADDRESS(INDEX($M$2:$M$1001,MATCH(ROWS($K$2:K125),$K$2:$K$1001,0),0), INDEX($R$1004:$W$1004,1,MATCH(COLUMNS($R$1006:V1006),$R$1006:$W$1006,0)))),"Fix")))</f>
        <v>0</v>
      </c>
      <c r="G125" s="3">
        <f>IF(OR(INDEX($L$2:$L$1001,MATCH(ROWS($K$2:K125),$K$2:$K$1001,0),1)&gt;=100000,INDEX($R$1005:$W$1005,1,MATCH(COLUMNS($R$1006:W1006),$R$1006:$W$1006,0))&gt;=100000), " ",IF(INDEX($R$2:$W$1001,MATCH(ROWS($K$2:K125),$K$2:$K$1001,0),MATCH(COLUMNS($R$1006:W1006),$R$1006:$W$1006,0)), HYPERLINK("#",""), HYPERLINK(CONCATENATE("#Metadata!", ADDRESS(INDEX($M$2:$M$1001,MATCH(ROWS($K$2:K125),$K$2:$K$1001,0),0), INDEX($R$1004:$W$1004,1,MATCH(COLUMNS($R$1006:W1006),$R$1006:$W$1006,0)))),"Fix")))</f>
        <v>0</v>
      </c>
      <c r="K125">
        <v>0</v>
      </c>
      <c r="L125">
        <v>0</v>
      </c>
      <c r="M125">
        <v>0</v>
      </c>
      <c r="N125">
        <f>IF(O125,TRUE,AND(R125:W125))</f>
        <v>0</v>
      </c>
      <c r="O125">
        <f>COUNTBLANK(Metadata!B125:G125)=COLUMNS(Metadata!B125:G125)</f>
        <v>0</v>
      </c>
      <c r="P125">
        <v>0</v>
      </c>
      <c r="R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S125">
        <f>IF(Metadata!C125="",FALSE,TRUE)</f>
        <v>0</v>
      </c>
      <c r="T125">
        <f>IF(Metadata!D125="",FALSE,TRUE)</f>
        <v>0</v>
      </c>
      <c r="U125">
        <f>IF(Metadata!E125="",FALSE,TRUE)</f>
        <v>0</v>
      </c>
      <c r="V125">
        <f>AND(IF(Metadata!F125="",FALSE,TRUE),exact(Metadata!F125,"rat gut metagenome"))</f>
        <v>0</v>
      </c>
      <c r="W125">
        <f>AND(IF(Metadata!G125="",FALSE,TRUE),exact(Metadata!G125,"1436733"))</f>
        <v>0</v>
      </c>
    </row>
    <row r="126" spans="1:23">
      <c r="A126" s="4">
        <f>IF(B126=" "," ",HYPERLINK(CONCATENATE("#metadata!",ADDRESS(INDEX($M$2:$M$1001,MATCH(ROWS($K$2:K126),$K$2:$K$1001,0),0),1)),INDEX($P$2:$P$1001,MATCH(ROWS($K$2:K126),$K$2:$K$1001,0),0)))</f>
        <v>0</v>
      </c>
      <c r="B126" s="3">
        <f>IF(OR(INDEX($L$2:$L$1001,MATCH(ROWS($K$2:K126),$K$2:$K$1001,0),1)&gt;=100000,INDEX($R$1005:$W$1005,1,MATCH(COLUMNS($R$1006:R1006),$R$1006:$W$1006,0))&gt;=100000), " ",IF(INDEX($R$2:$W$1001,MATCH(ROWS($K$2:K126),$K$2:$K$1001,0),MATCH(COLUMNS($R$1006:R1006),$R$1006:$W$1006,0)), HYPERLINK("#",""), HYPERLINK(CONCATENATE("#Metadata!", ADDRESS(INDEX($M$2:$M$1001,MATCH(ROWS($K$2:K126),$K$2:$K$1001,0),0), INDEX($R$1004:$W$1004,1,MATCH(COLUMNS($R$1006:R1006),$R$1006:$W$1006,0)))),"Fix")))</f>
        <v>0</v>
      </c>
      <c r="C126" s="3">
        <f>IF(OR(INDEX($L$2:$L$1001,MATCH(ROWS($K$2:K126),$K$2:$K$1001,0),1)&gt;=100000,INDEX($R$1005:$W$1005,1,MATCH(COLUMNS($R$1006:S1006),$R$1006:$W$1006,0))&gt;=100000), " ",IF(INDEX($R$2:$W$1001,MATCH(ROWS($K$2:K126),$K$2:$K$1001,0),MATCH(COLUMNS($R$1006:S1006),$R$1006:$W$1006,0)), HYPERLINK("#",""), HYPERLINK(CONCATENATE("#Metadata!", ADDRESS(INDEX($M$2:$M$1001,MATCH(ROWS($K$2:K126),$K$2:$K$1001,0),0), INDEX($R$1004:$W$1004,1,MATCH(COLUMNS($R$1006:S1006),$R$1006:$W$1006,0)))),"Fix")))</f>
        <v>0</v>
      </c>
      <c r="D126" s="3">
        <f>IF(OR(INDEX($L$2:$L$1001,MATCH(ROWS($K$2:K126),$K$2:$K$1001,0),1)&gt;=100000,INDEX($R$1005:$W$1005,1,MATCH(COLUMNS($R$1006:T1006),$R$1006:$W$1006,0))&gt;=100000), " ",IF(INDEX($R$2:$W$1001,MATCH(ROWS($K$2:K126),$K$2:$K$1001,0),MATCH(COLUMNS($R$1006:T1006),$R$1006:$W$1006,0)), HYPERLINK("#",""), HYPERLINK(CONCATENATE("#Metadata!", ADDRESS(INDEX($M$2:$M$1001,MATCH(ROWS($K$2:K126),$K$2:$K$1001,0),0), INDEX($R$1004:$W$1004,1,MATCH(COLUMNS($R$1006:T1006),$R$1006:$W$1006,0)))),"Fix")))</f>
        <v>0</v>
      </c>
      <c r="E126" s="3">
        <f>IF(OR(INDEX($L$2:$L$1001,MATCH(ROWS($K$2:K126),$K$2:$K$1001,0),1)&gt;=100000,INDEX($R$1005:$W$1005,1,MATCH(COLUMNS($R$1006:U1006),$R$1006:$W$1006,0))&gt;=100000), " ",IF(INDEX($R$2:$W$1001,MATCH(ROWS($K$2:K126),$K$2:$K$1001,0),MATCH(COLUMNS($R$1006:U1006),$R$1006:$W$1006,0)), HYPERLINK("#",""), HYPERLINK(CONCATENATE("#Metadata!", ADDRESS(INDEX($M$2:$M$1001,MATCH(ROWS($K$2:K126),$K$2:$K$1001,0),0), INDEX($R$1004:$W$1004,1,MATCH(COLUMNS($R$1006:U1006),$R$1006:$W$1006,0)))),"Fix")))</f>
        <v>0</v>
      </c>
      <c r="F126" s="3">
        <f>IF(OR(INDEX($L$2:$L$1001,MATCH(ROWS($K$2:K126),$K$2:$K$1001,0),1)&gt;=100000,INDEX($R$1005:$W$1005,1,MATCH(COLUMNS($R$1006:V1006),$R$1006:$W$1006,0))&gt;=100000), " ",IF(INDEX($R$2:$W$1001,MATCH(ROWS($K$2:K126),$K$2:$K$1001,0),MATCH(COLUMNS($R$1006:V1006),$R$1006:$W$1006,0)), HYPERLINK("#",""), HYPERLINK(CONCATENATE("#Metadata!", ADDRESS(INDEX($M$2:$M$1001,MATCH(ROWS($K$2:K126),$K$2:$K$1001,0),0), INDEX($R$1004:$W$1004,1,MATCH(COLUMNS($R$1006:V1006),$R$1006:$W$1006,0)))),"Fix")))</f>
        <v>0</v>
      </c>
      <c r="G126" s="3">
        <f>IF(OR(INDEX($L$2:$L$1001,MATCH(ROWS($K$2:K126),$K$2:$K$1001,0),1)&gt;=100000,INDEX($R$1005:$W$1005,1,MATCH(COLUMNS($R$1006:W1006),$R$1006:$W$1006,0))&gt;=100000), " ",IF(INDEX($R$2:$W$1001,MATCH(ROWS($K$2:K126),$K$2:$K$1001,0),MATCH(COLUMNS($R$1006:W1006),$R$1006:$W$1006,0)), HYPERLINK("#",""), HYPERLINK(CONCATENATE("#Metadata!", ADDRESS(INDEX($M$2:$M$1001,MATCH(ROWS($K$2:K126),$K$2:$K$1001,0),0), INDEX($R$1004:$W$1004,1,MATCH(COLUMNS($R$1006:W1006),$R$1006:$W$1006,0)))),"Fix")))</f>
        <v>0</v>
      </c>
      <c r="K126">
        <v>0</v>
      </c>
      <c r="L126">
        <v>0</v>
      </c>
      <c r="M126">
        <v>0</v>
      </c>
      <c r="N126">
        <f>IF(O126,TRUE,AND(R126:W126))</f>
        <v>0</v>
      </c>
      <c r="O126">
        <f>COUNTBLANK(Metadata!B126:G126)=COLUMNS(Metadata!B126:G126)</f>
        <v>0</v>
      </c>
      <c r="P126">
        <v>0</v>
      </c>
      <c r="R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S126">
        <f>IF(Metadata!C126="",FALSE,TRUE)</f>
        <v>0</v>
      </c>
      <c r="T126">
        <f>IF(Metadata!D126="",FALSE,TRUE)</f>
        <v>0</v>
      </c>
      <c r="U126">
        <f>IF(Metadata!E126="",FALSE,TRUE)</f>
        <v>0</v>
      </c>
      <c r="V126">
        <f>AND(IF(Metadata!F126="",FALSE,TRUE),exact(Metadata!F126,"rat gut metagenome"))</f>
        <v>0</v>
      </c>
      <c r="W126">
        <f>AND(IF(Metadata!G126="",FALSE,TRUE),exact(Metadata!G126,"1436733"))</f>
        <v>0</v>
      </c>
    </row>
    <row r="127" spans="1:23">
      <c r="A127" s="4">
        <f>IF(B127=" "," ",HYPERLINK(CONCATENATE("#metadata!",ADDRESS(INDEX($M$2:$M$1001,MATCH(ROWS($K$2:K127),$K$2:$K$1001,0),0),1)),INDEX($P$2:$P$1001,MATCH(ROWS($K$2:K127),$K$2:$K$1001,0),0)))</f>
        <v>0</v>
      </c>
      <c r="B127" s="3">
        <f>IF(OR(INDEX($L$2:$L$1001,MATCH(ROWS($K$2:K127),$K$2:$K$1001,0),1)&gt;=100000,INDEX($R$1005:$W$1005,1,MATCH(COLUMNS($R$1006:R1006),$R$1006:$W$1006,0))&gt;=100000), " ",IF(INDEX($R$2:$W$1001,MATCH(ROWS($K$2:K127),$K$2:$K$1001,0),MATCH(COLUMNS($R$1006:R1006),$R$1006:$W$1006,0)), HYPERLINK("#",""), HYPERLINK(CONCATENATE("#Metadata!", ADDRESS(INDEX($M$2:$M$1001,MATCH(ROWS($K$2:K127),$K$2:$K$1001,0),0), INDEX($R$1004:$W$1004,1,MATCH(COLUMNS($R$1006:R1006),$R$1006:$W$1006,0)))),"Fix")))</f>
        <v>0</v>
      </c>
      <c r="C127" s="3">
        <f>IF(OR(INDEX($L$2:$L$1001,MATCH(ROWS($K$2:K127),$K$2:$K$1001,0),1)&gt;=100000,INDEX($R$1005:$W$1005,1,MATCH(COLUMNS($R$1006:S1006),$R$1006:$W$1006,0))&gt;=100000), " ",IF(INDEX($R$2:$W$1001,MATCH(ROWS($K$2:K127),$K$2:$K$1001,0),MATCH(COLUMNS($R$1006:S1006),$R$1006:$W$1006,0)), HYPERLINK("#",""), HYPERLINK(CONCATENATE("#Metadata!", ADDRESS(INDEX($M$2:$M$1001,MATCH(ROWS($K$2:K127),$K$2:$K$1001,0),0), INDEX($R$1004:$W$1004,1,MATCH(COLUMNS($R$1006:S1006),$R$1006:$W$1006,0)))),"Fix")))</f>
        <v>0</v>
      </c>
      <c r="D127" s="3">
        <f>IF(OR(INDEX($L$2:$L$1001,MATCH(ROWS($K$2:K127),$K$2:$K$1001,0),1)&gt;=100000,INDEX($R$1005:$W$1005,1,MATCH(COLUMNS($R$1006:T1006),$R$1006:$W$1006,0))&gt;=100000), " ",IF(INDEX($R$2:$W$1001,MATCH(ROWS($K$2:K127),$K$2:$K$1001,0),MATCH(COLUMNS($R$1006:T1006),$R$1006:$W$1006,0)), HYPERLINK("#",""), HYPERLINK(CONCATENATE("#Metadata!", ADDRESS(INDEX($M$2:$M$1001,MATCH(ROWS($K$2:K127),$K$2:$K$1001,0),0), INDEX($R$1004:$W$1004,1,MATCH(COLUMNS($R$1006:T1006),$R$1006:$W$1006,0)))),"Fix")))</f>
        <v>0</v>
      </c>
      <c r="E127" s="3">
        <f>IF(OR(INDEX($L$2:$L$1001,MATCH(ROWS($K$2:K127),$K$2:$K$1001,0),1)&gt;=100000,INDEX($R$1005:$W$1005,1,MATCH(COLUMNS($R$1006:U1006),$R$1006:$W$1006,0))&gt;=100000), " ",IF(INDEX($R$2:$W$1001,MATCH(ROWS($K$2:K127),$K$2:$K$1001,0),MATCH(COLUMNS($R$1006:U1006),$R$1006:$W$1006,0)), HYPERLINK("#",""), HYPERLINK(CONCATENATE("#Metadata!", ADDRESS(INDEX($M$2:$M$1001,MATCH(ROWS($K$2:K127),$K$2:$K$1001,0),0), INDEX($R$1004:$W$1004,1,MATCH(COLUMNS($R$1006:U1006),$R$1006:$W$1006,0)))),"Fix")))</f>
        <v>0</v>
      </c>
      <c r="F127" s="3">
        <f>IF(OR(INDEX($L$2:$L$1001,MATCH(ROWS($K$2:K127),$K$2:$K$1001,0),1)&gt;=100000,INDEX($R$1005:$W$1005,1,MATCH(COLUMNS($R$1006:V1006),$R$1006:$W$1006,0))&gt;=100000), " ",IF(INDEX($R$2:$W$1001,MATCH(ROWS($K$2:K127),$K$2:$K$1001,0),MATCH(COLUMNS($R$1006:V1006),$R$1006:$W$1006,0)), HYPERLINK("#",""), HYPERLINK(CONCATENATE("#Metadata!", ADDRESS(INDEX($M$2:$M$1001,MATCH(ROWS($K$2:K127),$K$2:$K$1001,0),0), INDEX($R$1004:$W$1004,1,MATCH(COLUMNS($R$1006:V1006),$R$1006:$W$1006,0)))),"Fix")))</f>
        <v>0</v>
      </c>
      <c r="G127" s="3">
        <f>IF(OR(INDEX($L$2:$L$1001,MATCH(ROWS($K$2:K127),$K$2:$K$1001,0),1)&gt;=100000,INDEX($R$1005:$W$1005,1,MATCH(COLUMNS($R$1006:W1006),$R$1006:$W$1006,0))&gt;=100000), " ",IF(INDEX($R$2:$W$1001,MATCH(ROWS($K$2:K127),$K$2:$K$1001,0),MATCH(COLUMNS($R$1006:W1006),$R$1006:$W$1006,0)), HYPERLINK("#",""), HYPERLINK(CONCATENATE("#Metadata!", ADDRESS(INDEX($M$2:$M$1001,MATCH(ROWS($K$2:K127),$K$2:$K$1001,0),0), INDEX($R$1004:$W$1004,1,MATCH(COLUMNS($R$1006:W1006),$R$1006:$W$1006,0)))),"Fix")))</f>
        <v>0</v>
      </c>
      <c r="K127">
        <v>0</v>
      </c>
      <c r="L127">
        <v>0</v>
      </c>
      <c r="M127">
        <v>0</v>
      </c>
      <c r="N127">
        <f>IF(O127,TRUE,AND(R127:W127))</f>
        <v>0</v>
      </c>
      <c r="O127">
        <f>COUNTBLANK(Metadata!B127:G127)=COLUMNS(Metadata!B127:G127)</f>
        <v>0</v>
      </c>
      <c r="P127">
        <v>0</v>
      </c>
      <c r="R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S127">
        <f>IF(Metadata!C127="",FALSE,TRUE)</f>
        <v>0</v>
      </c>
      <c r="T127">
        <f>IF(Metadata!D127="",FALSE,TRUE)</f>
        <v>0</v>
      </c>
      <c r="U127">
        <f>IF(Metadata!E127="",FALSE,TRUE)</f>
        <v>0</v>
      </c>
      <c r="V127">
        <f>AND(IF(Metadata!F127="",FALSE,TRUE),exact(Metadata!F127,"rat gut metagenome"))</f>
        <v>0</v>
      </c>
      <c r="W127">
        <f>AND(IF(Metadata!G127="",FALSE,TRUE),exact(Metadata!G127,"1436733"))</f>
        <v>0</v>
      </c>
    </row>
    <row r="128" spans="1:23">
      <c r="A128" s="4">
        <f>IF(B128=" "," ",HYPERLINK(CONCATENATE("#metadata!",ADDRESS(INDEX($M$2:$M$1001,MATCH(ROWS($K$2:K128),$K$2:$K$1001,0),0),1)),INDEX($P$2:$P$1001,MATCH(ROWS($K$2:K128),$K$2:$K$1001,0),0)))</f>
        <v>0</v>
      </c>
      <c r="B128" s="3">
        <f>IF(OR(INDEX($L$2:$L$1001,MATCH(ROWS($K$2:K128),$K$2:$K$1001,0),1)&gt;=100000,INDEX($R$1005:$W$1005,1,MATCH(COLUMNS($R$1006:R1006),$R$1006:$W$1006,0))&gt;=100000), " ",IF(INDEX($R$2:$W$1001,MATCH(ROWS($K$2:K128),$K$2:$K$1001,0),MATCH(COLUMNS($R$1006:R1006),$R$1006:$W$1006,0)), HYPERLINK("#",""), HYPERLINK(CONCATENATE("#Metadata!", ADDRESS(INDEX($M$2:$M$1001,MATCH(ROWS($K$2:K128),$K$2:$K$1001,0),0), INDEX($R$1004:$W$1004,1,MATCH(COLUMNS($R$1006:R1006),$R$1006:$W$1006,0)))),"Fix")))</f>
        <v>0</v>
      </c>
      <c r="C128" s="3">
        <f>IF(OR(INDEX($L$2:$L$1001,MATCH(ROWS($K$2:K128),$K$2:$K$1001,0),1)&gt;=100000,INDEX($R$1005:$W$1005,1,MATCH(COLUMNS($R$1006:S1006),$R$1006:$W$1006,0))&gt;=100000), " ",IF(INDEX($R$2:$W$1001,MATCH(ROWS($K$2:K128),$K$2:$K$1001,0),MATCH(COLUMNS($R$1006:S1006),$R$1006:$W$1006,0)), HYPERLINK("#",""), HYPERLINK(CONCATENATE("#Metadata!", ADDRESS(INDEX($M$2:$M$1001,MATCH(ROWS($K$2:K128),$K$2:$K$1001,0),0), INDEX($R$1004:$W$1004,1,MATCH(COLUMNS($R$1006:S1006),$R$1006:$W$1006,0)))),"Fix")))</f>
        <v>0</v>
      </c>
      <c r="D128" s="3">
        <f>IF(OR(INDEX($L$2:$L$1001,MATCH(ROWS($K$2:K128),$K$2:$K$1001,0),1)&gt;=100000,INDEX($R$1005:$W$1005,1,MATCH(COLUMNS($R$1006:T1006),$R$1006:$W$1006,0))&gt;=100000), " ",IF(INDEX($R$2:$W$1001,MATCH(ROWS($K$2:K128),$K$2:$K$1001,0),MATCH(COLUMNS($R$1006:T1006),$R$1006:$W$1006,0)), HYPERLINK("#",""), HYPERLINK(CONCATENATE("#Metadata!", ADDRESS(INDEX($M$2:$M$1001,MATCH(ROWS($K$2:K128),$K$2:$K$1001,0),0), INDEX($R$1004:$W$1004,1,MATCH(COLUMNS($R$1006:T1006),$R$1006:$W$1006,0)))),"Fix")))</f>
        <v>0</v>
      </c>
      <c r="E128" s="3">
        <f>IF(OR(INDEX($L$2:$L$1001,MATCH(ROWS($K$2:K128),$K$2:$K$1001,0),1)&gt;=100000,INDEX($R$1005:$W$1005,1,MATCH(COLUMNS($R$1006:U1006),$R$1006:$W$1006,0))&gt;=100000), " ",IF(INDEX($R$2:$W$1001,MATCH(ROWS($K$2:K128),$K$2:$K$1001,0),MATCH(COLUMNS($R$1006:U1006),$R$1006:$W$1006,0)), HYPERLINK("#",""), HYPERLINK(CONCATENATE("#Metadata!", ADDRESS(INDEX($M$2:$M$1001,MATCH(ROWS($K$2:K128),$K$2:$K$1001,0),0), INDEX($R$1004:$W$1004,1,MATCH(COLUMNS($R$1006:U1006),$R$1006:$W$1006,0)))),"Fix")))</f>
        <v>0</v>
      </c>
      <c r="F128" s="3">
        <f>IF(OR(INDEX($L$2:$L$1001,MATCH(ROWS($K$2:K128),$K$2:$K$1001,0),1)&gt;=100000,INDEX($R$1005:$W$1005,1,MATCH(COLUMNS($R$1006:V1006),$R$1006:$W$1006,0))&gt;=100000), " ",IF(INDEX($R$2:$W$1001,MATCH(ROWS($K$2:K128),$K$2:$K$1001,0),MATCH(COLUMNS($R$1006:V1006),$R$1006:$W$1006,0)), HYPERLINK("#",""), HYPERLINK(CONCATENATE("#Metadata!", ADDRESS(INDEX($M$2:$M$1001,MATCH(ROWS($K$2:K128),$K$2:$K$1001,0),0), INDEX($R$1004:$W$1004,1,MATCH(COLUMNS($R$1006:V1006),$R$1006:$W$1006,0)))),"Fix")))</f>
        <v>0</v>
      </c>
      <c r="G128" s="3">
        <f>IF(OR(INDEX($L$2:$L$1001,MATCH(ROWS($K$2:K128),$K$2:$K$1001,0),1)&gt;=100000,INDEX($R$1005:$W$1005,1,MATCH(COLUMNS($R$1006:W1006),$R$1006:$W$1006,0))&gt;=100000), " ",IF(INDEX($R$2:$W$1001,MATCH(ROWS($K$2:K128),$K$2:$K$1001,0),MATCH(COLUMNS($R$1006:W1006),$R$1006:$W$1006,0)), HYPERLINK("#",""), HYPERLINK(CONCATENATE("#Metadata!", ADDRESS(INDEX($M$2:$M$1001,MATCH(ROWS($K$2:K128),$K$2:$K$1001,0),0), INDEX($R$1004:$W$1004,1,MATCH(COLUMNS($R$1006:W1006),$R$1006:$W$1006,0)))),"Fix")))</f>
        <v>0</v>
      </c>
      <c r="K128">
        <v>0</v>
      </c>
      <c r="L128">
        <v>0</v>
      </c>
      <c r="M128">
        <v>0</v>
      </c>
      <c r="N128">
        <f>IF(O128,TRUE,AND(R128:W128))</f>
        <v>0</v>
      </c>
      <c r="O128">
        <f>COUNTBLANK(Metadata!B128:G128)=COLUMNS(Metadata!B128:G128)</f>
        <v>0</v>
      </c>
      <c r="P128">
        <v>0</v>
      </c>
      <c r="R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S128">
        <f>IF(Metadata!C128="",FALSE,TRUE)</f>
        <v>0</v>
      </c>
      <c r="T128">
        <f>IF(Metadata!D128="",FALSE,TRUE)</f>
        <v>0</v>
      </c>
      <c r="U128">
        <f>IF(Metadata!E128="",FALSE,TRUE)</f>
        <v>0</v>
      </c>
      <c r="V128">
        <f>AND(IF(Metadata!F128="",FALSE,TRUE),exact(Metadata!F128,"rat gut metagenome"))</f>
        <v>0</v>
      </c>
      <c r="W128">
        <f>AND(IF(Metadata!G128="",FALSE,TRUE),exact(Metadata!G128,"1436733"))</f>
        <v>0</v>
      </c>
    </row>
    <row r="129" spans="1:23">
      <c r="A129" s="4">
        <f>IF(B129=" "," ",HYPERLINK(CONCATENATE("#metadata!",ADDRESS(INDEX($M$2:$M$1001,MATCH(ROWS($K$2:K129),$K$2:$K$1001,0),0),1)),INDEX($P$2:$P$1001,MATCH(ROWS($K$2:K129),$K$2:$K$1001,0),0)))</f>
        <v>0</v>
      </c>
      <c r="B129" s="3">
        <f>IF(OR(INDEX($L$2:$L$1001,MATCH(ROWS($K$2:K129),$K$2:$K$1001,0),1)&gt;=100000,INDEX($R$1005:$W$1005,1,MATCH(COLUMNS($R$1006:R1006),$R$1006:$W$1006,0))&gt;=100000), " ",IF(INDEX($R$2:$W$1001,MATCH(ROWS($K$2:K129),$K$2:$K$1001,0),MATCH(COLUMNS($R$1006:R1006),$R$1006:$W$1006,0)), HYPERLINK("#",""), HYPERLINK(CONCATENATE("#Metadata!", ADDRESS(INDEX($M$2:$M$1001,MATCH(ROWS($K$2:K129),$K$2:$K$1001,0),0), INDEX($R$1004:$W$1004,1,MATCH(COLUMNS($R$1006:R1006),$R$1006:$W$1006,0)))),"Fix")))</f>
        <v>0</v>
      </c>
      <c r="C129" s="3">
        <f>IF(OR(INDEX($L$2:$L$1001,MATCH(ROWS($K$2:K129),$K$2:$K$1001,0),1)&gt;=100000,INDEX($R$1005:$W$1005,1,MATCH(COLUMNS($R$1006:S1006),$R$1006:$W$1006,0))&gt;=100000), " ",IF(INDEX($R$2:$W$1001,MATCH(ROWS($K$2:K129),$K$2:$K$1001,0),MATCH(COLUMNS($R$1006:S1006),$R$1006:$W$1006,0)), HYPERLINK("#",""), HYPERLINK(CONCATENATE("#Metadata!", ADDRESS(INDEX($M$2:$M$1001,MATCH(ROWS($K$2:K129),$K$2:$K$1001,0),0), INDEX($R$1004:$W$1004,1,MATCH(COLUMNS($R$1006:S1006),$R$1006:$W$1006,0)))),"Fix")))</f>
        <v>0</v>
      </c>
      <c r="D129" s="3">
        <f>IF(OR(INDEX($L$2:$L$1001,MATCH(ROWS($K$2:K129),$K$2:$K$1001,0),1)&gt;=100000,INDEX($R$1005:$W$1005,1,MATCH(COLUMNS($R$1006:T1006),$R$1006:$W$1006,0))&gt;=100000), " ",IF(INDEX($R$2:$W$1001,MATCH(ROWS($K$2:K129),$K$2:$K$1001,0),MATCH(COLUMNS($R$1006:T1006),$R$1006:$W$1006,0)), HYPERLINK("#",""), HYPERLINK(CONCATENATE("#Metadata!", ADDRESS(INDEX($M$2:$M$1001,MATCH(ROWS($K$2:K129),$K$2:$K$1001,0),0), INDEX($R$1004:$W$1004,1,MATCH(COLUMNS($R$1006:T1006),$R$1006:$W$1006,0)))),"Fix")))</f>
        <v>0</v>
      </c>
      <c r="E129" s="3">
        <f>IF(OR(INDEX($L$2:$L$1001,MATCH(ROWS($K$2:K129),$K$2:$K$1001,0),1)&gt;=100000,INDEX($R$1005:$W$1005,1,MATCH(COLUMNS($R$1006:U1006),$R$1006:$W$1006,0))&gt;=100000), " ",IF(INDEX($R$2:$W$1001,MATCH(ROWS($K$2:K129),$K$2:$K$1001,0),MATCH(COLUMNS($R$1006:U1006),$R$1006:$W$1006,0)), HYPERLINK("#",""), HYPERLINK(CONCATENATE("#Metadata!", ADDRESS(INDEX($M$2:$M$1001,MATCH(ROWS($K$2:K129),$K$2:$K$1001,0),0), INDEX($R$1004:$W$1004,1,MATCH(COLUMNS($R$1006:U1006),$R$1006:$W$1006,0)))),"Fix")))</f>
        <v>0</v>
      </c>
      <c r="F129" s="3">
        <f>IF(OR(INDEX($L$2:$L$1001,MATCH(ROWS($K$2:K129),$K$2:$K$1001,0),1)&gt;=100000,INDEX($R$1005:$W$1005,1,MATCH(COLUMNS($R$1006:V1006),$R$1006:$W$1006,0))&gt;=100000), " ",IF(INDEX($R$2:$W$1001,MATCH(ROWS($K$2:K129),$K$2:$K$1001,0),MATCH(COLUMNS($R$1006:V1006),$R$1006:$W$1006,0)), HYPERLINK("#",""), HYPERLINK(CONCATENATE("#Metadata!", ADDRESS(INDEX($M$2:$M$1001,MATCH(ROWS($K$2:K129),$K$2:$K$1001,0),0), INDEX($R$1004:$W$1004,1,MATCH(COLUMNS($R$1006:V1006),$R$1006:$W$1006,0)))),"Fix")))</f>
        <v>0</v>
      </c>
      <c r="G129" s="3">
        <f>IF(OR(INDEX($L$2:$L$1001,MATCH(ROWS($K$2:K129),$K$2:$K$1001,0),1)&gt;=100000,INDEX($R$1005:$W$1005,1,MATCH(COLUMNS($R$1006:W1006),$R$1006:$W$1006,0))&gt;=100000), " ",IF(INDEX($R$2:$W$1001,MATCH(ROWS($K$2:K129),$K$2:$K$1001,0),MATCH(COLUMNS($R$1006:W1006),$R$1006:$W$1006,0)), HYPERLINK("#",""), HYPERLINK(CONCATENATE("#Metadata!", ADDRESS(INDEX($M$2:$M$1001,MATCH(ROWS($K$2:K129),$K$2:$K$1001,0),0), INDEX($R$1004:$W$1004,1,MATCH(COLUMNS($R$1006:W1006),$R$1006:$W$1006,0)))),"Fix")))</f>
        <v>0</v>
      </c>
      <c r="K129">
        <v>0</v>
      </c>
      <c r="L129">
        <v>0</v>
      </c>
      <c r="M129">
        <v>0</v>
      </c>
      <c r="N129">
        <f>IF(O129,TRUE,AND(R129:W129))</f>
        <v>0</v>
      </c>
      <c r="O129">
        <f>COUNTBLANK(Metadata!B129:G129)=COLUMNS(Metadata!B129:G129)</f>
        <v>0</v>
      </c>
      <c r="P129">
        <v>0</v>
      </c>
      <c r="R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S129">
        <f>IF(Metadata!C129="",FALSE,TRUE)</f>
        <v>0</v>
      </c>
      <c r="T129">
        <f>IF(Metadata!D129="",FALSE,TRUE)</f>
        <v>0</v>
      </c>
      <c r="U129">
        <f>IF(Metadata!E129="",FALSE,TRUE)</f>
        <v>0</v>
      </c>
      <c r="V129">
        <f>AND(IF(Metadata!F129="",FALSE,TRUE),exact(Metadata!F129,"rat gut metagenome"))</f>
        <v>0</v>
      </c>
      <c r="W129">
        <f>AND(IF(Metadata!G129="",FALSE,TRUE),exact(Metadata!G129,"1436733"))</f>
        <v>0</v>
      </c>
    </row>
    <row r="130" spans="1:23">
      <c r="A130" s="4">
        <f>IF(B130=" "," ",HYPERLINK(CONCATENATE("#metadata!",ADDRESS(INDEX($M$2:$M$1001,MATCH(ROWS($K$2:K130),$K$2:$K$1001,0),0),1)),INDEX($P$2:$P$1001,MATCH(ROWS($K$2:K130),$K$2:$K$1001,0),0)))</f>
        <v>0</v>
      </c>
      <c r="B130" s="3">
        <f>IF(OR(INDEX($L$2:$L$1001,MATCH(ROWS($K$2:K130),$K$2:$K$1001,0),1)&gt;=100000,INDEX($R$1005:$W$1005,1,MATCH(COLUMNS($R$1006:R1006),$R$1006:$W$1006,0))&gt;=100000), " ",IF(INDEX($R$2:$W$1001,MATCH(ROWS($K$2:K130),$K$2:$K$1001,0),MATCH(COLUMNS($R$1006:R1006),$R$1006:$W$1006,0)), HYPERLINK("#",""), HYPERLINK(CONCATENATE("#Metadata!", ADDRESS(INDEX($M$2:$M$1001,MATCH(ROWS($K$2:K130),$K$2:$K$1001,0),0), INDEX($R$1004:$W$1004,1,MATCH(COLUMNS($R$1006:R1006),$R$1006:$W$1006,0)))),"Fix")))</f>
        <v>0</v>
      </c>
      <c r="C130" s="3">
        <f>IF(OR(INDEX($L$2:$L$1001,MATCH(ROWS($K$2:K130),$K$2:$K$1001,0),1)&gt;=100000,INDEX($R$1005:$W$1005,1,MATCH(COLUMNS($R$1006:S1006),$R$1006:$W$1006,0))&gt;=100000), " ",IF(INDEX($R$2:$W$1001,MATCH(ROWS($K$2:K130),$K$2:$K$1001,0),MATCH(COLUMNS($R$1006:S1006),$R$1006:$W$1006,0)), HYPERLINK("#",""), HYPERLINK(CONCATENATE("#Metadata!", ADDRESS(INDEX($M$2:$M$1001,MATCH(ROWS($K$2:K130),$K$2:$K$1001,0),0), INDEX($R$1004:$W$1004,1,MATCH(COLUMNS($R$1006:S1006),$R$1006:$W$1006,0)))),"Fix")))</f>
        <v>0</v>
      </c>
      <c r="D130" s="3">
        <f>IF(OR(INDEX($L$2:$L$1001,MATCH(ROWS($K$2:K130),$K$2:$K$1001,0),1)&gt;=100000,INDEX($R$1005:$W$1005,1,MATCH(COLUMNS($R$1006:T1006),$R$1006:$W$1006,0))&gt;=100000), " ",IF(INDEX($R$2:$W$1001,MATCH(ROWS($K$2:K130),$K$2:$K$1001,0),MATCH(COLUMNS($R$1006:T1006),$R$1006:$W$1006,0)), HYPERLINK("#",""), HYPERLINK(CONCATENATE("#Metadata!", ADDRESS(INDEX($M$2:$M$1001,MATCH(ROWS($K$2:K130),$K$2:$K$1001,0),0), INDEX($R$1004:$W$1004,1,MATCH(COLUMNS($R$1006:T1006),$R$1006:$W$1006,0)))),"Fix")))</f>
        <v>0</v>
      </c>
      <c r="E130" s="3">
        <f>IF(OR(INDEX($L$2:$L$1001,MATCH(ROWS($K$2:K130),$K$2:$K$1001,0),1)&gt;=100000,INDEX($R$1005:$W$1005,1,MATCH(COLUMNS($R$1006:U1006),$R$1006:$W$1006,0))&gt;=100000), " ",IF(INDEX($R$2:$W$1001,MATCH(ROWS($K$2:K130),$K$2:$K$1001,0),MATCH(COLUMNS($R$1006:U1006),$R$1006:$W$1006,0)), HYPERLINK("#",""), HYPERLINK(CONCATENATE("#Metadata!", ADDRESS(INDEX($M$2:$M$1001,MATCH(ROWS($K$2:K130),$K$2:$K$1001,0),0), INDEX($R$1004:$W$1004,1,MATCH(COLUMNS($R$1006:U1006),$R$1006:$W$1006,0)))),"Fix")))</f>
        <v>0</v>
      </c>
      <c r="F130" s="3">
        <f>IF(OR(INDEX($L$2:$L$1001,MATCH(ROWS($K$2:K130),$K$2:$K$1001,0),1)&gt;=100000,INDEX($R$1005:$W$1005,1,MATCH(COLUMNS($R$1006:V1006),$R$1006:$W$1006,0))&gt;=100000), " ",IF(INDEX($R$2:$W$1001,MATCH(ROWS($K$2:K130),$K$2:$K$1001,0),MATCH(COLUMNS($R$1006:V1006),$R$1006:$W$1006,0)), HYPERLINK("#",""), HYPERLINK(CONCATENATE("#Metadata!", ADDRESS(INDEX($M$2:$M$1001,MATCH(ROWS($K$2:K130),$K$2:$K$1001,0),0), INDEX($R$1004:$W$1004,1,MATCH(COLUMNS($R$1006:V1006),$R$1006:$W$1006,0)))),"Fix")))</f>
        <v>0</v>
      </c>
      <c r="G130" s="3">
        <f>IF(OR(INDEX($L$2:$L$1001,MATCH(ROWS($K$2:K130),$K$2:$K$1001,0),1)&gt;=100000,INDEX($R$1005:$W$1005,1,MATCH(COLUMNS($R$1006:W1006),$R$1006:$W$1006,0))&gt;=100000), " ",IF(INDEX($R$2:$W$1001,MATCH(ROWS($K$2:K130),$K$2:$K$1001,0),MATCH(COLUMNS($R$1006:W1006),$R$1006:$W$1006,0)), HYPERLINK("#",""), HYPERLINK(CONCATENATE("#Metadata!", ADDRESS(INDEX($M$2:$M$1001,MATCH(ROWS($K$2:K130),$K$2:$K$1001,0),0), INDEX($R$1004:$W$1004,1,MATCH(COLUMNS($R$1006:W1006),$R$1006:$W$1006,0)))),"Fix")))</f>
        <v>0</v>
      </c>
      <c r="K130">
        <v>0</v>
      </c>
      <c r="L130">
        <v>0</v>
      </c>
      <c r="M130">
        <v>0</v>
      </c>
      <c r="N130">
        <f>IF(O130,TRUE,AND(R130:W130))</f>
        <v>0</v>
      </c>
      <c r="O130">
        <f>COUNTBLANK(Metadata!B130:G130)=COLUMNS(Metadata!B130:G130)</f>
        <v>0</v>
      </c>
      <c r="P130">
        <v>0</v>
      </c>
      <c r="R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S130">
        <f>IF(Metadata!C130="",FALSE,TRUE)</f>
        <v>0</v>
      </c>
      <c r="T130">
        <f>IF(Metadata!D130="",FALSE,TRUE)</f>
        <v>0</v>
      </c>
      <c r="U130">
        <f>IF(Metadata!E130="",FALSE,TRUE)</f>
        <v>0</v>
      </c>
      <c r="V130">
        <f>AND(IF(Metadata!F130="",FALSE,TRUE),exact(Metadata!F130,"rat gut metagenome"))</f>
        <v>0</v>
      </c>
      <c r="W130">
        <f>AND(IF(Metadata!G130="",FALSE,TRUE),exact(Metadata!G130,"1436733"))</f>
        <v>0</v>
      </c>
    </row>
    <row r="131" spans="1:23">
      <c r="A131" s="4">
        <f>IF(B131=" "," ",HYPERLINK(CONCATENATE("#metadata!",ADDRESS(INDEX($M$2:$M$1001,MATCH(ROWS($K$2:K131),$K$2:$K$1001,0),0),1)),INDEX($P$2:$P$1001,MATCH(ROWS($K$2:K131),$K$2:$K$1001,0),0)))</f>
        <v>0</v>
      </c>
      <c r="B131" s="3">
        <f>IF(OR(INDEX($L$2:$L$1001,MATCH(ROWS($K$2:K131),$K$2:$K$1001,0),1)&gt;=100000,INDEX($R$1005:$W$1005,1,MATCH(COLUMNS($R$1006:R1006),$R$1006:$W$1006,0))&gt;=100000), " ",IF(INDEX($R$2:$W$1001,MATCH(ROWS($K$2:K131),$K$2:$K$1001,0),MATCH(COLUMNS($R$1006:R1006),$R$1006:$W$1006,0)), HYPERLINK("#",""), HYPERLINK(CONCATENATE("#Metadata!", ADDRESS(INDEX($M$2:$M$1001,MATCH(ROWS($K$2:K131),$K$2:$K$1001,0),0), INDEX($R$1004:$W$1004,1,MATCH(COLUMNS($R$1006:R1006),$R$1006:$W$1006,0)))),"Fix")))</f>
        <v>0</v>
      </c>
      <c r="C131" s="3">
        <f>IF(OR(INDEX($L$2:$L$1001,MATCH(ROWS($K$2:K131),$K$2:$K$1001,0),1)&gt;=100000,INDEX($R$1005:$W$1005,1,MATCH(COLUMNS($R$1006:S1006),$R$1006:$W$1006,0))&gt;=100000), " ",IF(INDEX($R$2:$W$1001,MATCH(ROWS($K$2:K131),$K$2:$K$1001,0),MATCH(COLUMNS($R$1006:S1006),$R$1006:$W$1006,0)), HYPERLINK("#",""), HYPERLINK(CONCATENATE("#Metadata!", ADDRESS(INDEX($M$2:$M$1001,MATCH(ROWS($K$2:K131),$K$2:$K$1001,0),0), INDEX($R$1004:$W$1004,1,MATCH(COLUMNS($R$1006:S1006),$R$1006:$W$1006,0)))),"Fix")))</f>
        <v>0</v>
      </c>
      <c r="D131" s="3">
        <f>IF(OR(INDEX($L$2:$L$1001,MATCH(ROWS($K$2:K131),$K$2:$K$1001,0),1)&gt;=100000,INDEX($R$1005:$W$1005,1,MATCH(COLUMNS($R$1006:T1006),$R$1006:$W$1006,0))&gt;=100000), " ",IF(INDEX($R$2:$W$1001,MATCH(ROWS($K$2:K131),$K$2:$K$1001,0),MATCH(COLUMNS($R$1006:T1006),$R$1006:$W$1006,0)), HYPERLINK("#",""), HYPERLINK(CONCATENATE("#Metadata!", ADDRESS(INDEX($M$2:$M$1001,MATCH(ROWS($K$2:K131),$K$2:$K$1001,0),0), INDEX($R$1004:$W$1004,1,MATCH(COLUMNS($R$1006:T1006),$R$1006:$W$1006,0)))),"Fix")))</f>
        <v>0</v>
      </c>
      <c r="E131" s="3">
        <f>IF(OR(INDEX($L$2:$L$1001,MATCH(ROWS($K$2:K131),$K$2:$K$1001,0),1)&gt;=100000,INDEX($R$1005:$W$1005,1,MATCH(COLUMNS($R$1006:U1006),$R$1006:$W$1006,0))&gt;=100000), " ",IF(INDEX($R$2:$W$1001,MATCH(ROWS($K$2:K131),$K$2:$K$1001,0),MATCH(COLUMNS($R$1006:U1006),$R$1006:$W$1006,0)), HYPERLINK("#",""), HYPERLINK(CONCATENATE("#Metadata!", ADDRESS(INDEX($M$2:$M$1001,MATCH(ROWS($K$2:K131),$K$2:$K$1001,0),0), INDEX($R$1004:$W$1004,1,MATCH(COLUMNS($R$1006:U1006),$R$1006:$W$1006,0)))),"Fix")))</f>
        <v>0</v>
      </c>
      <c r="F131" s="3">
        <f>IF(OR(INDEX($L$2:$L$1001,MATCH(ROWS($K$2:K131),$K$2:$K$1001,0),1)&gt;=100000,INDEX($R$1005:$W$1005,1,MATCH(COLUMNS($R$1006:V1006),$R$1006:$W$1006,0))&gt;=100000), " ",IF(INDEX($R$2:$W$1001,MATCH(ROWS($K$2:K131),$K$2:$K$1001,0),MATCH(COLUMNS($R$1006:V1006),$R$1006:$W$1006,0)), HYPERLINK("#",""), HYPERLINK(CONCATENATE("#Metadata!", ADDRESS(INDEX($M$2:$M$1001,MATCH(ROWS($K$2:K131),$K$2:$K$1001,0),0), INDEX($R$1004:$W$1004,1,MATCH(COLUMNS($R$1006:V1006),$R$1006:$W$1006,0)))),"Fix")))</f>
        <v>0</v>
      </c>
      <c r="G131" s="3">
        <f>IF(OR(INDEX($L$2:$L$1001,MATCH(ROWS($K$2:K131),$K$2:$K$1001,0),1)&gt;=100000,INDEX($R$1005:$W$1005,1,MATCH(COLUMNS($R$1006:W1006),$R$1006:$W$1006,0))&gt;=100000), " ",IF(INDEX($R$2:$W$1001,MATCH(ROWS($K$2:K131),$K$2:$K$1001,0),MATCH(COLUMNS($R$1006:W1006),$R$1006:$W$1006,0)), HYPERLINK("#",""), HYPERLINK(CONCATENATE("#Metadata!", ADDRESS(INDEX($M$2:$M$1001,MATCH(ROWS($K$2:K131),$K$2:$K$1001,0),0), INDEX($R$1004:$W$1004,1,MATCH(COLUMNS($R$1006:W1006),$R$1006:$W$1006,0)))),"Fix")))</f>
        <v>0</v>
      </c>
      <c r="K131">
        <v>0</v>
      </c>
      <c r="L131">
        <v>0</v>
      </c>
      <c r="M131">
        <v>0</v>
      </c>
      <c r="N131">
        <f>IF(O131,TRUE,AND(R131:W131))</f>
        <v>0</v>
      </c>
      <c r="O131">
        <f>COUNTBLANK(Metadata!B131:G131)=COLUMNS(Metadata!B131:G131)</f>
        <v>0</v>
      </c>
      <c r="P131">
        <v>0</v>
      </c>
      <c r="R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S131">
        <f>IF(Metadata!C131="",FALSE,TRUE)</f>
        <v>0</v>
      </c>
      <c r="T131">
        <f>IF(Metadata!D131="",FALSE,TRUE)</f>
        <v>0</v>
      </c>
      <c r="U131">
        <f>IF(Metadata!E131="",FALSE,TRUE)</f>
        <v>0</v>
      </c>
      <c r="V131">
        <f>AND(IF(Metadata!F131="",FALSE,TRUE),exact(Metadata!F131,"rat gut metagenome"))</f>
        <v>0</v>
      </c>
      <c r="W131">
        <f>AND(IF(Metadata!G131="",FALSE,TRUE),exact(Metadata!G131,"1436733"))</f>
        <v>0</v>
      </c>
    </row>
    <row r="132" spans="1:23">
      <c r="A132" s="4">
        <f>IF(B132=" "," ",HYPERLINK(CONCATENATE("#metadata!",ADDRESS(INDEX($M$2:$M$1001,MATCH(ROWS($K$2:K132),$K$2:$K$1001,0),0),1)),INDEX($P$2:$P$1001,MATCH(ROWS($K$2:K132),$K$2:$K$1001,0),0)))</f>
        <v>0</v>
      </c>
      <c r="B132" s="3">
        <f>IF(OR(INDEX($L$2:$L$1001,MATCH(ROWS($K$2:K132),$K$2:$K$1001,0),1)&gt;=100000,INDEX($R$1005:$W$1005,1,MATCH(COLUMNS($R$1006:R1006),$R$1006:$W$1006,0))&gt;=100000), " ",IF(INDEX($R$2:$W$1001,MATCH(ROWS($K$2:K132),$K$2:$K$1001,0),MATCH(COLUMNS($R$1006:R1006),$R$1006:$W$1006,0)), HYPERLINK("#",""), HYPERLINK(CONCATENATE("#Metadata!", ADDRESS(INDEX($M$2:$M$1001,MATCH(ROWS($K$2:K132),$K$2:$K$1001,0),0), INDEX($R$1004:$W$1004,1,MATCH(COLUMNS($R$1006:R1006),$R$1006:$W$1006,0)))),"Fix")))</f>
        <v>0</v>
      </c>
      <c r="C132" s="3">
        <f>IF(OR(INDEX($L$2:$L$1001,MATCH(ROWS($K$2:K132),$K$2:$K$1001,0),1)&gt;=100000,INDEX($R$1005:$W$1005,1,MATCH(COLUMNS($R$1006:S1006),$R$1006:$W$1006,0))&gt;=100000), " ",IF(INDEX($R$2:$W$1001,MATCH(ROWS($K$2:K132),$K$2:$K$1001,0),MATCH(COLUMNS($R$1006:S1006),$R$1006:$W$1006,0)), HYPERLINK("#",""), HYPERLINK(CONCATENATE("#Metadata!", ADDRESS(INDEX($M$2:$M$1001,MATCH(ROWS($K$2:K132),$K$2:$K$1001,0),0), INDEX($R$1004:$W$1004,1,MATCH(COLUMNS($R$1006:S1006),$R$1006:$W$1006,0)))),"Fix")))</f>
        <v>0</v>
      </c>
      <c r="D132" s="3">
        <f>IF(OR(INDEX($L$2:$L$1001,MATCH(ROWS($K$2:K132),$K$2:$K$1001,0),1)&gt;=100000,INDEX($R$1005:$W$1005,1,MATCH(COLUMNS($R$1006:T1006),$R$1006:$W$1006,0))&gt;=100000), " ",IF(INDEX($R$2:$W$1001,MATCH(ROWS($K$2:K132),$K$2:$K$1001,0),MATCH(COLUMNS($R$1006:T1006),$R$1006:$W$1006,0)), HYPERLINK("#",""), HYPERLINK(CONCATENATE("#Metadata!", ADDRESS(INDEX($M$2:$M$1001,MATCH(ROWS($K$2:K132),$K$2:$K$1001,0),0), INDEX($R$1004:$W$1004,1,MATCH(COLUMNS($R$1006:T1006),$R$1006:$W$1006,0)))),"Fix")))</f>
        <v>0</v>
      </c>
      <c r="E132" s="3">
        <f>IF(OR(INDEX($L$2:$L$1001,MATCH(ROWS($K$2:K132),$K$2:$K$1001,0),1)&gt;=100000,INDEX($R$1005:$W$1005,1,MATCH(COLUMNS($R$1006:U1006),$R$1006:$W$1006,0))&gt;=100000), " ",IF(INDEX($R$2:$W$1001,MATCH(ROWS($K$2:K132),$K$2:$K$1001,0),MATCH(COLUMNS($R$1006:U1006),$R$1006:$W$1006,0)), HYPERLINK("#",""), HYPERLINK(CONCATENATE("#Metadata!", ADDRESS(INDEX($M$2:$M$1001,MATCH(ROWS($K$2:K132),$K$2:$K$1001,0),0), INDEX($R$1004:$W$1004,1,MATCH(COLUMNS($R$1006:U1006),$R$1006:$W$1006,0)))),"Fix")))</f>
        <v>0</v>
      </c>
      <c r="F132" s="3">
        <f>IF(OR(INDEX($L$2:$L$1001,MATCH(ROWS($K$2:K132),$K$2:$K$1001,0),1)&gt;=100000,INDEX($R$1005:$W$1005,1,MATCH(COLUMNS($R$1006:V1006),$R$1006:$W$1006,0))&gt;=100000), " ",IF(INDEX($R$2:$W$1001,MATCH(ROWS($K$2:K132),$K$2:$K$1001,0),MATCH(COLUMNS($R$1006:V1006),$R$1006:$W$1006,0)), HYPERLINK("#",""), HYPERLINK(CONCATENATE("#Metadata!", ADDRESS(INDEX($M$2:$M$1001,MATCH(ROWS($K$2:K132),$K$2:$K$1001,0),0), INDEX($R$1004:$W$1004,1,MATCH(COLUMNS($R$1006:V1006),$R$1006:$W$1006,0)))),"Fix")))</f>
        <v>0</v>
      </c>
      <c r="G132" s="3">
        <f>IF(OR(INDEX($L$2:$L$1001,MATCH(ROWS($K$2:K132),$K$2:$K$1001,0),1)&gt;=100000,INDEX($R$1005:$W$1005,1,MATCH(COLUMNS($R$1006:W1006),$R$1006:$W$1006,0))&gt;=100000), " ",IF(INDEX($R$2:$W$1001,MATCH(ROWS($K$2:K132),$K$2:$K$1001,0),MATCH(COLUMNS($R$1006:W1006),$R$1006:$W$1006,0)), HYPERLINK("#",""), HYPERLINK(CONCATENATE("#Metadata!", ADDRESS(INDEX($M$2:$M$1001,MATCH(ROWS($K$2:K132),$K$2:$K$1001,0),0), INDEX($R$1004:$W$1004,1,MATCH(COLUMNS($R$1006:W1006),$R$1006:$W$1006,0)))),"Fix")))</f>
        <v>0</v>
      </c>
      <c r="K132">
        <v>0</v>
      </c>
      <c r="L132">
        <v>0</v>
      </c>
      <c r="M132">
        <v>0</v>
      </c>
      <c r="N132">
        <f>IF(O132,TRUE,AND(R132:W132))</f>
        <v>0</v>
      </c>
      <c r="O132">
        <f>COUNTBLANK(Metadata!B132:G132)=COLUMNS(Metadata!B132:G132)</f>
        <v>0</v>
      </c>
      <c r="P132">
        <v>0</v>
      </c>
      <c r="R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S132">
        <f>IF(Metadata!C132="",FALSE,TRUE)</f>
        <v>0</v>
      </c>
      <c r="T132">
        <f>IF(Metadata!D132="",FALSE,TRUE)</f>
        <v>0</v>
      </c>
      <c r="U132">
        <f>IF(Metadata!E132="",FALSE,TRUE)</f>
        <v>0</v>
      </c>
      <c r="V132">
        <f>AND(IF(Metadata!F132="",FALSE,TRUE),exact(Metadata!F132,"rat gut metagenome"))</f>
        <v>0</v>
      </c>
      <c r="W132">
        <f>AND(IF(Metadata!G132="",FALSE,TRUE),exact(Metadata!G132,"1436733"))</f>
        <v>0</v>
      </c>
    </row>
    <row r="133" spans="1:23">
      <c r="A133" s="4">
        <f>IF(B133=" "," ",HYPERLINK(CONCATENATE("#metadata!",ADDRESS(INDEX($M$2:$M$1001,MATCH(ROWS($K$2:K133),$K$2:$K$1001,0),0),1)),INDEX($P$2:$P$1001,MATCH(ROWS($K$2:K133),$K$2:$K$1001,0),0)))</f>
        <v>0</v>
      </c>
      <c r="B133" s="3">
        <f>IF(OR(INDEX($L$2:$L$1001,MATCH(ROWS($K$2:K133),$K$2:$K$1001,0),1)&gt;=100000,INDEX($R$1005:$W$1005,1,MATCH(COLUMNS($R$1006:R1006),$R$1006:$W$1006,0))&gt;=100000), " ",IF(INDEX($R$2:$W$1001,MATCH(ROWS($K$2:K133),$K$2:$K$1001,0),MATCH(COLUMNS($R$1006:R1006),$R$1006:$W$1006,0)), HYPERLINK("#",""), HYPERLINK(CONCATENATE("#Metadata!", ADDRESS(INDEX($M$2:$M$1001,MATCH(ROWS($K$2:K133),$K$2:$K$1001,0),0), INDEX($R$1004:$W$1004,1,MATCH(COLUMNS($R$1006:R1006),$R$1006:$W$1006,0)))),"Fix")))</f>
        <v>0</v>
      </c>
      <c r="C133" s="3">
        <f>IF(OR(INDEX($L$2:$L$1001,MATCH(ROWS($K$2:K133),$K$2:$K$1001,0),1)&gt;=100000,INDEX($R$1005:$W$1005,1,MATCH(COLUMNS($R$1006:S1006),$R$1006:$W$1006,0))&gt;=100000), " ",IF(INDEX($R$2:$W$1001,MATCH(ROWS($K$2:K133),$K$2:$K$1001,0),MATCH(COLUMNS($R$1006:S1006),$R$1006:$W$1006,0)), HYPERLINK("#",""), HYPERLINK(CONCATENATE("#Metadata!", ADDRESS(INDEX($M$2:$M$1001,MATCH(ROWS($K$2:K133),$K$2:$K$1001,0),0), INDEX($R$1004:$W$1004,1,MATCH(COLUMNS($R$1006:S1006),$R$1006:$W$1006,0)))),"Fix")))</f>
        <v>0</v>
      </c>
      <c r="D133" s="3">
        <f>IF(OR(INDEX($L$2:$L$1001,MATCH(ROWS($K$2:K133),$K$2:$K$1001,0),1)&gt;=100000,INDEX($R$1005:$W$1005,1,MATCH(COLUMNS($R$1006:T1006),$R$1006:$W$1006,0))&gt;=100000), " ",IF(INDEX($R$2:$W$1001,MATCH(ROWS($K$2:K133),$K$2:$K$1001,0),MATCH(COLUMNS($R$1006:T1006),$R$1006:$W$1006,0)), HYPERLINK("#",""), HYPERLINK(CONCATENATE("#Metadata!", ADDRESS(INDEX($M$2:$M$1001,MATCH(ROWS($K$2:K133),$K$2:$K$1001,0),0), INDEX($R$1004:$W$1004,1,MATCH(COLUMNS($R$1006:T1006),$R$1006:$W$1006,0)))),"Fix")))</f>
        <v>0</v>
      </c>
      <c r="E133" s="3">
        <f>IF(OR(INDEX($L$2:$L$1001,MATCH(ROWS($K$2:K133),$K$2:$K$1001,0),1)&gt;=100000,INDEX($R$1005:$W$1005,1,MATCH(COLUMNS($R$1006:U1006),$R$1006:$W$1006,0))&gt;=100000), " ",IF(INDEX($R$2:$W$1001,MATCH(ROWS($K$2:K133),$K$2:$K$1001,0),MATCH(COLUMNS($R$1006:U1006),$R$1006:$W$1006,0)), HYPERLINK("#",""), HYPERLINK(CONCATENATE("#Metadata!", ADDRESS(INDEX($M$2:$M$1001,MATCH(ROWS($K$2:K133),$K$2:$K$1001,0),0), INDEX($R$1004:$W$1004,1,MATCH(COLUMNS($R$1006:U1006),$R$1006:$W$1006,0)))),"Fix")))</f>
        <v>0</v>
      </c>
      <c r="F133" s="3">
        <f>IF(OR(INDEX($L$2:$L$1001,MATCH(ROWS($K$2:K133),$K$2:$K$1001,0),1)&gt;=100000,INDEX($R$1005:$W$1005,1,MATCH(COLUMNS($R$1006:V1006),$R$1006:$W$1006,0))&gt;=100000), " ",IF(INDEX($R$2:$W$1001,MATCH(ROWS($K$2:K133),$K$2:$K$1001,0),MATCH(COLUMNS($R$1006:V1006),$R$1006:$W$1006,0)), HYPERLINK("#",""), HYPERLINK(CONCATENATE("#Metadata!", ADDRESS(INDEX($M$2:$M$1001,MATCH(ROWS($K$2:K133),$K$2:$K$1001,0),0), INDEX($R$1004:$W$1004,1,MATCH(COLUMNS($R$1006:V1006),$R$1006:$W$1006,0)))),"Fix")))</f>
        <v>0</v>
      </c>
      <c r="G133" s="3">
        <f>IF(OR(INDEX($L$2:$L$1001,MATCH(ROWS($K$2:K133),$K$2:$K$1001,0),1)&gt;=100000,INDEX($R$1005:$W$1005,1,MATCH(COLUMNS($R$1006:W1006),$R$1006:$W$1006,0))&gt;=100000), " ",IF(INDEX($R$2:$W$1001,MATCH(ROWS($K$2:K133),$K$2:$K$1001,0),MATCH(COLUMNS($R$1006:W1006),$R$1006:$W$1006,0)), HYPERLINK("#",""), HYPERLINK(CONCATENATE("#Metadata!", ADDRESS(INDEX($M$2:$M$1001,MATCH(ROWS($K$2:K133),$K$2:$K$1001,0),0), INDEX($R$1004:$W$1004,1,MATCH(COLUMNS($R$1006:W1006),$R$1006:$W$1006,0)))),"Fix")))</f>
        <v>0</v>
      </c>
      <c r="K133">
        <v>0</v>
      </c>
      <c r="L133">
        <v>0</v>
      </c>
      <c r="M133">
        <v>0</v>
      </c>
      <c r="N133">
        <f>IF(O133,TRUE,AND(R133:W133))</f>
        <v>0</v>
      </c>
      <c r="O133">
        <f>COUNTBLANK(Metadata!B133:G133)=COLUMNS(Metadata!B133:G133)</f>
        <v>0</v>
      </c>
      <c r="P133">
        <v>0</v>
      </c>
      <c r="R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S133">
        <f>IF(Metadata!C133="",FALSE,TRUE)</f>
        <v>0</v>
      </c>
      <c r="T133">
        <f>IF(Metadata!D133="",FALSE,TRUE)</f>
        <v>0</v>
      </c>
      <c r="U133">
        <f>IF(Metadata!E133="",FALSE,TRUE)</f>
        <v>0</v>
      </c>
      <c r="V133">
        <f>AND(IF(Metadata!F133="",FALSE,TRUE),exact(Metadata!F133,"rat gut metagenome"))</f>
        <v>0</v>
      </c>
      <c r="W133">
        <f>AND(IF(Metadata!G133="",FALSE,TRUE),exact(Metadata!G133,"1436733"))</f>
        <v>0</v>
      </c>
    </row>
    <row r="134" spans="1:23">
      <c r="A134" s="4">
        <f>IF(B134=" "," ",HYPERLINK(CONCATENATE("#metadata!",ADDRESS(INDEX($M$2:$M$1001,MATCH(ROWS($K$2:K134),$K$2:$K$1001,0),0),1)),INDEX($P$2:$P$1001,MATCH(ROWS($K$2:K134),$K$2:$K$1001,0),0)))</f>
        <v>0</v>
      </c>
      <c r="B134" s="3">
        <f>IF(OR(INDEX($L$2:$L$1001,MATCH(ROWS($K$2:K134),$K$2:$K$1001,0),1)&gt;=100000,INDEX($R$1005:$W$1005,1,MATCH(COLUMNS($R$1006:R1006),$R$1006:$W$1006,0))&gt;=100000), " ",IF(INDEX($R$2:$W$1001,MATCH(ROWS($K$2:K134),$K$2:$K$1001,0),MATCH(COLUMNS($R$1006:R1006),$R$1006:$W$1006,0)), HYPERLINK("#",""), HYPERLINK(CONCATENATE("#Metadata!", ADDRESS(INDEX($M$2:$M$1001,MATCH(ROWS($K$2:K134),$K$2:$K$1001,0),0), INDEX($R$1004:$W$1004,1,MATCH(COLUMNS($R$1006:R1006),$R$1006:$W$1006,0)))),"Fix")))</f>
        <v>0</v>
      </c>
      <c r="C134" s="3">
        <f>IF(OR(INDEX($L$2:$L$1001,MATCH(ROWS($K$2:K134),$K$2:$K$1001,0),1)&gt;=100000,INDEX($R$1005:$W$1005,1,MATCH(COLUMNS($R$1006:S1006),$R$1006:$W$1006,0))&gt;=100000), " ",IF(INDEX($R$2:$W$1001,MATCH(ROWS($K$2:K134),$K$2:$K$1001,0),MATCH(COLUMNS($R$1006:S1006),$R$1006:$W$1006,0)), HYPERLINK("#",""), HYPERLINK(CONCATENATE("#Metadata!", ADDRESS(INDEX($M$2:$M$1001,MATCH(ROWS($K$2:K134),$K$2:$K$1001,0),0), INDEX($R$1004:$W$1004,1,MATCH(COLUMNS($R$1006:S1006),$R$1006:$W$1006,0)))),"Fix")))</f>
        <v>0</v>
      </c>
      <c r="D134" s="3">
        <f>IF(OR(INDEX($L$2:$L$1001,MATCH(ROWS($K$2:K134),$K$2:$K$1001,0),1)&gt;=100000,INDEX($R$1005:$W$1005,1,MATCH(COLUMNS($R$1006:T1006),$R$1006:$W$1006,0))&gt;=100000), " ",IF(INDEX($R$2:$W$1001,MATCH(ROWS($K$2:K134),$K$2:$K$1001,0),MATCH(COLUMNS($R$1006:T1006),$R$1006:$W$1006,0)), HYPERLINK("#",""), HYPERLINK(CONCATENATE("#Metadata!", ADDRESS(INDEX($M$2:$M$1001,MATCH(ROWS($K$2:K134),$K$2:$K$1001,0),0), INDEX($R$1004:$W$1004,1,MATCH(COLUMNS($R$1006:T1006),$R$1006:$W$1006,0)))),"Fix")))</f>
        <v>0</v>
      </c>
      <c r="E134" s="3">
        <f>IF(OR(INDEX($L$2:$L$1001,MATCH(ROWS($K$2:K134),$K$2:$K$1001,0),1)&gt;=100000,INDEX($R$1005:$W$1005,1,MATCH(COLUMNS($R$1006:U1006),$R$1006:$W$1006,0))&gt;=100000), " ",IF(INDEX($R$2:$W$1001,MATCH(ROWS($K$2:K134),$K$2:$K$1001,0),MATCH(COLUMNS($R$1006:U1006),$R$1006:$W$1006,0)), HYPERLINK("#",""), HYPERLINK(CONCATENATE("#Metadata!", ADDRESS(INDEX($M$2:$M$1001,MATCH(ROWS($K$2:K134),$K$2:$K$1001,0),0), INDEX($R$1004:$W$1004,1,MATCH(COLUMNS($R$1006:U1006),$R$1006:$W$1006,0)))),"Fix")))</f>
        <v>0</v>
      </c>
      <c r="F134" s="3">
        <f>IF(OR(INDEX($L$2:$L$1001,MATCH(ROWS($K$2:K134),$K$2:$K$1001,0),1)&gt;=100000,INDEX($R$1005:$W$1005,1,MATCH(COLUMNS($R$1006:V1006),$R$1006:$W$1006,0))&gt;=100000), " ",IF(INDEX($R$2:$W$1001,MATCH(ROWS($K$2:K134),$K$2:$K$1001,0),MATCH(COLUMNS($R$1006:V1006),$R$1006:$W$1006,0)), HYPERLINK("#",""), HYPERLINK(CONCATENATE("#Metadata!", ADDRESS(INDEX($M$2:$M$1001,MATCH(ROWS($K$2:K134),$K$2:$K$1001,0),0), INDEX($R$1004:$W$1004,1,MATCH(COLUMNS($R$1006:V1006),$R$1006:$W$1006,0)))),"Fix")))</f>
        <v>0</v>
      </c>
      <c r="G134" s="3">
        <f>IF(OR(INDEX($L$2:$L$1001,MATCH(ROWS($K$2:K134),$K$2:$K$1001,0),1)&gt;=100000,INDEX($R$1005:$W$1005,1,MATCH(COLUMNS($R$1006:W1006),$R$1006:$W$1006,0))&gt;=100000), " ",IF(INDEX($R$2:$W$1001,MATCH(ROWS($K$2:K134),$K$2:$K$1001,0),MATCH(COLUMNS($R$1006:W1006),$R$1006:$W$1006,0)), HYPERLINK("#",""), HYPERLINK(CONCATENATE("#Metadata!", ADDRESS(INDEX($M$2:$M$1001,MATCH(ROWS($K$2:K134),$K$2:$K$1001,0),0), INDEX($R$1004:$W$1004,1,MATCH(COLUMNS($R$1006:W1006),$R$1006:$W$1006,0)))),"Fix")))</f>
        <v>0</v>
      </c>
      <c r="K134">
        <v>0</v>
      </c>
      <c r="L134">
        <v>0</v>
      </c>
      <c r="M134">
        <v>0</v>
      </c>
      <c r="N134">
        <f>IF(O134,TRUE,AND(R134:W134))</f>
        <v>0</v>
      </c>
      <c r="O134">
        <f>COUNTBLANK(Metadata!B134:G134)=COLUMNS(Metadata!B134:G134)</f>
        <v>0</v>
      </c>
      <c r="P134">
        <v>0</v>
      </c>
      <c r="R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S134">
        <f>IF(Metadata!C134="",FALSE,TRUE)</f>
        <v>0</v>
      </c>
      <c r="T134">
        <f>IF(Metadata!D134="",FALSE,TRUE)</f>
        <v>0</v>
      </c>
      <c r="U134">
        <f>IF(Metadata!E134="",FALSE,TRUE)</f>
        <v>0</v>
      </c>
      <c r="V134">
        <f>AND(IF(Metadata!F134="",FALSE,TRUE),exact(Metadata!F134,"rat gut metagenome"))</f>
        <v>0</v>
      </c>
      <c r="W134">
        <f>AND(IF(Metadata!G134="",FALSE,TRUE),exact(Metadata!G134,"1436733"))</f>
        <v>0</v>
      </c>
    </row>
    <row r="135" spans="1:23">
      <c r="A135" s="4">
        <f>IF(B135=" "," ",HYPERLINK(CONCATENATE("#metadata!",ADDRESS(INDEX($M$2:$M$1001,MATCH(ROWS($K$2:K135),$K$2:$K$1001,0),0),1)),INDEX($P$2:$P$1001,MATCH(ROWS($K$2:K135),$K$2:$K$1001,0),0)))</f>
        <v>0</v>
      </c>
      <c r="B135" s="3">
        <f>IF(OR(INDEX($L$2:$L$1001,MATCH(ROWS($K$2:K135),$K$2:$K$1001,0),1)&gt;=100000,INDEX($R$1005:$W$1005,1,MATCH(COLUMNS($R$1006:R1006),$R$1006:$W$1006,0))&gt;=100000), " ",IF(INDEX($R$2:$W$1001,MATCH(ROWS($K$2:K135),$K$2:$K$1001,0),MATCH(COLUMNS($R$1006:R1006),$R$1006:$W$1006,0)), HYPERLINK("#",""), HYPERLINK(CONCATENATE("#Metadata!", ADDRESS(INDEX($M$2:$M$1001,MATCH(ROWS($K$2:K135),$K$2:$K$1001,0),0), INDEX($R$1004:$W$1004,1,MATCH(COLUMNS($R$1006:R1006),$R$1006:$W$1006,0)))),"Fix")))</f>
        <v>0</v>
      </c>
      <c r="C135" s="3">
        <f>IF(OR(INDEX($L$2:$L$1001,MATCH(ROWS($K$2:K135),$K$2:$K$1001,0),1)&gt;=100000,INDEX($R$1005:$W$1005,1,MATCH(COLUMNS($R$1006:S1006),$R$1006:$W$1006,0))&gt;=100000), " ",IF(INDEX($R$2:$W$1001,MATCH(ROWS($K$2:K135),$K$2:$K$1001,0),MATCH(COLUMNS($R$1006:S1006),$R$1006:$W$1006,0)), HYPERLINK("#",""), HYPERLINK(CONCATENATE("#Metadata!", ADDRESS(INDEX($M$2:$M$1001,MATCH(ROWS($K$2:K135),$K$2:$K$1001,0),0), INDEX($R$1004:$W$1004,1,MATCH(COLUMNS($R$1006:S1006),$R$1006:$W$1006,0)))),"Fix")))</f>
        <v>0</v>
      </c>
      <c r="D135" s="3">
        <f>IF(OR(INDEX($L$2:$L$1001,MATCH(ROWS($K$2:K135),$K$2:$K$1001,0),1)&gt;=100000,INDEX($R$1005:$W$1005,1,MATCH(COLUMNS($R$1006:T1006),$R$1006:$W$1006,0))&gt;=100000), " ",IF(INDEX($R$2:$W$1001,MATCH(ROWS($K$2:K135),$K$2:$K$1001,0),MATCH(COLUMNS($R$1006:T1006),$R$1006:$W$1006,0)), HYPERLINK("#",""), HYPERLINK(CONCATENATE("#Metadata!", ADDRESS(INDEX($M$2:$M$1001,MATCH(ROWS($K$2:K135),$K$2:$K$1001,0),0), INDEX($R$1004:$W$1004,1,MATCH(COLUMNS($R$1006:T1006),$R$1006:$W$1006,0)))),"Fix")))</f>
        <v>0</v>
      </c>
      <c r="E135" s="3">
        <f>IF(OR(INDEX($L$2:$L$1001,MATCH(ROWS($K$2:K135),$K$2:$K$1001,0),1)&gt;=100000,INDEX($R$1005:$W$1005,1,MATCH(COLUMNS($R$1006:U1006),$R$1006:$W$1006,0))&gt;=100000), " ",IF(INDEX($R$2:$W$1001,MATCH(ROWS($K$2:K135),$K$2:$K$1001,0),MATCH(COLUMNS($R$1006:U1006),$R$1006:$W$1006,0)), HYPERLINK("#",""), HYPERLINK(CONCATENATE("#Metadata!", ADDRESS(INDEX($M$2:$M$1001,MATCH(ROWS($K$2:K135),$K$2:$K$1001,0),0), INDEX($R$1004:$W$1004,1,MATCH(COLUMNS($R$1006:U1006),$R$1006:$W$1006,0)))),"Fix")))</f>
        <v>0</v>
      </c>
      <c r="F135" s="3">
        <f>IF(OR(INDEX($L$2:$L$1001,MATCH(ROWS($K$2:K135),$K$2:$K$1001,0),1)&gt;=100000,INDEX($R$1005:$W$1005,1,MATCH(COLUMNS($R$1006:V1006),$R$1006:$W$1006,0))&gt;=100000), " ",IF(INDEX($R$2:$W$1001,MATCH(ROWS($K$2:K135),$K$2:$K$1001,0),MATCH(COLUMNS($R$1006:V1006),$R$1006:$W$1006,0)), HYPERLINK("#",""), HYPERLINK(CONCATENATE("#Metadata!", ADDRESS(INDEX($M$2:$M$1001,MATCH(ROWS($K$2:K135),$K$2:$K$1001,0),0), INDEX($R$1004:$W$1004,1,MATCH(COLUMNS($R$1006:V1006),$R$1006:$W$1006,0)))),"Fix")))</f>
        <v>0</v>
      </c>
      <c r="G135" s="3">
        <f>IF(OR(INDEX($L$2:$L$1001,MATCH(ROWS($K$2:K135),$K$2:$K$1001,0),1)&gt;=100000,INDEX($R$1005:$W$1005,1,MATCH(COLUMNS($R$1006:W1006),$R$1006:$W$1006,0))&gt;=100000), " ",IF(INDEX($R$2:$W$1001,MATCH(ROWS($K$2:K135),$K$2:$K$1001,0),MATCH(COLUMNS($R$1006:W1006),$R$1006:$W$1006,0)), HYPERLINK("#",""), HYPERLINK(CONCATENATE("#Metadata!", ADDRESS(INDEX($M$2:$M$1001,MATCH(ROWS($K$2:K135),$K$2:$K$1001,0),0), INDEX($R$1004:$W$1004,1,MATCH(COLUMNS($R$1006:W1006),$R$1006:$W$1006,0)))),"Fix")))</f>
        <v>0</v>
      </c>
      <c r="K135">
        <v>0</v>
      </c>
      <c r="L135">
        <v>0</v>
      </c>
      <c r="M135">
        <v>0</v>
      </c>
      <c r="N135">
        <f>IF(O135,TRUE,AND(R135:W135))</f>
        <v>0</v>
      </c>
      <c r="O135">
        <f>COUNTBLANK(Metadata!B135:G135)=COLUMNS(Metadata!B135:G135)</f>
        <v>0</v>
      </c>
      <c r="P135">
        <v>0</v>
      </c>
      <c r="R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S135">
        <f>IF(Metadata!C135="",FALSE,TRUE)</f>
        <v>0</v>
      </c>
      <c r="T135">
        <f>IF(Metadata!D135="",FALSE,TRUE)</f>
        <v>0</v>
      </c>
      <c r="U135">
        <f>IF(Metadata!E135="",FALSE,TRUE)</f>
        <v>0</v>
      </c>
      <c r="V135">
        <f>AND(IF(Metadata!F135="",FALSE,TRUE),exact(Metadata!F135,"rat gut metagenome"))</f>
        <v>0</v>
      </c>
      <c r="W135">
        <f>AND(IF(Metadata!G135="",FALSE,TRUE),exact(Metadata!G135,"1436733"))</f>
        <v>0</v>
      </c>
    </row>
    <row r="136" spans="1:23">
      <c r="A136" s="4">
        <f>IF(B136=" "," ",HYPERLINK(CONCATENATE("#metadata!",ADDRESS(INDEX($M$2:$M$1001,MATCH(ROWS($K$2:K136),$K$2:$K$1001,0),0),1)),INDEX($P$2:$P$1001,MATCH(ROWS($K$2:K136),$K$2:$K$1001,0),0)))</f>
        <v>0</v>
      </c>
      <c r="B136" s="3">
        <f>IF(OR(INDEX($L$2:$L$1001,MATCH(ROWS($K$2:K136),$K$2:$K$1001,0),1)&gt;=100000,INDEX($R$1005:$W$1005,1,MATCH(COLUMNS($R$1006:R1006),$R$1006:$W$1006,0))&gt;=100000), " ",IF(INDEX($R$2:$W$1001,MATCH(ROWS($K$2:K136),$K$2:$K$1001,0),MATCH(COLUMNS($R$1006:R1006),$R$1006:$W$1006,0)), HYPERLINK("#",""), HYPERLINK(CONCATENATE("#Metadata!", ADDRESS(INDEX($M$2:$M$1001,MATCH(ROWS($K$2:K136),$K$2:$K$1001,0),0), INDEX($R$1004:$W$1004,1,MATCH(COLUMNS($R$1006:R1006),$R$1006:$W$1006,0)))),"Fix")))</f>
        <v>0</v>
      </c>
      <c r="C136" s="3">
        <f>IF(OR(INDEX($L$2:$L$1001,MATCH(ROWS($K$2:K136),$K$2:$K$1001,0),1)&gt;=100000,INDEX($R$1005:$W$1005,1,MATCH(COLUMNS($R$1006:S1006),$R$1006:$W$1006,0))&gt;=100000), " ",IF(INDEX($R$2:$W$1001,MATCH(ROWS($K$2:K136),$K$2:$K$1001,0),MATCH(COLUMNS($R$1006:S1006),$R$1006:$W$1006,0)), HYPERLINK("#",""), HYPERLINK(CONCATENATE("#Metadata!", ADDRESS(INDEX($M$2:$M$1001,MATCH(ROWS($K$2:K136),$K$2:$K$1001,0),0), INDEX($R$1004:$W$1004,1,MATCH(COLUMNS($R$1006:S1006),$R$1006:$W$1006,0)))),"Fix")))</f>
        <v>0</v>
      </c>
      <c r="D136" s="3">
        <f>IF(OR(INDEX($L$2:$L$1001,MATCH(ROWS($K$2:K136),$K$2:$K$1001,0),1)&gt;=100000,INDEX($R$1005:$W$1005,1,MATCH(COLUMNS($R$1006:T1006),$R$1006:$W$1006,0))&gt;=100000), " ",IF(INDEX($R$2:$W$1001,MATCH(ROWS($K$2:K136),$K$2:$K$1001,0),MATCH(COLUMNS($R$1006:T1006),$R$1006:$W$1006,0)), HYPERLINK("#",""), HYPERLINK(CONCATENATE("#Metadata!", ADDRESS(INDEX($M$2:$M$1001,MATCH(ROWS($K$2:K136),$K$2:$K$1001,0),0), INDEX($R$1004:$W$1004,1,MATCH(COLUMNS($R$1006:T1006),$R$1006:$W$1006,0)))),"Fix")))</f>
        <v>0</v>
      </c>
      <c r="E136" s="3">
        <f>IF(OR(INDEX($L$2:$L$1001,MATCH(ROWS($K$2:K136),$K$2:$K$1001,0),1)&gt;=100000,INDEX($R$1005:$W$1005,1,MATCH(COLUMNS($R$1006:U1006),$R$1006:$W$1006,0))&gt;=100000), " ",IF(INDEX($R$2:$W$1001,MATCH(ROWS($K$2:K136),$K$2:$K$1001,0),MATCH(COLUMNS($R$1006:U1006),$R$1006:$W$1006,0)), HYPERLINK("#",""), HYPERLINK(CONCATENATE("#Metadata!", ADDRESS(INDEX($M$2:$M$1001,MATCH(ROWS($K$2:K136),$K$2:$K$1001,0),0), INDEX($R$1004:$W$1004,1,MATCH(COLUMNS($R$1006:U1006),$R$1006:$W$1006,0)))),"Fix")))</f>
        <v>0</v>
      </c>
      <c r="F136" s="3">
        <f>IF(OR(INDEX($L$2:$L$1001,MATCH(ROWS($K$2:K136),$K$2:$K$1001,0),1)&gt;=100000,INDEX($R$1005:$W$1005,1,MATCH(COLUMNS($R$1006:V1006),$R$1006:$W$1006,0))&gt;=100000), " ",IF(INDEX($R$2:$W$1001,MATCH(ROWS($K$2:K136),$K$2:$K$1001,0),MATCH(COLUMNS($R$1006:V1006),$R$1006:$W$1006,0)), HYPERLINK("#",""), HYPERLINK(CONCATENATE("#Metadata!", ADDRESS(INDEX($M$2:$M$1001,MATCH(ROWS($K$2:K136),$K$2:$K$1001,0),0), INDEX($R$1004:$W$1004,1,MATCH(COLUMNS($R$1006:V1006),$R$1006:$W$1006,0)))),"Fix")))</f>
        <v>0</v>
      </c>
      <c r="G136" s="3">
        <f>IF(OR(INDEX($L$2:$L$1001,MATCH(ROWS($K$2:K136),$K$2:$K$1001,0),1)&gt;=100000,INDEX($R$1005:$W$1005,1,MATCH(COLUMNS($R$1006:W1006),$R$1006:$W$1006,0))&gt;=100000), " ",IF(INDEX($R$2:$W$1001,MATCH(ROWS($K$2:K136),$K$2:$K$1001,0),MATCH(COLUMNS($R$1006:W1006),$R$1006:$W$1006,0)), HYPERLINK("#",""), HYPERLINK(CONCATENATE("#Metadata!", ADDRESS(INDEX($M$2:$M$1001,MATCH(ROWS($K$2:K136),$K$2:$K$1001,0),0), INDEX($R$1004:$W$1004,1,MATCH(COLUMNS($R$1006:W1006),$R$1006:$W$1006,0)))),"Fix")))</f>
        <v>0</v>
      </c>
      <c r="K136">
        <v>0</v>
      </c>
      <c r="L136">
        <v>0</v>
      </c>
      <c r="M136">
        <v>0</v>
      </c>
      <c r="N136">
        <f>IF(O136,TRUE,AND(R136:W136))</f>
        <v>0</v>
      </c>
      <c r="O136">
        <f>COUNTBLANK(Metadata!B136:G136)=COLUMNS(Metadata!B136:G136)</f>
        <v>0</v>
      </c>
      <c r="P136">
        <v>0</v>
      </c>
      <c r="R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S136">
        <f>IF(Metadata!C136="",FALSE,TRUE)</f>
        <v>0</v>
      </c>
      <c r="T136">
        <f>IF(Metadata!D136="",FALSE,TRUE)</f>
        <v>0</v>
      </c>
      <c r="U136">
        <f>IF(Metadata!E136="",FALSE,TRUE)</f>
        <v>0</v>
      </c>
      <c r="V136">
        <f>AND(IF(Metadata!F136="",FALSE,TRUE),exact(Metadata!F136,"rat gut metagenome"))</f>
        <v>0</v>
      </c>
      <c r="W136">
        <f>AND(IF(Metadata!G136="",FALSE,TRUE),exact(Metadata!G136,"1436733"))</f>
        <v>0</v>
      </c>
    </row>
    <row r="137" spans="1:23">
      <c r="A137" s="4">
        <f>IF(B137=" "," ",HYPERLINK(CONCATENATE("#metadata!",ADDRESS(INDEX($M$2:$M$1001,MATCH(ROWS($K$2:K137),$K$2:$K$1001,0),0),1)),INDEX($P$2:$P$1001,MATCH(ROWS($K$2:K137),$K$2:$K$1001,0),0)))</f>
        <v>0</v>
      </c>
      <c r="B137" s="3">
        <f>IF(OR(INDEX($L$2:$L$1001,MATCH(ROWS($K$2:K137),$K$2:$K$1001,0),1)&gt;=100000,INDEX($R$1005:$W$1005,1,MATCH(COLUMNS($R$1006:R1006),$R$1006:$W$1006,0))&gt;=100000), " ",IF(INDEX($R$2:$W$1001,MATCH(ROWS($K$2:K137),$K$2:$K$1001,0),MATCH(COLUMNS($R$1006:R1006),$R$1006:$W$1006,0)), HYPERLINK("#",""), HYPERLINK(CONCATENATE("#Metadata!", ADDRESS(INDEX($M$2:$M$1001,MATCH(ROWS($K$2:K137),$K$2:$K$1001,0),0), INDEX($R$1004:$W$1004,1,MATCH(COLUMNS($R$1006:R1006),$R$1006:$W$1006,0)))),"Fix")))</f>
        <v>0</v>
      </c>
      <c r="C137" s="3">
        <f>IF(OR(INDEX($L$2:$L$1001,MATCH(ROWS($K$2:K137),$K$2:$K$1001,0),1)&gt;=100000,INDEX($R$1005:$W$1005,1,MATCH(COLUMNS($R$1006:S1006),$R$1006:$W$1006,0))&gt;=100000), " ",IF(INDEX($R$2:$W$1001,MATCH(ROWS($K$2:K137),$K$2:$K$1001,0),MATCH(COLUMNS($R$1006:S1006),$R$1006:$W$1006,0)), HYPERLINK("#",""), HYPERLINK(CONCATENATE("#Metadata!", ADDRESS(INDEX($M$2:$M$1001,MATCH(ROWS($K$2:K137),$K$2:$K$1001,0),0), INDEX($R$1004:$W$1004,1,MATCH(COLUMNS($R$1006:S1006),$R$1006:$W$1006,0)))),"Fix")))</f>
        <v>0</v>
      </c>
      <c r="D137" s="3">
        <f>IF(OR(INDEX($L$2:$L$1001,MATCH(ROWS($K$2:K137),$K$2:$K$1001,0),1)&gt;=100000,INDEX($R$1005:$W$1005,1,MATCH(COLUMNS($R$1006:T1006),$R$1006:$W$1006,0))&gt;=100000), " ",IF(INDEX($R$2:$W$1001,MATCH(ROWS($K$2:K137),$K$2:$K$1001,0),MATCH(COLUMNS($R$1006:T1006),$R$1006:$W$1006,0)), HYPERLINK("#",""), HYPERLINK(CONCATENATE("#Metadata!", ADDRESS(INDEX($M$2:$M$1001,MATCH(ROWS($K$2:K137),$K$2:$K$1001,0),0), INDEX($R$1004:$W$1004,1,MATCH(COLUMNS($R$1006:T1006),$R$1006:$W$1006,0)))),"Fix")))</f>
        <v>0</v>
      </c>
      <c r="E137" s="3">
        <f>IF(OR(INDEX($L$2:$L$1001,MATCH(ROWS($K$2:K137),$K$2:$K$1001,0),1)&gt;=100000,INDEX($R$1005:$W$1005,1,MATCH(COLUMNS($R$1006:U1006),$R$1006:$W$1006,0))&gt;=100000), " ",IF(INDEX($R$2:$W$1001,MATCH(ROWS($K$2:K137),$K$2:$K$1001,0),MATCH(COLUMNS($R$1006:U1006),$R$1006:$W$1006,0)), HYPERLINK("#",""), HYPERLINK(CONCATENATE("#Metadata!", ADDRESS(INDEX($M$2:$M$1001,MATCH(ROWS($K$2:K137),$K$2:$K$1001,0),0), INDEX($R$1004:$W$1004,1,MATCH(COLUMNS($R$1006:U1006),$R$1006:$W$1006,0)))),"Fix")))</f>
        <v>0</v>
      </c>
      <c r="F137" s="3">
        <f>IF(OR(INDEX($L$2:$L$1001,MATCH(ROWS($K$2:K137),$K$2:$K$1001,0),1)&gt;=100000,INDEX($R$1005:$W$1005,1,MATCH(COLUMNS($R$1006:V1006),$R$1006:$W$1006,0))&gt;=100000), " ",IF(INDEX($R$2:$W$1001,MATCH(ROWS($K$2:K137),$K$2:$K$1001,0),MATCH(COLUMNS($R$1006:V1006),$R$1006:$W$1006,0)), HYPERLINK("#",""), HYPERLINK(CONCATENATE("#Metadata!", ADDRESS(INDEX($M$2:$M$1001,MATCH(ROWS($K$2:K137),$K$2:$K$1001,0),0), INDEX($R$1004:$W$1004,1,MATCH(COLUMNS($R$1006:V1006),$R$1006:$W$1006,0)))),"Fix")))</f>
        <v>0</v>
      </c>
      <c r="G137" s="3">
        <f>IF(OR(INDEX($L$2:$L$1001,MATCH(ROWS($K$2:K137),$K$2:$K$1001,0),1)&gt;=100000,INDEX($R$1005:$W$1005,1,MATCH(COLUMNS($R$1006:W1006),$R$1006:$W$1006,0))&gt;=100000), " ",IF(INDEX($R$2:$W$1001,MATCH(ROWS($K$2:K137),$K$2:$K$1001,0),MATCH(COLUMNS($R$1006:W1006),$R$1006:$W$1006,0)), HYPERLINK("#",""), HYPERLINK(CONCATENATE("#Metadata!", ADDRESS(INDEX($M$2:$M$1001,MATCH(ROWS($K$2:K137),$K$2:$K$1001,0),0), INDEX($R$1004:$W$1004,1,MATCH(COLUMNS($R$1006:W1006),$R$1006:$W$1006,0)))),"Fix")))</f>
        <v>0</v>
      </c>
      <c r="K137">
        <v>0</v>
      </c>
      <c r="L137">
        <v>0</v>
      </c>
      <c r="M137">
        <v>0</v>
      </c>
      <c r="N137">
        <f>IF(O137,TRUE,AND(R137:W137))</f>
        <v>0</v>
      </c>
      <c r="O137">
        <f>COUNTBLANK(Metadata!B137:G137)=COLUMNS(Metadata!B137:G137)</f>
        <v>0</v>
      </c>
      <c r="P137">
        <v>0</v>
      </c>
      <c r="R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S137">
        <f>IF(Metadata!C137="",FALSE,TRUE)</f>
        <v>0</v>
      </c>
      <c r="T137">
        <f>IF(Metadata!D137="",FALSE,TRUE)</f>
        <v>0</v>
      </c>
      <c r="U137">
        <f>IF(Metadata!E137="",FALSE,TRUE)</f>
        <v>0</v>
      </c>
      <c r="V137">
        <f>AND(IF(Metadata!F137="",FALSE,TRUE),exact(Metadata!F137,"rat gut metagenome"))</f>
        <v>0</v>
      </c>
      <c r="W137">
        <f>AND(IF(Metadata!G137="",FALSE,TRUE),exact(Metadata!G137,"1436733"))</f>
        <v>0</v>
      </c>
    </row>
    <row r="138" spans="1:23">
      <c r="A138" s="4">
        <f>IF(B138=" "," ",HYPERLINK(CONCATENATE("#metadata!",ADDRESS(INDEX($M$2:$M$1001,MATCH(ROWS($K$2:K138),$K$2:$K$1001,0),0),1)),INDEX($P$2:$P$1001,MATCH(ROWS($K$2:K138),$K$2:$K$1001,0),0)))</f>
        <v>0</v>
      </c>
      <c r="B138" s="3">
        <f>IF(OR(INDEX($L$2:$L$1001,MATCH(ROWS($K$2:K138),$K$2:$K$1001,0),1)&gt;=100000,INDEX($R$1005:$W$1005,1,MATCH(COLUMNS($R$1006:R1006),$R$1006:$W$1006,0))&gt;=100000), " ",IF(INDEX($R$2:$W$1001,MATCH(ROWS($K$2:K138),$K$2:$K$1001,0),MATCH(COLUMNS($R$1006:R1006),$R$1006:$W$1006,0)), HYPERLINK("#",""), HYPERLINK(CONCATENATE("#Metadata!", ADDRESS(INDEX($M$2:$M$1001,MATCH(ROWS($K$2:K138),$K$2:$K$1001,0),0), INDEX($R$1004:$W$1004,1,MATCH(COLUMNS($R$1006:R1006),$R$1006:$W$1006,0)))),"Fix")))</f>
        <v>0</v>
      </c>
      <c r="C138" s="3">
        <f>IF(OR(INDEX($L$2:$L$1001,MATCH(ROWS($K$2:K138),$K$2:$K$1001,0),1)&gt;=100000,INDEX($R$1005:$W$1005,1,MATCH(COLUMNS($R$1006:S1006),$R$1006:$W$1006,0))&gt;=100000), " ",IF(INDEX($R$2:$W$1001,MATCH(ROWS($K$2:K138),$K$2:$K$1001,0),MATCH(COLUMNS($R$1006:S1006),$R$1006:$W$1006,0)), HYPERLINK("#",""), HYPERLINK(CONCATENATE("#Metadata!", ADDRESS(INDEX($M$2:$M$1001,MATCH(ROWS($K$2:K138),$K$2:$K$1001,0),0), INDEX($R$1004:$W$1004,1,MATCH(COLUMNS($R$1006:S1006),$R$1006:$W$1006,0)))),"Fix")))</f>
        <v>0</v>
      </c>
      <c r="D138" s="3">
        <f>IF(OR(INDEX($L$2:$L$1001,MATCH(ROWS($K$2:K138),$K$2:$K$1001,0),1)&gt;=100000,INDEX($R$1005:$W$1005,1,MATCH(COLUMNS($R$1006:T1006),$R$1006:$W$1006,0))&gt;=100000), " ",IF(INDEX($R$2:$W$1001,MATCH(ROWS($K$2:K138),$K$2:$K$1001,0),MATCH(COLUMNS($R$1006:T1006),$R$1006:$W$1006,0)), HYPERLINK("#",""), HYPERLINK(CONCATENATE("#Metadata!", ADDRESS(INDEX($M$2:$M$1001,MATCH(ROWS($K$2:K138),$K$2:$K$1001,0),0), INDEX($R$1004:$W$1004,1,MATCH(COLUMNS($R$1006:T1006),$R$1006:$W$1006,0)))),"Fix")))</f>
        <v>0</v>
      </c>
      <c r="E138" s="3">
        <f>IF(OR(INDEX($L$2:$L$1001,MATCH(ROWS($K$2:K138),$K$2:$K$1001,0),1)&gt;=100000,INDEX($R$1005:$W$1005,1,MATCH(COLUMNS($R$1006:U1006),$R$1006:$W$1006,0))&gt;=100000), " ",IF(INDEX($R$2:$W$1001,MATCH(ROWS($K$2:K138),$K$2:$K$1001,0),MATCH(COLUMNS($R$1006:U1006),$R$1006:$W$1006,0)), HYPERLINK("#",""), HYPERLINK(CONCATENATE("#Metadata!", ADDRESS(INDEX($M$2:$M$1001,MATCH(ROWS($K$2:K138),$K$2:$K$1001,0),0), INDEX($R$1004:$W$1004,1,MATCH(COLUMNS($R$1006:U1006),$R$1006:$W$1006,0)))),"Fix")))</f>
        <v>0</v>
      </c>
      <c r="F138" s="3">
        <f>IF(OR(INDEX($L$2:$L$1001,MATCH(ROWS($K$2:K138),$K$2:$K$1001,0),1)&gt;=100000,INDEX($R$1005:$W$1005,1,MATCH(COLUMNS($R$1006:V1006),$R$1006:$W$1006,0))&gt;=100000), " ",IF(INDEX($R$2:$W$1001,MATCH(ROWS($K$2:K138),$K$2:$K$1001,0),MATCH(COLUMNS($R$1006:V1006),$R$1006:$W$1006,0)), HYPERLINK("#",""), HYPERLINK(CONCATENATE("#Metadata!", ADDRESS(INDEX($M$2:$M$1001,MATCH(ROWS($K$2:K138),$K$2:$K$1001,0),0), INDEX($R$1004:$W$1004,1,MATCH(COLUMNS($R$1006:V1006),$R$1006:$W$1006,0)))),"Fix")))</f>
        <v>0</v>
      </c>
      <c r="G138" s="3">
        <f>IF(OR(INDEX($L$2:$L$1001,MATCH(ROWS($K$2:K138),$K$2:$K$1001,0),1)&gt;=100000,INDEX($R$1005:$W$1005,1,MATCH(COLUMNS($R$1006:W1006),$R$1006:$W$1006,0))&gt;=100000), " ",IF(INDEX($R$2:$W$1001,MATCH(ROWS($K$2:K138),$K$2:$K$1001,0),MATCH(COLUMNS($R$1006:W1006),$R$1006:$W$1006,0)), HYPERLINK("#",""), HYPERLINK(CONCATENATE("#Metadata!", ADDRESS(INDEX($M$2:$M$1001,MATCH(ROWS($K$2:K138),$K$2:$K$1001,0),0), INDEX($R$1004:$W$1004,1,MATCH(COLUMNS($R$1006:W1006),$R$1006:$W$1006,0)))),"Fix")))</f>
        <v>0</v>
      </c>
      <c r="K138">
        <v>0</v>
      </c>
      <c r="L138">
        <v>0</v>
      </c>
      <c r="M138">
        <v>0</v>
      </c>
      <c r="N138">
        <f>IF(O138,TRUE,AND(R138:W138))</f>
        <v>0</v>
      </c>
      <c r="O138">
        <f>COUNTBLANK(Metadata!B138:G138)=COLUMNS(Metadata!B138:G138)</f>
        <v>0</v>
      </c>
      <c r="P138">
        <v>0</v>
      </c>
      <c r="R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S138">
        <f>IF(Metadata!C138="",FALSE,TRUE)</f>
        <v>0</v>
      </c>
      <c r="T138">
        <f>IF(Metadata!D138="",FALSE,TRUE)</f>
        <v>0</v>
      </c>
      <c r="U138">
        <f>IF(Metadata!E138="",FALSE,TRUE)</f>
        <v>0</v>
      </c>
      <c r="V138">
        <f>AND(IF(Metadata!F138="",FALSE,TRUE),exact(Metadata!F138,"rat gut metagenome"))</f>
        <v>0</v>
      </c>
      <c r="W138">
        <f>AND(IF(Metadata!G138="",FALSE,TRUE),exact(Metadata!G138,"1436733"))</f>
        <v>0</v>
      </c>
    </row>
    <row r="139" spans="1:23">
      <c r="A139" s="4">
        <f>IF(B139=" "," ",HYPERLINK(CONCATENATE("#metadata!",ADDRESS(INDEX($M$2:$M$1001,MATCH(ROWS($K$2:K139),$K$2:$K$1001,0),0),1)),INDEX($P$2:$P$1001,MATCH(ROWS($K$2:K139),$K$2:$K$1001,0),0)))</f>
        <v>0</v>
      </c>
      <c r="B139" s="3">
        <f>IF(OR(INDEX($L$2:$L$1001,MATCH(ROWS($K$2:K139),$K$2:$K$1001,0),1)&gt;=100000,INDEX($R$1005:$W$1005,1,MATCH(COLUMNS($R$1006:R1006),$R$1006:$W$1006,0))&gt;=100000), " ",IF(INDEX($R$2:$W$1001,MATCH(ROWS($K$2:K139),$K$2:$K$1001,0),MATCH(COLUMNS($R$1006:R1006),$R$1006:$W$1006,0)), HYPERLINK("#",""), HYPERLINK(CONCATENATE("#Metadata!", ADDRESS(INDEX($M$2:$M$1001,MATCH(ROWS($K$2:K139),$K$2:$K$1001,0),0), INDEX($R$1004:$W$1004,1,MATCH(COLUMNS($R$1006:R1006),$R$1006:$W$1006,0)))),"Fix")))</f>
        <v>0</v>
      </c>
      <c r="C139" s="3">
        <f>IF(OR(INDEX($L$2:$L$1001,MATCH(ROWS($K$2:K139),$K$2:$K$1001,0),1)&gt;=100000,INDEX($R$1005:$W$1005,1,MATCH(COLUMNS($R$1006:S1006),$R$1006:$W$1006,0))&gt;=100000), " ",IF(INDEX($R$2:$W$1001,MATCH(ROWS($K$2:K139),$K$2:$K$1001,0),MATCH(COLUMNS($R$1006:S1006),$R$1006:$W$1006,0)), HYPERLINK("#",""), HYPERLINK(CONCATENATE("#Metadata!", ADDRESS(INDEX($M$2:$M$1001,MATCH(ROWS($K$2:K139),$K$2:$K$1001,0),0), INDEX($R$1004:$W$1004,1,MATCH(COLUMNS($R$1006:S1006),$R$1006:$W$1006,0)))),"Fix")))</f>
        <v>0</v>
      </c>
      <c r="D139" s="3">
        <f>IF(OR(INDEX($L$2:$L$1001,MATCH(ROWS($K$2:K139),$K$2:$K$1001,0),1)&gt;=100000,INDEX($R$1005:$W$1005,1,MATCH(COLUMNS($R$1006:T1006),$R$1006:$W$1006,0))&gt;=100000), " ",IF(INDEX($R$2:$W$1001,MATCH(ROWS($K$2:K139),$K$2:$K$1001,0),MATCH(COLUMNS($R$1006:T1006),$R$1006:$W$1006,0)), HYPERLINK("#",""), HYPERLINK(CONCATENATE("#Metadata!", ADDRESS(INDEX($M$2:$M$1001,MATCH(ROWS($K$2:K139),$K$2:$K$1001,0),0), INDEX($R$1004:$W$1004,1,MATCH(COLUMNS($R$1006:T1006),$R$1006:$W$1006,0)))),"Fix")))</f>
        <v>0</v>
      </c>
      <c r="E139" s="3">
        <f>IF(OR(INDEX($L$2:$L$1001,MATCH(ROWS($K$2:K139),$K$2:$K$1001,0),1)&gt;=100000,INDEX($R$1005:$W$1005,1,MATCH(COLUMNS($R$1006:U1006),$R$1006:$W$1006,0))&gt;=100000), " ",IF(INDEX($R$2:$W$1001,MATCH(ROWS($K$2:K139),$K$2:$K$1001,0),MATCH(COLUMNS($R$1006:U1006),$R$1006:$W$1006,0)), HYPERLINK("#",""), HYPERLINK(CONCATENATE("#Metadata!", ADDRESS(INDEX($M$2:$M$1001,MATCH(ROWS($K$2:K139),$K$2:$K$1001,0),0), INDEX($R$1004:$W$1004,1,MATCH(COLUMNS($R$1006:U1006),$R$1006:$W$1006,0)))),"Fix")))</f>
        <v>0</v>
      </c>
      <c r="F139" s="3">
        <f>IF(OR(INDEX($L$2:$L$1001,MATCH(ROWS($K$2:K139),$K$2:$K$1001,0),1)&gt;=100000,INDEX($R$1005:$W$1005,1,MATCH(COLUMNS($R$1006:V1006),$R$1006:$W$1006,0))&gt;=100000), " ",IF(INDEX($R$2:$W$1001,MATCH(ROWS($K$2:K139),$K$2:$K$1001,0),MATCH(COLUMNS($R$1006:V1006),$R$1006:$W$1006,0)), HYPERLINK("#",""), HYPERLINK(CONCATENATE("#Metadata!", ADDRESS(INDEX($M$2:$M$1001,MATCH(ROWS($K$2:K139),$K$2:$K$1001,0),0), INDEX($R$1004:$W$1004,1,MATCH(COLUMNS($R$1006:V1006),$R$1006:$W$1006,0)))),"Fix")))</f>
        <v>0</v>
      </c>
      <c r="G139" s="3">
        <f>IF(OR(INDEX($L$2:$L$1001,MATCH(ROWS($K$2:K139),$K$2:$K$1001,0),1)&gt;=100000,INDEX($R$1005:$W$1005,1,MATCH(COLUMNS($R$1006:W1006),$R$1006:$W$1006,0))&gt;=100000), " ",IF(INDEX($R$2:$W$1001,MATCH(ROWS($K$2:K139),$K$2:$K$1001,0),MATCH(COLUMNS($R$1006:W1006),$R$1006:$W$1006,0)), HYPERLINK("#",""), HYPERLINK(CONCATENATE("#Metadata!", ADDRESS(INDEX($M$2:$M$1001,MATCH(ROWS($K$2:K139),$K$2:$K$1001,0),0), INDEX($R$1004:$W$1004,1,MATCH(COLUMNS($R$1006:W1006),$R$1006:$W$1006,0)))),"Fix")))</f>
        <v>0</v>
      </c>
      <c r="K139">
        <v>0</v>
      </c>
      <c r="L139">
        <v>0</v>
      </c>
      <c r="M139">
        <v>0</v>
      </c>
      <c r="N139">
        <f>IF(O139,TRUE,AND(R139:W139))</f>
        <v>0</v>
      </c>
      <c r="O139">
        <f>COUNTBLANK(Metadata!B139:G139)=COLUMNS(Metadata!B139:G139)</f>
        <v>0</v>
      </c>
      <c r="P139">
        <v>0</v>
      </c>
      <c r="R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S139">
        <f>IF(Metadata!C139="",FALSE,TRUE)</f>
        <v>0</v>
      </c>
      <c r="T139">
        <f>IF(Metadata!D139="",FALSE,TRUE)</f>
        <v>0</v>
      </c>
      <c r="U139">
        <f>IF(Metadata!E139="",FALSE,TRUE)</f>
        <v>0</v>
      </c>
      <c r="V139">
        <f>AND(IF(Metadata!F139="",FALSE,TRUE),exact(Metadata!F139,"rat gut metagenome"))</f>
        <v>0</v>
      </c>
      <c r="W139">
        <f>AND(IF(Metadata!G139="",FALSE,TRUE),exact(Metadata!G139,"1436733"))</f>
        <v>0</v>
      </c>
    </row>
    <row r="140" spans="1:23">
      <c r="A140" s="4">
        <f>IF(B140=" "," ",HYPERLINK(CONCATENATE("#metadata!",ADDRESS(INDEX($M$2:$M$1001,MATCH(ROWS($K$2:K140),$K$2:$K$1001,0),0),1)),INDEX($P$2:$P$1001,MATCH(ROWS($K$2:K140),$K$2:$K$1001,0),0)))</f>
        <v>0</v>
      </c>
      <c r="B140" s="3">
        <f>IF(OR(INDEX($L$2:$L$1001,MATCH(ROWS($K$2:K140),$K$2:$K$1001,0),1)&gt;=100000,INDEX($R$1005:$W$1005,1,MATCH(COLUMNS($R$1006:R1006),$R$1006:$W$1006,0))&gt;=100000), " ",IF(INDEX($R$2:$W$1001,MATCH(ROWS($K$2:K140),$K$2:$K$1001,0),MATCH(COLUMNS($R$1006:R1006),$R$1006:$W$1006,0)), HYPERLINK("#",""), HYPERLINK(CONCATENATE("#Metadata!", ADDRESS(INDEX($M$2:$M$1001,MATCH(ROWS($K$2:K140),$K$2:$K$1001,0),0), INDEX($R$1004:$W$1004,1,MATCH(COLUMNS($R$1006:R1006),$R$1006:$W$1006,0)))),"Fix")))</f>
        <v>0</v>
      </c>
      <c r="C140" s="3">
        <f>IF(OR(INDEX($L$2:$L$1001,MATCH(ROWS($K$2:K140),$K$2:$K$1001,0),1)&gt;=100000,INDEX($R$1005:$W$1005,1,MATCH(COLUMNS($R$1006:S1006),$R$1006:$W$1006,0))&gt;=100000), " ",IF(INDEX($R$2:$W$1001,MATCH(ROWS($K$2:K140),$K$2:$K$1001,0),MATCH(COLUMNS($R$1006:S1006),$R$1006:$W$1006,0)), HYPERLINK("#",""), HYPERLINK(CONCATENATE("#Metadata!", ADDRESS(INDEX($M$2:$M$1001,MATCH(ROWS($K$2:K140),$K$2:$K$1001,0),0), INDEX($R$1004:$W$1004,1,MATCH(COLUMNS($R$1006:S1006),$R$1006:$W$1006,0)))),"Fix")))</f>
        <v>0</v>
      </c>
      <c r="D140" s="3">
        <f>IF(OR(INDEX($L$2:$L$1001,MATCH(ROWS($K$2:K140),$K$2:$K$1001,0),1)&gt;=100000,INDEX($R$1005:$W$1005,1,MATCH(COLUMNS($R$1006:T1006),$R$1006:$W$1006,0))&gt;=100000), " ",IF(INDEX($R$2:$W$1001,MATCH(ROWS($K$2:K140),$K$2:$K$1001,0),MATCH(COLUMNS($R$1006:T1006),$R$1006:$W$1006,0)), HYPERLINK("#",""), HYPERLINK(CONCATENATE("#Metadata!", ADDRESS(INDEX($M$2:$M$1001,MATCH(ROWS($K$2:K140),$K$2:$K$1001,0),0), INDEX($R$1004:$W$1004,1,MATCH(COLUMNS($R$1006:T1006),$R$1006:$W$1006,0)))),"Fix")))</f>
        <v>0</v>
      </c>
      <c r="E140" s="3">
        <f>IF(OR(INDEX($L$2:$L$1001,MATCH(ROWS($K$2:K140),$K$2:$K$1001,0),1)&gt;=100000,INDEX($R$1005:$W$1005,1,MATCH(COLUMNS($R$1006:U1006),$R$1006:$W$1006,0))&gt;=100000), " ",IF(INDEX($R$2:$W$1001,MATCH(ROWS($K$2:K140),$K$2:$K$1001,0),MATCH(COLUMNS($R$1006:U1006),$R$1006:$W$1006,0)), HYPERLINK("#",""), HYPERLINK(CONCATENATE("#Metadata!", ADDRESS(INDEX($M$2:$M$1001,MATCH(ROWS($K$2:K140),$K$2:$K$1001,0),0), INDEX($R$1004:$W$1004,1,MATCH(COLUMNS($R$1006:U1006),$R$1006:$W$1006,0)))),"Fix")))</f>
        <v>0</v>
      </c>
      <c r="F140" s="3">
        <f>IF(OR(INDEX($L$2:$L$1001,MATCH(ROWS($K$2:K140),$K$2:$K$1001,0),1)&gt;=100000,INDEX($R$1005:$W$1005,1,MATCH(COLUMNS($R$1006:V1006),$R$1006:$W$1006,0))&gt;=100000), " ",IF(INDEX($R$2:$W$1001,MATCH(ROWS($K$2:K140),$K$2:$K$1001,0),MATCH(COLUMNS($R$1006:V1006),$R$1006:$W$1006,0)), HYPERLINK("#",""), HYPERLINK(CONCATENATE("#Metadata!", ADDRESS(INDEX($M$2:$M$1001,MATCH(ROWS($K$2:K140),$K$2:$K$1001,0),0), INDEX($R$1004:$W$1004,1,MATCH(COLUMNS($R$1006:V1006),$R$1006:$W$1006,0)))),"Fix")))</f>
        <v>0</v>
      </c>
      <c r="G140" s="3">
        <f>IF(OR(INDEX($L$2:$L$1001,MATCH(ROWS($K$2:K140),$K$2:$K$1001,0),1)&gt;=100000,INDEX($R$1005:$W$1005,1,MATCH(COLUMNS($R$1006:W1006),$R$1006:$W$1006,0))&gt;=100000), " ",IF(INDEX($R$2:$W$1001,MATCH(ROWS($K$2:K140),$K$2:$K$1001,0),MATCH(COLUMNS($R$1006:W1006),$R$1006:$W$1006,0)), HYPERLINK("#",""), HYPERLINK(CONCATENATE("#Metadata!", ADDRESS(INDEX($M$2:$M$1001,MATCH(ROWS($K$2:K140),$K$2:$K$1001,0),0), INDEX($R$1004:$W$1004,1,MATCH(COLUMNS($R$1006:W1006),$R$1006:$W$1006,0)))),"Fix")))</f>
        <v>0</v>
      </c>
      <c r="K140">
        <v>0</v>
      </c>
      <c r="L140">
        <v>0</v>
      </c>
      <c r="M140">
        <v>0</v>
      </c>
      <c r="N140">
        <f>IF(O140,TRUE,AND(R140:W140))</f>
        <v>0</v>
      </c>
      <c r="O140">
        <f>COUNTBLANK(Metadata!B140:G140)=COLUMNS(Metadata!B140:G140)</f>
        <v>0</v>
      </c>
      <c r="P140">
        <v>0</v>
      </c>
      <c r="R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S140">
        <f>IF(Metadata!C140="",FALSE,TRUE)</f>
        <v>0</v>
      </c>
      <c r="T140">
        <f>IF(Metadata!D140="",FALSE,TRUE)</f>
        <v>0</v>
      </c>
      <c r="U140">
        <f>IF(Metadata!E140="",FALSE,TRUE)</f>
        <v>0</v>
      </c>
      <c r="V140">
        <f>AND(IF(Metadata!F140="",FALSE,TRUE),exact(Metadata!F140,"rat gut metagenome"))</f>
        <v>0</v>
      </c>
      <c r="W140">
        <f>AND(IF(Metadata!G140="",FALSE,TRUE),exact(Metadata!G140,"1436733"))</f>
        <v>0</v>
      </c>
    </row>
    <row r="141" spans="1:23">
      <c r="A141" s="4">
        <f>IF(B141=" "," ",HYPERLINK(CONCATENATE("#metadata!",ADDRESS(INDEX($M$2:$M$1001,MATCH(ROWS($K$2:K141),$K$2:$K$1001,0),0),1)),INDEX($P$2:$P$1001,MATCH(ROWS($K$2:K141),$K$2:$K$1001,0),0)))</f>
        <v>0</v>
      </c>
      <c r="B141" s="3">
        <f>IF(OR(INDEX($L$2:$L$1001,MATCH(ROWS($K$2:K141),$K$2:$K$1001,0),1)&gt;=100000,INDEX($R$1005:$W$1005,1,MATCH(COLUMNS($R$1006:R1006),$R$1006:$W$1006,0))&gt;=100000), " ",IF(INDEX($R$2:$W$1001,MATCH(ROWS($K$2:K141),$K$2:$K$1001,0),MATCH(COLUMNS($R$1006:R1006),$R$1006:$W$1006,0)), HYPERLINK("#",""), HYPERLINK(CONCATENATE("#Metadata!", ADDRESS(INDEX($M$2:$M$1001,MATCH(ROWS($K$2:K141),$K$2:$K$1001,0),0), INDEX($R$1004:$W$1004,1,MATCH(COLUMNS($R$1006:R1006),$R$1006:$W$1006,0)))),"Fix")))</f>
        <v>0</v>
      </c>
      <c r="C141" s="3">
        <f>IF(OR(INDEX($L$2:$L$1001,MATCH(ROWS($K$2:K141),$K$2:$K$1001,0),1)&gt;=100000,INDEX($R$1005:$W$1005,1,MATCH(COLUMNS($R$1006:S1006),$R$1006:$W$1006,0))&gt;=100000), " ",IF(INDEX($R$2:$W$1001,MATCH(ROWS($K$2:K141),$K$2:$K$1001,0),MATCH(COLUMNS($R$1006:S1006),$R$1006:$W$1006,0)), HYPERLINK("#",""), HYPERLINK(CONCATENATE("#Metadata!", ADDRESS(INDEX($M$2:$M$1001,MATCH(ROWS($K$2:K141),$K$2:$K$1001,0),0), INDEX($R$1004:$W$1004,1,MATCH(COLUMNS($R$1006:S1006),$R$1006:$W$1006,0)))),"Fix")))</f>
        <v>0</v>
      </c>
      <c r="D141" s="3">
        <f>IF(OR(INDEX($L$2:$L$1001,MATCH(ROWS($K$2:K141),$K$2:$K$1001,0),1)&gt;=100000,INDEX($R$1005:$W$1005,1,MATCH(COLUMNS($R$1006:T1006),$R$1006:$W$1006,0))&gt;=100000), " ",IF(INDEX($R$2:$W$1001,MATCH(ROWS($K$2:K141),$K$2:$K$1001,0),MATCH(COLUMNS($R$1006:T1006),$R$1006:$W$1006,0)), HYPERLINK("#",""), HYPERLINK(CONCATENATE("#Metadata!", ADDRESS(INDEX($M$2:$M$1001,MATCH(ROWS($K$2:K141),$K$2:$K$1001,0),0), INDEX($R$1004:$W$1004,1,MATCH(COLUMNS($R$1006:T1006),$R$1006:$W$1006,0)))),"Fix")))</f>
        <v>0</v>
      </c>
      <c r="E141" s="3">
        <f>IF(OR(INDEX($L$2:$L$1001,MATCH(ROWS($K$2:K141),$K$2:$K$1001,0),1)&gt;=100000,INDEX($R$1005:$W$1005,1,MATCH(COLUMNS($R$1006:U1006),$R$1006:$W$1006,0))&gt;=100000), " ",IF(INDEX($R$2:$W$1001,MATCH(ROWS($K$2:K141),$K$2:$K$1001,0),MATCH(COLUMNS($R$1006:U1006),$R$1006:$W$1006,0)), HYPERLINK("#",""), HYPERLINK(CONCATENATE("#Metadata!", ADDRESS(INDEX($M$2:$M$1001,MATCH(ROWS($K$2:K141),$K$2:$K$1001,0),0), INDEX($R$1004:$W$1004,1,MATCH(COLUMNS($R$1006:U1006),$R$1006:$W$1006,0)))),"Fix")))</f>
        <v>0</v>
      </c>
      <c r="F141" s="3">
        <f>IF(OR(INDEX($L$2:$L$1001,MATCH(ROWS($K$2:K141),$K$2:$K$1001,0),1)&gt;=100000,INDEX($R$1005:$W$1005,1,MATCH(COLUMNS($R$1006:V1006),$R$1006:$W$1006,0))&gt;=100000), " ",IF(INDEX($R$2:$W$1001,MATCH(ROWS($K$2:K141),$K$2:$K$1001,0),MATCH(COLUMNS($R$1006:V1006),$R$1006:$W$1006,0)), HYPERLINK("#",""), HYPERLINK(CONCATENATE("#Metadata!", ADDRESS(INDEX($M$2:$M$1001,MATCH(ROWS($K$2:K141),$K$2:$K$1001,0),0), INDEX($R$1004:$W$1004,1,MATCH(COLUMNS($R$1006:V1006),$R$1006:$W$1006,0)))),"Fix")))</f>
        <v>0</v>
      </c>
      <c r="G141" s="3">
        <f>IF(OR(INDEX($L$2:$L$1001,MATCH(ROWS($K$2:K141),$K$2:$K$1001,0),1)&gt;=100000,INDEX($R$1005:$W$1005,1,MATCH(COLUMNS($R$1006:W1006),$R$1006:$W$1006,0))&gt;=100000), " ",IF(INDEX($R$2:$W$1001,MATCH(ROWS($K$2:K141),$K$2:$K$1001,0),MATCH(COLUMNS($R$1006:W1006),$R$1006:$W$1006,0)), HYPERLINK("#",""), HYPERLINK(CONCATENATE("#Metadata!", ADDRESS(INDEX($M$2:$M$1001,MATCH(ROWS($K$2:K141),$K$2:$K$1001,0),0), INDEX($R$1004:$W$1004,1,MATCH(COLUMNS($R$1006:W1006),$R$1006:$W$1006,0)))),"Fix")))</f>
        <v>0</v>
      </c>
      <c r="K141">
        <v>0</v>
      </c>
      <c r="L141">
        <v>0</v>
      </c>
      <c r="M141">
        <v>0</v>
      </c>
      <c r="N141">
        <f>IF(O141,TRUE,AND(R141:W141))</f>
        <v>0</v>
      </c>
      <c r="O141">
        <f>COUNTBLANK(Metadata!B141:G141)=COLUMNS(Metadata!B141:G141)</f>
        <v>0</v>
      </c>
      <c r="P141">
        <v>0</v>
      </c>
      <c r="R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S141">
        <f>IF(Metadata!C141="",FALSE,TRUE)</f>
        <v>0</v>
      </c>
      <c r="T141">
        <f>IF(Metadata!D141="",FALSE,TRUE)</f>
        <v>0</v>
      </c>
      <c r="U141">
        <f>IF(Metadata!E141="",FALSE,TRUE)</f>
        <v>0</v>
      </c>
      <c r="V141">
        <f>AND(IF(Metadata!F141="",FALSE,TRUE),exact(Metadata!F141,"rat gut metagenome"))</f>
        <v>0</v>
      </c>
      <c r="W141">
        <f>AND(IF(Metadata!G141="",FALSE,TRUE),exact(Metadata!G141,"1436733"))</f>
        <v>0</v>
      </c>
    </row>
    <row r="142" spans="1:23">
      <c r="A142" s="4">
        <f>IF(B142=" "," ",HYPERLINK(CONCATENATE("#metadata!",ADDRESS(INDEX($M$2:$M$1001,MATCH(ROWS($K$2:K142),$K$2:$K$1001,0),0),1)),INDEX($P$2:$P$1001,MATCH(ROWS($K$2:K142),$K$2:$K$1001,0),0)))</f>
        <v>0</v>
      </c>
      <c r="B142" s="3">
        <f>IF(OR(INDEX($L$2:$L$1001,MATCH(ROWS($K$2:K142),$K$2:$K$1001,0),1)&gt;=100000,INDEX($R$1005:$W$1005,1,MATCH(COLUMNS($R$1006:R1006),$R$1006:$W$1006,0))&gt;=100000), " ",IF(INDEX($R$2:$W$1001,MATCH(ROWS($K$2:K142),$K$2:$K$1001,0),MATCH(COLUMNS($R$1006:R1006),$R$1006:$W$1006,0)), HYPERLINK("#",""), HYPERLINK(CONCATENATE("#Metadata!", ADDRESS(INDEX($M$2:$M$1001,MATCH(ROWS($K$2:K142),$K$2:$K$1001,0),0), INDEX($R$1004:$W$1004,1,MATCH(COLUMNS($R$1006:R1006),$R$1006:$W$1006,0)))),"Fix")))</f>
        <v>0</v>
      </c>
      <c r="C142" s="3">
        <f>IF(OR(INDEX($L$2:$L$1001,MATCH(ROWS($K$2:K142),$K$2:$K$1001,0),1)&gt;=100000,INDEX($R$1005:$W$1005,1,MATCH(COLUMNS($R$1006:S1006),$R$1006:$W$1006,0))&gt;=100000), " ",IF(INDEX($R$2:$W$1001,MATCH(ROWS($K$2:K142),$K$2:$K$1001,0),MATCH(COLUMNS($R$1006:S1006),$R$1006:$W$1006,0)), HYPERLINK("#",""), HYPERLINK(CONCATENATE("#Metadata!", ADDRESS(INDEX($M$2:$M$1001,MATCH(ROWS($K$2:K142),$K$2:$K$1001,0),0), INDEX($R$1004:$W$1004,1,MATCH(COLUMNS($R$1006:S1006),$R$1006:$W$1006,0)))),"Fix")))</f>
        <v>0</v>
      </c>
      <c r="D142" s="3">
        <f>IF(OR(INDEX($L$2:$L$1001,MATCH(ROWS($K$2:K142),$K$2:$K$1001,0),1)&gt;=100000,INDEX($R$1005:$W$1005,1,MATCH(COLUMNS($R$1006:T1006),$R$1006:$W$1006,0))&gt;=100000), " ",IF(INDEX($R$2:$W$1001,MATCH(ROWS($K$2:K142),$K$2:$K$1001,0),MATCH(COLUMNS($R$1006:T1006),$R$1006:$W$1006,0)), HYPERLINK("#",""), HYPERLINK(CONCATENATE("#Metadata!", ADDRESS(INDEX($M$2:$M$1001,MATCH(ROWS($K$2:K142),$K$2:$K$1001,0),0), INDEX($R$1004:$W$1004,1,MATCH(COLUMNS($R$1006:T1006),$R$1006:$W$1006,0)))),"Fix")))</f>
        <v>0</v>
      </c>
      <c r="E142" s="3">
        <f>IF(OR(INDEX($L$2:$L$1001,MATCH(ROWS($K$2:K142),$K$2:$K$1001,0),1)&gt;=100000,INDEX($R$1005:$W$1005,1,MATCH(COLUMNS($R$1006:U1006),$R$1006:$W$1006,0))&gt;=100000), " ",IF(INDEX($R$2:$W$1001,MATCH(ROWS($K$2:K142),$K$2:$K$1001,0),MATCH(COLUMNS($R$1006:U1006),$R$1006:$W$1006,0)), HYPERLINK("#",""), HYPERLINK(CONCATENATE("#Metadata!", ADDRESS(INDEX($M$2:$M$1001,MATCH(ROWS($K$2:K142),$K$2:$K$1001,0),0), INDEX($R$1004:$W$1004,1,MATCH(COLUMNS($R$1006:U1006),$R$1006:$W$1006,0)))),"Fix")))</f>
        <v>0</v>
      </c>
      <c r="F142" s="3">
        <f>IF(OR(INDEX($L$2:$L$1001,MATCH(ROWS($K$2:K142),$K$2:$K$1001,0),1)&gt;=100000,INDEX($R$1005:$W$1005,1,MATCH(COLUMNS($R$1006:V1006),$R$1006:$W$1006,0))&gt;=100000), " ",IF(INDEX($R$2:$W$1001,MATCH(ROWS($K$2:K142),$K$2:$K$1001,0),MATCH(COLUMNS($R$1006:V1006),$R$1006:$W$1006,0)), HYPERLINK("#",""), HYPERLINK(CONCATENATE("#Metadata!", ADDRESS(INDEX($M$2:$M$1001,MATCH(ROWS($K$2:K142),$K$2:$K$1001,0),0), INDEX($R$1004:$W$1004,1,MATCH(COLUMNS($R$1006:V1006),$R$1006:$W$1006,0)))),"Fix")))</f>
        <v>0</v>
      </c>
      <c r="G142" s="3">
        <f>IF(OR(INDEX($L$2:$L$1001,MATCH(ROWS($K$2:K142),$K$2:$K$1001,0),1)&gt;=100000,INDEX($R$1005:$W$1005,1,MATCH(COLUMNS($R$1006:W1006),$R$1006:$W$1006,0))&gt;=100000), " ",IF(INDEX($R$2:$W$1001,MATCH(ROWS($K$2:K142),$K$2:$K$1001,0),MATCH(COLUMNS($R$1006:W1006),$R$1006:$W$1006,0)), HYPERLINK("#",""), HYPERLINK(CONCATENATE("#Metadata!", ADDRESS(INDEX($M$2:$M$1001,MATCH(ROWS($K$2:K142),$K$2:$K$1001,0),0), INDEX($R$1004:$W$1004,1,MATCH(COLUMNS($R$1006:W1006),$R$1006:$W$1006,0)))),"Fix")))</f>
        <v>0</v>
      </c>
      <c r="K142">
        <v>0</v>
      </c>
      <c r="L142">
        <v>0</v>
      </c>
      <c r="M142">
        <v>0</v>
      </c>
      <c r="N142">
        <f>IF(O142,TRUE,AND(R142:W142))</f>
        <v>0</v>
      </c>
      <c r="O142">
        <f>COUNTBLANK(Metadata!B142:G142)=COLUMNS(Metadata!B142:G142)</f>
        <v>0</v>
      </c>
      <c r="P142">
        <v>0</v>
      </c>
      <c r="R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S142">
        <f>IF(Metadata!C142="",FALSE,TRUE)</f>
        <v>0</v>
      </c>
      <c r="T142">
        <f>IF(Metadata!D142="",FALSE,TRUE)</f>
        <v>0</v>
      </c>
      <c r="U142">
        <f>IF(Metadata!E142="",FALSE,TRUE)</f>
        <v>0</v>
      </c>
      <c r="V142">
        <f>AND(IF(Metadata!F142="",FALSE,TRUE),exact(Metadata!F142,"rat gut metagenome"))</f>
        <v>0</v>
      </c>
      <c r="W142">
        <f>AND(IF(Metadata!G142="",FALSE,TRUE),exact(Metadata!G142,"1436733"))</f>
        <v>0</v>
      </c>
    </row>
    <row r="143" spans="1:23">
      <c r="A143" s="4">
        <f>IF(B143=" "," ",HYPERLINK(CONCATENATE("#metadata!",ADDRESS(INDEX($M$2:$M$1001,MATCH(ROWS($K$2:K143),$K$2:$K$1001,0),0),1)),INDEX($P$2:$P$1001,MATCH(ROWS($K$2:K143),$K$2:$K$1001,0),0)))</f>
        <v>0</v>
      </c>
      <c r="B143" s="3">
        <f>IF(OR(INDEX($L$2:$L$1001,MATCH(ROWS($K$2:K143),$K$2:$K$1001,0),1)&gt;=100000,INDEX($R$1005:$W$1005,1,MATCH(COLUMNS($R$1006:R1006),$R$1006:$W$1006,0))&gt;=100000), " ",IF(INDEX($R$2:$W$1001,MATCH(ROWS($K$2:K143),$K$2:$K$1001,0),MATCH(COLUMNS($R$1006:R1006),$R$1006:$W$1006,0)), HYPERLINK("#",""), HYPERLINK(CONCATENATE("#Metadata!", ADDRESS(INDEX($M$2:$M$1001,MATCH(ROWS($K$2:K143),$K$2:$K$1001,0),0), INDEX($R$1004:$W$1004,1,MATCH(COLUMNS($R$1006:R1006),$R$1006:$W$1006,0)))),"Fix")))</f>
        <v>0</v>
      </c>
      <c r="C143" s="3">
        <f>IF(OR(INDEX($L$2:$L$1001,MATCH(ROWS($K$2:K143),$K$2:$K$1001,0),1)&gt;=100000,INDEX($R$1005:$W$1005,1,MATCH(COLUMNS($R$1006:S1006),$R$1006:$W$1006,0))&gt;=100000), " ",IF(INDEX($R$2:$W$1001,MATCH(ROWS($K$2:K143),$K$2:$K$1001,0),MATCH(COLUMNS($R$1006:S1006),$R$1006:$W$1006,0)), HYPERLINK("#",""), HYPERLINK(CONCATENATE("#Metadata!", ADDRESS(INDEX($M$2:$M$1001,MATCH(ROWS($K$2:K143),$K$2:$K$1001,0),0), INDEX($R$1004:$W$1004,1,MATCH(COLUMNS($R$1006:S1006),$R$1006:$W$1006,0)))),"Fix")))</f>
        <v>0</v>
      </c>
      <c r="D143" s="3">
        <f>IF(OR(INDEX($L$2:$L$1001,MATCH(ROWS($K$2:K143),$K$2:$K$1001,0),1)&gt;=100000,INDEX($R$1005:$W$1005,1,MATCH(COLUMNS($R$1006:T1006),$R$1006:$W$1006,0))&gt;=100000), " ",IF(INDEX($R$2:$W$1001,MATCH(ROWS($K$2:K143),$K$2:$K$1001,0),MATCH(COLUMNS($R$1006:T1006),$R$1006:$W$1006,0)), HYPERLINK("#",""), HYPERLINK(CONCATENATE("#Metadata!", ADDRESS(INDEX($M$2:$M$1001,MATCH(ROWS($K$2:K143),$K$2:$K$1001,0),0), INDEX($R$1004:$W$1004,1,MATCH(COLUMNS($R$1006:T1006),$R$1006:$W$1006,0)))),"Fix")))</f>
        <v>0</v>
      </c>
      <c r="E143" s="3">
        <f>IF(OR(INDEX($L$2:$L$1001,MATCH(ROWS($K$2:K143),$K$2:$K$1001,0),1)&gt;=100000,INDEX($R$1005:$W$1005,1,MATCH(COLUMNS($R$1006:U1006),$R$1006:$W$1006,0))&gt;=100000), " ",IF(INDEX($R$2:$W$1001,MATCH(ROWS($K$2:K143),$K$2:$K$1001,0),MATCH(COLUMNS($R$1006:U1006),$R$1006:$W$1006,0)), HYPERLINK("#",""), HYPERLINK(CONCATENATE("#Metadata!", ADDRESS(INDEX($M$2:$M$1001,MATCH(ROWS($K$2:K143),$K$2:$K$1001,0),0), INDEX($R$1004:$W$1004,1,MATCH(COLUMNS($R$1006:U1006),$R$1006:$W$1006,0)))),"Fix")))</f>
        <v>0</v>
      </c>
      <c r="F143" s="3">
        <f>IF(OR(INDEX($L$2:$L$1001,MATCH(ROWS($K$2:K143),$K$2:$K$1001,0),1)&gt;=100000,INDEX($R$1005:$W$1005,1,MATCH(COLUMNS($R$1006:V1006),$R$1006:$W$1006,0))&gt;=100000), " ",IF(INDEX($R$2:$W$1001,MATCH(ROWS($K$2:K143),$K$2:$K$1001,0),MATCH(COLUMNS($R$1006:V1006),$R$1006:$W$1006,0)), HYPERLINK("#",""), HYPERLINK(CONCATENATE("#Metadata!", ADDRESS(INDEX($M$2:$M$1001,MATCH(ROWS($K$2:K143),$K$2:$K$1001,0),0), INDEX($R$1004:$W$1004,1,MATCH(COLUMNS($R$1006:V1006),$R$1006:$W$1006,0)))),"Fix")))</f>
        <v>0</v>
      </c>
      <c r="G143" s="3">
        <f>IF(OR(INDEX($L$2:$L$1001,MATCH(ROWS($K$2:K143),$K$2:$K$1001,0),1)&gt;=100000,INDEX($R$1005:$W$1005,1,MATCH(COLUMNS($R$1006:W1006),$R$1006:$W$1006,0))&gt;=100000), " ",IF(INDEX($R$2:$W$1001,MATCH(ROWS($K$2:K143),$K$2:$K$1001,0),MATCH(COLUMNS($R$1006:W1006),$R$1006:$W$1006,0)), HYPERLINK("#",""), HYPERLINK(CONCATENATE("#Metadata!", ADDRESS(INDEX($M$2:$M$1001,MATCH(ROWS($K$2:K143),$K$2:$K$1001,0),0), INDEX($R$1004:$W$1004,1,MATCH(COLUMNS($R$1006:W1006),$R$1006:$W$1006,0)))),"Fix")))</f>
        <v>0</v>
      </c>
      <c r="K143">
        <v>0</v>
      </c>
      <c r="L143">
        <v>0</v>
      </c>
      <c r="M143">
        <v>0</v>
      </c>
      <c r="N143">
        <f>IF(O143,TRUE,AND(R143:W143))</f>
        <v>0</v>
      </c>
      <c r="O143">
        <f>COUNTBLANK(Metadata!B143:G143)=COLUMNS(Metadata!B143:G143)</f>
        <v>0</v>
      </c>
      <c r="P143">
        <v>0</v>
      </c>
      <c r="R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S143">
        <f>IF(Metadata!C143="",FALSE,TRUE)</f>
        <v>0</v>
      </c>
      <c r="T143">
        <f>IF(Metadata!D143="",FALSE,TRUE)</f>
        <v>0</v>
      </c>
      <c r="U143">
        <f>IF(Metadata!E143="",FALSE,TRUE)</f>
        <v>0</v>
      </c>
      <c r="V143">
        <f>AND(IF(Metadata!F143="",FALSE,TRUE),exact(Metadata!F143,"rat gut metagenome"))</f>
        <v>0</v>
      </c>
      <c r="W143">
        <f>AND(IF(Metadata!G143="",FALSE,TRUE),exact(Metadata!G143,"1436733"))</f>
        <v>0</v>
      </c>
    </row>
    <row r="144" spans="1:23">
      <c r="A144" s="4">
        <f>IF(B144=" "," ",HYPERLINK(CONCATENATE("#metadata!",ADDRESS(INDEX($M$2:$M$1001,MATCH(ROWS($K$2:K144),$K$2:$K$1001,0),0),1)),INDEX($P$2:$P$1001,MATCH(ROWS($K$2:K144),$K$2:$K$1001,0),0)))</f>
        <v>0</v>
      </c>
      <c r="B144" s="3">
        <f>IF(OR(INDEX($L$2:$L$1001,MATCH(ROWS($K$2:K144),$K$2:$K$1001,0),1)&gt;=100000,INDEX($R$1005:$W$1005,1,MATCH(COLUMNS($R$1006:R1006),$R$1006:$W$1006,0))&gt;=100000), " ",IF(INDEX($R$2:$W$1001,MATCH(ROWS($K$2:K144),$K$2:$K$1001,0),MATCH(COLUMNS($R$1006:R1006),$R$1006:$W$1006,0)), HYPERLINK("#",""), HYPERLINK(CONCATENATE("#Metadata!", ADDRESS(INDEX($M$2:$M$1001,MATCH(ROWS($K$2:K144),$K$2:$K$1001,0),0), INDEX($R$1004:$W$1004,1,MATCH(COLUMNS($R$1006:R1006),$R$1006:$W$1006,0)))),"Fix")))</f>
        <v>0</v>
      </c>
      <c r="C144" s="3">
        <f>IF(OR(INDEX($L$2:$L$1001,MATCH(ROWS($K$2:K144),$K$2:$K$1001,0),1)&gt;=100000,INDEX($R$1005:$W$1005,1,MATCH(COLUMNS($R$1006:S1006),$R$1006:$W$1006,0))&gt;=100000), " ",IF(INDEX($R$2:$W$1001,MATCH(ROWS($K$2:K144),$K$2:$K$1001,0),MATCH(COLUMNS($R$1006:S1006),$R$1006:$W$1006,0)), HYPERLINK("#",""), HYPERLINK(CONCATENATE("#Metadata!", ADDRESS(INDEX($M$2:$M$1001,MATCH(ROWS($K$2:K144),$K$2:$K$1001,0),0), INDEX($R$1004:$W$1004,1,MATCH(COLUMNS($R$1006:S1006),$R$1006:$W$1006,0)))),"Fix")))</f>
        <v>0</v>
      </c>
      <c r="D144" s="3">
        <f>IF(OR(INDEX($L$2:$L$1001,MATCH(ROWS($K$2:K144),$K$2:$K$1001,0),1)&gt;=100000,INDEX($R$1005:$W$1005,1,MATCH(COLUMNS($R$1006:T1006),$R$1006:$W$1006,0))&gt;=100000), " ",IF(INDEX($R$2:$W$1001,MATCH(ROWS($K$2:K144),$K$2:$K$1001,0),MATCH(COLUMNS($R$1006:T1006),$R$1006:$W$1006,0)), HYPERLINK("#",""), HYPERLINK(CONCATENATE("#Metadata!", ADDRESS(INDEX($M$2:$M$1001,MATCH(ROWS($K$2:K144),$K$2:$K$1001,0),0), INDEX($R$1004:$W$1004,1,MATCH(COLUMNS($R$1006:T1006),$R$1006:$W$1006,0)))),"Fix")))</f>
        <v>0</v>
      </c>
      <c r="E144" s="3">
        <f>IF(OR(INDEX($L$2:$L$1001,MATCH(ROWS($K$2:K144),$K$2:$K$1001,0),1)&gt;=100000,INDEX($R$1005:$W$1005,1,MATCH(COLUMNS($R$1006:U1006),$R$1006:$W$1006,0))&gt;=100000), " ",IF(INDEX($R$2:$W$1001,MATCH(ROWS($K$2:K144),$K$2:$K$1001,0),MATCH(COLUMNS($R$1006:U1006),$R$1006:$W$1006,0)), HYPERLINK("#",""), HYPERLINK(CONCATENATE("#Metadata!", ADDRESS(INDEX($M$2:$M$1001,MATCH(ROWS($K$2:K144),$K$2:$K$1001,0),0), INDEX($R$1004:$W$1004,1,MATCH(COLUMNS($R$1006:U1006),$R$1006:$W$1006,0)))),"Fix")))</f>
        <v>0</v>
      </c>
      <c r="F144" s="3">
        <f>IF(OR(INDEX($L$2:$L$1001,MATCH(ROWS($K$2:K144),$K$2:$K$1001,0),1)&gt;=100000,INDEX($R$1005:$W$1005,1,MATCH(COLUMNS($R$1006:V1006),$R$1006:$W$1006,0))&gt;=100000), " ",IF(INDEX($R$2:$W$1001,MATCH(ROWS($K$2:K144),$K$2:$K$1001,0),MATCH(COLUMNS($R$1006:V1006),$R$1006:$W$1006,0)), HYPERLINK("#",""), HYPERLINK(CONCATENATE("#Metadata!", ADDRESS(INDEX($M$2:$M$1001,MATCH(ROWS($K$2:K144),$K$2:$K$1001,0),0), INDEX($R$1004:$W$1004,1,MATCH(COLUMNS($R$1006:V1006),$R$1006:$W$1006,0)))),"Fix")))</f>
        <v>0</v>
      </c>
      <c r="G144" s="3">
        <f>IF(OR(INDEX($L$2:$L$1001,MATCH(ROWS($K$2:K144),$K$2:$K$1001,0),1)&gt;=100000,INDEX($R$1005:$W$1005,1,MATCH(COLUMNS($R$1006:W1006),$R$1006:$W$1006,0))&gt;=100000), " ",IF(INDEX($R$2:$W$1001,MATCH(ROWS($K$2:K144),$K$2:$K$1001,0),MATCH(COLUMNS($R$1006:W1006),$R$1006:$W$1006,0)), HYPERLINK("#",""), HYPERLINK(CONCATENATE("#Metadata!", ADDRESS(INDEX($M$2:$M$1001,MATCH(ROWS($K$2:K144),$K$2:$K$1001,0),0), INDEX($R$1004:$W$1004,1,MATCH(COLUMNS($R$1006:W1006),$R$1006:$W$1006,0)))),"Fix")))</f>
        <v>0</v>
      </c>
      <c r="K144">
        <v>0</v>
      </c>
      <c r="L144">
        <v>0</v>
      </c>
      <c r="M144">
        <v>0</v>
      </c>
      <c r="N144">
        <f>IF(O144,TRUE,AND(R144:W144))</f>
        <v>0</v>
      </c>
      <c r="O144">
        <f>COUNTBLANK(Metadata!B144:G144)=COLUMNS(Metadata!B144:G144)</f>
        <v>0</v>
      </c>
      <c r="P144">
        <v>0</v>
      </c>
      <c r="R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S144">
        <f>IF(Metadata!C144="",FALSE,TRUE)</f>
        <v>0</v>
      </c>
      <c r="T144">
        <f>IF(Metadata!D144="",FALSE,TRUE)</f>
        <v>0</v>
      </c>
      <c r="U144">
        <f>IF(Metadata!E144="",FALSE,TRUE)</f>
        <v>0</v>
      </c>
      <c r="V144">
        <f>AND(IF(Metadata!F144="",FALSE,TRUE),exact(Metadata!F144,"rat gut metagenome"))</f>
        <v>0</v>
      </c>
      <c r="W144">
        <f>AND(IF(Metadata!G144="",FALSE,TRUE),exact(Metadata!G144,"1436733"))</f>
        <v>0</v>
      </c>
    </row>
    <row r="145" spans="1:23">
      <c r="A145" s="4">
        <f>IF(B145=" "," ",HYPERLINK(CONCATENATE("#metadata!",ADDRESS(INDEX($M$2:$M$1001,MATCH(ROWS($K$2:K145),$K$2:$K$1001,0),0),1)),INDEX($P$2:$P$1001,MATCH(ROWS($K$2:K145),$K$2:$K$1001,0),0)))</f>
        <v>0</v>
      </c>
      <c r="B145" s="3">
        <f>IF(OR(INDEX($L$2:$L$1001,MATCH(ROWS($K$2:K145),$K$2:$K$1001,0),1)&gt;=100000,INDEX($R$1005:$W$1005,1,MATCH(COLUMNS($R$1006:R1006),$R$1006:$W$1006,0))&gt;=100000), " ",IF(INDEX($R$2:$W$1001,MATCH(ROWS($K$2:K145),$K$2:$K$1001,0),MATCH(COLUMNS($R$1006:R1006),$R$1006:$W$1006,0)), HYPERLINK("#",""), HYPERLINK(CONCATENATE("#Metadata!", ADDRESS(INDEX($M$2:$M$1001,MATCH(ROWS($K$2:K145),$K$2:$K$1001,0),0), INDEX($R$1004:$W$1004,1,MATCH(COLUMNS($R$1006:R1006),$R$1006:$W$1006,0)))),"Fix")))</f>
        <v>0</v>
      </c>
      <c r="C145" s="3">
        <f>IF(OR(INDEX($L$2:$L$1001,MATCH(ROWS($K$2:K145),$K$2:$K$1001,0),1)&gt;=100000,INDEX($R$1005:$W$1005,1,MATCH(COLUMNS($R$1006:S1006),$R$1006:$W$1006,0))&gt;=100000), " ",IF(INDEX($R$2:$W$1001,MATCH(ROWS($K$2:K145),$K$2:$K$1001,0),MATCH(COLUMNS($R$1006:S1006),$R$1006:$W$1006,0)), HYPERLINK("#",""), HYPERLINK(CONCATENATE("#Metadata!", ADDRESS(INDEX($M$2:$M$1001,MATCH(ROWS($K$2:K145),$K$2:$K$1001,0),0), INDEX($R$1004:$W$1004,1,MATCH(COLUMNS($R$1006:S1006),$R$1006:$W$1006,0)))),"Fix")))</f>
        <v>0</v>
      </c>
      <c r="D145" s="3">
        <f>IF(OR(INDEX($L$2:$L$1001,MATCH(ROWS($K$2:K145),$K$2:$K$1001,0),1)&gt;=100000,INDEX($R$1005:$W$1005,1,MATCH(COLUMNS($R$1006:T1006),$R$1006:$W$1006,0))&gt;=100000), " ",IF(INDEX($R$2:$W$1001,MATCH(ROWS($K$2:K145),$K$2:$K$1001,0),MATCH(COLUMNS($R$1006:T1006),$R$1006:$W$1006,0)), HYPERLINK("#",""), HYPERLINK(CONCATENATE("#Metadata!", ADDRESS(INDEX($M$2:$M$1001,MATCH(ROWS($K$2:K145),$K$2:$K$1001,0),0), INDEX($R$1004:$W$1004,1,MATCH(COLUMNS($R$1006:T1006),$R$1006:$W$1006,0)))),"Fix")))</f>
        <v>0</v>
      </c>
      <c r="E145" s="3">
        <f>IF(OR(INDEX($L$2:$L$1001,MATCH(ROWS($K$2:K145),$K$2:$K$1001,0),1)&gt;=100000,INDEX($R$1005:$W$1005,1,MATCH(COLUMNS($R$1006:U1006),$R$1006:$W$1006,0))&gt;=100000), " ",IF(INDEX($R$2:$W$1001,MATCH(ROWS($K$2:K145),$K$2:$K$1001,0),MATCH(COLUMNS($R$1006:U1006),$R$1006:$W$1006,0)), HYPERLINK("#",""), HYPERLINK(CONCATENATE("#Metadata!", ADDRESS(INDEX($M$2:$M$1001,MATCH(ROWS($K$2:K145),$K$2:$K$1001,0),0), INDEX($R$1004:$W$1004,1,MATCH(COLUMNS($R$1006:U1006),$R$1006:$W$1006,0)))),"Fix")))</f>
        <v>0</v>
      </c>
      <c r="F145" s="3">
        <f>IF(OR(INDEX($L$2:$L$1001,MATCH(ROWS($K$2:K145),$K$2:$K$1001,0),1)&gt;=100000,INDEX($R$1005:$W$1005,1,MATCH(COLUMNS($R$1006:V1006),$R$1006:$W$1006,0))&gt;=100000), " ",IF(INDEX($R$2:$W$1001,MATCH(ROWS($K$2:K145),$K$2:$K$1001,0),MATCH(COLUMNS($R$1006:V1006),$R$1006:$W$1006,0)), HYPERLINK("#",""), HYPERLINK(CONCATENATE("#Metadata!", ADDRESS(INDEX($M$2:$M$1001,MATCH(ROWS($K$2:K145),$K$2:$K$1001,0),0), INDEX($R$1004:$W$1004,1,MATCH(COLUMNS($R$1006:V1006),$R$1006:$W$1006,0)))),"Fix")))</f>
        <v>0</v>
      </c>
      <c r="G145" s="3">
        <f>IF(OR(INDEX($L$2:$L$1001,MATCH(ROWS($K$2:K145),$K$2:$K$1001,0),1)&gt;=100000,INDEX($R$1005:$W$1005,1,MATCH(COLUMNS($R$1006:W1006),$R$1006:$W$1006,0))&gt;=100000), " ",IF(INDEX($R$2:$W$1001,MATCH(ROWS($K$2:K145),$K$2:$K$1001,0),MATCH(COLUMNS($R$1006:W1006),$R$1006:$W$1006,0)), HYPERLINK("#",""), HYPERLINK(CONCATENATE("#Metadata!", ADDRESS(INDEX($M$2:$M$1001,MATCH(ROWS($K$2:K145),$K$2:$K$1001,0),0), INDEX($R$1004:$W$1004,1,MATCH(COLUMNS($R$1006:W1006),$R$1006:$W$1006,0)))),"Fix")))</f>
        <v>0</v>
      </c>
      <c r="K145">
        <v>0</v>
      </c>
      <c r="L145">
        <v>0</v>
      </c>
      <c r="M145">
        <v>0</v>
      </c>
      <c r="N145">
        <f>IF(O145,TRUE,AND(R145:W145))</f>
        <v>0</v>
      </c>
      <c r="O145">
        <f>COUNTBLANK(Metadata!B145:G145)=COLUMNS(Metadata!B145:G145)</f>
        <v>0</v>
      </c>
      <c r="P145">
        <v>0</v>
      </c>
      <c r="R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S145">
        <f>IF(Metadata!C145="",FALSE,TRUE)</f>
        <v>0</v>
      </c>
      <c r="T145">
        <f>IF(Metadata!D145="",FALSE,TRUE)</f>
        <v>0</v>
      </c>
      <c r="U145">
        <f>IF(Metadata!E145="",FALSE,TRUE)</f>
        <v>0</v>
      </c>
      <c r="V145">
        <f>AND(IF(Metadata!F145="",FALSE,TRUE),exact(Metadata!F145,"rat gut metagenome"))</f>
        <v>0</v>
      </c>
      <c r="W145">
        <f>AND(IF(Metadata!G145="",FALSE,TRUE),exact(Metadata!G145,"1436733"))</f>
        <v>0</v>
      </c>
    </row>
    <row r="146" spans="1:23">
      <c r="A146" s="4">
        <f>IF(B146=" "," ",HYPERLINK(CONCATENATE("#metadata!",ADDRESS(INDEX($M$2:$M$1001,MATCH(ROWS($K$2:K146),$K$2:$K$1001,0),0),1)),INDEX($P$2:$P$1001,MATCH(ROWS($K$2:K146),$K$2:$K$1001,0),0)))</f>
        <v>0</v>
      </c>
      <c r="B146" s="3">
        <f>IF(OR(INDEX($L$2:$L$1001,MATCH(ROWS($K$2:K146),$K$2:$K$1001,0),1)&gt;=100000,INDEX($R$1005:$W$1005,1,MATCH(COLUMNS($R$1006:R1006),$R$1006:$W$1006,0))&gt;=100000), " ",IF(INDEX($R$2:$W$1001,MATCH(ROWS($K$2:K146),$K$2:$K$1001,0),MATCH(COLUMNS($R$1006:R1006),$R$1006:$W$1006,0)), HYPERLINK("#",""), HYPERLINK(CONCATENATE("#Metadata!", ADDRESS(INDEX($M$2:$M$1001,MATCH(ROWS($K$2:K146),$K$2:$K$1001,0),0), INDEX($R$1004:$W$1004,1,MATCH(COLUMNS($R$1006:R1006),$R$1006:$W$1006,0)))),"Fix")))</f>
        <v>0</v>
      </c>
      <c r="C146" s="3">
        <f>IF(OR(INDEX($L$2:$L$1001,MATCH(ROWS($K$2:K146),$K$2:$K$1001,0),1)&gt;=100000,INDEX($R$1005:$W$1005,1,MATCH(COLUMNS($R$1006:S1006),$R$1006:$W$1006,0))&gt;=100000), " ",IF(INDEX($R$2:$W$1001,MATCH(ROWS($K$2:K146),$K$2:$K$1001,0),MATCH(COLUMNS($R$1006:S1006),$R$1006:$W$1006,0)), HYPERLINK("#",""), HYPERLINK(CONCATENATE("#Metadata!", ADDRESS(INDEX($M$2:$M$1001,MATCH(ROWS($K$2:K146),$K$2:$K$1001,0),0), INDEX($R$1004:$W$1004,1,MATCH(COLUMNS($R$1006:S1006),$R$1006:$W$1006,0)))),"Fix")))</f>
        <v>0</v>
      </c>
      <c r="D146" s="3">
        <f>IF(OR(INDEX($L$2:$L$1001,MATCH(ROWS($K$2:K146),$K$2:$K$1001,0),1)&gt;=100000,INDEX($R$1005:$W$1005,1,MATCH(COLUMNS($R$1006:T1006),$R$1006:$W$1006,0))&gt;=100000), " ",IF(INDEX($R$2:$W$1001,MATCH(ROWS($K$2:K146),$K$2:$K$1001,0),MATCH(COLUMNS($R$1006:T1006),$R$1006:$W$1006,0)), HYPERLINK("#",""), HYPERLINK(CONCATENATE("#Metadata!", ADDRESS(INDEX($M$2:$M$1001,MATCH(ROWS($K$2:K146),$K$2:$K$1001,0),0), INDEX($R$1004:$W$1004,1,MATCH(COLUMNS($R$1006:T1006),$R$1006:$W$1006,0)))),"Fix")))</f>
        <v>0</v>
      </c>
      <c r="E146" s="3">
        <f>IF(OR(INDEX($L$2:$L$1001,MATCH(ROWS($K$2:K146),$K$2:$K$1001,0),1)&gt;=100000,INDEX($R$1005:$W$1005,1,MATCH(COLUMNS($R$1006:U1006),$R$1006:$W$1006,0))&gt;=100000), " ",IF(INDEX($R$2:$W$1001,MATCH(ROWS($K$2:K146),$K$2:$K$1001,0),MATCH(COLUMNS($R$1006:U1006),$R$1006:$W$1006,0)), HYPERLINK("#",""), HYPERLINK(CONCATENATE("#Metadata!", ADDRESS(INDEX($M$2:$M$1001,MATCH(ROWS($K$2:K146),$K$2:$K$1001,0),0), INDEX($R$1004:$W$1004,1,MATCH(COLUMNS($R$1006:U1006),$R$1006:$W$1006,0)))),"Fix")))</f>
        <v>0</v>
      </c>
      <c r="F146" s="3">
        <f>IF(OR(INDEX($L$2:$L$1001,MATCH(ROWS($K$2:K146),$K$2:$K$1001,0),1)&gt;=100000,INDEX($R$1005:$W$1005,1,MATCH(COLUMNS($R$1006:V1006),$R$1006:$W$1006,0))&gt;=100000), " ",IF(INDEX($R$2:$W$1001,MATCH(ROWS($K$2:K146),$K$2:$K$1001,0),MATCH(COLUMNS($R$1006:V1006),$R$1006:$W$1006,0)), HYPERLINK("#",""), HYPERLINK(CONCATENATE("#Metadata!", ADDRESS(INDEX($M$2:$M$1001,MATCH(ROWS($K$2:K146),$K$2:$K$1001,0),0), INDEX($R$1004:$W$1004,1,MATCH(COLUMNS($R$1006:V1006),$R$1006:$W$1006,0)))),"Fix")))</f>
        <v>0</v>
      </c>
      <c r="G146" s="3">
        <f>IF(OR(INDEX($L$2:$L$1001,MATCH(ROWS($K$2:K146),$K$2:$K$1001,0),1)&gt;=100000,INDEX($R$1005:$W$1005,1,MATCH(COLUMNS($R$1006:W1006),$R$1006:$W$1006,0))&gt;=100000), " ",IF(INDEX($R$2:$W$1001,MATCH(ROWS($K$2:K146),$K$2:$K$1001,0),MATCH(COLUMNS($R$1006:W1006),$R$1006:$W$1006,0)), HYPERLINK("#",""), HYPERLINK(CONCATENATE("#Metadata!", ADDRESS(INDEX($M$2:$M$1001,MATCH(ROWS($K$2:K146),$K$2:$K$1001,0),0), INDEX($R$1004:$W$1004,1,MATCH(COLUMNS($R$1006:W1006),$R$1006:$W$1006,0)))),"Fix")))</f>
        <v>0</v>
      </c>
      <c r="K146">
        <v>0</v>
      </c>
      <c r="L146">
        <v>0</v>
      </c>
      <c r="M146">
        <v>0</v>
      </c>
      <c r="N146">
        <f>IF(O146,TRUE,AND(R146:W146))</f>
        <v>0</v>
      </c>
      <c r="O146">
        <f>COUNTBLANK(Metadata!B146:G146)=COLUMNS(Metadata!B146:G146)</f>
        <v>0</v>
      </c>
      <c r="P146">
        <v>0</v>
      </c>
      <c r="R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S146">
        <f>IF(Metadata!C146="",FALSE,TRUE)</f>
        <v>0</v>
      </c>
      <c r="T146">
        <f>IF(Metadata!D146="",FALSE,TRUE)</f>
        <v>0</v>
      </c>
      <c r="U146">
        <f>IF(Metadata!E146="",FALSE,TRUE)</f>
        <v>0</v>
      </c>
      <c r="V146">
        <f>AND(IF(Metadata!F146="",FALSE,TRUE),exact(Metadata!F146,"rat gut metagenome"))</f>
        <v>0</v>
      </c>
      <c r="W146">
        <f>AND(IF(Metadata!G146="",FALSE,TRUE),exact(Metadata!G146,"1436733"))</f>
        <v>0</v>
      </c>
    </row>
    <row r="147" spans="1:23">
      <c r="A147" s="4">
        <f>IF(B147=" "," ",HYPERLINK(CONCATENATE("#metadata!",ADDRESS(INDEX($M$2:$M$1001,MATCH(ROWS($K$2:K147),$K$2:$K$1001,0),0),1)),INDEX($P$2:$P$1001,MATCH(ROWS($K$2:K147),$K$2:$K$1001,0),0)))</f>
        <v>0</v>
      </c>
      <c r="B147" s="3">
        <f>IF(OR(INDEX($L$2:$L$1001,MATCH(ROWS($K$2:K147),$K$2:$K$1001,0),1)&gt;=100000,INDEX($R$1005:$W$1005,1,MATCH(COLUMNS($R$1006:R1006),$R$1006:$W$1006,0))&gt;=100000), " ",IF(INDEX($R$2:$W$1001,MATCH(ROWS($K$2:K147),$K$2:$K$1001,0),MATCH(COLUMNS($R$1006:R1006),$R$1006:$W$1006,0)), HYPERLINK("#",""), HYPERLINK(CONCATENATE("#Metadata!", ADDRESS(INDEX($M$2:$M$1001,MATCH(ROWS($K$2:K147),$K$2:$K$1001,0),0), INDEX($R$1004:$W$1004,1,MATCH(COLUMNS($R$1006:R1006),$R$1006:$W$1006,0)))),"Fix")))</f>
        <v>0</v>
      </c>
      <c r="C147" s="3">
        <f>IF(OR(INDEX($L$2:$L$1001,MATCH(ROWS($K$2:K147),$K$2:$K$1001,0),1)&gt;=100000,INDEX($R$1005:$W$1005,1,MATCH(COLUMNS($R$1006:S1006),$R$1006:$W$1006,0))&gt;=100000), " ",IF(INDEX($R$2:$W$1001,MATCH(ROWS($K$2:K147),$K$2:$K$1001,0),MATCH(COLUMNS($R$1006:S1006),$R$1006:$W$1006,0)), HYPERLINK("#",""), HYPERLINK(CONCATENATE("#Metadata!", ADDRESS(INDEX($M$2:$M$1001,MATCH(ROWS($K$2:K147),$K$2:$K$1001,0),0), INDEX($R$1004:$W$1004,1,MATCH(COLUMNS($R$1006:S1006),$R$1006:$W$1006,0)))),"Fix")))</f>
        <v>0</v>
      </c>
      <c r="D147" s="3">
        <f>IF(OR(INDEX($L$2:$L$1001,MATCH(ROWS($K$2:K147),$K$2:$K$1001,0),1)&gt;=100000,INDEX($R$1005:$W$1005,1,MATCH(COLUMNS($R$1006:T1006),$R$1006:$W$1006,0))&gt;=100000), " ",IF(INDEX($R$2:$W$1001,MATCH(ROWS($K$2:K147),$K$2:$K$1001,0),MATCH(COLUMNS($R$1006:T1006),$R$1006:$W$1006,0)), HYPERLINK("#",""), HYPERLINK(CONCATENATE("#Metadata!", ADDRESS(INDEX($M$2:$M$1001,MATCH(ROWS($K$2:K147),$K$2:$K$1001,0),0), INDEX($R$1004:$W$1004,1,MATCH(COLUMNS($R$1006:T1006),$R$1006:$W$1006,0)))),"Fix")))</f>
        <v>0</v>
      </c>
      <c r="E147" s="3">
        <f>IF(OR(INDEX($L$2:$L$1001,MATCH(ROWS($K$2:K147),$K$2:$K$1001,0),1)&gt;=100000,INDEX($R$1005:$W$1005,1,MATCH(COLUMNS($R$1006:U1006),$R$1006:$W$1006,0))&gt;=100000), " ",IF(INDEX($R$2:$W$1001,MATCH(ROWS($K$2:K147),$K$2:$K$1001,0),MATCH(COLUMNS($R$1006:U1006),$R$1006:$W$1006,0)), HYPERLINK("#",""), HYPERLINK(CONCATENATE("#Metadata!", ADDRESS(INDEX($M$2:$M$1001,MATCH(ROWS($K$2:K147),$K$2:$K$1001,0),0), INDEX($R$1004:$W$1004,1,MATCH(COLUMNS($R$1006:U1006),$R$1006:$W$1006,0)))),"Fix")))</f>
        <v>0</v>
      </c>
      <c r="F147" s="3">
        <f>IF(OR(INDEX($L$2:$L$1001,MATCH(ROWS($K$2:K147),$K$2:$K$1001,0),1)&gt;=100000,INDEX($R$1005:$W$1005,1,MATCH(COLUMNS($R$1006:V1006),$R$1006:$W$1006,0))&gt;=100000), " ",IF(INDEX($R$2:$W$1001,MATCH(ROWS($K$2:K147),$K$2:$K$1001,0),MATCH(COLUMNS($R$1006:V1006),$R$1006:$W$1006,0)), HYPERLINK("#",""), HYPERLINK(CONCATENATE("#Metadata!", ADDRESS(INDEX($M$2:$M$1001,MATCH(ROWS($K$2:K147),$K$2:$K$1001,0),0), INDEX($R$1004:$W$1004,1,MATCH(COLUMNS($R$1006:V1006),$R$1006:$W$1006,0)))),"Fix")))</f>
        <v>0</v>
      </c>
      <c r="G147" s="3">
        <f>IF(OR(INDEX($L$2:$L$1001,MATCH(ROWS($K$2:K147),$K$2:$K$1001,0),1)&gt;=100000,INDEX($R$1005:$W$1005,1,MATCH(COLUMNS($R$1006:W1006),$R$1006:$W$1006,0))&gt;=100000), " ",IF(INDEX($R$2:$W$1001,MATCH(ROWS($K$2:K147),$K$2:$K$1001,0),MATCH(COLUMNS($R$1006:W1006),$R$1006:$W$1006,0)), HYPERLINK("#",""), HYPERLINK(CONCATENATE("#Metadata!", ADDRESS(INDEX($M$2:$M$1001,MATCH(ROWS($K$2:K147),$K$2:$K$1001,0),0), INDEX($R$1004:$W$1004,1,MATCH(COLUMNS($R$1006:W1006),$R$1006:$W$1006,0)))),"Fix")))</f>
        <v>0</v>
      </c>
      <c r="K147">
        <v>0</v>
      </c>
      <c r="L147">
        <v>0</v>
      </c>
      <c r="M147">
        <v>0</v>
      </c>
      <c r="N147">
        <f>IF(O147,TRUE,AND(R147:W147))</f>
        <v>0</v>
      </c>
      <c r="O147">
        <f>COUNTBLANK(Metadata!B147:G147)=COLUMNS(Metadata!B147:G147)</f>
        <v>0</v>
      </c>
      <c r="P147">
        <v>0</v>
      </c>
      <c r="R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S147">
        <f>IF(Metadata!C147="",FALSE,TRUE)</f>
        <v>0</v>
      </c>
      <c r="T147">
        <f>IF(Metadata!D147="",FALSE,TRUE)</f>
        <v>0</v>
      </c>
      <c r="U147">
        <f>IF(Metadata!E147="",FALSE,TRUE)</f>
        <v>0</v>
      </c>
      <c r="V147">
        <f>AND(IF(Metadata!F147="",FALSE,TRUE),exact(Metadata!F147,"rat gut metagenome"))</f>
        <v>0</v>
      </c>
      <c r="W147">
        <f>AND(IF(Metadata!G147="",FALSE,TRUE),exact(Metadata!G147,"1436733"))</f>
        <v>0</v>
      </c>
    </row>
    <row r="148" spans="1:23">
      <c r="A148" s="4">
        <f>IF(B148=" "," ",HYPERLINK(CONCATENATE("#metadata!",ADDRESS(INDEX($M$2:$M$1001,MATCH(ROWS($K$2:K148),$K$2:$K$1001,0),0),1)),INDEX($P$2:$P$1001,MATCH(ROWS($K$2:K148),$K$2:$K$1001,0),0)))</f>
        <v>0</v>
      </c>
      <c r="B148" s="3">
        <f>IF(OR(INDEX($L$2:$L$1001,MATCH(ROWS($K$2:K148),$K$2:$K$1001,0),1)&gt;=100000,INDEX($R$1005:$W$1005,1,MATCH(COLUMNS($R$1006:R1006),$R$1006:$W$1006,0))&gt;=100000), " ",IF(INDEX($R$2:$W$1001,MATCH(ROWS($K$2:K148),$K$2:$K$1001,0),MATCH(COLUMNS($R$1006:R1006),$R$1006:$W$1006,0)), HYPERLINK("#",""), HYPERLINK(CONCATENATE("#Metadata!", ADDRESS(INDEX($M$2:$M$1001,MATCH(ROWS($K$2:K148),$K$2:$K$1001,0),0), INDEX($R$1004:$W$1004,1,MATCH(COLUMNS($R$1006:R1006),$R$1006:$W$1006,0)))),"Fix")))</f>
        <v>0</v>
      </c>
      <c r="C148" s="3">
        <f>IF(OR(INDEX($L$2:$L$1001,MATCH(ROWS($K$2:K148),$K$2:$K$1001,0),1)&gt;=100000,INDEX($R$1005:$W$1005,1,MATCH(COLUMNS($R$1006:S1006),$R$1006:$W$1006,0))&gt;=100000), " ",IF(INDEX($R$2:$W$1001,MATCH(ROWS($K$2:K148),$K$2:$K$1001,0),MATCH(COLUMNS($R$1006:S1006),$R$1006:$W$1006,0)), HYPERLINK("#",""), HYPERLINK(CONCATENATE("#Metadata!", ADDRESS(INDEX($M$2:$M$1001,MATCH(ROWS($K$2:K148),$K$2:$K$1001,0),0), INDEX($R$1004:$W$1004,1,MATCH(COLUMNS($R$1006:S1006),$R$1006:$W$1006,0)))),"Fix")))</f>
        <v>0</v>
      </c>
      <c r="D148" s="3">
        <f>IF(OR(INDEX($L$2:$L$1001,MATCH(ROWS($K$2:K148),$K$2:$K$1001,0),1)&gt;=100000,INDEX($R$1005:$W$1005,1,MATCH(COLUMNS($R$1006:T1006),$R$1006:$W$1006,0))&gt;=100000), " ",IF(INDEX($R$2:$W$1001,MATCH(ROWS($K$2:K148),$K$2:$K$1001,0),MATCH(COLUMNS($R$1006:T1006),$R$1006:$W$1006,0)), HYPERLINK("#",""), HYPERLINK(CONCATENATE("#Metadata!", ADDRESS(INDEX($M$2:$M$1001,MATCH(ROWS($K$2:K148),$K$2:$K$1001,0),0), INDEX($R$1004:$W$1004,1,MATCH(COLUMNS($R$1006:T1006),$R$1006:$W$1006,0)))),"Fix")))</f>
        <v>0</v>
      </c>
      <c r="E148" s="3">
        <f>IF(OR(INDEX($L$2:$L$1001,MATCH(ROWS($K$2:K148),$K$2:$K$1001,0),1)&gt;=100000,INDEX($R$1005:$W$1005,1,MATCH(COLUMNS($R$1006:U1006),$R$1006:$W$1006,0))&gt;=100000), " ",IF(INDEX($R$2:$W$1001,MATCH(ROWS($K$2:K148),$K$2:$K$1001,0),MATCH(COLUMNS($R$1006:U1006),$R$1006:$W$1006,0)), HYPERLINK("#",""), HYPERLINK(CONCATENATE("#Metadata!", ADDRESS(INDEX($M$2:$M$1001,MATCH(ROWS($K$2:K148),$K$2:$K$1001,0),0), INDEX($R$1004:$W$1004,1,MATCH(COLUMNS($R$1006:U1006),$R$1006:$W$1006,0)))),"Fix")))</f>
        <v>0</v>
      </c>
      <c r="F148" s="3">
        <f>IF(OR(INDEX($L$2:$L$1001,MATCH(ROWS($K$2:K148),$K$2:$K$1001,0),1)&gt;=100000,INDEX($R$1005:$W$1005,1,MATCH(COLUMNS($R$1006:V1006),$R$1006:$W$1006,0))&gt;=100000), " ",IF(INDEX($R$2:$W$1001,MATCH(ROWS($K$2:K148),$K$2:$K$1001,0),MATCH(COLUMNS($R$1006:V1006),$R$1006:$W$1006,0)), HYPERLINK("#",""), HYPERLINK(CONCATENATE("#Metadata!", ADDRESS(INDEX($M$2:$M$1001,MATCH(ROWS($K$2:K148),$K$2:$K$1001,0),0), INDEX($R$1004:$W$1004,1,MATCH(COLUMNS($R$1006:V1006),$R$1006:$W$1006,0)))),"Fix")))</f>
        <v>0</v>
      </c>
      <c r="G148" s="3">
        <f>IF(OR(INDEX($L$2:$L$1001,MATCH(ROWS($K$2:K148),$K$2:$K$1001,0),1)&gt;=100000,INDEX($R$1005:$W$1005,1,MATCH(COLUMNS($R$1006:W1006),$R$1006:$W$1006,0))&gt;=100000), " ",IF(INDEX($R$2:$W$1001,MATCH(ROWS($K$2:K148),$K$2:$K$1001,0),MATCH(COLUMNS($R$1006:W1006),$R$1006:$W$1006,0)), HYPERLINK("#",""), HYPERLINK(CONCATENATE("#Metadata!", ADDRESS(INDEX($M$2:$M$1001,MATCH(ROWS($K$2:K148),$K$2:$K$1001,0),0), INDEX($R$1004:$W$1004,1,MATCH(COLUMNS($R$1006:W1006),$R$1006:$W$1006,0)))),"Fix")))</f>
        <v>0</v>
      </c>
      <c r="K148">
        <v>0</v>
      </c>
      <c r="L148">
        <v>0</v>
      </c>
      <c r="M148">
        <v>0</v>
      </c>
      <c r="N148">
        <f>IF(O148,TRUE,AND(R148:W148))</f>
        <v>0</v>
      </c>
      <c r="O148">
        <f>COUNTBLANK(Metadata!B148:G148)=COLUMNS(Metadata!B148:G148)</f>
        <v>0</v>
      </c>
      <c r="P148">
        <v>0</v>
      </c>
      <c r="R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S148">
        <f>IF(Metadata!C148="",FALSE,TRUE)</f>
        <v>0</v>
      </c>
      <c r="T148">
        <f>IF(Metadata!D148="",FALSE,TRUE)</f>
        <v>0</v>
      </c>
      <c r="U148">
        <f>IF(Metadata!E148="",FALSE,TRUE)</f>
        <v>0</v>
      </c>
      <c r="V148">
        <f>AND(IF(Metadata!F148="",FALSE,TRUE),exact(Metadata!F148,"rat gut metagenome"))</f>
        <v>0</v>
      </c>
      <c r="W148">
        <f>AND(IF(Metadata!G148="",FALSE,TRUE),exact(Metadata!G148,"1436733"))</f>
        <v>0</v>
      </c>
    </row>
    <row r="149" spans="1:23">
      <c r="A149" s="4">
        <f>IF(B149=" "," ",HYPERLINK(CONCATENATE("#metadata!",ADDRESS(INDEX($M$2:$M$1001,MATCH(ROWS($K$2:K149),$K$2:$K$1001,0),0),1)),INDEX($P$2:$P$1001,MATCH(ROWS($K$2:K149),$K$2:$K$1001,0),0)))</f>
        <v>0</v>
      </c>
      <c r="B149" s="3">
        <f>IF(OR(INDEX($L$2:$L$1001,MATCH(ROWS($K$2:K149),$K$2:$K$1001,0),1)&gt;=100000,INDEX($R$1005:$W$1005,1,MATCH(COLUMNS($R$1006:R1006),$R$1006:$W$1006,0))&gt;=100000), " ",IF(INDEX($R$2:$W$1001,MATCH(ROWS($K$2:K149),$K$2:$K$1001,0),MATCH(COLUMNS($R$1006:R1006),$R$1006:$W$1006,0)), HYPERLINK("#",""), HYPERLINK(CONCATENATE("#Metadata!", ADDRESS(INDEX($M$2:$M$1001,MATCH(ROWS($K$2:K149),$K$2:$K$1001,0),0), INDEX($R$1004:$W$1004,1,MATCH(COLUMNS($R$1006:R1006),$R$1006:$W$1006,0)))),"Fix")))</f>
        <v>0</v>
      </c>
      <c r="C149" s="3">
        <f>IF(OR(INDEX($L$2:$L$1001,MATCH(ROWS($K$2:K149),$K$2:$K$1001,0),1)&gt;=100000,INDEX($R$1005:$W$1005,1,MATCH(COLUMNS($R$1006:S1006),$R$1006:$W$1006,0))&gt;=100000), " ",IF(INDEX($R$2:$W$1001,MATCH(ROWS($K$2:K149),$K$2:$K$1001,0),MATCH(COLUMNS($R$1006:S1006),$R$1006:$W$1006,0)), HYPERLINK("#",""), HYPERLINK(CONCATENATE("#Metadata!", ADDRESS(INDEX($M$2:$M$1001,MATCH(ROWS($K$2:K149),$K$2:$K$1001,0),0), INDEX($R$1004:$W$1004,1,MATCH(COLUMNS($R$1006:S1006),$R$1006:$W$1006,0)))),"Fix")))</f>
        <v>0</v>
      </c>
      <c r="D149" s="3">
        <f>IF(OR(INDEX($L$2:$L$1001,MATCH(ROWS($K$2:K149),$K$2:$K$1001,0),1)&gt;=100000,INDEX($R$1005:$W$1005,1,MATCH(COLUMNS($R$1006:T1006),$R$1006:$W$1006,0))&gt;=100000), " ",IF(INDEX($R$2:$W$1001,MATCH(ROWS($K$2:K149),$K$2:$K$1001,0),MATCH(COLUMNS($R$1006:T1006),$R$1006:$W$1006,0)), HYPERLINK("#",""), HYPERLINK(CONCATENATE("#Metadata!", ADDRESS(INDEX($M$2:$M$1001,MATCH(ROWS($K$2:K149),$K$2:$K$1001,0),0), INDEX($R$1004:$W$1004,1,MATCH(COLUMNS($R$1006:T1006),$R$1006:$W$1006,0)))),"Fix")))</f>
        <v>0</v>
      </c>
      <c r="E149" s="3">
        <f>IF(OR(INDEX($L$2:$L$1001,MATCH(ROWS($K$2:K149),$K$2:$K$1001,0),1)&gt;=100000,INDEX($R$1005:$W$1005,1,MATCH(COLUMNS($R$1006:U1006),$R$1006:$W$1006,0))&gt;=100000), " ",IF(INDEX($R$2:$W$1001,MATCH(ROWS($K$2:K149),$K$2:$K$1001,0),MATCH(COLUMNS($R$1006:U1006),$R$1006:$W$1006,0)), HYPERLINK("#",""), HYPERLINK(CONCATENATE("#Metadata!", ADDRESS(INDEX($M$2:$M$1001,MATCH(ROWS($K$2:K149),$K$2:$K$1001,0),0), INDEX($R$1004:$W$1004,1,MATCH(COLUMNS($R$1006:U1006),$R$1006:$W$1006,0)))),"Fix")))</f>
        <v>0</v>
      </c>
      <c r="F149" s="3">
        <f>IF(OR(INDEX($L$2:$L$1001,MATCH(ROWS($K$2:K149),$K$2:$K$1001,0),1)&gt;=100000,INDEX($R$1005:$W$1005,1,MATCH(COLUMNS($R$1006:V1006),$R$1006:$W$1006,0))&gt;=100000), " ",IF(INDEX($R$2:$W$1001,MATCH(ROWS($K$2:K149),$K$2:$K$1001,0),MATCH(COLUMNS($R$1006:V1006),$R$1006:$W$1006,0)), HYPERLINK("#",""), HYPERLINK(CONCATENATE("#Metadata!", ADDRESS(INDEX($M$2:$M$1001,MATCH(ROWS($K$2:K149),$K$2:$K$1001,0),0), INDEX($R$1004:$W$1004,1,MATCH(COLUMNS($R$1006:V1006),$R$1006:$W$1006,0)))),"Fix")))</f>
        <v>0</v>
      </c>
      <c r="G149" s="3">
        <f>IF(OR(INDEX($L$2:$L$1001,MATCH(ROWS($K$2:K149),$K$2:$K$1001,0),1)&gt;=100000,INDEX($R$1005:$W$1005,1,MATCH(COLUMNS($R$1006:W1006),$R$1006:$W$1006,0))&gt;=100000), " ",IF(INDEX($R$2:$W$1001,MATCH(ROWS($K$2:K149),$K$2:$K$1001,0),MATCH(COLUMNS($R$1006:W1006),$R$1006:$W$1006,0)), HYPERLINK("#",""), HYPERLINK(CONCATENATE("#Metadata!", ADDRESS(INDEX($M$2:$M$1001,MATCH(ROWS($K$2:K149),$K$2:$K$1001,0),0), INDEX($R$1004:$W$1004,1,MATCH(COLUMNS($R$1006:W1006),$R$1006:$W$1006,0)))),"Fix")))</f>
        <v>0</v>
      </c>
      <c r="K149">
        <v>0</v>
      </c>
      <c r="L149">
        <v>0</v>
      </c>
      <c r="M149">
        <v>0</v>
      </c>
      <c r="N149">
        <f>IF(O149,TRUE,AND(R149:W149))</f>
        <v>0</v>
      </c>
      <c r="O149">
        <f>COUNTBLANK(Metadata!B149:G149)=COLUMNS(Metadata!B149:G149)</f>
        <v>0</v>
      </c>
      <c r="P149">
        <v>0</v>
      </c>
      <c r="R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S149">
        <f>IF(Metadata!C149="",FALSE,TRUE)</f>
        <v>0</v>
      </c>
      <c r="T149">
        <f>IF(Metadata!D149="",FALSE,TRUE)</f>
        <v>0</v>
      </c>
      <c r="U149">
        <f>IF(Metadata!E149="",FALSE,TRUE)</f>
        <v>0</v>
      </c>
      <c r="V149">
        <f>AND(IF(Metadata!F149="",FALSE,TRUE),exact(Metadata!F149,"rat gut metagenome"))</f>
        <v>0</v>
      </c>
      <c r="W149">
        <f>AND(IF(Metadata!G149="",FALSE,TRUE),exact(Metadata!G149,"1436733"))</f>
        <v>0</v>
      </c>
    </row>
    <row r="150" spans="1:23">
      <c r="A150" s="4">
        <f>IF(B150=" "," ",HYPERLINK(CONCATENATE("#metadata!",ADDRESS(INDEX($M$2:$M$1001,MATCH(ROWS($K$2:K150),$K$2:$K$1001,0),0),1)),INDEX($P$2:$P$1001,MATCH(ROWS($K$2:K150),$K$2:$K$1001,0),0)))</f>
        <v>0</v>
      </c>
      <c r="B150" s="3">
        <f>IF(OR(INDEX($L$2:$L$1001,MATCH(ROWS($K$2:K150),$K$2:$K$1001,0),1)&gt;=100000,INDEX($R$1005:$W$1005,1,MATCH(COLUMNS($R$1006:R1006),$R$1006:$W$1006,0))&gt;=100000), " ",IF(INDEX($R$2:$W$1001,MATCH(ROWS($K$2:K150),$K$2:$K$1001,0),MATCH(COLUMNS($R$1006:R1006),$R$1006:$W$1006,0)), HYPERLINK("#",""), HYPERLINK(CONCATENATE("#Metadata!", ADDRESS(INDEX($M$2:$M$1001,MATCH(ROWS($K$2:K150),$K$2:$K$1001,0),0), INDEX($R$1004:$W$1004,1,MATCH(COLUMNS($R$1006:R1006),$R$1006:$W$1006,0)))),"Fix")))</f>
        <v>0</v>
      </c>
      <c r="C150" s="3">
        <f>IF(OR(INDEX($L$2:$L$1001,MATCH(ROWS($K$2:K150),$K$2:$K$1001,0),1)&gt;=100000,INDEX($R$1005:$W$1005,1,MATCH(COLUMNS($R$1006:S1006),$R$1006:$W$1006,0))&gt;=100000), " ",IF(INDEX($R$2:$W$1001,MATCH(ROWS($K$2:K150),$K$2:$K$1001,0),MATCH(COLUMNS($R$1006:S1006),$R$1006:$W$1006,0)), HYPERLINK("#",""), HYPERLINK(CONCATENATE("#Metadata!", ADDRESS(INDEX($M$2:$M$1001,MATCH(ROWS($K$2:K150),$K$2:$K$1001,0),0), INDEX($R$1004:$W$1004,1,MATCH(COLUMNS($R$1006:S1006),$R$1006:$W$1006,0)))),"Fix")))</f>
        <v>0</v>
      </c>
      <c r="D150" s="3">
        <f>IF(OR(INDEX($L$2:$L$1001,MATCH(ROWS($K$2:K150),$K$2:$K$1001,0),1)&gt;=100000,INDEX($R$1005:$W$1005,1,MATCH(COLUMNS($R$1006:T1006),$R$1006:$W$1006,0))&gt;=100000), " ",IF(INDEX($R$2:$W$1001,MATCH(ROWS($K$2:K150),$K$2:$K$1001,0),MATCH(COLUMNS($R$1006:T1006),$R$1006:$W$1006,0)), HYPERLINK("#",""), HYPERLINK(CONCATENATE("#Metadata!", ADDRESS(INDEX($M$2:$M$1001,MATCH(ROWS($K$2:K150),$K$2:$K$1001,0),0), INDEX($R$1004:$W$1004,1,MATCH(COLUMNS($R$1006:T1006),$R$1006:$W$1006,0)))),"Fix")))</f>
        <v>0</v>
      </c>
      <c r="E150" s="3">
        <f>IF(OR(INDEX($L$2:$L$1001,MATCH(ROWS($K$2:K150),$K$2:$K$1001,0),1)&gt;=100000,INDEX($R$1005:$W$1005,1,MATCH(COLUMNS($R$1006:U1006),$R$1006:$W$1006,0))&gt;=100000), " ",IF(INDEX($R$2:$W$1001,MATCH(ROWS($K$2:K150),$K$2:$K$1001,0),MATCH(COLUMNS($R$1006:U1006),$R$1006:$W$1006,0)), HYPERLINK("#",""), HYPERLINK(CONCATENATE("#Metadata!", ADDRESS(INDEX($M$2:$M$1001,MATCH(ROWS($K$2:K150),$K$2:$K$1001,0),0), INDEX($R$1004:$W$1004,1,MATCH(COLUMNS($R$1006:U1006),$R$1006:$W$1006,0)))),"Fix")))</f>
        <v>0</v>
      </c>
      <c r="F150" s="3">
        <f>IF(OR(INDEX($L$2:$L$1001,MATCH(ROWS($K$2:K150),$K$2:$K$1001,0),1)&gt;=100000,INDEX($R$1005:$W$1005,1,MATCH(COLUMNS($R$1006:V1006),$R$1006:$W$1006,0))&gt;=100000), " ",IF(INDEX($R$2:$W$1001,MATCH(ROWS($K$2:K150),$K$2:$K$1001,0),MATCH(COLUMNS($R$1006:V1006),$R$1006:$W$1006,0)), HYPERLINK("#",""), HYPERLINK(CONCATENATE("#Metadata!", ADDRESS(INDEX($M$2:$M$1001,MATCH(ROWS($K$2:K150),$K$2:$K$1001,0),0), INDEX($R$1004:$W$1004,1,MATCH(COLUMNS($R$1006:V1006),$R$1006:$W$1006,0)))),"Fix")))</f>
        <v>0</v>
      </c>
      <c r="G150" s="3">
        <f>IF(OR(INDEX($L$2:$L$1001,MATCH(ROWS($K$2:K150),$K$2:$K$1001,0),1)&gt;=100000,INDEX($R$1005:$W$1005,1,MATCH(COLUMNS($R$1006:W1006),$R$1006:$W$1006,0))&gt;=100000), " ",IF(INDEX($R$2:$W$1001,MATCH(ROWS($K$2:K150),$K$2:$K$1001,0),MATCH(COLUMNS($R$1006:W1006),$R$1006:$W$1006,0)), HYPERLINK("#",""), HYPERLINK(CONCATENATE("#Metadata!", ADDRESS(INDEX($M$2:$M$1001,MATCH(ROWS($K$2:K150),$K$2:$K$1001,0),0), INDEX($R$1004:$W$1004,1,MATCH(COLUMNS($R$1006:W1006),$R$1006:$W$1006,0)))),"Fix")))</f>
        <v>0</v>
      </c>
      <c r="K150">
        <v>0</v>
      </c>
      <c r="L150">
        <v>0</v>
      </c>
      <c r="M150">
        <v>0</v>
      </c>
      <c r="N150">
        <f>IF(O150,TRUE,AND(R150:W150))</f>
        <v>0</v>
      </c>
      <c r="O150">
        <f>COUNTBLANK(Metadata!B150:G150)=COLUMNS(Metadata!B150:G150)</f>
        <v>0</v>
      </c>
      <c r="P150">
        <v>0</v>
      </c>
      <c r="R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S150">
        <f>IF(Metadata!C150="",FALSE,TRUE)</f>
        <v>0</v>
      </c>
      <c r="T150">
        <f>IF(Metadata!D150="",FALSE,TRUE)</f>
        <v>0</v>
      </c>
      <c r="U150">
        <f>IF(Metadata!E150="",FALSE,TRUE)</f>
        <v>0</v>
      </c>
      <c r="V150">
        <f>AND(IF(Metadata!F150="",FALSE,TRUE),exact(Metadata!F150,"rat gut metagenome"))</f>
        <v>0</v>
      </c>
      <c r="W150">
        <f>AND(IF(Metadata!G150="",FALSE,TRUE),exact(Metadata!G150,"1436733"))</f>
        <v>0</v>
      </c>
    </row>
    <row r="151" spans="1:23">
      <c r="A151" s="4">
        <f>IF(B151=" "," ",HYPERLINK(CONCATENATE("#metadata!",ADDRESS(INDEX($M$2:$M$1001,MATCH(ROWS($K$2:K151),$K$2:$K$1001,0),0),1)),INDEX($P$2:$P$1001,MATCH(ROWS($K$2:K151),$K$2:$K$1001,0),0)))</f>
        <v>0</v>
      </c>
      <c r="B151" s="3">
        <f>IF(OR(INDEX($L$2:$L$1001,MATCH(ROWS($K$2:K151),$K$2:$K$1001,0),1)&gt;=100000,INDEX($R$1005:$W$1005,1,MATCH(COLUMNS($R$1006:R1006),$R$1006:$W$1006,0))&gt;=100000), " ",IF(INDEX($R$2:$W$1001,MATCH(ROWS($K$2:K151),$K$2:$K$1001,0),MATCH(COLUMNS($R$1006:R1006),$R$1006:$W$1006,0)), HYPERLINK("#",""), HYPERLINK(CONCATENATE("#Metadata!", ADDRESS(INDEX($M$2:$M$1001,MATCH(ROWS($K$2:K151),$K$2:$K$1001,0),0), INDEX($R$1004:$W$1004,1,MATCH(COLUMNS($R$1006:R1006),$R$1006:$W$1006,0)))),"Fix")))</f>
        <v>0</v>
      </c>
      <c r="C151" s="3">
        <f>IF(OR(INDEX($L$2:$L$1001,MATCH(ROWS($K$2:K151),$K$2:$K$1001,0),1)&gt;=100000,INDEX($R$1005:$W$1005,1,MATCH(COLUMNS($R$1006:S1006),$R$1006:$W$1006,0))&gt;=100000), " ",IF(INDEX($R$2:$W$1001,MATCH(ROWS($K$2:K151),$K$2:$K$1001,0),MATCH(COLUMNS($R$1006:S1006),$R$1006:$W$1006,0)), HYPERLINK("#",""), HYPERLINK(CONCATENATE("#Metadata!", ADDRESS(INDEX($M$2:$M$1001,MATCH(ROWS($K$2:K151),$K$2:$K$1001,0),0), INDEX($R$1004:$W$1004,1,MATCH(COLUMNS($R$1006:S1006),$R$1006:$W$1006,0)))),"Fix")))</f>
        <v>0</v>
      </c>
      <c r="D151" s="3">
        <f>IF(OR(INDEX($L$2:$L$1001,MATCH(ROWS($K$2:K151),$K$2:$K$1001,0),1)&gt;=100000,INDEX($R$1005:$W$1005,1,MATCH(COLUMNS($R$1006:T1006),$R$1006:$W$1006,0))&gt;=100000), " ",IF(INDEX($R$2:$W$1001,MATCH(ROWS($K$2:K151),$K$2:$K$1001,0),MATCH(COLUMNS($R$1006:T1006),$R$1006:$W$1006,0)), HYPERLINK("#",""), HYPERLINK(CONCATENATE("#Metadata!", ADDRESS(INDEX($M$2:$M$1001,MATCH(ROWS($K$2:K151),$K$2:$K$1001,0),0), INDEX($R$1004:$W$1004,1,MATCH(COLUMNS($R$1006:T1006),$R$1006:$W$1006,0)))),"Fix")))</f>
        <v>0</v>
      </c>
      <c r="E151" s="3">
        <f>IF(OR(INDEX($L$2:$L$1001,MATCH(ROWS($K$2:K151),$K$2:$K$1001,0),1)&gt;=100000,INDEX($R$1005:$W$1005,1,MATCH(COLUMNS($R$1006:U1006),$R$1006:$W$1006,0))&gt;=100000), " ",IF(INDEX($R$2:$W$1001,MATCH(ROWS($K$2:K151),$K$2:$K$1001,0),MATCH(COLUMNS($R$1006:U1006),$R$1006:$W$1006,0)), HYPERLINK("#",""), HYPERLINK(CONCATENATE("#Metadata!", ADDRESS(INDEX($M$2:$M$1001,MATCH(ROWS($K$2:K151),$K$2:$K$1001,0),0), INDEX($R$1004:$W$1004,1,MATCH(COLUMNS($R$1006:U1006),$R$1006:$W$1006,0)))),"Fix")))</f>
        <v>0</v>
      </c>
      <c r="F151" s="3">
        <f>IF(OR(INDEX($L$2:$L$1001,MATCH(ROWS($K$2:K151),$K$2:$K$1001,0),1)&gt;=100000,INDEX($R$1005:$W$1005,1,MATCH(COLUMNS($R$1006:V1006),$R$1006:$W$1006,0))&gt;=100000), " ",IF(INDEX($R$2:$W$1001,MATCH(ROWS($K$2:K151),$K$2:$K$1001,0),MATCH(COLUMNS($R$1006:V1006),$R$1006:$W$1006,0)), HYPERLINK("#",""), HYPERLINK(CONCATENATE("#Metadata!", ADDRESS(INDEX($M$2:$M$1001,MATCH(ROWS($K$2:K151),$K$2:$K$1001,0),0), INDEX($R$1004:$W$1004,1,MATCH(COLUMNS($R$1006:V1006),$R$1006:$W$1006,0)))),"Fix")))</f>
        <v>0</v>
      </c>
      <c r="G151" s="3">
        <f>IF(OR(INDEX($L$2:$L$1001,MATCH(ROWS($K$2:K151),$K$2:$K$1001,0),1)&gt;=100000,INDEX($R$1005:$W$1005,1,MATCH(COLUMNS($R$1006:W1006),$R$1006:$W$1006,0))&gt;=100000), " ",IF(INDEX($R$2:$W$1001,MATCH(ROWS($K$2:K151),$K$2:$K$1001,0),MATCH(COLUMNS($R$1006:W1006),$R$1006:$W$1006,0)), HYPERLINK("#",""), HYPERLINK(CONCATENATE("#Metadata!", ADDRESS(INDEX($M$2:$M$1001,MATCH(ROWS($K$2:K151),$K$2:$K$1001,0),0), INDEX($R$1004:$W$1004,1,MATCH(COLUMNS($R$1006:W1006),$R$1006:$W$1006,0)))),"Fix")))</f>
        <v>0</v>
      </c>
      <c r="K151">
        <v>0</v>
      </c>
      <c r="L151">
        <v>0</v>
      </c>
      <c r="M151">
        <v>0</v>
      </c>
      <c r="N151">
        <f>IF(O151,TRUE,AND(R151:W151))</f>
        <v>0</v>
      </c>
      <c r="O151">
        <f>COUNTBLANK(Metadata!B151:G151)=COLUMNS(Metadata!B151:G151)</f>
        <v>0</v>
      </c>
      <c r="P151">
        <v>0</v>
      </c>
      <c r="R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S151">
        <f>IF(Metadata!C151="",FALSE,TRUE)</f>
        <v>0</v>
      </c>
      <c r="T151">
        <f>IF(Metadata!D151="",FALSE,TRUE)</f>
        <v>0</v>
      </c>
      <c r="U151">
        <f>IF(Metadata!E151="",FALSE,TRUE)</f>
        <v>0</v>
      </c>
      <c r="V151">
        <f>AND(IF(Metadata!F151="",FALSE,TRUE),exact(Metadata!F151,"rat gut metagenome"))</f>
        <v>0</v>
      </c>
      <c r="W151">
        <f>AND(IF(Metadata!G151="",FALSE,TRUE),exact(Metadata!G151,"1436733"))</f>
        <v>0</v>
      </c>
    </row>
    <row r="152" spans="1:23">
      <c r="A152" s="4">
        <f>IF(B152=" "," ",HYPERLINK(CONCATENATE("#metadata!",ADDRESS(INDEX($M$2:$M$1001,MATCH(ROWS($K$2:K152),$K$2:$K$1001,0),0),1)),INDEX($P$2:$P$1001,MATCH(ROWS($K$2:K152),$K$2:$K$1001,0),0)))</f>
        <v>0</v>
      </c>
      <c r="B152" s="3">
        <f>IF(OR(INDEX($L$2:$L$1001,MATCH(ROWS($K$2:K152),$K$2:$K$1001,0),1)&gt;=100000,INDEX($R$1005:$W$1005,1,MATCH(COLUMNS($R$1006:R1006),$R$1006:$W$1006,0))&gt;=100000), " ",IF(INDEX($R$2:$W$1001,MATCH(ROWS($K$2:K152),$K$2:$K$1001,0),MATCH(COLUMNS($R$1006:R1006),$R$1006:$W$1006,0)), HYPERLINK("#",""), HYPERLINK(CONCATENATE("#Metadata!", ADDRESS(INDEX($M$2:$M$1001,MATCH(ROWS($K$2:K152),$K$2:$K$1001,0),0), INDEX($R$1004:$W$1004,1,MATCH(COLUMNS($R$1006:R1006),$R$1006:$W$1006,0)))),"Fix")))</f>
        <v>0</v>
      </c>
      <c r="C152" s="3">
        <f>IF(OR(INDEX($L$2:$L$1001,MATCH(ROWS($K$2:K152),$K$2:$K$1001,0),1)&gt;=100000,INDEX($R$1005:$W$1005,1,MATCH(COLUMNS($R$1006:S1006),$R$1006:$W$1006,0))&gt;=100000), " ",IF(INDEX($R$2:$W$1001,MATCH(ROWS($K$2:K152),$K$2:$K$1001,0),MATCH(COLUMNS($R$1006:S1006),$R$1006:$W$1006,0)), HYPERLINK("#",""), HYPERLINK(CONCATENATE("#Metadata!", ADDRESS(INDEX($M$2:$M$1001,MATCH(ROWS($K$2:K152),$K$2:$K$1001,0),0), INDEX($R$1004:$W$1004,1,MATCH(COLUMNS($R$1006:S1006),$R$1006:$W$1006,0)))),"Fix")))</f>
        <v>0</v>
      </c>
      <c r="D152" s="3">
        <f>IF(OR(INDEX($L$2:$L$1001,MATCH(ROWS($K$2:K152),$K$2:$K$1001,0),1)&gt;=100000,INDEX($R$1005:$W$1005,1,MATCH(COLUMNS($R$1006:T1006),$R$1006:$W$1006,0))&gt;=100000), " ",IF(INDEX($R$2:$W$1001,MATCH(ROWS($K$2:K152),$K$2:$K$1001,0),MATCH(COLUMNS($R$1006:T1006),$R$1006:$W$1006,0)), HYPERLINK("#",""), HYPERLINK(CONCATENATE("#Metadata!", ADDRESS(INDEX($M$2:$M$1001,MATCH(ROWS($K$2:K152),$K$2:$K$1001,0),0), INDEX($R$1004:$W$1004,1,MATCH(COLUMNS($R$1006:T1006),$R$1006:$W$1006,0)))),"Fix")))</f>
        <v>0</v>
      </c>
      <c r="E152" s="3">
        <f>IF(OR(INDEX($L$2:$L$1001,MATCH(ROWS($K$2:K152),$K$2:$K$1001,0),1)&gt;=100000,INDEX($R$1005:$W$1005,1,MATCH(COLUMNS($R$1006:U1006),$R$1006:$W$1006,0))&gt;=100000), " ",IF(INDEX($R$2:$W$1001,MATCH(ROWS($K$2:K152),$K$2:$K$1001,0),MATCH(COLUMNS($R$1006:U1006),$R$1006:$W$1006,0)), HYPERLINK("#",""), HYPERLINK(CONCATENATE("#Metadata!", ADDRESS(INDEX($M$2:$M$1001,MATCH(ROWS($K$2:K152),$K$2:$K$1001,0),0), INDEX($R$1004:$W$1004,1,MATCH(COLUMNS($R$1006:U1006),$R$1006:$W$1006,0)))),"Fix")))</f>
        <v>0</v>
      </c>
      <c r="F152" s="3">
        <f>IF(OR(INDEX($L$2:$L$1001,MATCH(ROWS($K$2:K152),$K$2:$K$1001,0),1)&gt;=100000,INDEX($R$1005:$W$1005,1,MATCH(COLUMNS($R$1006:V1006),$R$1006:$W$1006,0))&gt;=100000), " ",IF(INDEX($R$2:$W$1001,MATCH(ROWS($K$2:K152),$K$2:$K$1001,0),MATCH(COLUMNS($R$1006:V1006),$R$1006:$W$1006,0)), HYPERLINK("#",""), HYPERLINK(CONCATENATE("#Metadata!", ADDRESS(INDEX($M$2:$M$1001,MATCH(ROWS($K$2:K152),$K$2:$K$1001,0),0), INDEX($R$1004:$W$1004,1,MATCH(COLUMNS($R$1006:V1006),$R$1006:$W$1006,0)))),"Fix")))</f>
        <v>0</v>
      </c>
      <c r="G152" s="3">
        <f>IF(OR(INDEX($L$2:$L$1001,MATCH(ROWS($K$2:K152),$K$2:$K$1001,0),1)&gt;=100000,INDEX($R$1005:$W$1005,1,MATCH(COLUMNS($R$1006:W1006),$R$1006:$W$1006,0))&gt;=100000), " ",IF(INDEX($R$2:$W$1001,MATCH(ROWS($K$2:K152),$K$2:$K$1001,0),MATCH(COLUMNS($R$1006:W1006),$R$1006:$W$1006,0)), HYPERLINK("#",""), HYPERLINK(CONCATENATE("#Metadata!", ADDRESS(INDEX($M$2:$M$1001,MATCH(ROWS($K$2:K152),$K$2:$K$1001,0),0), INDEX($R$1004:$W$1004,1,MATCH(COLUMNS($R$1006:W1006),$R$1006:$W$1006,0)))),"Fix")))</f>
        <v>0</v>
      </c>
      <c r="K152">
        <v>0</v>
      </c>
      <c r="L152">
        <v>0</v>
      </c>
      <c r="M152">
        <v>0</v>
      </c>
      <c r="N152">
        <f>IF(O152,TRUE,AND(R152:W152))</f>
        <v>0</v>
      </c>
      <c r="O152">
        <f>COUNTBLANK(Metadata!B152:G152)=COLUMNS(Metadata!B152:G152)</f>
        <v>0</v>
      </c>
      <c r="P152">
        <v>0</v>
      </c>
      <c r="R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S152">
        <f>IF(Metadata!C152="",FALSE,TRUE)</f>
        <v>0</v>
      </c>
      <c r="T152">
        <f>IF(Metadata!D152="",FALSE,TRUE)</f>
        <v>0</v>
      </c>
      <c r="U152">
        <f>IF(Metadata!E152="",FALSE,TRUE)</f>
        <v>0</v>
      </c>
      <c r="V152">
        <f>AND(IF(Metadata!F152="",FALSE,TRUE),exact(Metadata!F152,"rat gut metagenome"))</f>
        <v>0</v>
      </c>
      <c r="W152">
        <f>AND(IF(Metadata!G152="",FALSE,TRUE),exact(Metadata!G152,"1436733"))</f>
        <v>0</v>
      </c>
    </row>
    <row r="153" spans="1:23">
      <c r="A153" s="4">
        <f>IF(B153=" "," ",HYPERLINK(CONCATENATE("#metadata!",ADDRESS(INDEX($M$2:$M$1001,MATCH(ROWS($K$2:K153),$K$2:$K$1001,0),0),1)),INDEX($P$2:$P$1001,MATCH(ROWS($K$2:K153),$K$2:$K$1001,0),0)))</f>
        <v>0</v>
      </c>
      <c r="B153" s="3">
        <f>IF(OR(INDEX($L$2:$L$1001,MATCH(ROWS($K$2:K153),$K$2:$K$1001,0),1)&gt;=100000,INDEX($R$1005:$W$1005,1,MATCH(COLUMNS($R$1006:R1006),$R$1006:$W$1006,0))&gt;=100000), " ",IF(INDEX($R$2:$W$1001,MATCH(ROWS($K$2:K153),$K$2:$K$1001,0),MATCH(COLUMNS($R$1006:R1006),$R$1006:$W$1006,0)), HYPERLINK("#",""), HYPERLINK(CONCATENATE("#Metadata!", ADDRESS(INDEX($M$2:$M$1001,MATCH(ROWS($K$2:K153),$K$2:$K$1001,0),0), INDEX($R$1004:$W$1004,1,MATCH(COLUMNS($R$1006:R1006),$R$1006:$W$1006,0)))),"Fix")))</f>
        <v>0</v>
      </c>
      <c r="C153" s="3">
        <f>IF(OR(INDEX($L$2:$L$1001,MATCH(ROWS($K$2:K153),$K$2:$K$1001,0),1)&gt;=100000,INDEX($R$1005:$W$1005,1,MATCH(COLUMNS($R$1006:S1006),$R$1006:$W$1006,0))&gt;=100000), " ",IF(INDEX($R$2:$W$1001,MATCH(ROWS($K$2:K153),$K$2:$K$1001,0),MATCH(COLUMNS($R$1006:S1006),$R$1006:$W$1006,0)), HYPERLINK("#",""), HYPERLINK(CONCATENATE("#Metadata!", ADDRESS(INDEX($M$2:$M$1001,MATCH(ROWS($K$2:K153),$K$2:$K$1001,0),0), INDEX($R$1004:$W$1004,1,MATCH(COLUMNS($R$1006:S1006),$R$1006:$W$1006,0)))),"Fix")))</f>
        <v>0</v>
      </c>
      <c r="D153" s="3">
        <f>IF(OR(INDEX($L$2:$L$1001,MATCH(ROWS($K$2:K153),$K$2:$K$1001,0),1)&gt;=100000,INDEX($R$1005:$W$1005,1,MATCH(COLUMNS($R$1006:T1006),$R$1006:$W$1006,0))&gt;=100000), " ",IF(INDEX($R$2:$W$1001,MATCH(ROWS($K$2:K153),$K$2:$K$1001,0),MATCH(COLUMNS($R$1006:T1006),$R$1006:$W$1006,0)), HYPERLINK("#",""), HYPERLINK(CONCATENATE("#Metadata!", ADDRESS(INDEX($M$2:$M$1001,MATCH(ROWS($K$2:K153),$K$2:$K$1001,0),0), INDEX($R$1004:$W$1004,1,MATCH(COLUMNS($R$1006:T1006),$R$1006:$W$1006,0)))),"Fix")))</f>
        <v>0</v>
      </c>
      <c r="E153" s="3">
        <f>IF(OR(INDEX($L$2:$L$1001,MATCH(ROWS($K$2:K153),$K$2:$K$1001,0),1)&gt;=100000,INDEX($R$1005:$W$1005,1,MATCH(COLUMNS($R$1006:U1006),$R$1006:$W$1006,0))&gt;=100000), " ",IF(INDEX($R$2:$W$1001,MATCH(ROWS($K$2:K153),$K$2:$K$1001,0),MATCH(COLUMNS($R$1006:U1006),$R$1006:$W$1006,0)), HYPERLINK("#",""), HYPERLINK(CONCATENATE("#Metadata!", ADDRESS(INDEX($M$2:$M$1001,MATCH(ROWS($K$2:K153),$K$2:$K$1001,0),0), INDEX($R$1004:$W$1004,1,MATCH(COLUMNS($R$1006:U1006),$R$1006:$W$1006,0)))),"Fix")))</f>
        <v>0</v>
      </c>
      <c r="F153" s="3">
        <f>IF(OR(INDEX($L$2:$L$1001,MATCH(ROWS($K$2:K153),$K$2:$K$1001,0),1)&gt;=100000,INDEX($R$1005:$W$1005,1,MATCH(COLUMNS($R$1006:V1006),$R$1006:$W$1006,0))&gt;=100000), " ",IF(INDEX($R$2:$W$1001,MATCH(ROWS($K$2:K153),$K$2:$K$1001,0),MATCH(COLUMNS($R$1006:V1006),$R$1006:$W$1006,0)), HYPERLINK("#",""), HYPERLINK(CONCATENATE("#Metadata!", ADDRESS(INDEX($M$2:$M$1001,MATCH(ROWS($K$2:K153),$K$2:$K$1001,0),0), INDEX($R$1004:$W$1004,1,MATCH(COLUMNS($R$1006:V1006),$R$1006:$W$1006,0)))),"Fix")))</f>
        <v>0</v>
      </c>
      <c r="G153" s="3">
        <f>IF(OR(INDEX($L$2:$L$1001,MATCH(ROWS($K$2:K153),$K$2:$K$1001,0),1)&gt;=100000,INDEX($R$1005:$W$1005,1,MATCH(COLUMNS($R$1006:W1006),$R$1006:$W$1006,0))&gt;=100000), " ",IF(INDEX($R$2:$W$1001,MATCH(ROWS($K$2:K153),$K$2:$K$1001,0),MATCH(COLUMNS($R$1006:W1006),$R$1006:$W$1006,0)), HYPERLINK("#",""), HYPERLINK(CONCATENATE("#Metadata!", ADDRESS(INDEX($M$2:$M$1001,MATCH(ROWS($K$2:K153),$K$2:$K$1001,0),0), INDEX($R$1004:$W$1004,1,MATCH(COLUMNS($R$1006:W1006),$R$1006:$W$1006,0)))),"Fix")))</f>
        <v>0</v>
      </c>
      <c r="K153">
        <v>0</v>
      </c>
      <c r="L153">
        <v>0</v>
      </c>
      <c r="M153">
        <v>0</v>
      </c>
      <c r="N153">
        <f>IF(O153,TRUE,AND(R153:W153))</f>
        <v>0</v>
      </c>
      <c r="O153">
        <f>COUNTBLANK(Metadata!B153:G153)=COLUMNS(Metadata!B153:G153)</f>
        <v>0</v>
      </c>
      <c r="P153">
        <v>0</v>
      </c>
      <c r="R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S153">
        <f>IF(Metadata!C153="",FALSE,TRUE)</f>
        <v>0</v>
      </c>
      <c r="T153">
        <f>IF(Metadata!D153="",FALSE,TRUE)</f>
        <v>0</v>
      </c>
      <c r="U153">
        <f>IF(Metadata!E153="",FALSE,TRUE)</f>
        <v>0</v>
      </c>
      <c r="V153">
        <f>AND(IF(Metadata!F153="",FALSE,TRUE),exact(Metadata!F153,"rat gut metagenome"))</f>
        <v>0</v>
      </c>
      <c r="W153">
        <f>AND(IF(Metadata!G153="",FALSE,TRUE),exact(Metadata!G153,"1436733"))</f>
        <v>0</v>
      </c>
    </row>
    <row r="154" spans="1:23">
      <c r="A154" s="4">
        <f>IF(B154=" "," ",HYPERLINK(CONCATENATE("#metadata!",ADDRESS(INDEX($M$2:$M$1001,MATCH(ROWS($K$2:K154),$K$2:$K$1001,0),0),1)),INDEX($P$2:$P$1001,MATCH(ROWS($K$2:K154),$K$2:$K$1001,0),0)))</f>
        <v>0</v>
      </c>
      <c r="B154" s="3">
        <f>IF(OR(INDEX($L$2:$L$1001,MATCH(ROWS($K$2:K154),$K$2:$K$1001,0),1)&gt;=100000,INDEX($R$1005:$W$1005,1,MATCH(COLUMNS($R$1006:R1006),$R$1006:$W$1006,0))&gt;=100000), " ",IF(INDEX($R$2:$W$1001,MATCH(ROWS($K$2:K154),$K$2:$K$1001,0),MATCH(COLUMNS($R$1006:R1006),$R$1006:$W$1006,0)), HYPERLINK("#",""), HYPERLINK(CONCATENATE("#Metadata!", ADDRESS(INDEX($M$2:$M$1001,MATCH(ROWS($K$2:K154),$K$2:$K$1001,0),0), INDEX($R$1004:$W$1004,1,MATCH(COLUMNS($R$1006:R1006),$R$1006:$W$1006,0)))),"Fix")))</f>
        <v>0</v>
      </c>
      <c r="C154" s="3">
        <f>IF(OR(INDEX($L$2:$L$1001,MATCH(ROWS($K$2:K154),$K$2:$K$1001,0),1)&gt;=100000,INDEX($R$1005:$W$1005,1,MATCH(COLUMNS($R$1006:S1006),$R$1006:$W$1006,0))&gt;=100000), " ",IF(INDEX($R$2:$W$1001,MATCH(ROWS($K$2:K154),$K$2:$K$1001,0),MATCH(COLUMNS($R$1006:S1006),$R$1006:$W$1006,0)), HYPERLINK("#",""), HYPERLINK(CONCATENATE("#Metadata!", ADDRESS(INDEX($M$2:$M$1001,MATCH(ROWS($K$2:K154),$K$2:$K$1001,0),0), INDEX($R$1004:$W$1004,1,MATCH(COLUMNS($R$1006:S1006),$R$1006:$W$1006,0)))),"Fix")))</f>
        <v>0</v>
      </c>
      <c r="D154" s="3">
        <f>IF(OR(INDEX($L$2:$L$1001,MATCH(ROWS($K$2:K154),$K$2:$K$1001,0),1)&gt;=100000,INDEX($R$1005:$W$1005,1,MATCH(COLUMNS($R$1006:T1006),$R$1006:$W$1006,0))&gt;=100000), " ",IF(INDEX($R$2:$W$1001,MATCH(ROWS($K$2:K154),$K$2:$K$1001,0),MATCH(COLUMNS($R$1006:T1006),$R$1006:$W$1006,0)), HYPERLINK("#",""), HYPERLINK(CONCATENATE("#Metadata!", ADDRESS(INDEX($M$2:$M$1001,MATCH(ROWS($K$2:K154),$K$2:$K$1001,0),0), INDEX($R$1004:$W$1004,1,MATCH(COLUMNS($R$1006:T1006),$R$1006:$W$1006,0)))),"Fix")))</f>
        <v>0</v>
      </c>
      <c r="E154" s="3">
        <f>IF(OR(INDEX($L$2:$L$1001,MATCH(ROWS($K$2:K154),$K$2:$K$1001,0),1)&gt;=100000,INDEX($R$1005:$W$1005,1,MATCH(COLUMNS($R$1006:U1006),$R$1006:$W$1006,0))&gt;=100000), " ",IF(INDEX($R$2:$W$1001,MATCH(ROWS($K$2:K154),$K$2:$K$1001,0),MATCH(COLUMNS($R$1006:U1006),$R$1006:$W$1006,0)), HYPERLINK("#",""), HYPERLINK(CONCATENATE("#Metadata!", ADDRESS(INDEX($M$2:$M$1001,MATCH(ROWS($K$2:K154),$K$2:$K$1001,0),0), INDEX($R$1004:$W$1004,1,MATCH(COLUMNS($R$1006:U1006),$R$1006:$W$1006,0)))),"Fix")))</f>
        <v>0</v>
      </c>
      <c r="F154" s="3">
        <f>IF(OR(INDEX($L$2:$L$1001,MATCH(ROWS($K$2:K154),$K$2:$K$1001,0),1)&gt;=100000,INDEX($R$1005:$W$1005,1,MATCH(COLUMNS($R$1006:V1006),$R$1006:$W$1006,0))&gt;=100000), " ",IF(INDEX($R$2:$W$1001,MATCH(ROWS($K$2:K154),$K$2:$K$1001,0),MATCH(COLUMNS($R$1006:V1006),$R$1006:$W$1006,0)), HYPERLINK("#",""), HYPERLINK(CONCATENATE("#Metadata!", ADDRESS(INDEX($M$2:$M$1001,MATCH(ROWS($K$2:K154),$K$2:$K$1001,0),0), INDEX($R$1004:$W$1004,1,MATCH(COLUMNS($R$1006:V1006),$R$1006:$W$1006,0)))),"Fix")))</f>
        <v>0</v>
      </c>
      <c r="G154" s="3">
        <f>IF(OR(INDEX($L$2:$L$1001,MATCH(ROWS($K$2:K154),$K$2:$K$1001,0),1)&gt;=100000,INDEX($R$1005:$W$1005,1,MATCH(COLUMNS($R$1006:W1006),$R$1006:$W$1006,0))&gt;=100000), " ",IF(INDEX($R$2:$W$1001,MATCH(ROWS($K$2:K154),$K$2:$K$1001,0),MATCH(COLUMNS($R$1006:W1006),$R$1006:$W$1006,0)), HYPERLINK("#",""), HYPERLINK(CONCATENATE("#Metadata!", ADDRESS(INDEX($M$2:$M$1001,MATCH(ROWS($K$2:K154),$K$2:$K$1001,0),0), INDEX($R$1004:$W$1004,1,MATCH(COLUMNS($R$1006:W1006),$R$1006:$W$1006,0)))),"Fix")))</f>
        <v>0</v>
      </c>
      <c r="K154">
        <v>0</v>
      </c>
      <c r="L154">
        <v>0</v>
      </c>
      <c r="M154">
        <v>0</v>
      </c>
      <c r="N154">
        <f>IF(O154,TRUE,AND(R154:W154))</f>
        <v>0</v>
      </c>
      <c r="O154">
        <f>COUNTBLANK(Metadata!B154:G154)=COLUMNS(Metadata!B154:G154)</f>
        <v>0</v>
      </c>
      <c r="P154">
        <v>0</v>
      </c>
      <c r="R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S154">
        <f>IF(Metadata!C154="",FALSE,TRUE)</f>
        <v>0</v>
      </c>
      <c r="T154">
        <f>IF(Metadata!D154="",FALSE,TRUE)</f>
        <v>0</v>
      </c>
      <c r="U154">
        <f>IF(Metadata!E154="",FALSE,TRUE)</f>
        <v>0</v>
      </c>
      <c r="V154">
        <f>AND(IF(Metadata!F154="",FALSE,TRUE),exact(Metadata!F154,"rat gut metagenome"))</f>
        <v>0</v>
      </c>
      <c r="W154">
        <f>AND(IF(Metadata!G154="",FALSE,TRUE),exact(Metadata!G154,"1436733"))</f>
        <v>0</v>
      </c>
    </row>
    <row r="155" spans="1:23">
      <c r="A155" s="4">
        <f>IF(B155=" "," ",HYPERLINK(CONCATENATE("#metadata!",ADDRESS(INDEX($M$2:$M$1001,MATCH(ROWS($K$2:K155),$K$2:$K$1001,0),0),1)),INDEX($P$2:$P$1001,MATCH(ROWS($K$2:K155),$K$2:$K$1001,0),0)))</f>
        <v>0</v>
      </c>
      <c r="B155" s="3">
        <f>IF(OR(INDEX($L$2:$L$1001,MATCH(ROWS($K$2:K155),$K$2:$K$1001,0),1)&gt;=100000,INDEX($R$1005:$W$1005,1,MATCH(COLUMNS($R$1006:R1006),$R$1006:$W$1006,0))&gt;=100000), " ",IF(INDEX($R$2:$W$1001,MATCH(ROWS($K$2:K155),$K$2:$K$1001,0),MATCH(COLUMNS($R$1006:R1006),$R$1006:$W$1006,0)), HYPERLINK("#",""), HYPERLINK(CONCATENATE("#Metadata!", ADDRESS(INDEX($M$2:$M$1001,MATCH(ROWS($K$2:K155),$K$2:$K$1001,0),0), INDEX($R$1004:$W$1004,1,MATCH(COLUMNS($R$1006:R1006),$R$1006:$W$1006,0)))),"Fix")))</f>
        <v>0</v>
      </c>
      <c r="C155" s="3">
        <f>IF(OR(INDEX($L$2:$L$1001,MATCH(ROWS($K$2:K155),$K$2:$K$1001,0),1)&gt;=100000,INDEX($R$1005:$W$1005,1,MATCH(COLUMNS($R$1006:S1006),$R$1006:$W$1006,0))&gt;=100000), " ",IF(INDEX($R$2:$W$1001,MATCH(ROWS($K$2:K155),$K$2:$K$1001,0),MATCH(COLUMNS($R$1006:S1006),$R$1006:$W$1006,0)), HYPERLINK("#",""), HYPERLINK(CONCATENATE("#Metadata!", ADDRESS(INDEX($M$2:$M$1001,MATCH(ROWS($K$2:K155),$K$2:$K$1001,0),0), INDEX($R$1004:$W$1004,1,MATCH(COLUMNS($R$1006:S1006),$R$1006:$W$1006,0)))),"Fix")))</f>
        <v>0</v>
      </c>
      <c r="D155" s="3">
        <f>IF(OR(INDEX($L$2:$L$1001,MATCH(ROWS($K$2:K155),$K$2:$K$1001,0),1)&gt;=100000,INDEX($R$1005:$W$1005,1,MATCH(COLUMNS($R$1006:T1006),$R$1006:$W$1006,0))&gt;=100000), " ",IF(INDEX($R$2:$W$1001,MATCH(ROWS($K$2:K155),$K$2:$K$1001,0),MATCH(COLUMNS($R$1006:T1006),$R$1006:$W$1006,0)), HYPERLINK("#",""), HYPERLINK(CONCATENATE("#Metadata!", ADDRESS(INDEX($M$2:$M$1001,MATCH(ROWS($K$2:K155),$K$2:$K$1001,0),0), INDEX($R$1004:$W$1004,1,MATCH(COLUMNS($R$1006:T1006),$R$1006:$W$1006,0)))),"Fix")))</f>
        <v>0</v>
      </c>
      <c r="E155" s="3">
        <f>IF(OR(INDEX($L$2:$L$1001,MATCH(ROWS($K$2:K155),$K$2:$K$1001,0),1)&gt;=100000,INDEX($R$1005:$W$1005,1,MATCH(COLUMNS($R$1006:U1006),$R$1006:$W$1006,0))&gt;=100000), " ",IF(INDEX($R$2:$W$1001,MATCH(ROWS($K$2:K155),$K$2:$K$1001,0),MATCH(COLUMNS($R$1006:U1006),$R$1006:$W$1006,0)), HYPERLINK("#",""), HYPERLINK(CONCATENATE("#Metadata!", ADDRESS(INDEX($M$2:$M$1001,MATCH(ROWS($K$2:K155),$K$2:$K$1001,0),0), INDEX($R$1004:$W$1004,1,MATCH(COLUMNS($R$1006:U1006),$R$1006:$W$1006,0)))),"Fix")))</f>
        <v>0</v>
      </c>
      <c r="F155" s="3">
        <f>IF(OR(INDEX($L$2:$L$1001,MATCH(ROWS($K$2:K155),$K$2:$K$1001,0),1)&gt;=100000,INDEX($R$1005:$W$1005,1,MATCH(COLUMNS($R$1006:V1006),$R$1006:$W$1006,0))&gt;=100000), " ",IF(INDEX($R$2:$W$1001,MATCH(ROWS($K$2:K155),$K$2:$K$1001,0),MATCH(COLUMNS($R$1006:V1006),$R$1006:$W$1006,0)), HYPERLINK("#",""), HYPERLINK(CONCATENATE("#Metadata!", ADDRESS(INDEX($M$2:$M$1001,MATCH(ROWS($K$2:K155),$K$2:$K$1001,0),0), INDEX($R$1004:$W$1004,1,MATCH(COLUMNS($R$1006:V1006),$R$1006:$W$1006,0)))),"Fix")))</f>
        <v>0</v>
      </c>
      <c r="G155" s="3">
        <f>IF(OR(INDEX($L$2:$L$1001,MATCH(ROWS($K$2:K155),$K$2:$K$1001,0),1)&gt;=100000,INDEX($R$1005:$W$1005,1,MATCH(COLUMNS($R$1006:W1006),$R$1006:$W$1006,0))&gt;=100000), " ",IF(INDEX($R$2:$W$1001,MATCH(ROWS($K$2:K155),$K$2:$K$1001,0),MATCH(COLUMNS($R$1006:W1006),$R$1006:$W$1006,0)), HYPERLINK("#",""), HYPERLINK(CONCATENATE("#Metadata!", ADDRESS(INDEX($M$2:$M$1001,MATCH(ROWS($K$2:K155),$K$2:$K$1001,0),0), INDEX($R$1004:$W$1004,1,MATCH(COLUMNS($R$1006:W1006),$R$1006:$W$1006,0)))),"Fix")))</f>
        <v>0</v>
      </c>
      <c r="K155">
        <v>0</v>
      </c>
      <c r="L155">
        <v>0</v>
      </c>
      <c r="M155">
        <v>0</v>
      </c>
      <c r="N155">
        <f>IF(O155,TRUE,AND(R155:W155))</f>
        <v>0</v>
      </c>
      <c r="O155">
        <f>COUNTBLANK(Metadata!B155:G155)=COLUMNS(Metadata!B155:G155)</f>
        <v>0</v>
      </c>
      <c r="P155">
        <v>0</v>
      </c>
      <c r="R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S155">
        <f>IF(Metadata!C155="",FALSE,TRUE)</f>
        <v>0</v>
      </c>
      <c r="T155">
        <f>IF(Metadata!D155="",FALSE,TRUE)</f>
        <v>0</v>
      </c>
      <c r="U155">
        <f>IF(Metadata!E155="",FALSE,TRUE)</f>
        <v>0</v>
      </c>
      <c r="V155">
        <f>AND(IF(Metadata!F155="",FALSE,TRUE),exact(Metadata!F155,"rat gut metagenome"))</f>
        <v>0</v>
      </c>
      <c r="W155">
        <f>AND(IF(Metadata!G155="",FALSE,TRUE),exact(Metadata!G155,"1436733"))</f>
        <v>0</v>
      </c>
    </row>
    <row r="156" spans="1:23">
      <c r="A156" s="4">
        <f>IF(B156=" "," ",HYPERLINK(CONCATENATE("#metadata!",ADDRESS(INDEX($M$2:$M$1001,MATCH(ROWS($K$2:K156),$K$2:$K$1001,0),0),1)),INDEX($P$2:$P$1001,MATCH(ROWS($K$2:K156),$K$2:$K$1001,0),0)))</f>
        <v>0</v>
      </c>
      <c r="B156" s="3">
        <f>IF(OR(INDEX($L$2:$L$1001,MATCH(ROWS($K$2:K156),$K$2:$K$1001,0),1)&gt;=100000,INDEX($R$1005:$W$1005,1,MATCH(COLUMNS($R$1006:R1006),$R$1006:$W$1006,0))&gt;=100000), " ",IF(INDEX($R$2:$W$1001,MATCH(ROWS($K$2:K156),$K$2:$K$1001,0),MATCH(COLUMNS($R$1006:R1006),$R$1006:$W$1006,0)), HYPERLINK("#",""), HYPERLINK(CONCATENATE("#Metadata!", ADDRESS(INDEX($M$2:$M$1001,MATCH(ROWS($K$2:K156),$K$2:$K$1001,0),0), INDEX($R$1004:$W$1004,1,MATCH(COLUMNS($R$1006:R1006),$R$1006:$W$1006,0)))),"Fix")))</f>
        <v>0</v>
      </c>
      <c r="C156" s="3">
        <f>IF(OR(INDEX($L$2:$L$1001,MATCH(ROWS($K$2:K156),$K$2:$K$1001,0),1)&gt;=100000,INDEX($R$1005:$W$1005,1,MATCH(COLUMNS($R$1006:S1006),$R$1006:$W$1006,0))&gt;=100000), " ",IF(INDEX($R$2:$W$1001,MATCH(ROWS($K$2:K156),$K$2:$K$1001,0),MATCH(COLUMNS($R$1006:S1006),$R$1006:$W$1006,0)), HYPERLINK("#",""), HYPERLINK(CONCATENATE("#Metadata!", ADDRESS(INDEX($M$2:$M$1001,MATCH(ROWS($K$2:K156),$K$2:$K$1001,0),0), INDEX($R$1004:$W$1004,1,MATCH(COLUMNS($R$1006:S1006),$R$1006:$W$1006,0)))),"Fix")))</f>
        <v>0</v>
      </c>
      <c r="D156" s="3">
        <f>IF(OR(INDEX($L$2:$L$1001,MATCH(ROWS($K$2:K156),$K$2:$K$1001,0),1)&gt;=100000,INDEX($R$1005:$W$1005,1,MATCH(COLUMNS($R$1006:T1006),$R$1006:$W$1006,0))&gt;=100000), " ",IF(INDEX($R$2:$W$1001,MATCH(ROWS($K$2:K156),$K$2:$K$1001,0),MATCH(COLUMNS($R$1006:T1006),$R$1006:$W$1006,0)), HYPERLINK("#",""), HYPERLINK(CONCATENATE("#Metadata!", ADDRESS(INDEX($M$2:$M$1001,MATCH(ROWS($K$2:K156),$K$2:$K$1001,0),0), INDEX($R$1004:$W$1004,1,MATCH(COLUMNS($R$1006:T1006),$R$1006:$W$1006,0)))),"Fix")))</f>
        <v>0</v>
      </c>
      <c r="E156" s="3">
        <f>IF(OR(INDEX($L$2:$L$1001,MATCH(ROWS($K$2:K156),$K$2:$K$1001,0),1)&gt;=100000,INDEX($R$1005:$W$1005,1,MATCH(COLUMNS($R$1006:U1006),$R$1006:$W$1006,0))&gt;=100000), " ",IF(INDEX($R$2:$W$1001,MATCH(ROWS($K$2:K156),$K$2:$K$1001,0),MATCH(COLUMNS($R$1006:U1006),$R$1006:$W$1006,0)), HYPERLINK("#",""), HYPERLINK(CONCATENATE("#Metadata!", ADDRESS(INDEX($M$2:$M$1001,MATCH(ROWS($K$2:K156),$K$2:$K$1001,0),0), INDEX($R$1004:$W$1004,1,MATCH(COLUMNS($R$1006:U1006),$R$1006:$W$1006,0)))),"Fix")))</f>
        <v>0</v>
      </c>
      <c r="F156" s="3">
        <f>IF(OR(INDEX($L$2:$L$1001,MATCH(ROWS($K$2:K156),$K$2:$K$1001,0),1)&gt;=100000,INDEX($R$1005:$W$1005,1,MATCH(COLUMNS($R$1006:V1006),$R$1006:$W$1006,0))&gt;=100000), " ",IF(INDEX($R$2:$W$1001,MATCH(ROWS($K$2:K156),$K$2:$K$1001,0),MATCH(COLUMNS($R$1006:V1006),$R$1006:$W$1006,0)), HYPERLINK("#",""), HYPERLINK(CONCATENATE("#Metadata!", ADDRESS(INDEX($M$2:$M$1001,MATCH(ROWS($K$2:K156),$K$2:$K$1001,0),0), INDEX($R$1004:$W$1004,1,MATCH(COLUMNS($R$1006:V1006),$R$1006:$W$1006,0)))),"Fix")))</f>
        <v>0</v>
      </c>
      <c r="G156" s="3">
        <f>IF(OR(INDEX($L$2:$L$1001,MATCH(ROWS($K$2:K156),$K$2:$K$1001,0),1)&gt;=100000,INDEX($R$1005:$W$1005,1,MATCH(COLUMNS($R$1006:W1006),$R$1006:$W$1006,0))&gt;=100000), " ",IF(INDEX($R$2:$W$1001,MATCH(ROWS($K$2:K156),$K$2:$K$1001,0),MATCH(COLUMNS($R$1006:W1006),$R$1006:$W$1006,0)), HYPERLINK("#",""), HYPERLINK(CONCATENATE("#Metadata!", ADDRESS(INDEX($M$2:$M$1001,MATCH(ROWS($K$2:K156),$K$2:$K$1001,0),0), INDEX($R$1004:$W$1004,1,MATCH(COLUMNS($R$1006:W1006),$R$1006:$W$1006,0)))),"Fix")))</f>
        <v>0</v>
      </c>
      <c r="K156">
        <v>0</v>
      </c>
      <c r="L156">
        <v>0</v>
      </c>
      <c r="M156">
        <v>0</v>
      </c>
      <c r="N156">
        <f>IF(O156,TRUE,AND(R156:W156))</f>
        <v>0</v>
      </c>
      <c r="O156">
        <f>COUNTBLANK(Metadata!B156:G156)=COLUMNS(Metadata!B156:G156)</f>
        <v>0</v>
      </c>
      <c r="P156">
        <v>0</v>
      </c>
      <c r="R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S156">
        <f>IF(Metadata!C156="",FALSE,TRUE)</f>
        <v>0</v>
      </c>
      <c r="T156">
        <f>IF(Metadata!D156="",FALSE,TRUE)</f>
        <v>0</v>
      </c>
      <c r="U156">
        <f>IF(Metadata!E156="",FALSE,TRUE)</f>
        <v>0</v>
      </c>
      <c r="V156">
        <f>AND(IF(Metadata!F156="",FALSE,TRUE),exact(Metadata!F156,"rat gut metagenome"))</f>
        <v>0</v>
      </c>
      <c r="W156">
        <f>AND(IF(Metadata!G156="",FALSE,TRUE),exact(Metadata!G156,"1436733"))</f>
        <v>0</v>
      </c>
    </row>
    <row r="157" spans="1:23">
      <c r="A157" s="4">
        <f>IF(B157=" "," ",HYPERLINK(CONCATENATE("#metadata!",ADDRESS(INDEX($M$2:$M$1001,MATCH(ROWS($K$2:K157),$K$2:$K$1001,0),0),1)),INDEX($P$2:$P$1001,MATCH(ROWS($K$2:K157),$K$2:$K$1001,0),0)))</f>
        <v>0</v>
      </c>
      <c r="B157" s="3">
        <f>IF(OR(INDEX($L$2:$L$1001,MATCH(ROWS($K$2:K157),$K$2:$K$1001,0),1)&gt;=100000,INDEX($R$1005:$W$1005,1,MATCH(COLUMNS($R$1006:R1006),$R$1006:$W$1006,0))&gt;=100000), " ",IF(INDEX($R$2:$W$1001,MATCH(ROWS($K$2:K157),$K$2:$K$1001,0),MATCH(COLUMNS($R$1006:R1006),$R$1006:$W$1006,0)), HYPERLINK("#",""), HYPERLINK(CONCATENATE("#Metadata!", ADDRESS(INDEX($M$2:$M$1001,MATCH(ROWS($K$2:K157),$K$2:$K$1001,0),0), INDEX($R$1004:$W$1004,1,MATCH(COLUMNS($R$1006:R1006),$R$1006:$W$1006,0)))),"Fix")))</f>
        <v>0</v>
      </c>
      <c r="C157" s="3">
        <f>IF(OR(INDEX($L$2:$L$1001,MATCH(ROWS($K$2:K157),$K$2:$K$1001,0),1)&gt;=100000,INDEX($R$1005:$W$1005,1,MATCH(COLUMNS($R$1006:S1006),$R$1006:$W$1006,0))&gt;=100000), " ",IF(INDEX($R$2:$W$1001,MATCH(ROWS($K$2:K157),$K$2:$K$1001,0),MATCH(COLUMNS($R$1006:S1006),$R$1006:$W$1006,0)), HYPERLINK("#",""), HYPERLINK(CONCATENATE("#Metadata!", ADDRESS(INDEX($M$2:$M$1001,MATCH(ROWS($K$2:K157),$K$2:$K$1001,0),0), INDEX($R$1004:$W$1004,1,MATCH(COLUMNS($R$1006:S1006),$R$1006:$W$1006,0)))),"Fix")))</f>
        <v>0</v>
      </c>
      <c r="D157" s="3">
        <f>IF(OR(INDEX($L$2:$L$1001,MATCH(ROWS($K$2:K157),$K$2:$K$1001,0),1)&gt;=100000,INDEX($R$1005:$W$1005,1,MATCH(COLUMNS($R$1006:T1006),$R$1006:$W$1006,0))&gt;=100000), " ",IF(INDEX($R$2:$W$1001,MATCH(ROWS($K$2:K157),$K$2:$K$1001,0),MATCH(COLUMNS($R$1006:T1006),$R$1006:$W$1006,0)), HYPERLINK("#",""), HYPERLINK(CONCATENATE("#Metadata!", ADDRESS(INDEX($M$2:$M$1001,MATCH(ROWS($K$2:K157),$K$2:$K$1001,0),0), INDEX($R$1004:$W$1004,1,MATCH(COLUMNS($R$1006:T1006),$R$1006:$W$1006,0)))),"Fix")))</f>
        <v>0</v>
      </c>
      <c r="E157" s="3">
        <f>IF(OR(INDEX($L$2:$L$1001,MATCH(ROWS($K$2:K157),$K$2:$K$1001,0),1)&gt;=100000,INDEX($R$1005:$W$1005,1,MATCH(COLUMNS($R$1006:U1006),$R$1006:$W$1006,0))&gt;=100000), " ",IF(INDEX($R$2:$W$1001,MATCH(ROWS($K$2:K157),$K$2:$K$1001,0),MATCH(COLUMNS($R$1006:U1006),$R$1006:$W$1006,0)), HYPERLINK("#",""), HYPERLINK(CONCATENATE("#Metadata!", ADDRESS(INDEX($M$2:$M$1001,MATCH(ROWS($K$2:K157),$K$2:$K$1001,0),0), INDEX($R$1004:$W$1004,1,MATCH(COLUMNS($R$1006:U1006),$R$1006:$W$1006,0)))),"Fix")))</f>
        <v>0</v>
      </c>
      <c r="F157" s="3">
        <f>IF(OR(INDEX($L$2:$L$1001,MATCH(ROWS($K$2:K157),$K$2:$K$1001,0),1)&gt;=100000,INDEX($R$1005:$W$1005,1,MATCH(COLUMNS($R$1006:V1006),$R$1006:$W$1006,0))&gt;=100000), " ",IF(INDEX($R$2:$W$1001,MATCH(ROWS($K$2:K157),$K$2:$K$1001,0),MATCH(COLUMNS($R$1006:V1006),$R$1006:$W$1006,0)), HYPERLINK("#",""), HYPERLINK(CONCATENATE("#Metadata!", ADDRESS(INDEX($M$2:$M$1001,MATCH(ROWS($K$2:K157),$K$2:$K$1001,0),0), INDEX($R$1004:$W$1004,1,MATCH(COLUMNS($R$1006:V1006),$R$1006:$W$1006,0)))),"Fix")))</f>
        <v>0</v>
      </c>
      <c r="G157" s="3">
        <f>IF(OR(INDEX($L$2:$L$1001,MATCH(ROWS($K$2:K157),$K$2:$K$1001,0),1)&gt;=100000,INDEX($R$1005:$W$1005,1,MATCH(COLUMNS($R$1006:W1006),$R$1006:$W$1006,0))&gt;=100000), " ",IF(INDEX($R$2:$W$1001,MATCH(ROWS($K$2:K157),$K$2:$K$1001,0),MATCH(COLUMNS($R$1006:W1006),$R$1006:$W$1006,0)), HYPERLINK("#",""), HYPERLINK(CONCATENATE("#Metadata!", ADDRESS(INDEX($M$2:$M$1001,MATCH(ROWS($K$2:K157),$K$2:$K$1001,0),0), INDEX($R$1004:$W$1004,1,MATCH(COLUMNS($R$1006:W1006),$R$1006:$W$1006,0)))),"Fix")))</f>
        <v>0</v>
      </c>
      <c r="K157">
        <v>0</v>
      </c>
      <c r="L157">
        <v>0</v>
      </c>
      <c r="M157">
        <v>0</v>
      </c>
      <c r="N157">
        <f>IF(O157,TRUE,AND(R157:W157))</f>
        <v>0</v>
      </c>
      <c r="O157">
        <f>COUNTBLANK(Metadata!B157:G157)=COLUMNS(Metadata!B157:G157)</f>
        <v>0</v>
      </c>
      <c r="P157">
        <v>0</v>
      </c>
      <c r="R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S157">
        <f>IF(Metadata!C157="",FALSE,TRUE)</f>
        <v>0</v>
      </c>
      <c r="T157">
        <f>IF(Metadata!D157="",FALSE,TRUE)</f>
        <v>0</v>
      </c>
      <c r="U157">
        <f>IF(Metadata!E157="",FALSE,TRUE)</f>
        <v>0</v>
      </c>
      <c r="V157">
        <f>AND(IF(Metadata!F157="",FALSE,TRUE),exact(Metadata!F157,"rat gut metagenome"))</f>
        <v>0</v>
      </c>
      <c r="W157">
        <f>AND(IF(Metadata!G157="",FALSE,TRUE),exact(Metadata!G157,"1436733"))</f>
        <v>0</v>
      </c>
    </row>
    <row r="158" spans="1:23">
      <c r="A158" s="4">
        <f>IF(B158=" "," ",HYPERLINK(CONCATENATE("#metadata!",ADDRESS(INDEX($M$2:$M$1001,MATCH(ROWS($K$2:K158),$K$2:$K$1001,0),0),1)),INDEX($P$2:$P$1001,MATCH(ROWS($K$2:K158),$K$2:$K$1001,0),0)))</f>
        <v>0</v>
      </c>
      <c r="B158" s="3">
        <f>IF(OR(INDEX($L$2:$L$1001,MATCH(ROWS($K$2:K158),$K$2:$K$1001,0),1)&gt;=100000,INDEX($R$1005:$W$1005,1,MATCH(COLUMNS($R$1006:R1006),$R$1006:$W$1006,0))&gt;=100000), " ",IF(INDEX($R$2:$W$1001,MATCH(ROWS($K$2:K158),$K$2:$K$1001,0),MATCH(COLUMNS($R$1006:R1006),$R$1006:$W$1006,0)), HYPERLINK("#",""), HYPERLINK(CONCATENATE("#Metadata!", ADDRESS(INDEX($M$2:$M$1001,MATCH(ROWS($K$2:K158),$K$2:$K$1001,0),0), INDEX($R$1004:$W$1004,1,MATCH(COLUMNS($R$1006:R1006),$R$1006:$W$1006,0)))),"Fix")))</f>
        <v>0</v>
      </c>
      <c r="C158" s="3">
        <f>IF(OR(INDEX($L$2:$L$1001,MATCH(ROWS($K$2:K158),$K$2:$K$1001,0),1)&gt;=100000,INDEX($R$1005:$W$1005,1,MATCH(COLUMNS($R$1006:S1006),$R$1006:$W$1006,0))&gt;=100000), " ",IF(INDEX($R$2:$W$1001,MATCH(ROWS($K$2:K158),$K$2:$K$1001,0),MATCH(COLUMNS($R$1006:S1006),$R$1006:$W$1006,0)), HYPERLINK("#",""), HYPERLINK(CONCATENATE("#Metadata!", ADDRESS(INDEX($M$2:$M$1001,MATCH(ROWS($K$2:K158),$K$2:$K$1001,0),0), INDEX($R$1004:$W$1004,1,MATCH(COLUMNS($R$1006:S1006),$R$1006:$W$1006,0)))),"Fix")))</f>
        <v>0</v>
      </c>
      <c r="D158" s="3">
        <f>IF(OR(INDEX($L$2:$L$1001,MATCH(ROWS($K$2:K158),$K$2:$K$1001,0),1)&gt;=100000,INDEX($R$1005:$W$1005,1,MATCH(COLUMNS($R$1006:T1006),$R$1006:$W$1006,0))&gt;=100000), " ",IF(INDEX($R$2:$W$1001,MATCH(ROWS($K$2:K158),$K$2:$K$1001,0),MATCH(COLUMNS($R$1006:T1006),$R$1006:$W$1006,0)), HYPERLINK("#",""), HYPERLINK(CONCATENATE("#Metadata!", ADDRESS(INDEX($M$2:$M$1001,MATCH(ROWS($K$2:K158),$K$2:$K$1001,0),0), INDEX($R$1004:$W$1004,1,MATCH(COLUMNS($R$1006:T1006),$R$1006:$W$1006,0)))),"Fix")))</f>
        <v>0</v>
      </c>
      <c r="E158" s="3">
        <f>IF(OR(INDEX($L$2:$L$1001,MATCH(ROWS($K$2:K158),$K$2:$K$1001,0),1)&gt;=100000,INDEX($R$1005:$W$1005,1,MATCH(COLUMNS($R$1006:U1006),$R$1006:$W$1006,0))&gt;=100000), " ",IF(INDEX($R$2:$W$1001,MATCH(ROWS($K$2:K158),$K$2:$K$1001,0),MATCH(COLUMNS($R$1006:U1006),$R$1006:$W$1006,0)), HYPERLINK("#",""), HYPERLINK(CONCATENATE("#Metadata!", ADDRESS(INDEX($M$2:$M$1001,MATCH(ROWS($K$2:K158),$K$2:$K$1001,0),0), INDEX($R$1004:$W$1004,1,MATCH(COLUMNS($R$1006:U1006),$R$1006:$W$1006,0)))),"Fix")))</f>
        <v>0</v>
      </c>
      <c r="F158" s="3">
        <f>IF(OR(INDEX($L$2:$L$1001,MATCH(ROWS($K$2:K158),$K$2:$K$1001,0),1)&gt;=100000,INDEX($R$1005:$W$1005,1,MATCH(COLUMNS($R$1006:V1006),$R$1006:$W$1006,0))&gt;=100000), " ",IF(INDEX($R$2:$W$1001,MATCH(ROWS($K$2:K158),$K$2:$K$1001,0),MATCH(COLUMNS($R$1006:V1006),$R$1006:$W$1006,0)), HYPERLINK("#",""), HYPERLINK(CONCATENATE("#Metadata!", ADDRESS(INDEX($M$2:$M$1001,MATCH(ROWS($K$2:K158),$K$2:$K$1001,0),0), INDEX($R$1004:$W$1004,1,MATCH(COLUMNS($R$1006:V1006),$R$1006:$W$1006,0)))),"Fix")))</f>
        <v>0</v>
      </c>
      <c r="G158" s="3">
        <f>IF(OR(INDEX($L$2:$L$1001,MATCH(ROWS($K$2:K158),$K$2:$K$1001,0),1)&gt;=100000,INDEX($R$1005:$W$1005,1,MATCH(COLUMNS($R$1006:W1006),$R$1006:$W$1006,0))&gt;=100000), " ",IF(INDEX($R$2:$W$1001,MATCH(ROWS($K$2:K158),$K$2:$K$1001,0),MATCH(COLUMNS($R$1006:W1006),$R$1006:$W$1006,0)), HYPERLINK("#",""), HYPERLINK(CONCATENATE("#Metadata!", ADDRESS(INDEX($M$2:$M$1001,MATCH(ROWS($K$2:K158),$K$2:$K$1001,0),0), INDEX($R$1004:$W$1004,1,MATCH(COLUMNS($R$1006:W1006),$R$1006:$W$1006,0)))),"Fix")))</f>
        <v>0</v>
      </c>
      <c r="K158">
        <v>0</v>
      </c>
      <c r="L158">
        <v>0</v>
      </c>
      <c r="M158">
        <v>0</v>
      </c>
      <c r="N158">
        <f>IF(O158,TRUE,AND(R158:W158))</f>
        <v>0</v>
      </c>
      <c r="O158">
        <f>COUNTBLANK(Metadata!B158:G158)=COLUMNS(Metadata!B158:G158)</f>
        <v>0</v>
      </c>
      <c r="P158">
        <v>0</v>
      </c>
      <c r="R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S158">
        <f>IF(Metadata!C158="",FALSE,TRUE)</f>
        <v>0</v>
      </c>
      <c r="T158">
        <f>IF(Metadata!D158="",FALSE,TRUE)</f>
        <v>0</v>
      </c>
      <c r="U158">
        <f>IF(Metadata!E158="",FALSE,TRUE)</f>
        <v>0</v>
      </c>
      <c r="V158">
        <f>AND(IF(Metadata!F158="",FALSE,TRUE),exact(Metadata!F158,"rat gut metagenome"))</f>
        <v>0</v>
      </c>
      <c r="W158">
        <f>AND(IF(Metadata!G158="",FALSE,TRUE),exact(Metadata!G158,"1436733"))</f>
        <v>0</v>
      </c>
    </row>
    <row r="159" spans="1:23">
      <c r="A159" s="4">
        <f>IF(B159=" "," ",HYPERLINK(CONCATENATE("#metadata!",ADDRESS(INDEX($M$2:$M$1001,MATCH(ROWS($K$2:K159),$K$2:$K$1001,0),0),1)),INDEX($P$2:$P$1001,MATCH(ROWS($K$2:K159),$K$2:$K$1001,0),0)))</f>
        <v>0</v>
      </c>
      <c r="B159" s="3">
        <f>IF(OR(INDEX($L$2:$L$1001,MATCH(ROWS($K$2:K159),$K$2:$K$1001,0),1)&gt;=100000,INDEX($R$1005:$W$1005,1,MATCH(COLUMNS($R$1006:R1006),$R$1006:$W$1006,0))&gt;=100000), " ",IF(INDEX($R$2:$W$1001,MATCH(ROWS($K$2:K159),$K$2:$K$1001,0),MATCH(COLUMNS($R$1006:R1006),$R$1006:$W$1006,0)), HYPERLINK("#",""), HYPERLINK(CONCATENATE("#Metadata!", ADDRESS(INDEX($M$2:$M$1001,MATCH(ROWS($K$2:K159),$K$2:$K$1001,0),0), INDEX($R$1004:$W$1004,1,MATCH(COLUMNS($R$1006:R1006),$R$1006:$W$1006,0)))),"Fix")))</f>
        <v>0</v>
      </c>
      <c r="C159" s="3">
        <f>IF(OR(INDEX($L$2:$L$1001,MATCH(ROWS($K$2:K159),$K$2:$K$1001,0),1)&gt;=100000,INDEX($R$1005:$W$1005,1,MATCH(COLUMNS($R$1006:S1006),$R$1006:$W$1006,0))&gt;=100000), " ",IF(INDEX($R$2:$W$1001,MATCH(ROWS($K$2:K159),$K$2:$K$1001,0),MATCH(COLUMNS($R$1006:S1006),$R$1006:$W$1006,0)), HYPERLINK("#",""), HYPERLINK(CONCATENATE("#Metadata!", ADDRESS(INDEX($M$2:$M$1001,MATCH(ROWS($K$2:K159),$K$2:$K$1001,0),0), INDEX($R$1004:$W$1004,1,MATCH(COLUMNS($R$1006:S1006),$R$1006:$W$1006,0)))),"Fix")))</f>
        <v>0</v>
      </c>
      <c r="D159" s="3">
        <f>IF(OR(INDEX($L$2:$L$1001,MATCH(ROWS($K$2:K159),$K$2:$K$1001,0),1)&gt;=100000,INDEX($R$1005:$W$1005,1,MATCH(COLUMNS($R$1006:T1006),$R$1006:$W$1006,0))&gt;=100000), " ",IF(INDEX($R$2:$W$1001,MATCH(ROWS($K$2:K159),$K$2:$K$1001,0),MATCH(COLUMNS($R$1006:T1006),$R$1006:$W$1006,0)), HYPERLINK("#",""), HYPERLINK(CONCATENATE("#Metadata!", ADDRESS(INDEX($M$2:$M$1001,MATCH(ROWS($K$2:K159),$K$2:$K$1001,0),0), INDEX($R$1004:$W$1004,1,MATCH(COLUMNS($R$1006:T1006),$R$1006:$W$1006,0)))),"Fix")))</f>
        <v>0</v>
      </c>
      <c r="E159" s="3">
        <f>IF(OR(INDEX($L$2:$L$1001,MATCH(ROWS($K$2:K159),$K$2:$K$1001,0),1)&gt;=100000,INDEX($R$1005:$W$1005,1,MATCH(COLUMNS($R$1006:U1006),$R$1006:$W$1006,0))&gt;=100000), " ",IF(INDEX($R$2:$W$1001,MATCH(ROWS($K$2:K159),$K$2:$K$1001,0),MATCH(COLUMNS($R$1006:U1006),$R$1006:$W$1006,0)), HYPERLINK("#",""), HYPERLINK(CONCATENATE("#Metadata!", ADDRESS(INDEX($M$2:$M$1001,MATCH(ROWS($K$2:K159),$K$2:$K$1001,0),0), INDEX($R$1004:$W$1004,1,MATCH(COLUMNS($R$1006:U1006),$R$1006:$W$1006,0)))),"Fix")))</f>
        <v>0</v>
      </c>
      <c r="F159" s="3">
        <f>IF(OR(INDEX($L$2:$L$1001,MATCH(ROWS($K$2:K159),$K$2:$K$1001,0),1)&gt;=100000,INDEX($R$1005:$W$1005,1,MATCH(COLUMNS($R$1006:V1006),$R$1006:$W$1006,0))&gt;=100000), " ",IF(INDEX($R$2:$W$1001,MATCH(ROWS($K$2:K159),$K$2:$K$1001,0),MATCH(COLUMNS($R$1006:V1006),$R$1006:$W$1006,0)), HYPERLINK("#",""), HYPERLINK(CONCATENATE("#Metadata!", ADDRESS(INDEX($M$2:$M$1001,MATCH(ROWS($K$2:K159),$K$2:$K$1001,0),0), INDEX($R$1004:$W$1004,1,MATCH(COLUMNS($R$1006:V1006),$R$1006:$W$1006,0)))),"Fix")))</f>
        <v>0</v>
      </c>
      <c r="G159" s="3">
        <f>IF(OR(INDEX($L$2:$L$1001,MATCH(ROWS($K$2:K159),$K$2:$K$1001,0),1)&gt;=100000,INDEX($R$1005:$W$1005,1,MATCH(COLUMNS($R$1006:W1006),$R$1006:$W$1006,0))&gt;=100000), " ",IF(INDEX($R$2:$W$1001,MATCH(ROWS($K$2:K159),$K$2:$K$1001,0),MATCH(COLUMNS($R$1006:W1006),$R$1006:$W$1006,0)), HYPERLINK("#",""), HYPERLINK(CONCATENATE("#Metadata!", ADDRESS(INDEX($M$2:$M$1001,MATCH(ROWS($K$2:K159),$K$2:$K$1001,0),0), INDEX($R$1004:$W$1004,1,MATCH(COLUMNS($R$1006:W1006),$R$1006:$W$1006,0)))),"Fix")))</f>
        <v>0</v>
      </c>
      <c r="K159">
        <v>0</v>
      </c>
      <c r="L159">
        <v>0</v>
      </c>
      <c r="M159">
        <v>0</v>
      </c>
      <c r="N159">
        <f>IF(O159,TRUE,AND(R159:W159))</f>
        <v>0</v>
      </c>
      <c r="O159">
        <f>COUNTBLANK(Metadata!B159:G159)=COLUMNS(Metadata!B159:G159)</f>
        <v>0</v>
      </c>
      <c r="P159">
        <v>0</v>
      </c>
      <c r="R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S159">
        <f>IF(Metadata!C159="",FALSE,TRUE)</f>
        <v>0</v>
      </c>
      <c r="T159">
        <f>IF(Metadata!D159="",FALSE,TRUE)</f>
        <v>0</v>
      </c>
      <c r="U159">
        <f>IF(Metadata!E159="",FALSE,TRUE)</f>
        <v>0</v>
      </c>
      <c r="V159">
        <f>AND(IF(Metadata!F159="",FALSE,TRUE),exact(Metadata!F159,"rat gut metagenome"))</f>
        <v>0</v>
      </c>
      <c r="W159">
        <f>AND(IF(Metadata!G159="",FALSE,TRUE),exact(Metadata!G159,"1436733"))</f>
        <v>0</v>
      </c>
    </row>
    <row r="160" spans="1:23">
      <c r="A160" s="4">
        <f>IF(B160=" "," ",HYPERLINK(CONCATENATE("#metadata!",ADDRESS(INDEX($M$2:$M$1001,MATCH(ROWS($K$2:K160),$K$2:$K$1001,0),0),1)),INDEX($P$2:$P$1001,MATCH(ROWS($K$2:K160),$K$2:$K$1001,0),0)))</f>
        <v>0</v>
      </c>
      <c r="B160" s="3">
        <f>IF(OR(INDEX($L$2:$L$1001,MATCH(ROWS($K$2:K160),$K$2:$K$1001,0),1)&gt;=100000,INDEX($R$1005:$W$1005,1,MATCH(COLUMNS($R$1006:R1006),$R$1006:$W$1006,0))&gt;=100000), " ",IF(INDEX($R$2:$W$1001,MATCH(ROWS($K$2:K160),$K$2:$K$1001,0),MATCH(COLUMNS($R$1006:R1006),$R$1006:$W$1006,0)), HYPERLINK("#",""), HYPERLINK(CONCATENATE("#Metadata!", ADDRESS(INDEX($M$2:$M$1001,MATCH(ROWS($K$2:K160),$K$2:$K$1001,0),0), INDEX($R$1004:$W$1004,1,MATCH(COLUMNS($R$1006:R1006),$R$1006:$W$1006,0)))),"Fix")))</f>
        <v>0</v>
      </c>
      <c r="C160" s="3">
        <f>IF(OR(INDEX($L$2:$L$1001,MATCH(ROWS($K$2:K160),$K$2:$K$1001,0),1)&gt;=100000,INDEX($R$1005:$W$1005,1,MATCH(COLUMNS($R$1006:S1006),$R$1006:$W$1006,0))&gt;=100000), " ",IF(INDEX($R$2:$W$1001,MATCH(ROWS($K$2:K160),$K$2:$K$1001,0),MATCH(COLUMNS($R$1006:S1006),$R$1006:$W$1006,0)), HYPERLINK("#",""), HYPERLINK(CONCATENATE("#Metadata!", ADDRESS(INDEX($M$2:$M$1001,MATCH(ROWS($K$2:K160),$K$2:$K$1001,0),0), INDEX($R$1004:$W$1004,1,MATCH(COLUMNS($R$1006:S1006),$R$1006:$W$1006,0)))),"Fix")))</f>
        <v>0</v>
      </c>
      <c r="D160" s="3">
        <f>IF(OR(INDEX($L$2:$L$1001,MATCH(ROWS($K$2:K160),$K$2:$K$1001,0),1)&gt;=100000,INDEX($R$1005:$W$1005,1,MATCH(COLUMNS($R$1006:T1006),$R$1006:$W$1006,0))&gt;=100000), " ",IF(INDEX($R$2:$W$1001,MATCH(ROWS($K$2:K160),$K$2:$K$1001,0),MATCH(COLUMNS($R$1006:T1006),$R$1006:$W$1006,0)), HYPERLINK("#",""), HYPERLINK(CONCATENATE("#Metadata!", ADDRESS(INDEX($M$2:$M$1001,MATCH(ROWS($K$2:K160),$K$2:$K$1001,0),0), INDEX($R$1004:$W$1004,1,MATCH(COLUMNS($R$1006:T1006),$R$1006:$W$1006,0)))),"Fix")))</f>
        <v>0</v>
      </c>
      <c r="E160" s="3">
        <f>IF(OR(INDEX($L$2:$L$1001,MATCH(ROWS($K$2:K160),$K$2:$K$1001,0),1)&gt;=100000,INDEX($R$1005:$W$1005,1,MATCH(COLUMNS($R$1006:U1006),$R$1006:$W$1006,0))&gt;=100000), " ",IF(INDEX($R$2:$W$1001,MATCH(ROWS($K$2:K160),$K$2:$K$1001,0),MATCH(COLUMNS($R$1006:U1006),$R$1006:$W$1006,0)), HYPERLINK("#",""), HYPERLINK(CONCATENATE("#Metadata!", ADDRESS(INDEX($M$2:$M$1001,MATCH(ROWS($K$2:K160),$K$2:$K$1001,0),0), INDEX($R$1004:$W$1004,1,MATCH(COLUMNS($R$1006:U1006),$R$1006:$W$1006,0)))),"Fix")))</f>
        <v>0</v>
      </c>
      <c r="F160" s="3">
        <f>IF(OR(INDEX($L$2:$L$1001,MATCH(ROWS($K$2:K160),$K$2:$K$1001,0),1)&gt;=100000,INDEX($R$1005:$W$1005,1,MATCH(COLUMNS($R$1006:V1006),$R$1006:$W$1006,0))&gt;=100000), " ",IF(INDEX($R$2:$W$1001,MATCH(ROWS($K$2:K160),$K$2:$K$1001,0),MATCH(COLUMNS($R$1006:V1006),$R$1006:$W$1006,0)), HYPERLINK("#",""), HYPERLINK(CONCATENATE("#Metadata!", ADDRESS(INDEX($M$2:$M$1001,MATCH(ROWS($K$2:K160),$K$2:$K$1001,0),0), INDEX($R$1004:$W$1004,1,MATCH(COLUMNS($R$1006:V1006),$R$1006:$W$1006,0)))),"Fix")))</f>
        <v>0</v>
      </c>
      <c r="G160" s="3">
        <f>IF(OR(INDEX($L$2:$L$1001,MATCH(ROWS($K$2:K160),$K$2:$K$1001,0),1)&gt;=100000,INDEX($R$1005:$W$1005,1,MATCH(COLUMNS($R$1006:W1006),$R$1006:$W$1006,0))&gt;=100000), " ",IF(INDEX($R$2:$W$1001,MATCH(ROWS($K$2:K160),$K$2:$K$1001,0),MATCH(COLUMNS($R$1006:W1006),$R$1006:$W$1006,0)), HYPERLINK("#",""), HYPERLINK(CONCATENATE("#Metadata!", ADDRESS(INDEX($M$2:$M$1001,MATCH(ROWS($K$2:K160),$K$2:$K$1001,0),0), INDEX($R$1004:$W$1004,1,MATCH(COLUMNS($R$1006:W1006),$R$1006:$W$1006,0)))),"Fix")))</f>
        <v>0</v>
      </c>
      <c r="K160">
        <v>0</v>
      </c>
      <c r="L160">
        <v>0</v>
      </c>
      <c r="M160">
        <v>0</v>
      </c>
      <c r="N160">
        <f>IF(O160,TRUE,AND(R160:W160))</f>
        <v>0</v>
      </c>
      <c r="O160">
        <f>COUNTBLANK(Metadata!B160:G160)=COLUMNS(Metadata!B160:G160)</f>
        <v>0</v>
      </c>
      <c r="P160">
        <v>0</v>
      </c>
      <c r="R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S160">
        <f>IF(Metadata!C160="",FALSE,TRUE)</f>
        <v>0</v>
      </c>
      <c r="T160">
        <f>IF(Metadata!D160="",FALSE,TRUE)</f>
        <v>0</v>
      </c>
      <c r="U160">
        <f>IF(Metadata!E160="",FALSE,TRUE)</f>
        <v>0</v>
      </c>
      <c r="V160">
        <f>AND(IF(Metadata!F160="",FALSE,TRUE),exact(Metadata!F160,"rat gut metagenome"))</f>
        <v>0</v>
      </c>
      <c r="W160">
        <f>AND(IF(Metadata!G160="",FALSE,TRUE),exact(Metadata!G160,"1436733"))</f>
        <v>0</v>
      </c>
    </row>
    <row r="161" spans="1:23">
      <c r="A161" s="4">
        <f>IF(B161=" "," ",HYPERLINK(CONCATENATE("#metadata!",ADDRESS(INDEX($M$2:$M$1001,MATCH(ROWS($K$2:K161),$K$2:$K$1001,0),0),1)),INDEX($P$2:$P$1001,MATCH(ROWS($K$2:K161),$K$2:$K$1001,0),0)))</f>
        <v>0</v>
      </c>
      <c r="B161" s="3">
        <f>IF(OR(INDEX($L$2:$L$1001,MATCH(ROWS($K$2:K161),$K$2:$K$1001,0),1)&gt;=100000,INDEX($R$1005:$W$1005,1,MATCH(COLUMNS($R$1006:R1006),$R$1006:$W$1006,0))&gt;=100000), " ",IF(INDEX($R$2:$W$1001,MATCH(ROWS($K$2:K161),$K$2:$K$1001,0),MATCH(COLUMNS($R$1006:R1006),$R$1006:$W$1006,0)), HYPERLINK("#",""), HYPERLINK(CONCATENATE("#Metadata!", ADDRESS(INDEX($M$2:$M$1001,MATCH(ROWS($K$2:K161),$K$2:$K$1001,0),0), INDEX($R$1004:$W$1004,1,MATCH(COLUMNS($R$1006:R1006),$R$1006:$W$1006,0)))),"Fix")))</f>
        <v>0</v>
      </c>
      <c r="C161" s="3">
        <f>IF(OR(INDEX($L$2:$L$1001,MATCH(ROWS($K$2:K161),$K$2:$K$1001,0),1)&gt;=100000,INDEX($R$1005:$W$1005,1,MATCH(COLUMNS($R$1006:S1006),$R$1006:$W$1006,0))&gt;=100000), " ",IF(INDEX($R$2:$W$1001,MATCH(ROWS($K$2:K161),$K$2:$K$1001,0),MATCH(COLUMNS($R$1006:S1006),$R$1006:$W$1006,0)), HYPERLINK("#",""), HYPERLINK(CONCATENATE("#Metadata!", ADDRESS(INDEX($M$2:$M$1001,MATCH(ROWS($K$2:K161),$K$2:$K$1001,0),0), INDEX($R$1004:$W$1004,1,MATCH(COLUMNS($R$1006:S1006),$R$1006:$W$1006,0)))),"Fix")))</f>
        <v>0</v>
      </c>
      <c r="D161" s="3">
        <f>IF(OR(INDEX($L$2:$L$1001,MATCH(ROWS($K$2:K161),$K$2:$K$1001,0),1)&gt;=100000,INDEX($R$1005:$W$1005,1,MATCH(COLUMNS($R$1006:T1006),$R$1006:$W$1006,0))&gt;=100000), " ",IF(INDEX($R$2:$W$1001,MATCH(ROWS($K$2:K161),$K$2:$K$1001,0),MATCH(COLUMNS($R$1006:T1006),$R$1006:$W$1006,0)), HYPERLINK("#",""), HYPERLINK(CONCATENATE("#Metadata!", ADDRESS(INDEX($M$2:$M$1001,MATCH(ROWS($K$2:K161),$K$2:$K$1001,0),0), INDEX($R$1004:$W$1004,1,MATCH(COLUMNS($R$1006:T1006),$R$1006:$W$1006,0)))),"Fix")))</f>
        <v>0</v>
      </c>
      <c r="E161" s="3">
        <f>IF(OR(INDEX($L$2:$L$1001,MATCH(ROWS($K$2:K161),$K$2:$K$1001,0),1)&gt;=100000,INDEX($R$1005:$W$1005,1,MATCH(COLUMNS($R$1006:U1006),$R$1006:$W$1006,0))&gt;=100000), " ",IF(INDEX($R$2:$W$1001,MATCH(ROWS($K$2:K161),$K$2:$K$1001,0),MATCH(COLUMNS($R$1006:U1006),$R$1006:$W$1006,0)), HYPERLINK("#",""), HYPERLINK(CONCATENATE("#Metadata!", ADDRESS(INDEX($M$2:$M$1001,MATCH(ROWS($K$2:K161),$K$2:$K$1001,0),0), INDEX($R$1004:$W$1004,1,MATCH(COLUMNS($R$1006:U1006),$R$1006:$W$1006,0)))),"Fix")))</f>
        <v>0</v>
      </c>
      <c r="F161" s="3">
        <f>IF(OR(INDEX($L$2:$L$1001,MATCH(ROWS($K$2:K161),$K$2:$K$1001,0),1)&gt;=100000,INDEX($R$1005:$W$1005,1,MATCH(COLUMNS($R$1006:V1006),$R$1006:$W$1006,0))&gt;=100000), " ",IF(INDEX($R$2:$W$1001,MATCH(ROWS($K$2:K161),$K$2:$K$1001,0),MATCH(COLUMNS($R$1006:V1006),$R$1006:$W$1006,0)), HYPERLINK("#",""), HYPERLINK(CONCATENATE("#Metadata!", ADDRESS(INDEX($M$2:$M$1001,MATCH(ROWS($K$2:K161),$K$2:$K$1001,0),0), INDEX($R$1004:$W$1004,1,MATCH(COLUMNS($R$1006:V1006),$R$1006:$W$1006,0)))),"Fix")))</f>
        <v>0</v>
      </c>
      <c r="G161" s="3">
        <f>IF(OR(INDEX($L$2:$L$1001,MATCH(ROWS($K$2:K161),$K$2:$K$1001,0),1)&gt;=100000,INDEX($R$1005:$W$1005,1,MATCH(COLUMNS($R$1006:W1006),$R$1006:$W$1006,0))&gt;=100000), " ",IF(INDEX($R$2:$W$1001,MATCH(ROWS($K$2:K161),$K$2:$K$1001,0),MATCH(COLUMNS($R$1006:W1006),$R$1006:$W$1006,0)), HYPERLINK("#",""), HYPERLINK(CONCATENATE("#Metadata!", ADDRESS(INDEX($M$2:$M$1001,MATCH(ROWS($K$2:K161),$K$2:$K$1001,0),0), INDEX($R$1004:$W$1004,1,MATCH(COLUMNS($R$1006:W1006),$R$1006:$W$1006,0)))),"Fix")))</f>
        <v>0</v>
      </c>
      <c r="K161">
        <v>0</v>
      </c>
      <c r="L161">
        <v>0</v>
      </c>
      <c r="M161">
        <v>0</v>
      </c>
      <c r="N161">
        <f>IF(O161,TRUE,AND(R161:W161))</f>
        <v>0</v>
      </c>
      <c r="O161">
        <f>COUNTBLANK(Metadata!B161:G161)=COLUMNS(Metadata!B161:G161)</f>
        <v>0</v>
      </c>
      <c r="P161">
        <v>0</v>
      </c>
      <c r="R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S161">
        <f>IF(Metadata!C161="",FALSE,TRUE)</f>
        <v>0</v>
      </c>
      <c r="T161">
        <f>IF(Metadata!D161="",FALSE,TRUE)</f>
        <v>0</v>
      </c>
      <c r="U161">
        <f>IF(Metadata!E161="",FALSE,TRUE)</f>
        <v>0</v>
      </c>
      <c r="V161">
        <f>AND(IF(Metadata!F161="",FALSE,TRUE),exact(Metadata!F161,"rat gut metagenome"))</f>
        <v>0</v>
      </c>
      <c r="W161">
        <f>AND(IF(Metadata!G161="",FALSE,TRUE),exact(Metadata!G161,"1436733"))</f>
        <v>0</v>
      </c>
    </row>
    <row r="162" spans="1:23">
      <c r="A162" s="4">
        <f>IF(B162=" "," ",HYPERLINK(CONCATENATE("#metadata!",ADDRESS(INDEX($M$2:$M$1001,MATCH(ROWS($K$2:K162),$K$2:$K$1001,0),0),1)),INDEX($P$2:$P$1001,MATCH(ROWS($K$2:K162),$K$2:$K$1001,0),0)))</f>
        <v>0</v>
      </c>
      <c r="B162" s="3">
        <f>IF(OR(INDEX($L$2:$L$1001,MATCH(ROWS($K$2:K162),$K$2:$K$1001,0),1)&gt;=100000,INDEX($R$1005:$W$1005,1,MATCH(COLUMNS($R$1006:R1006),$R$1006:$W$1006,0))&gt;=100000), " ",IF(INDEX($R$2:$W$1001,MATCH(ROWS($K$2:K162),$K$2:$K$1001,0),MATCH(COLUMNS($R$1006:R1006),$R$1006:$W$1006,0)), HYPERLINK("#",""), HYPERLINK(CONCATENATE("#Metadata!", ADDRESS(INDEX($M$2:$M$1001,MATCH(ROWS($K$2:K162),$K$2:$K$1001,0),0), INDEX($R$1004:$W$1004,1,MATCH(COLUMNS($R$1006:R1006),$R$1006:$W$1006,0)))),"Fix")))</f>
        <v>0</v>
      </c>
      <c r="C162" s="3">
        <f>IF(OR(INDEX($L$2:$L$1001,MATCH(ROWS($K$2:K162),$K$2:$K$1001,0),1)&gt;=100000,INDEX($R$1005:$W$1005,1,MATCH(COLUMNS($R$1006:S1006),$R$1006:$W$1006,0))&gt;=100000), " ",IF(INDEX($R$2:$W$1001,MATCH(ROWS($K$2:K162),$K$2:$K$1001,0),MATCH(COLUMNS($R$1006:S1006),$R$1006:$W$1006,0)), HYPERLINK("#",""), HYPERLINK(CONCATENATE("#Metadata!", ADDRESS(INDEX($M$2:$M$1001,MATCH(ROWS($K$2:K162),$K$2:$K$1001,0),0), INDEX($R$1004:$W$1004,1,MATCH(COLUMNS($R$1006:S1006),$R$1006:$W$1006,0)))),"Fix")))</f>
        <v>0</v>
      </c>
      <c r="D162" s="3">
        <f>IF(OR(INDEX($L$2:$L$1001,MATCH(ROWS($K$2:K162),$K$2:$K$1001,0),1)&gt;=100000,INDEX($R$1005:$W$1005,1,MATCH(COLUMNS($R$1006:T1006),$R$1006:$W$1006,0))&gt;=100000), " ",IF(INDEX($R$2:$W$1001,MATCH(ROWS($K$2:K162),$K$2:$K$1001,0),MATCH(COLUMNS($R$1006:T1006),$R$1006:$W$1006,0)), HYPERLINK("#",""), HYPERLINK(CONCATENATE("#Metadata!", ADDRESS(INDEX($M$2:$M$1001,MATCH(ROWS($K$2:K162),$K$2:$K$1001,0),0), INDEX($R$1004:$W$1004,1,MATCH(COLUMNS($R$1006:T1006),$R$1006:$W$1006,0)))),"Fix")))</f>
        <v>0</v>
      </c>
      <c r="E162" s="3">
        <f>IF(OR(INDEX($L$2:$L$1001,MATCH(ROWS($K$2:K162),$K$2:$K$1001,0),1)&gt;=100000,INDEX($R$1005:$W$1005,1,MATCH(COLUMNS($R$1006:U1006),$R$1006:$W$1006,0))&gt;=100000), " ",IF(INDEX($R$2:$W$1001,MATCH(ROWS($K$2:K162),$K$2:$K$1001,0),MATCH(COLUMNS($R$1006:U1006),$R$1006:$W$1006,0)), HYPERLINK("#",""), HYPERLINK(CONCATENATE("#Metadata!", ADDRESS(INDEX($M$2:$M$1001,MATCH(ROWS($K$2:K162),$K$2:$K$1001,0),0), INDEX($R$1004:$W$1004,1,MATCH(COLUMNS($R$1006:U1006),$R$1006:$W$1006,0)))),"Fix")))</f>
        <v>0</v>
      </c>
      <c r="F162" s="3">
        <f>IF(OR(INDEX($L$2:$L$1001,MATCH(ROWS($K$2:K162),$K$2:$K$1001,0),1)&gt;=100000,INDEX($R$1005:$W$1005,1,MATCH(COLUMNS($R$1006:V1006),$R$1006:$W$1006,0))&gt;=100000), " ",IF(INDEX($R$2:$W$1001,MATCH(ROWS($K$2:K162),$K$2:$K$1001,0),MATCH(COLUMNS($R$1006:V1006),$R$1006:$W$1006,0)), HYPERLINK("#",""), HYPERLINK(CONCATENATE("#Metadata!", ADDRESS(INDEX($M$2:$M$1001,MATCH(ROWS($K$2:K162),$K$2:$K$1001,0),0), INDEX($R$1004:$W$1004,1,MATCH(COLUMNS($R$1006:V1006),$R$1006:$W$1006,0)))),"Fix")))</f>
        <v>0</v>
      </c>
      <c r="G162" s="3">
        <f>IF(OR(INDEX($L$2:$L$1001,MATCH(ROWS($K$2:K162),$K$2:$K$1001,0),1)&gt;=100000,INDEX($R$1005:$W$1005,1,MATCH(COLUMNS($R$1006:W1006),$R$1006:$W$1006,0))&gt;=100000), " ",IF(INDEX($R$2:$W$1001,MATCH(ROWS($K$2:K162),$K$2:$K$1001,0),MATCH(COLUMNS($R$1006:W1006),$R$1006:$W$1006,0)), HYPERLINK("#",""), HYPERLINK(CONCATENATE("#Metadata!", ADDRESS(INDEX($M$2:$M$1001,MATCH(ROWS($K$2:K162),$K$2:$K$1001,0),0), INDEX($R$1004:$W$1004,1,MATCH(COLUMNS($R$1006:W1006),$R$1006:$W$1006,0)))),"Fix")))</f>
        <v>0</v>
      </c>
      <c r="K162">
        <v>0</v>
      </c>
      <c r="L162">
        <v>0</v>
      </c>
      <c r="M162">
        <v>0</v>
      </c>
      <c r="N162">
        <f>IF(O162,TRUE,AND(R162:W162))</f>
        <v>0</v>
      </c>
      <c r="O162">
        <f>COUNTBLANK(Metadata!B162:G162)=COLUMNS(Metadata!B162:G162)</f>
        <v>0</v>
      </c>
      <c r="P162">
        <v>0</v>
      </c>
      <c r="R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S162">
        <f>IF(Metadata!C162="",FALSE,TRUE)</f>
        <v>0</v>
      </c>
      <c r="T162">
        <f>IF(Metadata!D162="",FALSE,TRUE)</f>
        <v>0</v>
      </c>
      <c r="U162">
        <f>IF(Metadata!E162="",FALSE,TRUE)</f>
        <v>0</v>
      </c>
      <c r="V162">
        <f>AND(IF(Metadata!F162="",FALSE,TRUE),exact(Metadata!F162,"rat gut metagenome"))</f>
        <v>0</v>
      </c>
      <c r="W162">
        <f>AND(IF(Metadata!G162="",FALSE,TRUE),exact(Metadata!G162,"1436733"))</f>
        <v>0</v>
      </c>
    </row>
    <row r="163" spans="1:23">
      <c r="A163" s="4">
        <f>IF(B163=" "," ",HYPERLINK(CONCATENATE("#metadata!",ADDRESS(INDEX($M$2:$M$1001,MATCH(ROWS($K$2:K163),$K$2:$K$1001,0),0),1)),INDEX($P$2:$P$1001,MATCH(ROWS($K$2:K163),$K$2:$K$1001,0),0)))</f>
        <v>0</v>
      </c>
      <c r="B163" s="3">
        <f>IF(OR(INDEX($L$2:$L$1001,MATCH(ROWS($K$2:K163),$K$2:$K$1001,0),1)&gt;=100000,INDEX($R$1005:$W$1005,1,MATCH(COLUMNS($R$1006:R1006),$R$1006:$W$1006,0))&gt;=100000), " ",IF(INDEX($R$2:$W$1001,MATCH(ROWS($K$2:K163),$K$2:$K$1001,0),MATCH(COLUMNS($R$1006:R1006),$R$1006:$W$1006,0)), HYPERLINK("#",""), HYPERLINK(CONCATENATE("#Metadata!", ADDRESS(INDEX($M$2:$M$1001,MATCH(ROWS($K$2:K163),$K$2:$K$1001,0),0), INDEX($R$1004:$W$1004,1,MATCH(COLUMNS($R$1006:R1006),$R$1006:$W$1006,0)))),"Fix")))</f>
        <v>0</v>
      </c>
      <c r="C163" s="3">
        <f>IF(OR(INDEX($L$2:$L$1001,MATCH(ROWS($K$2:K163),$K$2:$K$1001,0),1)&gt;=100000,INDEX($R$1005:$W$1005,1,MATCH(COLUMNS($R$1006:S1006),$R$1006:$W$1006,0))&gt;=100000), " ",IF(INDEX($R$2:$W$1001,MATCH(ROWS($K$2:K163),$K$2:$K$1001,0),MATCH(COLUMNS($R$1006:S1006),$R$1006:$W$1006,0)), HYPERLINK("#",""), HYPERLINK(CONCATENATE("#Metadata!", ADDRESS(INDEX($M$2:$M$1001,MATCH(ROWS($K$2:K163),$K$2:$K$1001,0),0), INDEX($R$1004:$W$1004,1,MATCH(COLUMNS($R$1006:S1006),$R$1006:$W$1006,0)))),"Fix")))</f>
        <v>0</v>
      </c>
      <c r="D163" s="3">
        <f>IF(OR(INDEX($L$2:$L$1001,MATCH(ROWS($K$2:K163),$K$2:$K$1001,0),1)&gt;=100000,INDEX($R$1005:$W$1005,1,MATCH(COLUMNS($R$1006:T1006),$R$1006:$W$1006,0))&gt;=100000), " ",IF(INDEX($R$2:$W$1001,MATCH(ROWS($K$2:K163),$K$2:$K$1001,0),MATCH(COLUMNS($R$1006:T1006),$R$1006:$W$1006,0)), HYPERLINK("#",""), HYPERLINK(CONCATENATE("#Metadata!", ADDRESS(INDEX($M$2:$M$1001,MATCH(ROWS($K$2:K163),$K$2:$K$1001,0),0), INDEX($R$1004:$W$1004,1,MATCH(COLUMNS($R$1006:T1006),$R$1006:$W$1006,0)))),"Fix")))</f>
        <v>0</v>
      </c>
      <c r="E163" s="3">
        <f>IF(OR(INDEX($L$2:$L$1001,MATCH(ROWS($K$2:K163),$K$2:$K$1001,0),1)&gt;=100000,INDEX($R$1005:$W$1005,1,MATCH(COLUMNS($R$1006:U1006),$R$1006:$W$1006,0))&gt;=100000), " ",IF(INDEX($R$2:$W$1001,MATCH(ROWS($K$2:K163),$K$2:$K$1001,0),MATCH(COLUMNS($R$1006:U1006),$R$1006:$W$1006,0)), HYPERLINK("#",""), HYPERLINK(CONCATENATE("#Metadata!", ADDRESS(INDEX($M$2:$M$1001,MATCH(ROWS($K$2:K163),$K$2:$K$1001,0),0), INDEX($R$1004:$W$1004,1,MATCH(COLUMNS($R$1006:U1006),$R$1006:$W$1006,0)))),"Fix")))</f>
        <v>0</v>
      </c>
      <c r="F163" s="3">
        <f>IF(OR(INDEX($L$2:$L$1001,MATCH(ROWS($K$2:K163),$K$2:$K$1001,0),1)&gt;=100000,INDEX($R$1005:$W$1005,1,MATCH(COLUMNS($R$1006:V1006),$R$1006:$W$1006,0))&gt;=100000), " ",IF(INDEX($R$2:$W$1001,MATCH(ROWS($K$2:K163),$K$2:$K$1001,0),MATCH(COLUMNS($R$1006:V1006),$R$1006:$W$1006,0)), HYPERLINK("#",""), HYPERLINK(CONCATENATE("#Metadata!", ADDRESS(INDEX($M$2:$M$1001,MATCH(ROWS($K$2:K163),$K$2:$K$1001,0),0), INDEX($R$1004:$W$1004,1,MATCH(COLUMNS($R$1006:V1006),$R$1006:$W$1006,0)))),"Fix")))</f>
        <v>0</v>
      </c>
      <c r="G163" s="3">
        <f>IF(OR(INDEX($L$2:$L$1001,MATCH(ROWS($K$2:K163),$K$2:$K$1001,0),1)&gt;=100000,INDEX($R$1005:$W$1005,1,MATCH(COLUMNS($R$1006:W1006),$R$1006:$W$1006,0))&gt;=100000), " ",IF(INDEX($R$2:$W$1001,MATCH(ROWS($K$2:K163),$K$2:$K$1001,0),MATCH(COLUMNS($R$1006:W1006),$R$1006:$W$1006,0)), HYPERLINK("#",""), HYPERLINK(CONCATENATE("#Metadata!", ADDRESS(INDEX($M$2:$M$1001,MATCH(ROWS($K$2:K163),$K$2:$K$1001,0),0), INDEX($R$1004:$W$1004,1,MATCH(COLUMNS($R$1006:W1006),$R$1006:$W$1006,0)))),"Fix")))</f>
        <v>0</v>
      </c>
      <c r="K163">
        <v>0</v>
      </c>
      <c r="L163">
        <v>0</v>
      </c>
      <c r="M163">
        <v>0</v>
      </c>
      <c r="N163">
        <f>IF(O163,TRUE,AND(R163:W163))</f>
        <v>0</v>
      </c>
      <c r="O163">
        <f>COUNTBLANK(Metadata!B163:G163)=COLUMNS(Metadata!B163:G163)</f>
        <v>0</v>
      </c>
      <c r="P163">
        <v>0</v>
      </c>
      <c r="R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S163">
        <f>IF(Metadata!C163="",FALSE,TRUE)</f>
        <v>0</v>
      </c>
      <c r="T163">
        <f>IF(Metadata!D163="",FALSE,TRUE)</f>
        <v>0</v>
      </c>
      <c r="U163">
        <f>IF(Metadata!E163="",FALSE,TRUE)</f>
        <v>0</v>
      </c>
      <c r="V163">
        <f>AND(IF(Metadata!F163="",FALSE,TRUE),exact(Metadata!F163,"rat gut metagenome"))</f>
        <v>0</v>
      </c>
      <c r="W163">
        <f>AND(IF(Metadata!G163="",FALSE,TRUE),exact(Metadata!G163,"1436733"))</f>
        <v>0</v>
      </c>
    </row>
    <row r="164" spans="1:23">
      <c r="A164" s="4">
        <f>IF(B164=" "," ",HYPERLINK(CONCATENATE("#metadata!",ADDRESS(INDEX($M$2:$M$1001,MATCH(ROWS($K$2:K164),$K$2:$K$1001,0),0),1)),INDEX($P$2:$P$1001,MATCH(ROWS($K$2:K164),$K$2:$K$1001,0),0)))</f>
        <v>0</v>
      </c>
      <c r="B164" s="3">
        <f>IF(OR(INDEX($L$2:$L$1001,MATCH(ROWS($K$2:K164),$K$2:$K$1001,0),1)&gt;=100000,INDEX($R$1005:$W$1005,1,MATCH(COLUMNS($R$1006:R1006),$R$1006:$W$1006,0))&gt;=100000), " ",IF(INDEX($R$2:$W$1001,MATCH(ROWS($K$2:K164),$K$2:$K$1001,0),MATCH(COLUMNS($R$1006:R1006),$R$1006:$W$1006,0)), HYPERLINK("#",""), HYPERLINK(CONCATENATE("#Metadata!", ADDRESS(INDEX($M$2:$M$1001,MATCH(ROWS($K$2:K164),$K$2:$K$1001,0),0), INDEX($R$1004:$W$1004,1,MATCH(COLUMNS($R$1006:R1006),$R$1006:$W$1006,0)))),"Fix")))</f>
        <v>0</v>
      </c>
      <c r="C164" s="3">
        <f>IF(OR(INDEX($L$2:$L$1001,MATCH(ROWS($K$2:K164),$K$2:$K$1001,0),1)&gt;=100000,INDEX($R$1005:$W$1005,1,MATCH(COLUMNS($R$1006:S1006),$R$1006:$W$1006,0))&gt;=100000), " ",IF(INDEX($R$2:$W$1001,MATCH(ROWS($K$2:K164),$K$2:$K$1001,0),MATCH(COLUMNS($R$1006:S1006),$R$1006:$W$1006,0)), HYPERLINK("#",""), HYPERLINK(CONCATENATE("#Metadata!", ADDRESS(INDEX($M$2:$M$1001,MATCH(ROWS($K$2:K164),$K$2:$K$1001,0),0), INDEX($R$1004:$W$1004,1,MATCH(COLUMNS($R$1006:S1006),$R$1006:$W$1006,0)))),"Fix")))</f>
        <v>0</v>
      </c>
      <c r="D164" s="3">
        <f>IF(OR(INDEX($L$2:$L$1001,MATCH(ROWS($K$2:K164),$K$2:$K$1001,0),1)&gt;=100000,INDEX($R$1005:$W$1005,1,MATCH(COLUMNS($R$1006:T1006),$R$1006:$W$1006,0))&gt;=100000), " ",IF(INDEX($R$2:$W$1001,MATCH(ROWS($K$2:K164),$K$2:$K$1001,0),MATCH(COLUMNS($R$1006:T1006),$R$1006:$W$1006,0)), HYPERLINK("#",""), HYPERLINK(CONCATENATE("#Metadata!", ADDRESS(INDEX($M$2:$M$1001,MATCH(ROWS($K$2:K164),$K$2:$K$1001,0),0), INDEX($R$1004:$W$1004,1,MATCH(COLUMNS($R$1006:T1006),$R$1006:$W$1006,0)))),"Fix")))</f>
        <v>0</v>
      </c>
      <c r="E164" s="3">
        <f>IF(OR(INDEX($L$2:$L$1001,MATCH(ROWS($K$2:K164),$K$2:$K$1001,0),1)&gt;=100000,INDEX($R$1005:$W$1005,1,MATCH(COLUMNS($R$1006:U1006),$R$1006:$W$1006,0))&gt;=100000), " ",IF(INDEX($R$2:$W$1001,MATCH(ROWS($K$2:K164),$K$2:$K$1001,0),MATCH(COLUMNS($R$1006:U1006),$R$1006:$W$1006,0)), HYPERLINK("#",""), HYPERLINK(CONCATENATE("#Metadata!", ADDRESS(INDEX($M$2:$M$1001,MATCH(ROWS($K$2:K164),$K$2:$K$1001,0),0), INDEX($R$1004:$W$1004,1,MATCH(COLUMNS($R$1006:U1006),$R$1006:$W$1006,0)))),"Fix")))</f>
        <v>0</v>
      </c>
      <c r="F164" s="3">
        <f>IF(OR(INDEX($L$2:$L$1001,MATCH(ROWS($K$2:K164),$K$2:$K$1001,0),1)&gt;=100000,INDEX($R$1005:$W$1005,1,MATCH(COLUMNS($R$1006:V1006),$R$1006:$W$1006,0))&gt;=100000), " ",IF(INDEX($R$2:$W$1001,MATCH(ROWS($K$2:K164),$K$2:$K$1001,0),MATCH(COLUMNS($R$1006:V1006),$R$1006:$W$1006,0)), HYPERLINK("#",""), HYPERLINK(CONCATENATE("#Metadata!", ADDRESS(INDEX($M$2:$M$1001,MATCH(ROWS($K$2:K164),$K$2:$K$1001,0),0), INDEX($R$1004:$W$1004,1,MATCH(COLUMNS($R$1006:V1006),$R$1006:$W$1006,0)))),"Fix")))</f>
        <v>0</v>
      </c>
      <c r="G164" s="3">
        <f>IF(OR(INDEX($L$2:$L$1001,MATCH(ROWS($K$2:K164),$K$2:$K$1001,0),1)&gt;=100000,INDEX($R$1005:$W$1005,1,MATCH(COLUMNS($R$1006:W1006),$R$1006:$W$1006,0))&gt;=100000), " ",IF(INDEX($R$2:$W$1001,MATCH(ROWS($K$2:K164),$K$2:$K$1001,0),MATCH(COLUMNS($R$1006:W1006),$R$1006:$W$1006,0)), HYPERLINK("#",""), HYPERLINK(CONCATENATE("#Metadata!", ADDRESS(INDEX($M$2:$M$1001,MATCH(ROWS($K$2:K164),$K$2:$K$1001,0),0), INDEX($R$1004:$W$1004,1,MATCH(COLUMNS($R$1006:W1006),$R$1006:$W$1006,0)))),"Fix")))</f>
        <v>0</v>
      </c>
      <c r="K164">
        <v>0</v>
      </c>
      <c r="L164">
        <v>0</v>
      </c>
      <c r="M164">
        <v>0</v>
      </c>
      <c r="N164">
        <f>IF(O164,TRUE,AND(R164:W164))</f>
        <v>0</v>
      </c>
      <c r="O164">
        <f>COUNTBLANK(Metadata!B164:G164)=COLUMNS(Metadata!B164:G164)</f>
        <v>0</v>
      </c>
      <c r="P164">
        <v>0</v>
      </c>
      <c r="R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S164">
        <f>IF(Metadata!C164="",FALSE,TRUE)</f>
        <v>0</v>
      </c>
      <c r="T164">
        <f>IF(Metadata!D164="",FALSE,TRUE)</f>
        <v>0</v>
      </c>
      <c r="U164">
        <f>IF(Metadata!E164="",FALSE,TRUE)</f>
        <v>0</v>
      </c>
      <c r="V164">
        <f>AND(IF(Metadata!F164="",FALSE,TRUE),exact(Metadata!F164,"rat gut metagenome"))</f>
        <v>0</v>
      </c>
      <c r="W164">
        <f>AND(IF(Metadata!G164="",FALSE,TRUE),exact(Metadata!G164,"1436733"))</f>
        <v>0</v>
      </c>
    </row>
    <row r="165" spans="1:23">
      <c r="A165" s="4">
        <f>IF(B165=" "," ",HYPERLINK(CONCATENATE("#metadata!",ADDRESS(INDEX($M$2:$M$1001,MATCH(ROWS($K$2:K165),$K$2:$K$1001,0),0),1)),INDEX($P$2:$P$1001,MATCH(ROWS($K$2:K165),$K$2:$K$1001,0),0)))</f>
        <v>0</v>
      </c>
      <c r="B165" s="3">
        <f>IF(OR(INDEX($L$2:$L$1001,MATCH(ROWS($K$2:K165),$K$2:$K$1001,0),1)&gt;=100000,INDEX($R$1005:$W$1005,1,MATCH(COLUMNS($R$1006:R1006),$R$1006:$W$1006,0))&gt;=100000), " ",IF(INDEX($R$2:$W$1001,MATCH(ROWS($K$2:K165),$K$2:$K$1001,0),MATCH(COLUMNS($R$1006:R1006),$R$1006:$W$1006,0)), HYPERLINK("#",""), HYPERLINK(CONCATENATE("#Metadata!", ADDRESS(INDEX($M$2:$M$1001,MATCH(ROWS($K$2:K165),$K$2:$K$1001,0),0), INDEX($R$1004:$W$1004,1,MATCH(COLUMNS($R$1006:R1006),$R$1006:$W$1006,0)))),"Fix")))</f>
        <v>0</v>
      </c>
      <c r="C165" s="3">
        <f>IF(OR(INDEX($L$2:$L$1001,MATCH(ROWS($K$2:K165),$K$2:$K$1001,0),1)&gt;=100000,INDEX($R$1005:$W$1005,1,MATCH(COLUMNS($R$1006:S1006),$R$1006:$W$1006,0))&gt;=100000), " ",IF(INDEX($R$2:$W$1001,MATCH(ROWS($K$2:K165),$K$2:$K$1001,0),MATCH(COLUMNS($R$1006:S1006),$R$1006:$W$1006,0)), HYPERLINK("#",""), HYPERLINK(CONCATENATE("#Metadata!", ADDRESS(INDEX($M$2:$M$1001,MATCH(ROWS($K$2:K165),$K$2:$K$1001,0),0), INDEX($R$1004:$W$1004,1,MATCH(COLUMNS($R$1006:S1006),$R$1006:$W$1006,0)))),"Fix")))</f>
        <v>0</v>
      </c>
      <c r="D165" s="3">
        <f>IF(OR(INDEX($L$2:$L$1001,MATCH(ROWS($K$2:K165),$K$2:$K$1001,0),1)&gt;=100000,INDEX($R$1005:$W$1005,1,MATCH(COLUMNS($R$1006:T1006),$R$1006:$W$1006,0))&gt;=100000), " ",IF(INDEX($R$2:$W$1001,MATCH(ROWS($K$2:K165),$K$2:$K$1001,0),MATCH(COLUMNS($R$1006:T1006),$R$1006:$W$1006,0)), HYPERLINK("#",""), HYPERLINK(CONCATENATE("#Metadata!", ADDRESS(INDEX($M$2:$M$1001,MATCH(ROWS($K$2:K165),$K$2:$K$1001,0),0), INDEX($R$1004:$W$1004,1,MATCH(COLUMNS($R$1006:T1006),$R$1006:$W$1006,0)))),"Fix")))</f>
        <v>0</v>
      </c>
      <c r="E165" s="3">
        <f>IF(OR(INDEX($L$2:$L$1001,MATCH(ROWS($K$2:K165),$K$2:$K$1001,0),1)&gt;=100000,INDEX($R$1005:$W$1005,1,MATCH(COLUMNS($R$1006:U1006),$R$1006:$W$1006,0))&gt;=100000), " ",IF(INDEX($R$2:$W$1001,MATCH(ROWS($K$2:K165),$K$2:$K$1001,0),MATCH(COLUMNS($R$1006:U1006),$R$1006:$W$1006,0)), HYPERLINK("#",""), HYPERLINK(CONCATENATE("#Metadata!", ADDRESS(INDEX($M$2:$M$1001,MATCH(ROWS($K$2:K165),$K$2:$K$1001,0),0), INDEX($R$1004:$W$1004,1,MATCH(COLUMNS($R$1006:U1006),$R$1006:$W$1006,0)))),"Fix")))</f>
        <v>0</v>
      </c>
      <c r="F165" s="3">
        <f>IF(OR(INDEX($L$2:$L$1001,MATCH(ROWS($K$2:K165),$K$2:$K$1001,0),1)&gt;=100000,INDEX($R$1005:$W$1005,1,MATCH(COLUMNS($R$1006:V1006),$R$1006:$W$1006,0))&gt;=100000), " ",IF(INDEX($R$2:$W$1001,MATCH(ROWS($K$2:K165),$K$2:$K$1001,0),MATCH(COLUMNS($R$1006:V1006),$R$1006:$W$1006,0)), HYPERLINK("#",""), HYPERLINK(CONCATENATE("#Metadata!", ADDRESS(INDEX($M$2:$M$1001,MATCH(ROWS($K$2:K165),$K$2:$K$1001,0),0), INDEX($R$1004:$W$1004,1,MATCH(COLUMNS($R$1006:V1006),$R$1006:$W$1006,0)))),"Fix")))</f>
        <v>0</v>
      </c>
      <c r="G165" s="3">
        <f>IF(OR(INDEX($L$2:$L$1001,MATCH(ROWS($K$2:K165),$K$2:$K$1001,0),1)&gt;=100000,INDEX($R$1005:$W$1005,1,MATCH(COLUMNS($R$1006:W1006),$R$1006:$W$1006,0))&gt;=100000), " ",IF(INDEX($R$2:$W$1001,MATCH(ROWS($K$2:K165),$K$2:$K$1001,0),MATCH(COLUMNS($R$1006:W1006),$R$1006:$W$1006,0)), HYPERLINK("#",""), HYPERLINK(CONCATENATE("#Metadata!", ADDRESS(INDEX($M$2:$M$1001,MATCH(ROWS($K$2:K165),$K$2:$K$1001,0),0), INDEX($R$1004:$W$1004,1,MATCH(COLUMNS($R$1006:W1006),$R$1006:$W$1006,0)))),"Fix")))</f>
        <v>0</v>
      </c>
      <c r="K165">
        <v>0</v>
      </c>
      <c r="L165">
        <v>0</v>
      </c>
      <c r="M165">
        <v>0</v>
      </c>
      <c r="N165">
        <f>IF(O165,TRUE,AND(R165:W165))</f>
        <v>0</v>
      </c>
      <c r="O165">
        <f>COUNTBLANK(Metadata!B165:G165)=COLUMNS(Metadata!B165:G165)</f>
        <v>0</v>
      </c>
      <c r="P165">
        <v>0</v>
      </c>
      <c r="R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S165">
        <f>IF(Metadata!C165="",FALSE,TRUE)</f>
        <v>0</v>
      </c>
      <c r="T165">
        <f>IF(Metadata!D165="",FALSE,TRUE)</f>
        <v>0</v>
      </c>
      <c r="U165">
        <f>IF(Metadata!E165="",FALSE,TRUE)</f>
        <v>0</v>
      </c>
      <c r="V165">
        <f>AND(IF(Metadata!F165="",FALSE,TRUE),exact(Metadata!F165,"rat gut metagenome"))</f>
        <v>0</v>
      </c>
      <c r="W165">
        <f>AND(IF(Metadata!G165="",FALSE,TRUE),exact(Metadata!G165,"1436733"))</f>
        <v>0</v>
      </c>
    </row>
    <row r="166" spans="1:23">
      <c r="A166" s="4">
        <f>IF(B166=" "," ",HYPERLINK(CONCATENATE("#metadata!",ADDRESS(INDEX($M$2:$M$1001,MATCH(ROWS($K$2:K166),$K$2:$K$1001,0),0),1)),INDEX($P$2:$P$1001,MATCH(ROWS($K$2:K166),$K$2:$K$1001,0),0)))</f>
        <v>0</v>
      </c>
      <c r="B166" s="3">
        <f>IF(OR(INDEX($L$2:$L$1001,MATCH(ROWS($K$2:K166),$K$2:$K$1001,0),1)&gt;=100000,INDEX($R$1005:$W$1005,1,MATCH(COLUMNS($R$1006:R1006),$R$1006:$W$1006,0))&gt;=100000), " ",IF(INDEX($R$2:$W$1001,MATCH(ROWS($K$2:K166),$K$2:$K$1001,0),MATCH(COLUMNS($R$1006:R1006),$R$1006:$W$1006,0)), HYPERLINK("#",""), HYPERLINK(CONCATENATE("#Metadata!", ADDRESS(INDEX($M$2:$M$1001,MATCH(ROWS($K$2:K166),$K$2:$K$1001,0),0), INDEX($R$1004:$W$1004,1,MATCH(COLUMNS($R$1006:R1006),$R$1006:$W$1006,0)))),"Fix")))</f>
        <v>0</v>
      </c>
      <c r="C166" s="3">
        <f>IF(OR(INDEX($L$2:$L$1001,MATCH(ROWS($K$2:K166),$K$2:$K$1001,0),1)&gt;=100000,INDEX($R$1005:$W$1005,1,MATCH(COLUMNS($R$1006:S1006),$R$1006:$W$1006,0))&gt;=100000), " ",IF(INDEX($R$2:$W$1001,MATCH(ROWS($K$2:K166),$K$2:$K$1001,0),MATCH(COLUMNS($R$1006:S1006),$R$1006:$W$1006,0)), HYPERLINK("#",""), HYPERLINK(CONCATENATE("#Metadata!", ADDRESS(INDEX($M$2:$M$1001,MATCH(ROWS($K$2:K166),$K$2:$K$1001,0),0), INDEX($R$1004:$W$1004,1,MATCH(COLUMNS($R$1006:S1006),$R$1006:$W$1006,0)))),"Fix")))</f>
        <v>0</v>
      </c>
      <c r="D166" s="3">
        <f>IF(OR(INDEX($L$2:$L$1001,MATCH(ROWS($K$2:K166),$K$2:$K$1001,0),1)&gt;=100000,INDEX($R$1005:$W$1005,1,MATCH(COLUMNS($R$1006:T1006),$R$1006:$W$1006,0))&gt;=100000), " ",IF(INDEX($R$2:$W$1001,MATCH(ROWS($K$2:K166),$K$2:$K$1001,0),MATCH(COLUMNS($R$1006:T1006),$R$1006:$W$1006,0)), HYPERLINK("#",""), HYPERLINK(CONCATENATE("#Metadata!", ADDRESS(INDEX($M$2:$M$1001,MATCH(ROWS($K$2:K166),$K$2:$K$1001,0),0), INDEX($R$1004:$W$1004,1,MATCH(COLUMNS($R$1006:T1006),$R$1006:$W$1006,0)))),"Fix")))</f>
        <v>0</v>
      </c>
      <c r="E166" s="3">
        <f>IF(OR(INDEX($L$2:$L$1001,MATCH(ROWS($K$2:K166),$K$2:$K$1001,0),1)&gt;=100000,INDEX($R$1005:$W$1005,1,MATCH(COLUMNS($R$1006:U1006),$R$1006:$W$1006,0))&gt;=100000), " ",IF(INDEX($R$2:$W$1001,MATCH(ROWS($K$2:K166),$K$2:$K$1001,0),MATCH(COLUMNS($R$1006:U1006),$R$1006:$W$1006,0)), HYPERLINK("#",""), HYPERLINK(CONCATENATE("#Metadata!", ADDRESS(INDEX($M$2:$M$1001,MATCH(ROWS($K$2:K166),$K$2:$K$1001,0),0), INDEX($R$1004:$W$1004,1,MATCH(COLUMNS($R$1006:U1006),$R$1006:$W$1006,0)))),"Fix")))</f>
        <v>0</v>
      </c>
      <c r="F166" s="3">
        <f>IF(OR(INDEX($L$2:$L$1001,MATCH(ROWS($K$2:K166),$K$2:$K$1001,0),1)&gt;=100000,INDEX($R$1005:$W$1005,1,MATCH(COLUMNS($R$1006:V1006),$R$1006:$W$1006,0))&gt;=100000), " ",IF(INDEX($R$2:$W$1001,MATCH(ROWS($K$2:K166),$K$2:$K$1001,0),MATCH(COLUMNS($R$1006:V1006),$R$1006:$W$1006,0)), HYPERLINK("#",""), HYPERLINK(CONCATENATE("#Metadata!", ADDRESS(INDEX($M$2:$M$1001,MATCH(ROWS($K$2:K166),$K$2:$K$1001,0),0), INDEX($R$1004:$W$1004,1,MATCH(COLUMNS($R$1006:V1006),$R$1006:$W$1006,0)))),"Fix")))</f>
        <v>0</v>
      </c>
      <c r="G166" s="3">
        <f>IF(OR(INDEX($L$2:$L$1001,MATCH(ROWS($K$2:K166),$K$2:$K$1001,0),1)&gt;=100000,INDEX($R$1005:$W$1005,1,MATCH(COLUMNS($R$1006:W1006),$R$1006:$W$1006,0))&gt;=100000), " ",IF(INDEX($R$2:$W$1001,MATCH(ROWS($K$2:K166),$K$2:$K$1001,0),MATCH(COLUMNS($R$1006:W1006),$R$1006:$W$1006,0)), HYPERLINK("#",""), HYPERLINK(CONCATENATE("#Metadata!", ADDRESS(INDEX($M$2:$M$1001,MATCH(ROWS($K$2:K166),$K$2:$K$1001,0),0), INDEX($R$1004:$W$1004,1,MATCH(COLUMNS($R$1006:W1006),$R$1006:$W$1006,0)))),"Fix")))</f>
        <v>0</v>
      </c>
      <c r="K166">
        <v>0</v>
      </c>
      <c r="L166">
        <v>0</v>
      </c>
      <c r="M166">
        <v>0</v>
      </c>
      <c r="N166">
        <f>IF(O166,TRUE,AND(R166:W166))</f>
        <v>0</v>
      </c>
      <c r="O166">
        <f>COUNTBLANK(Metadata!B166:G166)=COLUMNS(Metadata!B166:G166)</f>
        <v>0</v>
      </c>
      <c r="P166">
        <v>0</v>
      </c>
      <c r="R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S166">
        <f>IF(Metadata!C166="",FALSE,TRUE)</f>
        <v>0</v>
      </c>
      <c r="T166">
        <f>IF(Metadata!D166="",FALSE,TRUE)</f>
        <v>0</v>
      </c>
      <c r="U166">
        <f>IF(Metadata!E166="",FALSE,TRUE)</f>
        <v>0</v>
      </c>
      <c r="V166">
        <f>AND(IF(Metadata!F166="",FALSE,TRUE),exact(Metadata!F166,"rat gut metagenome"))</f>
        <v>0</v>
      </c>
      <c r="W166">
        <f>AND(IF(Metadata!G166="",FALSE,TRUE),exact(Metadata!G166,"1436733"))</f>
        <v>0</v>
      </c>
    </row>
    <row r="167" spans="1:23">
      <c r="A167" s="4">
        <f>IF(B167=" "," ",HYPERLINK(CONCATENATE("#metadata!",ADDRESS(INDEX($M$2:$M$1001,MATCH(ROWS($K$2:K167),$K$2:$K$1001,0),0),1)),INDEX($P$2:$P$1001,MATCH(ROWS($K$2:K167),$K$2:$K$1001,0),0)))</f>
        <v>0</v>
      </c>
      <c r="B167" s="3">
        <f>IF(OR(INDEX($L$2:$L$1001,MATCH(ROWS($K$2:K167),$K$2:$K$1001,0),1)&gt;=100000,INDEX($R$1005:$W$1005,1,MATCH(COLUMNS($R$1006:R1006),$R$1006:$W$1006,0))&gt;=100000), " ",IF(INDEX($R$2:$W$1001,MATCH(ROWS($K$2:K167),$K$2:$K$1001,0),MATCH(COLUMNS($R$1006:R1006),$R$1006:$W$1006,0)), HYPERLINK("#",""), HYPERLINK(CONCATENATE("#Metadata!", ADDRESS(INDEX($M$2:$M$1001,MATCH(ROWS($K$2:K167),$K$2:$K$1001,0),0), INDEX($R$1004:$W$1004,1,MATCH(COLUMNS($R$1006:R1006),$R$1006:$W$1006,0)))),"Fix")))</f>
        <v>0</v>
      </c>
      <c r="C167" s="3">
        <f>IF(OR(INDEX($L$2:$L$1001,MATCH(ROWS($K$2:K167),$K$2:$K$1001,0),1)&gt;=100000,INDEX($R$1005:$W$1005,1,MATCH(COLUMNS($R$1006:S1006),$R$1006:$W$1006,0))&gt;=100000), " ",IF(INDEX($R$2:$W$1001,MATCH(ROWS($K$2:K167),$K$2:$K$1001,0),MATCH(COLUMNS($R$1006:S1006),$R$1006:$W$1006,0)), HYPERLINK("#",""), HYPERLINK(CONCATENATE("#Metadata!", ADDRESS(INDEX($M$2:$M$1001,MATCH(ROWS($K$2:K167),$K$2:$K$1001,0),0), INDEX($R$1004:$W$1004,1,MATCH(COLUMNS($R$1006:S1006),$R$1006:$W$1006,0)))),"Fix")))</f>
        <v>0</v>
      </c>
      <c r="D167" s="3">
        <f>IF(OR(INDEX($L$2:$L$1001,MATCH(ROWS($K$2:K167),$K$2:$K$1001,0),1)&gt;=100000,INDEX($R$1005:$W$1005,1,MATCH(COLUMNS($R$1006:T1006),$R$1006:$W$1006,0))&gt;=100000), " ",IF(INDEX($R$2:$W$1001,MATCH(ROWS($K$2:K167),$K$2:$K$1001,0),MATCH(COLUMNS($R$1006:T1006),$R$1006:$W$1006,0)), HYPERLINK("#",""), HYPERLINK(CONCATENATE("#Metadata!", ADDRESS(INDEX($M$2:$M$1001,MATCH(ROWS($K$2:K167),$K$2:$K$1001,0),0), INDEX($R$1004:$W$1004,1,MATCH(COLUMNS($R$1006:T1006),$R$1006:$W$1006,0)))),"Fix")))</f>
        <v>0</v>
      </c>
      <c r="E167" s="3">
        <f>IF(OR(INDEX($L$2:$L$1001,MATCH(ROWS($K$2:K167),$K$2:$K$1001,0),1)&gt;=100000,INDEX($R$1005:$W$1005,1,MATCH(COLUMNS($R$1006:U1006),$R$1006:$W$1006,0))&gt;=100000), " ",IF(INDEX($R$2:$W$1001,MATCH(ROWS($K$2:K167),$K$2:$K$1001,0),MATCH(COLUMNS($R$1006:U1006),$R$1006:$W$1006,0)), HYPERLINK("#",""), HYPERLINK(CONCATENATE("#Metadata!", ADDRESS(INDEX($M$2:$M$1001,MATCH(ROWS($K$2:K167),$K$2:$K$1001,0),0), INDEX($R$1004:$W$1004,1,MATCH(COLUMNS($R$1006:U1006),$R$1006:$W$1006,0)))),"Fix")))</f>
        <v>0</v>
      </c>
      <c r="F167" s="3">
        <f>IF(OR(INDEX($L$2:$L$1001,MATCH(ROWS($K$2:K167),$K$2:$K$1001,0),1)&gt;=100000,INDEX($R$1005:$W$1005,1,MATCH(COLUMNS($R$1006:V1006),$R$1006:$W$1006,0))&gt;=100000), " ",IF(INDEX($R$2:$W$1001,MATCH(ROWS($K$2:K167),$K$2:$K$1001,0),MATCH(COLUMNS($R$1006:V1006),$R$1006:$W$1006,0)), HYPERLINK("#",""), HYPERLINK(CONCATENATE("#Metadata!", ADDRESS(INDEX($M$2:$M$1001,MATCH(ROWS($K$2:K167),$K$2:$K$1001,0),0), INDEX($R$1004:$W$1004,1,MATCH(COLUMNS($R$1006:V1006),$R$1006:$W$1006,0)))),"Fix")))</f>
        <v>0</v>
      </c>
      <c r="G167" s="3">
        <f>IF(OR(INDEX($L$2:$L$1001,MATCH(ROWS($K$2:K167),$K$2:$K$1001,0),1)&gt;=100000,INDEX($R$1005:$W$1005,1,MATCH(COLUMNS($R$1006:W1006),$R$1006:$W$1006,0))&gt;=100000), " ",IF(INDEX($R$2:$W$1001,MATCH(ROWS($K$2:K167),$K$2:$K$1001,0),MATCH(COLUMNS($R$1006:W1006),$R$1006:$W$1006,0)), HYPERLINK("#",""), HYPERLINK(CONCATENATE("#Metadata!", ADDRESS(INDEX($M$2:$M$1001,MATCH(ROWS($K$2:K167),$K$2:$K$1001,0),0), INDEX($R$1004:$W$1004,1,MATCH(COLUMNS($R$1006:W1006),$R$1006:$W$1006,0)))),"Fix")))</f>
        <v>0</v>
      </c>
      <c r="K167">
        <v>0</v>
      </c>
      <c r="L167">
        <v>0</v>
      </c>
      <c r="M167">
        <v>0</v>
      </c>
      <c r="N167">
        <f>IF(O167,TRUE,AND(R167:W167))</f>
        <v>0</v>
      </c>
      <c r="O167">
        <f>COUNTBLANK(Metadata!B167:G167)=COLUMNS(Metadata!B167:G167)</f>
        <v>0</v>
      </c>
      <c r="P167">
        <v>0</v>
      </c>
      <c r="R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S167">
        <f>IF(Metadata!C167="",FALSE,TRUE)</f>
        <v>0</v>
      </c>
      <c r="T167">
        <f>IF(Metadata!D167="",FALSE,TRUE)</f>
        <v>0</v>
      </c>
      <c r="U167">
        <f>IF(Metadata!E167="",FALSE,TRUE)</f>
        <v>0</v>
      </c>
      <c r="V167">
        <f>AND(IF(Metadata!F167="",FALSE,TRUE),exact(Metadata!F167,"rat gut metagenome"))</f>
        <v>0</v>
      </c>
      <c r="W167">
        <f>AND(IF(Metadata!G167="",FALSE,TRUE),exact(Metadata!G167,"1436733"))</f>
        <v>0</v>
      </c>
    </row>
    <row r="168" spans="1:23">
      <c r="A168" s="4">
        <f>IF(B168=" "," ",HYPERLINK(CONCATENATE("#metadata!",ADDRESS(INDEX($M$2:$M$1001,MATCH(ROWS($K$2:K168),$K$2:$K$1001,0),0),1)),INDEX($P$2:$P$1001,MATCH(ROWS($K$2:K168),$K$2:$K$1001,0),0)))</f>
        <v>0</v>
      </c>
      <c r="B168" s="3">
        <f>IF(OR(INDEX($L$2:$L$1001,MATCH(ROWS($K$2:K168),$K$2:$K$1001,0),1)&gt;=100000,INDEX($R$1005:$W$1005,1,MATCH(COLUMNS($R$1006:R1006),$R$1006:$W$1006,0))&gt;=100000), " ",IF(INDEX($R$2:$W$1001,MATCH(ROWS($K$2:K168),$K$2:$K$1001,0),MATCH(COLUMNS($R$1006:R1006),$R$1006:$W$1006,0)), HYPERLINK("#",""), HYPERLINK(CONCATENATE("#Metadata!", ADDRESS(INDEX($M$2:$M$1001,MATCH(ROWS($K$2:K168),$K$2:$K$1001,0),0), INDEX($R$1004:$W$1004,1,MATCH(COLUMNS($R$1006:R1006),$R$1006:$W$1006,0)))),"Fix")))</f>
        <v>0</v>
      </c>
      <c r="C168" s="3">
        <f>IF(OR(INDEX($L$2:$L$1001,MATCH(ROWS($K$2:K168),$K$2:$K$1001,0),1)&gt;=100000,INDEX($R$1005:$W$1005,1,MATCH(COLUMNS($R$1006:S1006),$R$1006:$W$1006,0))&gt;=100000), " ",IF(INDEX($R$2:$W$1001,MATCH(ROWS($K$2:K168),$K$2:$K$1001,0),MATCH(COLUMNS($R$1006:S1006),$R$1006:$W$1006,0)), HYPERLINK("#",""), HYPERLINK(CONCATENATE("#Metadata!", ADDRESS(INDEX($M$2:$M$1001,MATCH(ROWS($K$2:K168),$K$2:$K$1001,0),0), INDEX($R$1004:$W$1004,1,MATCH(COLUMNS($R$1006:S1006),$R$1006:$W$1006,0)))),"Fix")))</f>
        <v>0</v>
      </c>
      <c r="D168" s="3">
        <f>IF(OR(INDEX($L$2:$L$1001,MATCH(ROWS($K$2:K168),$K$2:$K$1001,0),1)&gt;=100000,INDEX($R$1005:$W$1005,1,MATCH(COLUMNS($R$1006:T1006),$R$1006:$W$1006,0))&gt;=100000), " ",IF(INDEX($R$2:$W$1001,MATCH(ROWS($K$2:K168),$K$2:$K$1001,0),MATCH(COLUMNS($R$1006:T1006),$R$1006:$W$1006,0)), HYPERLINK("#",""), HYPERLINK(CONCATENATE("#Metadata!", ADDRESS(INDEX($M$2:$M$1001,MATCH(ROWS($K$2:K168),$K$2:$K$1001,0),0), INDEX($R$1004:$W$1004,1,MATCH(COLUMNS($R$1006:T1006),$R$1006:$W$1006,0)))),"Fix")))</f>
        <v>0</v>
      </c>
      <c r="E168" s="3">
        <f>IF(OR(INDEX($L$2:$L$1001,MATCH(ROWS($K$2:K168),$K$2:$K$1001,0),1)&gt;=100000,INDEX($R$1005:$W$1005,1,MATCH(COLUMNS($R$1006:U1006),$R$1006:$W$1006,0))&gt;=100000), " ",IF(INDEX($R$2:$W$1001,MATCH(ROWS($K$2:K168),$K$2:$K$1001,0),MATCH(COLUMNS($R$1006:U1006),$R$1006:$W$1006,0)), HYPERLINK("#",""), HYPERLINK(CONCATENATE("#Metadata!", ADDRESS(INDEX($M$2:$M$1001,MATCH(ROWS($K$2:K168),$K$2:$K$1001,0),0), INDEX($R$1004:$W$1004,1,MATCH(COLUMNS($R$1006:U1006),$R$1006:$W$1006,0)))),"Fix")))</f>
        <v>0</v>
      </c>
      <c r="F168" s="3">
        <f>IF(OR(INDEX($L$2:$L$1001,MATCH(ROWS($K$2:K168),$K$2:$K$1001,0),1)&gt;=100000,INDEX($R$1005:$W$1005,1,MATCH(COLUMNS($R$1006:V1006),$R$1006:$W$1006,0))&gt;=100000), " ",IF(INDEX($R$2:$W$1001,MATCH(ROWS($K$2:K168),$K$2:$K$1001,0),MATCH(COLUMNS($R$1006:V1006),$R$1006:$W$1006,0)), HYPERLINK("#",""), HYPERLINK(CONCATENATE("#Metadata!", ADDRESS(INDEX($M$2:$M$1001,MATCH(ROWS($K$2:K168),$K$2:$K$1001,0),0), INDEX($R$1004:$W$1004,1,MATCH(COLUMNS($R$1006:V1006),$R$1006:$W$1006,0)))),"Fix")))</f>
        <v>0</v>
      </c>
      <c r="G168" s="3">
        <f>IF(OR(INDEX($L$2:$L$1001,MATCH(ROWS($K$2:K168),$K$2:$K$1001,0),1)&gt;=100000,INDEX($R$1005:$W$1005,1,MATCH(COLUMNS($R$1006:W1006),$R$1006:$W$1006,0))&gt;=100000), " ",IF(INDEX($R$2:$W$1001,MATCH(ROWS($K$2:K168),$K$2:$K$1001,0),MATCH(COLUMNS($R$1006:W1006),$R$1006:$W$1006,0)), HYPERLINK("#",""), HYPERLINK(CONCATENATE("#Metadata!", ADDRESS(INDEX($M$2:$M$1001,MATCH(ROWS($K$2:K168),$K$2:$K$1001,0),0), INDEX($R$1004:$W$1004,1,MATCH(COLUMNS($R$1006:W1006),$R$1006:$W$1006,0)))),"Fix")))</f>
        <v>0</v>
      </c>
      <c r="K168">
        <v>0</v>
      </c>
      <c r="L168">
        <v>0</v>
      </c>
      <c r="M168">
        <v>0</v>
      </c>
      <c r="N168">
        <f>IF(O168,TRUE,AND(R168:W168))</f>
        <v>0</v>
      </c>
      <c r="O168">
        <f>COUNTBLANK(Metadata!B168:G168)=COLUMNS(Metadata!B168:G168)</f>
        <v>0</v>
      </c>
      <c r="P168">
        <v>0</v>
      </c>
      <c r="R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S168">
        <f>IF(Metadata!C168="",FALSE,TRUE)</f>
        <v>0</v>
      </c>
      <c r="T168">
        <f>IF(Metadata!D168="",FALSE,TRUE)</f>
        <v>0</v>
      </c>
      <c r="U168">
        <f>IF(Metadata!E168="",FALSE,TRUE)</f>
        <v>0</v>
      </c>
      <c r="V168">
        <f>AND(IF(Metadata!F168="",FALSE,TRUE),exact(Metadata!F168,"rat gut metagenome"))</f>
        <v>0</v>
      </c>
      <c r="W168">
        <f>AND(IF(Metadata!G168="",FALSE,TRUE),exact(Metadata!G168,"1436733"))</f>
        <v>0</v>
      </c>
    </row>
    <row r="169" spans="1:23">
      <c r="A169" s="4">
        <f>IF(B169=" "," ",HYPERLINK(CONCATENATE("#metadata!",ADDRESS(INDEX($M$2:$M$1001,MATCH(ROWS($K$2:K169),$K$2:$K$1001,0),0),1)),INDEX($P$2:$P$1001,MATCH(ROWS($K$2:K169),$K$2:$K$1001,0),0)))</f>
        <v>0</v>
      </c>
      <c r="B169" s="3">
        <f>IF(OR(INDEX($L$2:$L$1001,MATCH(ROWS($K$2:K169),$K$2:$K$1001,0),1)&gt;=100000,INDEX($R$1005:$W$1005,1,MATCH(COLUMNS($R$1006:R1006),$R$1006:$W$1006,0))&gt;=100000), " ",IF(INDEX($R$2:$W$1001,MATCH(ROWS($K$2:K169),$K$2:$K$1001,0),MATCH(COLUMNS($R$1006:R1006),$R$1006:$W$1006,0)), HYPERLINK("#",""), HYPERLINK(CONCATENATE("#Metadata!", ADDRESS(INDEX($M$2:$M$1001,MATCH(ROWS($K$2:K169),$K$2:$K$1001,0),0), INDEX($R$1004:$W$1004,1,MATCH(COLUMNS($R$1006:R1006),$R$1006:$W$1006,0)))),"Fix")))</f>
        <v>0</v>
      </c>
      <c r="C169" s="3">
        <f>IF(OR(INDEX($L$2:$L$1001,MATCH(ROWS($K$2:K169),$K$2:$K$1001,0),1)&gt;=100000,INDEX($R$1005:$W$1005,1,MATCH(COLUMNS($R$1006:S1006),$R$1006:$W$1006,0))&gt;=100000), " ",IF(INDEX($R$2:$W$1001,MATCH(ROWS($K$2:K169),$K$2:$K$1001,0),MATCH(COLUMNS($R$1006:S1006),$R$1006:$W$1006,0)), HYPERLINK("#",""), HYPERLINK(CONCATENATE("#Metadata!", ADDRESS(INDEX($M$2:$M$1001,MATCH(ROWS($K$2:K169),$K$2:$K$1001,0),0), INDEX($R$1004:$W$1004,1,MATCH(COLUMNS($R$1006:S1006),$R$1006:$W$1006,0)))),"Fix")))</f>
        <v>0</v>
      </c>
      <c r="D169" s="3">
        <f>IF(OR(INDEX($L$2:$L$1001,MATCH(ROWS($K$2:K169),$K$2:$K$1001,0),1)&gt;=100000,INDEX($R$1005:$W$1005,1,MATCH(COLUMNS($R$1006:T1006),$R$1006:$W$1006,0))&gt;=100000), " ",IF(INDEX($R$2:$W$1001,MATCH(ROWS($K$2:K169),$K$2:$K$1001,0),MATCH(COLUMNS($R$1006:T1006),$R$1006:$W$1006,0)), HYPERLINK("#",""), HYPERLINK(CONCATENATE("#Metadata!", ADDRESS(INDEX($M$2:$M$1001,MATCH(ROWS($K$2:K169),$K$2:$K$1001,0),0), INDEX($R$1004:$W$1004,1,MATCH(COLUMNS($R$1006:T1006),$R$1006:$W$1006,0)))),"Fix")))</f>
        <v>0</v>
      </c>
      <c r="E169" s="3">
        <f>IF(OR(INDEX($L$2:$L$1001,MATCH(ROWS($K$2:K169),$K$2:$K$1001,0),1)&gt;=100000,INDEX($R$1005:$W$1005,1,MATCH(COLUMNS($R$1006:U1006),$R$1006:$W$1006,0))&gt;=100000), " ",IF(INDEX($R$2:$W$1001,MATCH(ROWS($K$2:K169),$K$2:$K$1001,0),MATCH(COLUMNS($R$1006:U1006),$R$1006:$W$1006,0)), HYPERLINK("#",""), HYPERLINK(CONCATENATE("#Metadata!", ADDRESS(INDEX($M$2:$M$1001,MATCH(ROWS($K$2:K169),$K$2:$K$1001,0),0), INDEX($R$1004:$W$1004,1,MATCH(COLUMNS($R$1006:U1006),$R$1006:$W$1006,0)))),"Fix")))</f>
        <v>0</v>
      </c>
      <c r="F169" s="3">
        <f>IF(OR(INDEX($L$2:$L$1001,MATCH(ROWS($K$2:K169),$K$2:$K$1001,0),1)&gt;=100000,INDEX($R$1005:$W$1005,1,MATCH(COLUMNS($R$1006:V1006),$R$1006:$W$1006,0))&gt;=100000), " ",IF(INDEX($R$2:$W$1001,MATCH(ROWS($K$2:K169),$K$2:$K$1001,0),MATCH(COLUMNS($R$1006:V1006),$R$1006:$W$1006,0)), HYPERLINK("#",""), HYPERLINK(CONCATENATE("#Metadata!", ADDRESS(INDEX($M$2:$M$1001,MATCH(ROWS($K$2:K169),$K$2:$K$1001,0),0), INDEX($R$1004:$W$1004,1,MATCH(COLUMNS($R$1006:V1006),$R$1006:$W$1006,0)))),"Fix")))</f>
        <v>0</v>
      </c>
      <c r="G169" s="3">
        <f>IF(OR(INDEX($L$2:$L$1001,MATCH(ROWS($K$2:K169),$K$2:$K$1001,0),1)&gt;=100000,INDEX($R$1005:$W$1005,1,MATCH(COLUMNS($R$1006:W1006),$R$1006:$W$1006,0))&gt;=100000), " ",IF(INDEX($R$2:$W$1001,MATCH(ROWS($K$2:K169),$K$2:$K$1001,0),MATCH(COLUMNS($R$1006:W1006),$R$1006:$W$1006,0)), HYPERLINK("#",""), HYPERLINK(CONCATENATE("#Metadata!", ADDRESS(INDEX($M$2:$M$1001,MATCH(ROWS($K$2:K169),$K$2:$K$1001,0),0), INDEX($R$1004:$W$1004,1,MATCH(COLUMNS($R$1006:W1006),$R$1006:$W$1006,0)))),"Fix")))</f>
        <v>0</v>
      </c>
      <c r="K169">
        <v>0</v>
      </c>
      <c r="L169">
        <v>0</v>
      </c>
      <c r="M169">
        <v>0</v>
      </c>
      <c r="N169">
        <f>IF(O169,TRUE,AND(R169:W169))</f>
        <v>0</v>
      </c>
      <c r="O169">
        <f>COUNTBLANK(Metadata!B169:G169)=COLUMNS(Metadata!B169:G169)</f>
        <v>0</v>
      </c>
      <c r="P169">
        <v>0</v>
      </c>
      <c r="R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S169">
        <f>IF(Metadata!C169="",FALSE,TRUE)</f>
        <v>0</v>
      </c>
      <c r="T169">
        <f>IF(Metadata!D169="",FALSE,TRUE)</f>
        <v>0</v>
      </c>
      <c r="U169">
        <f>IF(Metadata!E169="",FALSE,TRUE)</f>
        <v>0</v>
      </c>
      <c r="V169">
        <f>AND(IF(Metadata!F169="",FALSE,TRUE),exact(Metadata!F169,"rat gut metagenome"))</f>
        <v>0</v>
      </c>
      <c r="W169">
        <f>AND(IF(Metadata!G169="",FALSE,TRUE),exact(Metadata!G169,"1436733"))</f>
        <v>0</v>
      </c>
    </row>
    <row r="170" spans="1:23">
      <c r="A170" s="4">
        <f>IF(B170=" "," ",HYPERLINK(CONCATENATE("#metadata!",ADDRESS(INDEX($M$2:$M$1001,MATCH(ROWS($K$2:K170),$K$2:$K$1001,0),0),1)),INDEX($P$2:$P$1001,MATCH(ROWS($K$2:K170),$K$2:$K$1001,0),0)))</f>
        <v>0</v>
      </c>
      <c r="B170" s="3">
        <f>IF(OR(INDEX($L$2:$L$1001,MATCH(ROWS($K$2:K170),$K$2:$K$1001,0),1)&gt;=100000,INDEX($R$1005:$W$1005,1,MATCH(COLUMNS($R$1006:R1006),$R$1006:$W$1006,0))&gt;=100000), " ",IF(INDEX($R$2:$W$1001,MATCH(ROWS($K$2:K170),$K$2:$K$1001,0),MATCH(COLUMNS($R$1006:R1006),$R$1006:$W$1006,0)), HYPERLINK("#",""), HYPERLINK(CONCATENATE("#Metadata!", ADDRESS(INDEX($M$2:$M$1001,MATCH(ROWS($K$2:K170),$K$2:$K$1001,0),0), INDEX($R$1004:$W$1004,1,MATCH(COLUMNS($R$1006:R1006),$R$1006:$W$1006,0)))),"Fix")))</f>
        <v>0</v>
      </c>
      <c r="C170" s="3">
        <f>IF(OR(INDEX($L$2:$L$1001,MATCH(ROWS($K$2:K170),$K$2:$K$1001,0),1)&gt;=100000,INDEX($R$1005:$W$1005,1,MATCH(COLUMNS($R$1006:S1006),$R$1006:$W$1006,0))&gt;=100000), " ",IF(INDEX($R$2:$W$1001,MATCH(ROWS($K$2:K170),$K$2:$K$1001,0),MATCH(COLUMNS($R$1006:S1006),$R$1006:$W$1006,0)), HYPERLINK("#",""), HYPERLINK(CONCATENATE("#Metadata!", ADDRESS(INDEX($M$2:$M$1001,MATCH(ROWS($K$2:K170),$K$2:$K$1001,0),0), INDEX($R$1004:$W$1004,1,MATCH(COLUMNS($R$1006:S1006),$R$1006:$W$1006,0)))),"Fix")))</f>
        <v>0</v>
      </c>
      <c r="D170" s="3">
        <f>IF(OR(INDEX($L$2:$L$1001,MATCH(ROWS($K$2:K170),$K$2:$K$1001,0),1)&gt;=100000,INDEX($R$1005:$W$1005,1,MATCH(COLUMNS($R$1006:T1006),$R$1006:$W$1006,0))&gt;=100000), " ",IF(INDEX($R$2:$W$1001,MATCH(ROWS($K$2:K170),$K$2:$K$1001,0),MATCH(COLUMNS($R$1006:T1006),$R$1006:$W$1006,0)), HYPERLINK("#",""), HYPERLINK(CONCATENATE("#Metadata!", ADDRESS(INDEX($M$2:$M$1001,MATCH(ROWS($K$2:K170),$K$2:$K$1001,0),0), INDEX($R$1004:$W$1004,1,MATCH(COLUMNS($R$1006:T1006),$R$1006:$W$1006,0)))),"Fix")))</f>
        <v>0</v>
      </c>
      <c r="E170" s="3">
        <f>IF(OR(INDEX($L$2:$L$1001,MATCH(ROWS($K$2:K170),$K$2:$K$1001,0),1)&gt;=100000,INDEX($R$1005:$W$1005,1,MATCH(COLUMNS($R$1006:U1006),$R$1006:$W$1006,0))&gt;=100000), " ",IF(INDEX($R$2:$W$1001,MATCH(ROWS($K$2:K170),$K$2:$K$1001,0),MATCH(COLUMNS($R$1006:U1006),$R$1006:$W$1006,0)), HYPERLINK("#",""), HYPERLINK(CONCATENATE("#Metadata!", ADDRESS(INDEX($M$2:$M$1001,MATCH(ROWS($K$2:K170),$K$2:$K$1001,0),0), INDEX($R$1004:$W$1004,1,MATCH(COLUMNS($R$1006:U1006),$R$1006:$W$1006,0)))),"Fix")))</f>
        <v>0</v>
      </c>
      <c r="F170" s="3">
        <f>IF(OR(INDEX($L$2:$L$1001,MATCH(ROWS($K$2:K170),$K$2:$K$1001,0),1)&gt;=100000,INDEX($R$1005:$W$1005,1,MATCH(COLUMNS($R$1006:V1006),$R$1006:$W$1006,0))&gt;=100000), " ",IF(INDEX($R$2:$W$1001,MATCH(ROWS($K$2:K170),$K$2:$K$1001,0),MATCH(COLUMNS($R$1006:V1006),$R$1006:$W$1006,0)), HYPERLINK("#",""), HYPERLINK(CONCATENATE("#Metadata!", ADDRESS(INDEX($M$2:$M$1001,MATCH(ROWS($K$2:K170),$K$2:$K$1001,0),0), INDEX($R$1004:$W$1004,1,MATCH(COLUMNS($R$1006:V1006),$R$1006:$W$1006,0)))),"Fix")))</f>
        <v>0</v>
      </c>
      <c r="G170" s="3">
        <f>IF(OR(INDEX($L$2:$L$1001,MATCH(ROWS($K$2:K170),$K$2:$K$1001,0),1)&gt;=100000,INDEX($R$1005:$W$1005,1,MATCH(COLUMNS($R$1006:W1006),$R$1006:$W$1006,0))&gt;=100000), " ",IF(INDEX($R$2:$W$1001,MATCH(ROWS($K$2:K170),$K$2:$K$1001,0),MATCH(COLUMNS($R$1006:W1006),$R$1006:$W$1006,0)), HYPERLINK("#",""), HYPERLINK(CONCATENATE("#Metadata!", ADDRESS(INDEX($M$2:$M$1001,MATCH(ROWS($K$2:K170),$K$2:$K$1001,0),0), INDEX($R$1004:$W$1004,1,MATCH(COLUMNS($R$1006:W1006),$R$1006:$W$1006,0)))),"Fix")))</f>
        <v>0</v>
      </c>
      <c r="K170">
        <v>0</v>
      </c>
      <c r="L170">
        <v>0</v>
      </c>
      <c r="M170">
        <v>0</v>
      </c>
      <c r="N170">
        <f>IF(O170,TRUE,AND(R170:W170))</f>
        <v>0</v>
      </c>
      <c r="O170">
        <f>COUNTBLANK(Metadata!B170:G170)=COLUMNS(Metadata!B170:G170)</f>
        <v>0</v>
      </c>
      <c r="P170">
        <v>0</v>
      </c>
      <c r="R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S170">
        <f>IF(Metadata!C170="",FALSE,TRUE)</f>
        <v>0</v>
      </c>
      <c r="T170">
        <f>IF(Metadata!D170="",FALSE,TRUE)</f>
        <v>0</v>
      </c>
      <c r="U170">
        <f>IF(Metadata!E170="",FALSE,TRUE)</f>
        <v>0</v>
      </c>
      <c r="V170">
        <f>AND(IF(Metadata!F170="",FALSE,TRUE),exact(Metadata!F170,"rat gut metagenome"))</f>
        <v>0</v>
      </c>
      <c r="W170">
        <f>AND(IF(Metadata!G170="",FALSE,TRUE),exact(Metadata!G170,"1436733"))</f>
        <v>0</v>
      </c>
    </row>
    <row r="171" spans="1:23">
      <c r="A171" s="4">
        <f>IF(B171=" "," ",HYPERLINK(CONCATENATE("#metadata!",ADDRESS(INDEX($M$2:$M$1001,MATCH(ROWS($K$2:K171),$K$2:$K$1001,0),0),1)),INDEX($P$2:$P$1001,MATCH(ROWS($K$2:K171),$K$2:$K$1001,0),0)))</f>
        <v>0</v>
      </c>
      <c r="B171" s="3">
        <f>IF(OR(INDEX($L$2:$L$1001,MATCH(ROWS($K$2:K171),$K$2:$K$1001,0),1)&gt;=100000,INDEX($R$1005:$W$1005,1,MATCH(COLUMNS($R$1006:R1006),$R$1006:$W$1006,0))&gt;=100000), " ",IF(INDEX($R$2:$W$1001,MATCH(ROWS($K$2:K171),$K$2:$K$1001,0),MATCH(COLUMNS($R$1006:R1006),$R$1006:$W$1006,0)), HYPERLINK("#",""), HYPERLINK(CONCATENATE("#Metadata!", ADDRESS(INDEX($M$2:$M$1001,MATCH(ROWS($K$2:K171),$K$2:$K$1001,0),0), INDEX($R$1004:$W$1004,1,MATCH(COLUMNS($R$1006:R1006),$R$1006:$W$1006,0)))),"Fix")))</f>
        <v>0</v>
      </c>
      <c r="C171" s="3">
        <f>IF(OR(INDEX($L$2:$L$1001,MATCH(ROWS($K$2:K171),$K$2:$K$1001,0),1)&gt;=100000,INDEX($R$1005:$W$1005,1,MATCH(COLUMNS($R$1006:S1006),$R$1006:$W$1006,0))&gt;=100000), " ",IF(INDEX($R$2:$W$1001,MATCH(ROWS($K$2:K171),$K$2:$K$1001,0),MATCH(COLUMNS($R$1006:S1006),$R$1006:$W$1006,0)), HYPERLINK("#",""), HYPERLINK(CONCATENATE("#Metadata!", ADDRESS(INDEX($M$2:$M$1001,MATCH(ROWS($K$2:K171),$K$2:$K$1001,0),0), INDEX($R$1004:$W$1004,1,MATCH(COLUMNS($R$1006:S1006),$R$1006:$W$1006,0)))),"Fix")))</f>
        <v>0</v>
      </c>
      <c r="D171" s="3">
        <f>IF(OR(INDEX($L$2:$L$1001,MATCH(ROWS($K$2:K171),$K$2:$K$1001,0),1)&gt;=100000,INDEX($R$1005:$W$1005,1,MATCH(COLUMNS($R$1006:T1006),$R$1006:$W$1006,0))&gt;=100000), " ",IF(INDEX($R$2:$W$1001,MATCH(ROWS($K$2:K171),$K$2:$K$1001,0),MATCH(COLUMNS($R$1006:T1006),$R$1006:$W$1006,0)), HYPERLINK("#",""), HYPERLINK(CONCATENATE("#Metadata!", ADDRESS(INDEX($M$2:$M$1001,MATCH(ROWS($K$2:K171),$K$2:$K$1001,0),0), INDEX($R$1004:$W$1004,1,MATCH(COLUMNS($R$1006:T1006),$R$1006:$W$1006,0)))),"Fix")))</f>
        <v>0</v>
      </c>
      <c r="E171" s="3">
        <f>IF(OR(INDEX($L$2:$L$1001,MATCH(ROWS($K$2:K171),$K$2:$K$1001,0),1)&gt;=100000,INDEX($R$1005:$W$1005,1,MATCH(COLUMNS($R$1006:U1006),$R$1006:$W$1006,0))&gt;=100000), " ",IF(INDEX($R$2:$W$1001,MATCH(ROWS($K$2:K171),$K$2:$K$1001,0),MATCH(COLUMNS($R$1006:U1006),$R$1006:$W$1006,0)), HYPERLINK("#",""), HYPERLINK(CONCATENATE("#Metadata!", ADDRESS(INDEX($M$2:$M$1001,MATCH(ROWS($K$2:K171),$K$2:$K$1001,0),0), INDEX($R$1004:$W$1004,1,MATCH(COLUMNS($R$1006:U1006),$R$1006:$W$1006,0)))),"Fix")))</f>
        <v>0</v>
      </c>
      <c r="F171" s="3">
        <f>IF(OR(INDEX($L$2:$L$1001,MATCH(ROWS($K$2:K171),$K$2:$K$1001,0),1)&gt;=100000,INDEX($R$1005:$W$1005,1,MATCH(COLUMNS($R$1006:V1006),$R$1006:$W$1006,0))&gt;=100000), " ",IF(INDEX($R$2:$W$1001,MATCH(ROWS($K$2:K171),$K$2:$K$1001,0),MATCH(COLUMNS($R$1006:V1006),$R$1006:$W$1006,0)), HYPERLINK("#",""), HYPERLINK(CONCATENATE("#Metadata!", ADDRESS(INDEX($M$2:$M$1001,MATCH(ROWS($K$2:K171),$K$2:$K$1001,0),0), INDEX($R$1004:$W$1004,1,MATCH(COLUMNS($R$1006:V1006),$R$1006:$W$1006,0)))),"Fix")))</f>
        <v>0</v>
      </c>
      <c r="G171" s="3">
        <f>IF(OR(INDEX($L$2:$L$1001,MATCH(ROWS($K$2:K171),$K$2:$K$1001,0),1)&gt;=100000,INDEX($R$1005:$W$1005,1,MATCH(COLUMNS($R$1006:W1006),$R$1006:$W$1006,0))&gt;=100000), " ",IF(INDEX($R$2:$W$1001,MATCH(ROWS($K$2:K171),$K$2:$K$1001,0),MATCH(COLUMNS($R$1006:W1006),$R$1006:$W$1006,0)), HYPERLINK("#",""), HYPERLINK(CONCATENATE("#Metadata!", ADDRESS(INDEX($M$2:$M$1001,MATCH(ROWS($K$2:K171),$K$2:$K$1001,0),0), INDEX($R$1004:$W$1004,1,MATCH(COLUMNS($R$1006:W1006),$R$1006:$W$1006,0)))),"Fix")))</f>
        <v>0</v>
      </c>
      <c r="K171">
        <v>0</v>
      </c>
      <c r="L171">
        <v>0</v>
      </c>
      <c r="M171">
        <v>0</v>
      </c>
      <c r="N171">
        <f>IF(O171,TRUE,AND(R171:W171))</f>
        <v>0</v>
      </c>
      <c r="O171">
        <f>COUNTBLANK(Metadata!B171:G171)=COLUMNS(Metadata!B171:G171)</f>
        <v>0</v>
      </c>
      <c r="P171">
        <v>0</v>
      </c>
      <c r="R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S171">
        <f>IF(Metadata!C171="",FALSE,TRUE)</f>
        <v>0</v>
      </c>
      <c r="T171">
        <f>IF(Metadata!D171="",FALSE,TRUE)</f>
        <v>0</v>
      </c>
      <c r="U171">
        <f>IF(Metadata!E171="",FALSE,TRUE)</f>
        <v>0</v>
      </c>
      <c r="V171">
        <f>AND(IF(Metadata!F171="",FALSE,TRUE),exact(Metadata!F171,"rat gut metagenome"))</f>
        <v>0</v>
      </c>
      <c r="W171">
        <f>AND(IF(Metadata!G171="",FALSE,TRUE),exact(Metadata!G171,"1436733"))</f>
        <v>0</v>
      </c>
    </row>
    <row r="172" spans="1:23">
      <c r="A172" s="4">
        <f>IF(B172=" "," ",HYPERLINK(CONCATENATE("#metadata!",ADDRESS(INDEX($M$2:$M$1001,MATCH(ROWS($K$2:K172),$K$2:$K$1001,0),0),1)),INDEX($P$2:$P$1001,MATCH(ROWS($K$2:K172),$K$2:$K$1001,0),0)))</f>
        <v>0</v>
      </c>
      <c r="B172" s="3">
        <f>IF(OR(INDEX($L$2:$L$1001,MATCH(ROWS($K$2:K172),$K$2:$K$1001,0),1)&gt;=100000,INDEX($R$1005:$W$1005,1,MATCH(COLUMNS($R$1006:R1006),$R$1006:$W$1006,0))&gt;=100000), " ",IF(INDEX($R$2:$W$1001,MATCH(ROWS($K$2:K172),$K$2:$K$1001,0),MATCH(COLUMNS($R$1006:R1006),$R$1006:$W$1006,0)), HYPERLINK("#",""), HYPERLINK(CONCATENATE("#Metadata!", ADDRESS(INDEX($M$2:$M$1001,MATCH(ROWS($K$2:K172),$K$2:$K$1001,0),0), INDEX($R$1004:$W$1004,1,MATCH(COLUMNS($R$1006:R1006),$R$1006:$W$1006,0)))),"Fix")))</f>
        <v>0</v>
      </c>
      <c r="C172" s="3">
        <f>IF(OR(INDEX($L$2:$L$1001,MATCH(ROWS($K$2:K172),$K$2:$K$1001,0),1)&gt;=100000,INDEX($R$1005:$W$1005,1,MATCH(COLUMNS($R$1006:S1006),$R$1006:$W$1006,0))&gt;=100000), " ",IF(INDEX($R$2:$W$1001,MATCH(ROWS($K$2:K172),$K$2:$K$1001,0),MATCH(COLUMNS($R$1006:S1006),$R$1006:$W$1006,0)), HYPERLINK("#",""), HYPERLINK(CONCATENATE("#Metadata!", ADDRESS(INDEX($M$2:$M$1001,MATCH(ROWS($K$2:K172),$K$2:$K$1001,0),0), INDEX($R$1004:$W$1004,1,MATCH(COLUMNS($R$1006:S1006),$R$1006:$W$1006,0)))),"Fix")))</f>
        <v>0</v>
      </c>
      <c r="D172" s="3">
        <f>IF(OR(INDEX($L$2:$L$1001,MATCH(ROWS($K$2:K172),$K$2:$K$1001,0),1)&gt;=100000,INDEX($R$1005:$W$1005,1,MATCH(COLUMNS($R$1006:T1006),$R$1006:$W$1006,0))&gt;=100000), " ",IF(INDEX($R$2:$W$1001,MATCH(ROWS($K$2:K172),$K$2:$K$1001,0),MATCH(COLUMNS($R$1006:T1006),$R$1006:$W$1006,0)), HYPERLINK("#",""), HYPERLINK(CONCATENATE("#Metadata!", ADDRESS(INDEX($M$2:$M$1001,MATCH(ROWS($K$2:K172),$K$2:$K$1001,0),0), INDEX($R$1004:$W$1004,1,MATCH(COLUMNS($R$1006:T1006),$R$1006:$W$1006,0)))),"Fix")))</f>
        <v>0</v>
      </c>
      <c r="E172" s="3">
        <f>IF(OR(INDEX($L$2:$L$1001,MATCH(ROWS($K$2:K172),$K$2:$K$1001,0),1)&gt;=100000,INDEX($R$1005:$W$1005,1,MATCH(COLUMNS($R$1006:U1006),$R$1006:$W$1006,0))&gt;=100000), " ",IF(INDEX($R$2:$W$1001,MATCH(ROWS($K$2:K172),$K$2:$K$1001,0),MATCH(COLUMNS($R$1006:U1006),$R$1006:$W$1006,0)), HYPERLINK("#",""), HYPERLINK(CONCATENATE("#Metadata!", ADDRESS(INDEX($M$2:$M$1001,MATCH(ROWS($K$2:K172),$K$2:$K$1001,0),0), INDEX($R$1004:$W$1004,1,MATCH(COLUMNS($R$1006:U1006),$R$1006:$W$1006,0)))),"Fix")))</f>
        <v>0</v>
      </c>
      <c r="F172" s="3">
        <f>IF(OR(INDEX($L$2:$L$1001,MATCH(ROWS($K$2:K172),$K$2:$K$1001,0),1)&gt;=100000,INDEX($R$1005:$W$1005,1,MATCH(COLUMNS($R$1006:V1006),$R$1006:$W$1006,0))&gt;=100000), " ",IF(INDEX($R$2:$W$1001,MATCH(ROWS($K$2:K172),$K$2:$K$1001,0),MATCH(COLUMNS($R$1006:V1006),$R$1006:$W$1006,0)), HYPERLINK("#",""), HYPERLINK(CONCATENATE("#Metadata!", ADDRESS(INDEX($M$2:$M$1001,MATCH(ROWS($K$2:K172),$K$2:$K$1001,0),0), INDEX($R$1004:$W$1004,1,MATCH(COLUMNS($R$1006:V1006),$R$1006:$W$1006,0)))),"Fix")))</f>
        <v>0</v>
      </c>
      <c r="G172" s="3">
        <f>IF(OR(INDEX($L$2:$L$1001,MATCH(ROWS($K$2:K172),$K$2:$K$1001,0),1)&gt;=100000,INDEX($R$1005:$W$1005,1,MATCH(COLUMNS($R$1006:W1006),$R$1006:$W$1006,0))&gt;=100000), " ",IF(INDEX($R$2:$W$1001,MATCH(ROWS($K$2:K172),$K$2:$K$1001,0),MATCH(COLUMNS($R$1006:W1006),$R$1006:$W$1006,0)), HYPERLINK("#",""), HYPERLINK(CONCATENATE("#Metadata!", ADDRESS(INDEX($M$2:$M$1001,MATCH(ROWS($K$2:K172),$K$2:$K$1001,0),0), INDEX($R$1004:$W$1004,1,MATCH(COLUMNS($R$1006:W1006),$R$1006:$W$1006,0)))),"Fix")))</f>
        <v>0</v>
      </c>
      <c r="K172">
        <v>0</v>
      </c>
      <c r="L172">
        <v>0</v>
      </c>
      <c r="M172">
        <v>0</v>
      </c>
      <c r="N172">
        <f>IF(O172,TRUE,AND(R172:W172))</f>
        <v>0</v>
      </c>
      <c r="O172">
        <f>COUNTBLANK(Metadata!B172:G172)=COLUMNS(Metadata!B172:G172)</f>
        <v>0</v>
      </c>
      <c r="P172">
        <v>0</v>
      </c>
      <c r="R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S172">
        <f>IF(Metadata!C172="",FALSE,TRUE)</f>
        <v>0</v>
      </c>
      <c r="T172">
        <f>IF(Metadata!D172="",FALSE,TRUE)</f>
        <v>0</v>
      </c>
      <c r="U172">
        <f>IF(Metadata!E172="",FALSE,TRUE)</f>
        <v>0</v>
      </c>
      <c r="V172">
        <f>AND(IF(Metadata!F172="",FALSE,TRUE),exact(Metadata!F172,"rat gut metagenome"))</f>
        <v>0</v>
      </c>
      <c r="W172">
        <f>AND(IF(Metadata!G172="",FALSE,TRUE),exact(Metadata!G172,"1436733"))</f>
        <v>0</v>
      </c>
    </row>
    <row r="173" spans="1:23">
      <c r="A173" s="4">
        <f>IF(B173=" "," ",HYPERLINK(CONCATENATE("#metadata!",ADDRESS(INDEX($M$2:$M$1001,MATCH(ROWS($K$2:K173),$K$2:$K$1001,0),0),1)),INDEX($P$2:$P$1001,MATCH(ROWS($K$2:K173),$K$2:$K$1001,0),0)))</f>
        <v>0</v>
      </c>
      <c r="B173" s="3">
        <f>IF(OR(INDEX($L$2:$L$1001,MATCH(ROWS($K$2:K173),$K$2:$K$1001,0),1)&gt;=100000,INDEX($R$1005:$W$1005,1,MATCH(COLUMNS($R$1006:R1006),$R$1006:$W$1006,0))&gt;=100000), " ",IF(INDEX($R$2:$W$1001,MATCH(ROWS($K$2:K173),$K$2:$K$1001,0),MATCH(COLUMNS($R$1006:R1006),$R$1006:$W$1006,0)), HYPERLINK("#",""), HYPERLINK(CONCATENATE("#Metadata!", ADDRESS(INDEX($M$2:$M$1001,MATCH(ROWS($K$2:K173),$K$2:$K$1001,0),0), INDEX($R$1004:$W$1004,1,MATCH(COLUMNS($R$1006:R1006),$R$1006:$W$1006,0)))),"Fix")))</f>
        <v>0</v>
      </c>
      <c r="C173" s="3">
        <f>IF(OR(INDEX($L$2:$L$1001,MATCH(ROWS($K$2:K173),$K$2:$K$1001,0),1)&gt;=100000,INDEX($R$1005:$W$1005,1,MATCH(COLUMNS($R$1006:S1006),$R$1006:$W$1006,0))&gt;=100000), " ",IF(INDEX($R$2:$W$1001,MATCH(ROWS($K$2:K173),$K$2:$K$1001,0),MATCH(COLUMNS($R$1006:S1006),$R$1006:$W$1006,0)), HYPERLINK("#",""), HYPERLINK(CONCATENATE("#Metadata!", ADDRESS(INDEX($M$2:$M$1001,MATCH(ROWS($K$2:K173),$K$2:$K$1001,0),0), INDEX($R$1004:$W$1004,1,MATCH(COLUMNS($R$1006:S1006),$R$1006:$W$1006,0)))),"Fix")))</f>
        <v>0</v>
      </c>
      <c r="D173" s="3">
        <f>IF(OR(INDEX($L$2:$L$1001,MATCH(ROWS($K$2:K173),$K$2:$K$1001,0),1)&gt;=100000,INDEX($R$1005:$W$1005,1,MATCH(COLUMNS($R$1006:T1006),$R$1006:$W$1006,0))&gt;=100000), " ",IF(INDEX($R$2:$W$1001,MATCH(ROWS($K$2:K173),$K$2:$K$1001,0),MATCH(COLUMNS($R$1006:T1006),$R$1006:$W$1006,0)), HYPERLINK("#",""), HYPERLINK(CONCATENATE("#Metadata!", ADDRESS(INDEX($M$2:$M$1001,MATCH(ROWS($K$2:K173),$K$2:$K$1001,0),0), INDEX($R$1004:$W$1004,1,MATCH(COLUMNS($R$1006:T1006),$R$1006:$W$1006,0)))),"Fix")))</f>
        <v>0</v>
      </c>
      <c r="E173" s="3">
        <f>IF(OR(INDEX($L$2:$L$1001,MATCH(ROWS($K$2:K173),$K$2:$K$1001,0),1)&gt;=100000,INDEX($R$1005:$W$1005,1,MATCH(COLUMNS($R$1006:U1006),$R$1006:$W$1006,0))&gt;=100000), " ",IF(INDEX($R$2:$W$1001,MATCH(ROWS($K$2:K173),$K$2:$K$1001,0),MATCH(COLUMNS($R$1006:U1006),$R$1006:$W$1006,0)), HYPERLINK("#",""), HYPERLINK(CONCATENATE("#Metadata!", ADDRESS(INDEX($M$2:$M$1001,MATCH(ROWS($K$2:K173),$K$2:$K$1001,0),0), INDEX($R$1004:$W$1004,1,MATCH(COLUMNS($R$1006:U1006),$R$1006:$W$1006,0)))),"Fix")))</f>
        <v>0</v>
      </c>
      <c r="F173" s="3">
        <f>IF(OR(INDEX($L$2:$L$1001,MATCH(ROWS($K$2:K173),$K$2:$K$1001,0),1)&gt;=100000,INDEX($R$1005:$W$1005,1,MATCH(COLUMNS($R$1006:V1006),$R$1006:$W$1006,0))&gt;=100000), " ",IF(INDEX($R$2:$W$1001,MATCH(ROWS($K$2:K173),$K$2:$K$1001,0),MATCH(COLUMNS($R$1006:V1006),$R$1006:$W$1006,0)), HYPERLINK("#",""), HYPERLINK(CONCATENATE("#Metadata!", ADDRESS(INDEX($M$2:$M$1001,MATCH(ROWS($K$2:K173),$K$2:$K$1001,0),0), INDEX($R$1004:$W$1004,1,MATCH(COLUMNS($R$1006:V1006),$R$1006:$W$1006,0)))),"Fix")))</f>
        <v>0</v>
      </c>
      <c r="G173" s="3">
        <f>IF(OR(INDEX($L$2:$L$1001,MATCH(ROWS($K$2:K173),$K$2:$K$1001,0),1)&gt;=100000,INDEX($R$1005:$W$1005,1,MATCH(COLUMNS($R$1006:W1006),$R$1006:$W$1006,0))&gt;=100000), " ",IF(INDEX($R$2:$W$1001,MATCH(ROWS($K$2:K173),$K$2:$K$1001,0),MATCH(COLUMNS($R$1006:W1006),$R$1006:$W$1006,0)), HYPERLINK("#",""), HYPERLINK(CONCATENATE("#Metadata!", ADDRESS(INDEX($M$2:$M$1001,MATCH(ROWS($K$2:K173),$K$2:$K$1001,0),0), INDEX($R$1004:$W$1004,1,MATCH(COLUMNS($R$1006:W1006),$R$1006:$W$1006,0)))),"Fix")))</f>
        <v>0</v>
      </c>
      <c r="K173">
        <v>0</v>
      </c>
      <c r="L173">
        <v>0</v>
      </c>
      <c r="M173">
        <v>0</v>
      </c>
      <c r="N173">
        <f>IF(O173,TRUE,AND(R173:W173))</f>
        <v>0</v>
      </c>
      <c r="O173">
        <f>COUNTBLANK(Metadata!B173:G173)=COLUMNS(Metadata!B173:G173)</f>
        <v>0</v>
      </c>
      <c r="P173">
        <v>0</v>
      </c>
      <c r="R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S173">
        <f>IF(Metadata!C173="",FALSE,TRUE)</f>
        <v>0</v>
      </c>
      <c r="T173">
        <f>IF(Metadata!D173="",FALSE,TRUE)</f>
        <v>0</v>
      </c>
      <c r="U173">
        <f>IF(Metadata!E173="",FALSE,TRUE)</f>
        <v>0</v>
      </c>
      <c r="V173">
        <f>AND(IF(Metadata!F173="",FALSE,TRUE),exact(Metadata!F173,"rat gut metagenome"))</f>
        <v>0</v>
      </c>
      <c r="W173">
        <f>AND(IF(Metadata!G173="",FALSE,TRUE),exact(Metadata!G173,"1436733"))</f>
        <v>0</v>
      </c>
    </row>
    <row r="174" spans="1:23">
      <c r="A174" s="4">
        <f>IF(B174=" "," ",HYPERLINK(CONCATENATE("#metadata!",ADDRESS(INDEX($M$2:$M$1001,MATCH(ROWS($K$2:K174),$K$2:$K$1001,0),0),1)),INDEX($P$2:$P$1001,MATCH(ROWS($K$2:K174),$K$2:$K$1001,0),0)))</f>
        <v>0</v>
      </c>
      <c r="B174" s="3">
        <f>IF(OR(INDEX($L$2:$L$1001,MATCH(ROWS($K$2:K174),$K$2:$K$1001,0),1)&gt;=100000,INDEX($R$1005:$W$1005,1,MATCH(COLUMNS($R$1006:R1006),$R$1006:$W$1006,0))&gt;=100000), " ",IF(INDEX($R$2:$W$1001,MATCH(ROWS($K$2:K174),$K$2:$K$1001,0),MATCH(COLUMNS($R$1006:R1006),$R$1006:$W$1006,0)), HYPERLINK("#",""), HYPERLINK(CONCATENATE("#Metadata!", ADDRESS(INDEX($M$2:$M$1001,MATCH(ROWS($K$2:K174),$K$2:$K$1001,0),0), INDEX($R$1004:$W$1004,1,MATCH(COLUMNS($R$1006:R1006),$R$1006:$W$1006,0)))),"Fix")))</f>
        <v>0</v>
      </c>
      <c r="C174" s="3">
        <f>IF(OR(INDEX($L$2:$L$1001,MATCH(ROWS($K$2:K174),$K$2:$K$1001,0),1)&gt;=100000,INDEX($R$1005:$W$1005,1,MATCH(COLUMNS($R$1006:S1006),$R$1006:$W$1006,0))&gt;=100000), " ",IF(INDEX($R$2:$W$1001,MATCH(ROWS($K$2:K174),$K$2:$K$1001,0),MATCH(COLUMNS($R$1006:S1006),$R$1006:$W$1006,0)), HYPERLINK("#",""), HYPERLINK(CONCATENATE("#Metadata!", ADDRESS(INDEX($M$2:$M$1001,MATCH(ROWS($K$2:K174),$K$2:$K$1001,0),0), INDEX($R$1004:$W$1004,1,MATCH(COLUMNS($R$1006:S1006),$R$1006:$W$1006,0)))),"Fix")))</f>
        <v>0</v>
      </c>
      <c r="D174" s="3">
        <f>IF(OR(INDEX($L$2:$L$1001,MATCH(ROWS($K$2:K174),$K$2:$K$1001,0),1)&gt;=100000,INDEX($R$1005:$W$1005,1,MATCH(COLUMNS($R$1006:T1006),$R$1006:$W$1006,0))&gt;=100000), " ",IF(INDEX($R$2:$W$1001,MATCH(ROWS($K$2:K174),$K$2:$K$1001,0),MATCH(COLUMNS($R$1006:T1006),$R$1006:$W$1006,0)), HYPERLINK("#",""), HYPERLINK(CONCATENATE("#Metadata!", ADDRESS(INDEX($M$2:$M$1001,MATCH(ROWS($K$2:K174),$K$2:$K$1001,0),0), INDEX($R$1004:$W$1004,1,MATCH(COLUMNS($R$1006:T1006),$R$1006:$W$1006,0)))),"Fix")))</f>
        <v>0</v>
      </c>
      <c r="E174" s="3">
        <f>IF(OR(INDEX($L$2:$L$1001,MATCH(ROWS($K$2:K174),$K$2:$K$1001,0),1)&gt;=100000,INDEX($R$1005:$W$1005,1,MATCH(COLUMNS($R$1006:U1006),$R$1006:$W$1006,0))&gt;=100000), " ",IF(INDEX($R$2:$W$1001,MATCH(ROWS($K$2:K174),$K$2:$K$1001,0),MATCH(COLUMNS($R$1006:U1006),$R$1006:$W$1006,0)), HYPERLINK("#",""), HYPERLINK(CONCATENATE("#Metadata!", ADDRESS(INDEX($M$2:$M$1001,MATCH(ROWS($K$2:K174),$K$2:$K$1001,0),0), INDEX($R$1004:$W$1004,1,MATCH(COLUMNS($R$1006:U1006),$R$1006:$W$1006,0)))),"Fix")))</f>
        <v>0</v>
      </c>
      <c r="F174" s="3">
        <f>IF(OR(INDEX($L$2:$L$1001,MATCH(ROWS($K$2:K174),$K$2:$K$1001,0),1)&gt;=100000,INDEX($R$1005:$W$1005,1,MATCH(COLUMNS($R$1006:V1006),$R$1006:$W$1006,0))&gt;=100000), " ",IF(INDEX($R$2:$W$1001,MATCH(ROWS($K$2:K174),$K$2:$K$1001,0),MATCH(COLUMNS($R$1006:V1006),$R$1006:$W$1006,0)), HYPERLINK("#",""), HYPERLINK(CONCATENATE("#Metadata!", ADDRESS(INDEX($M$2:$M$1001,MATCH(ROWS($K$2:K174),$K$2:$K$1001,0),0), INDEX($R$1004:$W$1004,1,MATCH(COLUMNS($R$1006:V1006),$R$1006:$W$1006,0)))),"Fix")))</f>
        <v>0</v>
      </c>
      <c r="G174" s="3">
        <f>IF(OR(INDEX($L$2:$L$1001,MATCH(ROWS($K$2:K174),$K$2:$K$1001,0),1)&gt;=100000,INDEX($R$1005:$W$1005,1,MATCH(COLUMNS($R$1006:W1006),$R$1006:$W$1006,0))&gt;=100000), " ",IF(INDEX($R$2:$W$1001,MATCH(ROWS($K$2:K174),$K$2:$K$1001,0),MATCH(COLUMNS($R$1006:W1006),$R$1006:$W$1006,0)), HYPERLINK("#",""), HYPERLINK(CONCATENATE("#Metadata!", ADDRESS(INDEX($M$2:$M$1001,MATCH(ROWS($K$2:K174),$K$2:$K$1001,0),0), INDEX($R$1004:$W$1004,1,MATCH(COLUMNS($R$1006:W1006),$R$1006:$W$1006,0)))),"Fix")))</f>
        <v>0</v>
      </c>
      <c r="K174">
        <v>0</v>
      </c>
      <c r="L174">
        <v>0</v>
      </c>
      <c r="M174">
        <v>0</v>
      </c>
      <c r="N174">
        <f>IF(O174,TRUE,AND(R174:W174))</f>
        <v>0</v>
      </c>
      <c r="O174">
        <f>COUNTBLANK(Metadata!B174:G174)=COLUMNS(Metadata!B174:G174)</f>
        <v>0</v>
      </c>
      <c r="P174">
        <v>0</v>
      </c>
      <c r="R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S174">
        <f>IF(Metadata!C174="",FALSE,TRUE)</f>
        <v>0</v>
      </c>
      <c r="T174">
        <f>IF(Metadata!D174="",FALSE,TRUE)</f>
        <v>0</v>
      </c>
      <c r="U174">
        <f>IF(Metadata!E174="",FALSE,TRUE)</f>
        <v>0</v>
      </c>
      <c r="V174">
        <f>AND(IF(Metadata!F174="",FALSE,TRUE),exact(Metadata!F174,"rat gut metagenome"))</f>
        <v>0</v>
      </c>
      <c r="W174">
        <f>AND(IF(Metadata!G174="",FALSE,TRUE),exact(Metadata!G174,"1436733"))</f>
        <v>0</v>
      </c>
    </row>
    <row r="175" spans="1:23">
      <c r="A175" s="4">
        <f>IF(B175=" "," ",HYPERLINK(CONCATENATE("#metadata!",ADDRESS(INDEX($M$2:$M$1001,MATCH(ROWS($K$2:K175),$K$2:$K$1001,0),0),1)),INDEX($P$2:$P$1001,MATCH(ROWS($K$2:K175),$K$2:$K$1001,0),0)))</f>
        <v>0</v>
      </c>
      <c r="B175" s="3">
        <f>IF(OR(INDEX($L$2:$L$1001,MATCH(ROWS($K$2:K175),$K$2:$K$1001,0),1)&gt;=100000,INDEX($R$1005:$W$1005,1,MATCH(COLUMNS($R$1006:R1006),$R$1006:$W$1006,0))&gt;=100000), " ",IF(INDEX($R$2:$W$1001,MATCH(ROWS($K$2:K175),$K$2:$K$1001,0),MATCH(COLUMNS($R$1006:R1006),$R$1006:$W$1006,0)), HYPERLINK("#",""), HYPERLINK(CONCATENATE("#Metadata!", ADDRESS(INDEX($M$2:$M$1001,MATCH(ROWS($K$2:K175),$K$2:$K$1001,0),0), INDEX($R$1004:$W$1004,1,MATCH(COLUMNS($R$1006:R1006),$R$1006:$W$1006,0)))),"Fix")))</f>
        <v>0</v>
      </c>
      <c r="C175" s="3">
        <f>IF(OR(INDEX($L$2:$L$1001,MATCH(ROWS($K$2:K175),$K$2:$K$1001,0),1)&gt;=100000,INDEX($R$1005:$W$1005,1,MATCH(COLUMNS($R$1006:S1006),$R$1006:$W$1006,0))&gt;=100000), " ",IF(INDEX($R$2:$W$1001,MATCH(ROWS($K$2:K175),$K$2:$K$1001,0),MATCH(COLUMNS($R$1006:S1006),$R$1006:$W$1006,0)), HYPERLINK("#",""), HYPERLINK(CONCATENATE("#Metadata!", ADDRESS(INDEX($M$2:$M$1001,MATCH(ROWS($K$2:K175),$K$2:$K$1001,0),0), INDEX($R$1004:$W$1004,1,MATCH(COLUMNS($R$1006:S1006),$R$1006:$W$1006,0)))),"Fix")))</f>
        <v>0</v>
      </c>
      <c r="D175" s="3">
        <f>IF(OR(INDEX($L$2:$L$1001,MATCH(ROWS($K$2:K175),$K$2:$K$1001,0),1)&gt;=100000,INDEX($R$1005:$W$1005,1,MATCH(COLUMNS($R$1006:T1006),$R$1006:$W$1006,0))&gt;=100000), " ",IF(INDEX($R$2:$W$1001,MATCH(ROWS($K$2:K175),$K$2:$K$1001,0),MATCH(COLUMNS($R$1006:T1006),$R$1006:$W$1006,0)), HYPERLINK("#",""), HYPERLINK(CONCATENATE("#Metadata!", ADDRESS(INDEX($M$2:$M$1001,MATCH(ROWS($K$2:K175),$K$2:$K$1001,0),0), INDEX($R$1004:$W$1004,1,MATCH(COLUMNS($R$1006:T1006),$R$1006:$W$1006,0)))),"Fix")))</f>
        <v>0</v>
      </c>
      <c r="E175" s="3">
        <f>IF(OR(INDEX($L$2:$L$1001,MATCH(ROWS($K$2:K175),$K$2:$K$1001,0),1)&gt;=100000,INDEX($R$1005:$W$1005,1,MATCH(COLUMNS($R$1006:U1006),$R$1006:$W$1006,0))&gt;=100000), " ",IF(INDEX($R$2:$W$1001,MATCH(ROWS($K$2:K175),$K$2:$K$1001,0),MATCH(COLUMNS($R$1006:U1006),$R$1006:$W$1006,0)), HYPERLINK("#",""), HYPERLINK(CONCATENATE("#Metadata!", ADDRESS(INDEX($M$2:$M$1001,MATCH(ROWS($K$2:K175),$K$2:$K$1001,0),0), INDEX($R$1004:$W$1004,1,MATCH(COLUMNS($R$1006:U1006),$R$1006:$W$1006,0)))),"Fix")))</f>
        <v>0</v>
      </c>
      <c r="F175" s="3">
        <f>IF(OR(INDEX($L$2:$L$1001,MATCH(ROWS($K$2:K175),$K$2:$K$1001,0),1)&gt;=100000,INDEX($R$1005:$W$1005,1,MATCH(COLUMNS($R$1006:V1006),$R$1006:$W$1006,0))&gt;=100000), " ",IF(INDEX($R$2:$W$1001,MATCH(ROWS($K$2:K175),$K$2:$K$1001,0),MATCH(COLUMNS($R$1006:V1006),$R$1006:$W$1006,0)), HYPERLINK("#",""), HYPERLINK(CONCATENATE("#Metadata!", ADDRESS(INDEX($M$2:$M$1001,MATCH(ROWS($K$2:K175),$K$2:$K$1001,0),0), INDEX($R$1004:$W$1004,1,MATCH(COLUMNS($R$1006:V1006),$R$1006:$W$1006,0)))),"Fix")))</f>
        <v>0</v>
      </c>
      <c r="G175" s="3">
        <f>IF(OR(INDEX($L$2:$L$1001,MATCH(ROWS($K$2:K175),$K$2:$K$1001,0),1)&gt;=100000,INDEX($R$1005:$W$1005,1,MATCH(COLUMNS($R$1006:W1006),$R$1006:$W$1006,0))&gt;=100000), " ",IF(INDEX($R$2:$W$1001,MATCH(ROWS($K$2:K175),$K$2:$K$1001,0),MATCH(COLUMNS($R$1006:W1006),$R$1006:$W$1006,0)), HYPERLINK("#",""), HYPERLINK(CONCATENATE("#Metadata!", ADDRESS(INDEX($M$2:$M$1001,MATCH(ROWS($K$2:K175),$K$2:$K$1001,0),0), INDEX($R$1004:$W$1004,1,MATCH(COLUMNS($R$1006:W1006),$R$1006:$W$1006,0)))),"Fix")))</f>
        <v>0</v>
      </c>
      <c r="K175">
        <v>0</v>
      </c>
      <c r="L175">
        <v>0</v>
      </c>
      <c r="M175">
        <v>0</v>
      </c>
      <c r="N175">
        <f>IF(O175,TRUE,AND(R175:W175))</f>
        <v>0</v>
      </c>
      <c r="O175">
        <f>COUNTBLANK(Metadata!B175:G175)=COLUMNS(Metadata!B175:G175)</f>
        <v>0</v>
      </c>
      <c r="P175">
        <v>0</v>
      </c>
      <c r="R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S175">
        <f>IF(Metadata!C175="",FALSE,TRUE)</f>
        <v>0</v>
      </c>
      <c r="T175">
        <f>IF(Metadata!D175="",FALSE,TRUE)</f>
        <v>0</v>
      </c>
      <c r="U175">
        <f>IF(Metadata!E175="",FALSE,TRUE)</f>
        <v>0</v>
      </c>
      <c r="V175">
        <f>AND(IF(Metadata!F175="",FALSE,TRUE),exact(Metadata!F175,"rat gut metagenome"))</f>
        <v>0</v>
      </c>
      <c r="W175">
        <f>AND(IF(Metadata!G175="",FALSE,TRUE),exact(Metadata!G175,"1436733"))</f>
        <v>0</v>
      </c>
    </row>
    <row r="176" spans="1:23">
      <c r="A176" s="4">
        <f>IF(B176=" "," ",HYPERLINK(CONCATENATE("#metadata!",ADDRESS(INDEX($M$2:$M$1001,MATCH(ROWS($K$2:K176),$K$2:$K$1001,0),0),1)),INDEX($P$2:$P$1001,MATCH(ROWS($K$2:K176),$K$2:$K$1001,0),0)))</f>
        <v>0</v>
      </c>
      <c r="B176" s="3">
        <f>IF(OR(INDEX($L$2:$L$1001,MATCH(ROWS($K$2:K176),$K$2:$K$1001,0),1)&gt;=100000,INDEX($R$1005:$W$1005,1,MATCH(COLUMNS($R$1006:R1006),$R$1006:$W$1006,0))&gt;=100000), " ",IF(INDEX($R$2:$W$1001,MATCH(ROWS($K$2:K176),$K$2:$K$1001,0),MATCH(COLUMNS($R$1006:R1006),$R$1006:$W$1006,0)), HYPERLINK("#",""), HYPERLINK(CONCATENATE("#Metadata!", ADDRESS(INDEX($M$2:$M$1001,MATCH(ROWS($K$2:K176),$K$2:$K$1001,0),0), INDEX($R$1004:$W$1004,1,MATCH(COLUMNS($R$1006:R1006),$R$1006:$W$1006,0)))),"Fix")))</f>
        <v>0</v>
      </c>
      <c r="C176" s="3">
        <f>IF(OR(INDEX($L$2:$L$1001,MATCH(ROWS($K$2:K176),$K$2:$K$1001,0),1)&gt;=100000,INDEX($R$1005:$W$1005,1,MATCH(COLUMNS($R$1006:S1006),$R$1006:$W$1006,0))&gt;=100000), " ",IF(INDEX($R$2:$W$1001,MATCH(ROWS($K$2:K176),$K$2:$K$1001,0),MATCH(COLUMNS($R$1006:S1006),$R$1006:$W$1006,0)), HYPERLINK("#",""), HYPERLINK(CONCATENATE("#Metadata!", ADDRESS(INDEX($M$2:$M$1001,MATCH(ROWS($K$2:K176),$K$2:$K$1001,0),0), INDEX($R$1004:$W$1004,1,MATCH(COLUMNS($R$1006:S1006),$R$1006:$W$1006,0)))),"Fix")))</f>
        <v>0</v>
      </c>
      <c r="D176" s="3">
        <f>IF(OR(INDEX($L$2:$L$1001,MATCH(ROWS($K$2:K176),$K$2:$K$1001,0),1)&gt;=100000,INDEX($R$1005:$W$1005,1,MATCH(COLUMNS($R$1006:T1006),$R$1006:$W$1006,0))&gt;=100000), " ",IF(INDEX($R$2:$W$1001,MATCH(ROWS($K$2:K176),$K$2:$K$1001,0),MATCH(COLUMNS($R$1006:T1006),$R$1006:$W$1006,0)), HYPERLINK("#",""), HYPERLINK(CONCATENATE("#Metadata!", ADDRESS(INDEX($M$2:$M$1001,MATCH(ROWS($K$2:K176),$K$2:$K$1001,0),0), INDEX($R$1004:$W$1004,1,MATCH(COLUMNS($R$1006:T1006),$R$1006:$W$1006,0)))),"Fix")))</f>
        <v>0</v>
      </c>
      <c r="E176" s="3">
        <f>IF(OR(INDEX($L$2:$L$1001,MATCH(ROWS($K$2:K176),$K$2:$K$1001,0),1)&gt;=100000,INDEX($R$1005:$W$1005,1,MATCH(COLUMNS($R$1006:U1006),$R$1006:$W$1006,0))&gt;=100000), " ",IF(INDEX($R$2:$W$1001,MATCH(ROWS($K$2:K176),$K$2:$K$1001,0),MATCH(COLUMNS($R$1006:U1006),$R$1006:$W$1006,0)), HYPERLINK("#",""), HYPERLINK(CONCATENATE("#Metadata!", ADDRESS(INDEX($M$2:$M$1001,MATCH(ROWS($K$2:K176),$K$2:$K$1001,0),0), INDEX($R$1004:$W$1004,1,MATCH(COLUMNS($R$1006:U1006),$R$1006:$W$1006,0)))),"Fix")))</f>
        <v>0</v>
      </c>
      <c r="F176" s="3">
        <f>IF(OR(INDEX($L$2:$L$1001,MATCH(ROWS($K$2:K176),$K$2:$K$1001,0),1)&gt;=100000,INDEX($R$1005:$W$1005,1,MATCH(COLUMNS($R$1006:V1006),$R$1006:$W$1006,0))&gt;=100000), " ",IF(INDEX($R$2:$W$1001,MATCH(ROWS($K$2:K176),$K$2:$K$1001,0),MATCH(COLUMNS($R$1006:V1006),$R$1006:$W$1006,0)), HYPERLINK("#",""), HYPERLINK(CONCATENATE("#Metadata!", ADDRESS(INDEX($M$2:$M$1001,MATCH(ROWS($K$2:K176),$K$2:$K$1001,0),0), INDEX($R$1004:$W$1004,1,MATCH(COLUMNS($R$1006:V1006),$R$1006:$W$1006,0)))),"Fix")))</f>
        <v>0</v>
      </c>
      <c r="G176" s="3">
        <f>IF(OR(INDEX($L$2:$L$1001,MATCH(ROWS($K$2:K176),$K$2:$K$1001,0),1)&gt;=100000,INDEX($R$1005:$W$1005,1,MATCH(COLUMNS($R$1006:W1006),$R$1006:$W$1006,0))&gt;=100000), " ",IF(INDEX($R$2:$W$1001,MATCH(ROWS($K$2:K176),$K$2:$K$1001,0),MATCH(COLUMNS($R$1006:W1006),$R$1006:$W$1006,0)), HYPERLINK("#",""), HYPERLINK(CONCATENATE("#Metadata!", ADDRESS(INDEX($M$2:$M$1001,MATCH(ROWS($K$2:K176),$K$2:$K$1001,0),0), INDEX($R$1004:$W$1004,1,MATCH(COLUMNS($R$1006:W1006),$R$1006:$W$1006,0)))),"Fix")))</f>
        <v>0</v>
      </c>
      <c r="K176">
        <v>0</v>
      </c>
      <c r="L176">
        <v>0</v>
      </c>
      <c r="M176">
        <v>0</v>
      </c>
      <c r="N176">
        <f>IF(O176,TRUE,AND(R176:W176))</f>
        <v>0</v>
      </c>
      <c r="O176">
        <f>COUNTBLANK(Metadata!B176:G176)=COLUMNS(Metadata!B176:G176)</f>
        <v>0</v>
      </c>
      <c r="P176">
        <v>0</v>
      </c>
      <c r="R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S176">
        <f>IF(Metadata!C176="",FALSE,TRUE)</f>
        <v>0</v>
      </c>
      <c r="T176">
        <f>IF(Metadata!D176="",FALSE,TRUE)</f>
        <v>0</v>
      </c>
      <c r="U176">
        <f>IF(Metadata!E176="",FALSE,TRUE)</f>
        <v>0</v>
      </c>
      <c r="V176">
        <f>AND(IF(Metadata!F176="",FALSE,TRUE),exact(Metadata!F176,"rat gut metagenome"))</f>
        <v>0</v>
      </c>
      <c r="W176">
        <f>AND(IF(Metadata!G176="",FALSE,TRUE),exact(Metadata!G176,"1436733"))</f>
        <v>0</v>
      </c>
    </row>
    <row r="177" spans="1:23">
      <c r="A177" s="4">
        <f>IF(B177=" "," ",HYPERLINK(CONCATENATE("#metadata!",ADDRESS(INDEX($M$2:$M$1001,MATCH(ROWS($K$2:K177),$K$2:$K$1001,0),0),1)),INDEX($P$2:$P$1001,MATCH(ROWS($K$2:K177),$K$2:$K$1001,0),0)))</f>
        <v>0</v>
      </c>
      <c r="B177" s="3">
        <f>IF(OR(INDEX($L$2:$L$1001,MATCH(ROWS($K$2:K177),$K$2:$K$1001,0),1)&gt;=100000,INDEX($R$1005:$W$1005,1,MATCH(COLUMNS($R$1006:R1006),$R$1006:$W$1006,0))&gt;=100000), " ",IF(INDEX($R$2:$W$1001,MATCH(ROWS($K$2:K177),$K$2:$K$1001,0),MATCH(COLUMNS($R$1006:R1006),$R$1006:$W$1006,0)), HYPERLINK("#",""), HYPERLINK(CONCATENATE("#Metadata!", ADDRESS(INDEX($M$2:$M$1001,MATCH(ROWS($K$2:K177),$K$2:$K$1001,0),0), INDEX($R$1004:$W$1004,1,MATCH(COLUMNS($R$1006:R1006),$R$1006:$W$1006,0)))),"Fix")))</f>
        <v>0</v>
      </c>
      <c r="C177" s="3">
        <f>IF(OR(INDEX($L$2:$L$1001,MATCH(ROWS($K$2:K177),$K$2:$K$1001,0),1)&gt;=100000,INDEX($R$1005:$W$1005,1,MATCH(COLUMNS($R$1006:S1006),$R$1006:$W$1006,0))&gt;=100000), " ",IF(INDEX($R$2:$W$1001,MATCH(ROWS($K$2:K177),$K$2:$K$1001,0),MATCH(COLUMNS($R$1006:S1006),$R$1006:$W$1006,0)), HYPERLINK("#",""), HYPERLINK(CONCATENATE("#Metadata!", ADDRESS(INDEX($M$2:$M$1001,MATCH(ROWS($K$2:K177),$K$2:$K$1001,0),0), INDEX($R$1004:$W$1004,1,MATCH(COLUMNS($R$1006:S1006),$R$1006:$W$1006,0)))),"Fix")))</f>
        <v>0</v>
      </c>
      <c r="D177" s="3">
        <f>IF(OR(INDEX($L$2:$L$1001,MATCH(ROWS($K$2:K177),$K$2:$K$1001,0),1)&gt;=100000,INDEX($R$1005:$W$1005,1,MATCH(COLUMNS($R$1006:T1006),$R$1006:$W$1006,0))&gt;=100000), " ",IF(INDEX($R$2:$W$1001,MATCH(ROWS($K$2:K177),$K$2:$K$1001,0),MATCH(COLUMNS($R$1006:T1006),$R$1006:$W$1006,0)), HYPERLINK("#",""), HYPERLINK(CONCATENATE("#Metadata!", ADDRESS(INDEX($M$2:$M$1001,MATCH(ROWS($K$2:K177),$K$2:$K$1001,0),0), INDEX($R$1004:$W$1004,1,MATCH(COLUMNS($R$1006:T1006),$R$1006:$W$1006,0)))),"Fix")))</f>
        <v>0</v>
      </c>
      <c r="E177" s="3">
        <f>IF(OR(INDEX($L$2:$L$1001,MATCH(ROWS($K$2:K177),$K$2:$K$1001,0),1)&gt;=100000,INDEX($R$1005:$W$1005,1,MATCH(COLUMNS($R$1006:U1006),$R$1006:$W$1006,0))&gt;=100000), " ",IF(INDEX($R$2:$W$1001,MATCH(ROWS($K$2:K177),$K$2:$K$1001,0),MATCH(COLUMNS($R$1006:U1006),$R$1006:$W$1006,0)), HYPERLINK("#",""), HYPERLINK(CONCATENATE("#Metadata!", ADDRESS(INDEX($M$2:$M$1001,MATCH(ROWS($K$2:K177),$K$2:$K$1001,0),0), INDEX($R$1004:$W$1004,1,MATCH(COLUMNS($R$1006:U1006),$R$1006:$W$1006,0)))),"Fix")))</f>
        <v>0</v>
      </c>
      <c r="F177" s="3">
        <f>IF(OR(INDEX($L$2:$L$1001,MATCH(ROWS($K$2:K177),$K$2:$K$1001,0),1)&gt;=100000,INDEX($R$1005:$W$1005,1,MATCH(COLUMNS($R$1006:V1006),$R$1006:$W$1006,0))&gt;=100000), " ",IF(INDEX($R$2:$W$1001,MATCH(ROWS($K$2:K177),$K$2:$K$1001,0),MATCH(COLUMNS($R$1006:V1006),$R$1006:$W$1006,0)), HYPERLINK("#",""), HYPERLINK(CONCATENATE("#Metadata!", ADDRESS(INDEX($M$2:$M$1001,MATCH(ROWS($K$2:K177),$K$2:$K$1001,0),0), INDEX($R$1004:$W$1004,1,MATCH(COLUMNS($R$1006:V1006),$R$1006:$W$1006,0)))),"Fix")))</f>
        <v>0</v>
      </c>
      <c r="G177" s="3">
        <f>IF(OR(INDEX($L$2:$L$1001,MATCH(ROWS($K$2:K177),$K$2:$K$1001,0),1)&gt;=100000,INDEX($R$1005:$W$1005,1,MATCH(COLUMNS($R$1006:W1006),$R$1006:$W$1006,0))&gt;=100000), " ",IF(INDEX($R$2:$W$1001,MATCH(ROWS($K$2:K177),$K$2:$K$1001,0),MATCH(COLUMNS($R$1006:W1006),$R$1006:$W$1006,0)), HYPERLINK("#",""), HYPERLINK(CONCATENATE("#Metadata!", ADDRESS(INDEX($M$2:$M$1001,MATCH(ROWS($K$2:K177),$K$2:$K$1001,0),0), INDEX($R$1004:$W$1004,1,MATCH(COLUMNS($R$1006:W1006),$R$1006:$W$1006,0)))),"Fix")))</f>
        <v>0</v>
      </c>
      <c r="K177">
        <v>0</v>
      </c>
      <c r="L177">
        <v>0</v>
      </c>
      <c r="M177">
        <v>0</v>
      </c>
      <c r="N177">
        <f>IF(O177,TRUE,AND(R177:W177))</f>
        <v>0</v>
      </c>
      <c r="O177">
        <f>COUNTBLANK(Metadata!B177:G177)=COLUMNS(Metadata!B177:G177)</f>
        <v>0</v>
      </c>
      <c r="P177">
        <v>0</v>
      </c>
      <c r="R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S177">
        <f>IF(Metadata!C177="",FALSE,TRUE)</f>
        <v>0</v>
      </c>
      <c r="T177">
        <f>IF(Metadata!D177="",FALSE,TRUE)</f>
        <v>0</v>
      </c>
      <c r="U177">
        <f>IF(Metadata!E177="",FALSE,TRUE)</f>
        <v>0</v>
      </c>
      <c r="V177">
        <f>AND(IF(Metadata!F177="",FALSE,TRUE),exact(Metadata!F177,"rat gut metagenome"))</f>
        <v>0</v>
      </c>
      <c r="W177">
        <f>AND(IF(Metadata!G177="",FALSE,TRUE),exact(Metadata!G177,"1436733"))</f>
        <v>0</v>
      </c>
    </row>
    <row r="178" spans="1:23">
      <c r="A178" s="4">
        <f>IF(B178=" "," ",HYPERLINK(CONCATENATE("#metadata!",ADDRESS(INDEX($M$2:$M$1001,MATCH(ROWS($K$2:K178),$K$2:$K$1001,0),0),1)),INDEX($P$2:$P$1001,MATCH(ROWS($K$2:K178),$K$2:$K$1001,0),0)))</f>
        <v>0</v>
      </c>
      <c r="B178" s="3">
        <f>IF(OR(INDEX($L$2:$L$1001,MATCH(ROWS($K$2:K178),$K$2:$K$1001,0),1)&gt;=100000,INDEX($R$1005:$W$1005,1,MATCH(COLUMNS($R$1006:R1006),$R$1006:$W$1006,0))&gt;=100000), " ",IF(INDEX($R$2:$W$1001,MATCH(ROWS($K$2:K178),$K$2:$K$1001,0),MATCH(COLUMNS($R$1006:R1006),$R$1006:$W$1006,0)), HYPERLINK("#",""), HYPERLINK(CONCATENATE("#Metadata!", ADDRESS(INDEX($M$2:$M$1001,MATCH(ROWS($K$2:K178),$K$2:$K$1001,0),0), INDEX($R$1004:$W$1004,1,MATCH(COLUMNS($R$1006:R1006),$R$1006:$W$1006,0)))),"Fix")))</f>
        <v>0</v>
      </c>
      <c r="C178" s="3">
        <f>IF(OR(INDEX($L$2:$L$1001,MATCH(ROWS($K$2:K178),$K$2:$K$1001,0),1)&gt;=100000,INDEX($R$1005:$W$1005,1,MATCH(COLUMNS($R$1006:S1006),$R$1006:$W$1006,0))&gt;=100000), " ",IF(INDEX($R$2:$W$1001,MATCH(ROWS($K$2:K178),$K$2:$K$1001,0),MATCH(COLUMNS($R$1006:S1006),$R$1006:$W$1006,0)), HYPERLINK("#",""), HYPERLINK(CONCATENATE("#Metadata!", ADDRESS(INDEX($M$2:$M$1001,MATCH(ROWS($K$2:K178),$K$2:$K$1001,0),0), INDEX($R$1004:$W$1004,1,MATCH(COLUMNS($R$1006:S1006),$R$1006:$W$1006,0)))),"Fix")))</f>
        <v>0</v>
      </c>
      <c r="D178" s="3">
        <f>IF(OR(INDEX($L$2:$L$1001,MATCH(ROWS($K$2:K178),$K$2:$K$1001,0),1)&gt;=100000,INDEX($R$1005:$W$1005,1,MATCH(COLUMNS($R$1006:T1006),$R$1006:$W$1006,0))&gt;=100000), " ",IF(INDEX($R$2:$W$1001,MATCH(ROWS($K$2:K178),$K$2:$K$1001,0),MATCH(COLUMNS($R$1006:T1006),$R$1006:$W$1006,0)), HYPERLINK("#",""), HYPERLINK(CONCATENATE("#Metadata!", ADDRESS(INDEX($M$2:$M$1001,MATCH(ROWS($K$2:K178),$K$2:$K$1001,0),0), INDEX($R$1004:$W$1004,1,MATCH(COLUMNS($R$1006:T1006),$R$1006:$W$1006,0)))),"Fix")))</f>
        <v>0</v>
      </c>
      <c r="E178" s="3">
        <f>IF(OR(INDEX($L$2:$L$1001,MATCH(ROWS($K$2:K178),$K$2:$K$1001,0),1)&gt;=100000,INDEX($R$1005:$W$1005,1,MATCH(COLUMNS($R$1006:U1006),$R$1006:$W$1006,0))&gt;=100000), " ",IF(INDEX($R$2:$W$1001,MATCH(ROWS($K$2:K178),$K$2:$K$1001,0),MATCH(COLUMNS($R$1006:U1006),$R$1006:$W$1006,0)), HYPERLINK("#",""), HYPERLINK(CONCATENATE("#Metadata!", ADDRESS(INDEX($M$2:$M$1001,MATCH(ROWS($K$2:K178),$K$2:$K$1001,0),0), INDEX($R$1004:$W$1004,1,MATCH(COLUMNS($R$1006:U1006),$R$1006:$W$1006,0)))),"Fix")))</f>
        <v>0</v>
      </c>
      <c r="F178" s="3">
        <f>IF(OR(INDEX($L$2:$L$1001,MATCH(ROWS($K$2:K178),$K$2:$K$1001,0),1)&gt;=100000,INDEX($R$1005:$W$1005,1,MATCH(COLUMNS($R$1006:V1006),$R$1006:$W$1006,0))&gt;=100000), " ",IF(INDEX($R$2:$W$1001,MATCH(ROWS($K$2:K178),$K$2:$K$1001,0),MATCH(COLUMNS($R$1006:V1006),$R$1006:$W$1006,0)), HYPERLINK("#",""), HYPERLINK(CONCATENATE("#Metadata!", ADDRESS(INDEX($M$2:$M$1001,MATCH(ROWS($K$2:K178),$K$2:$K$1001,0),0), INDEX($R$1004:$W$1004,1,MATCH(COLUMNS($R$1006:V1006),$R$1006:$W$1006,0)))),"Fix")))</f>
        <v>0</v>
      </c>
      <c r="G178" s="3">
        <f>IF(OR(INDEX($L$2:$L$1001,MATCH(ROWS($K$2:K178),$K$2:$K$1001,0),1)&gt;=100000,INDEX($R$1005:$W$1005,1,MATCH(COLUMNS($R$1006:W1006),$R$1006:$W$1006,0))&gt;=100000), " ",IF(INDEX($R$2:$W$1001,MATCH(ROWS($K$2:K178),$K$2:$K$1001,0),MATCH(COLUMNS($R$1006:W1006),$R$1006:$W$1006,0)), HYPERLINK("#",""), HYPERLINK(CONCATENATE("#Metadata!", ADDRESS(INDEX($M$2:$M$1001,MATCH(ROWS($K$2:K178),$K$2:$K$1001,0),0), INDEX($R$1004:$W$1004,1,MATCH(COLUMNS($R$1006:W1006),$R$1006:$W$1006,0)))),"Fix")))</f>
        <v>0</v>
      </c>
      <c r="K178">
        <v>0</v>
      </c>
      <c r="L178">
        <v>0</v>
      </c>
      <c r="M178">
        <v>0</v>
      </c>
      <c r="N178">
        <f>IF(O178,TRUE,AND(R178:W178))</f>
        <v>0</v>
      </c>
      <c r="O178">
        <f>COUNTBLANK(Metadata!B178:G178)=COLUMNS(Metadata!B178:G178)</f>
        <v>0</v>
      </c>
      <c r="P178">
        <v>0</v>
      </c>
      <c r="R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S178">
        <f>IF(Metadata!C178="",FALSE,TRUE)</f>
        <v>0</v>
      </c>
      <c r="T178">
        <f>IF(Metadata!D178="",FALSE,TRUE)</f>
        <v>0</v>
      </c>
      <c r="U178">
        <f>IF(Metadata!E178="",FALSE,TRUE)</f>
        <v>0</v>
      </c>
      <c r="V178">
        <f>AND(IF(Metadata!F178="",FALSE,TRUE),exact(Metadata!F178,"rat gut metagenome"))</f>
        <v>0</v>
      </c>
      <c r="W178">
        <f>AND(IF(Metadata!G178="",FALSE,TRUE),exact(Metadata!G178,"1436733"))</f>
        <v>0</v>
      </c>
    </row>
    <row r="179" spans="1:23">
      <c r="A179" s="4">
        <f>IF(B179=" "," ",HYPERLINK(CONCATENATE("#metadata!",ADDRESS(INDEX($M$2:$M$1001,MATCH(ROWS($K$2:K179),$K$2:$K$1001,0),0),1)),INDEX($P$2:$P$1001,MATCH(ROWS($K$2:K179),$K$2:$K$1001,0),0)))</f>
        <v>0</v>
      </c>
      <c r="B179" s="3">
        <f>IF(OR(INDEX($L$2:$L$1001,MATCH(ROWS($K$2:K179),$K$2:$K$1001,0),1)&gt;=100000,INDEX($R$1005:$W$1005,1,MATCH(COLUMNS($R$1006:R1006),$R$1006:$W$1006,0))&gt;=100000), " ",IF(INDEX($R$2:$W$1001,MATCH(ROWS($K$2:K179),$K$2:$K$1001,0),MATCH(COLUMNS($R$1006:R1006),$R$1006:$W$1006,0)), HYPERLINK("#",""), HYPERLINK(CONCATENATE("#Metadata!", ADDRESS(INDEX($M$2:$M$1001,MATCH(ROWS($K$2:K179),$K$2:$K$1001,0),0), INDEX($R$1004:$W$1004,1,MATCH(COLUMNS($R$1006:R1006),$R$1006:$W$1006,0)))),"Fix")))</f>
        <v>0</v>
      </c>
      <c r="C179" s="3">
        <f>IF(OR(INDEX($L$2:$L$1001,MATCH(ROWS($K$2:K179),$K$2:$K$1001,0),1)&gt;=100000,INDEX($R$1005:$W$1005,1,MATCH(COLUMNS($R$1006:S1006),$R$1006:$W$1006,0))&gt;=100000), " ",IF(INDEX($R$2:$W$1001,MATCH(ROWS($K$2:K179),$K$2:$K$1001,0),MATCH(COLUMNS($R$1006:S1006),$R$1006:$W$1006,0)), HYPERLINK("#",""), HYPERLINK(CONCATENATE("#Metadata!", ADDRESS(INDEX($M$2:$M$1001,MATCH(ROWS($K$2:K179),$K$2:$K$1001,0),0), INDEX($R$1004:$W$1004,1,MATCH(COLUMNS($R$1006:S1006),$R$1006:$W$1006,0)))),"Fix")))</f>
        <v>0</v>
      </c>
      <c r="D179" s="3">
        <f>IF(OR(INDEX($L$2:$L$1001,MATCH(ROWS($K$2:K179),$K$2:$K$1001,0),1)&gt;=100000,INDEX($R$1005:$W$1005,1,MATCH(COLUMNS($R$1006:T1006),$R$1006:$W$1006,0))&gt;=100000), " ",IF(INDEX($R$2:$W$1001,MATCH(ROWS($K$2:K179),$K$2:$K$1001,0),MATCH(COLUMNS($R$1006:T1006),$R$1006:$W$1006,0)), HYPERLINK("#",""), HYPERLINK(CONCATENATE("#Metadata!", ADDRESS(INDEX($M$2:$M$1001,MATCH(ROWS($K$2:K179),$K$2:$K$1001,0),0), INDEX($R$1004:$W$1004,1,MATCH(COLUMNS($R$1006:T1006),$R$1006:$W$1006,0)))),"Fix")))</f>
        <v>0</v>
      </c>
      <c r="E179" s="3">
        <f>IF(OR(INDEX($L$2:$L$1001,MATCH(ROWS($K$2:K179),$K$2:$K$1001,0),1)&gt;=100000,INDEX($R$1005:$W$1005,1,MATCH(COLUMNS($R$1006:U1006),$R$1006:$W$1006,0))&gt;=100000), " ",IF(INDEX($R$2:$W$1001,MATCH(ROWS($K$2:K179),$K$2:$K$1001,0),MATCH(COLUMNS($R$1006:U1006),$R$1006:$W$1006,0)), HYPERLINK("#",""), HYPERLINK(CONCATENATE("#Metadata!", ADDRESS(INDEX($M$2:$M$1001,MATCH(ROWS($K$2:K179),$K$2:$K$1001,0),0), INDEX($R$1004:$W$1004,1,MATCH(COLUMNS($R$1006:U1006),$R$1006:$W$1006,0)))),"Fix")))</f>
        <v>0</v>
      </c>
      <c r="F179" s="3">
        <f>IF(OR(INDEX($L$2:$L$1001,MATCH(ROWS($K$2:K179),$K$2:$K$1001,0),1)&gt;=100000,INDEX($R$1005:$W$1005,1,MATCH(COLUMNS($R$1006:V1006),$R$1006:$W$1006,0))&gt;=100000), " ",IF(INDEX($R$2:$W$1001,MATCH(ROWS($K$2:K179),$K$2:$K$1001,0),MATCH(COLUMNS($R$1006:V1006),$R$1006:$W$1006,0)), HYPERLINK("#",""), HYPERLINK(CONCATENATE("#Metadata!", ADDRESS(INDEX($M$2:$M$1001,MATCH(ROWS($K$2:K179),$K$2:$K$1001,0),0), INDEX($R$1004:$W$1004,1,MATCH(COLUMNS($R$1006:V1006),$R$1006:$W$1006,0)))),"Fix")))</f>
        <v>0</v>
      </c>
      <c r="G179" s="3">
        <f>IF(OR(INDEX($L$2:$L$1001,MATCH(ROWS($K$2:K179),$K$2:$K$1001,0),1)&gt;=100000,INDEX($R$1005:$W$1005,1,MATCH(COLUMNS($R$1006:W1006),$R$1006:$W$1006,0))&gt;=100000), " ",IF(INDEX($R$2:$W$1001,MATCH(ROWS($K$2:K179),$K$2:$K$1001,0),MATCH(COLUMNS($R$1006:W1006),$R$1006:$W$1006,0)), HYPERLINK("#",""), HYPERLINK(CONCATENATE("#Metadata!", ADDRESS(INDEX($M$2:$M$1001,MATCH(ROWS($K$2:K179),$K$2:$K$1001,0),0), INDEX($R$1004:$W$1004,1,MATCH(COLUMNS($R$1006:W1006),$R$1006:$W$1006,0)))),"Fix")))</f>
        <v>0</v>
      </c>
      <c r="K179">
        <v>0</v>
      </c>
      <c r="L179">
        <v>0</v>
      </c>
      <c r="M179">
        <v>0</v>
      </c>
      <c r="N179">
        <f>IF(O179,TRUE,AND(R179:W179))</f>
        <v>0</v>
      </c>
      <c r="O179">
        <f>COUNTBLANK(Metadata!B179:G179)=COLUMNS(Metadata!B179:G179)</f>
        <v>0</v>
      </c>
      <c r="P179">
        <v>0</v>
      </c>
      <c r="R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S179">
        <f>IF(Metadata!C179="",FALSE,TRUE)</f>
        <v>0</v>
      </c>
      <c r="T179">
        <f>IF(Metadata!D179="",FALSE,TRUE)</f>
        <v>0</v>
      </c>
      <c r="U179">
        <f>IF(Metadata!E179="",FALSE,TRUE)</f>
        <v>0</v>
      </c>
      <c r="V179">
        <f>AND(IF(Metadata!F179="",FALSE,TRUE),exact(Metadata!F179,"rat gut metagenome"))</f>
        <v>0</v>
      </c>
      <c r="W179">
        <f>AND(IF(Metadata!G179="",FALSE,TRUE),exact(Metadata!G179,"1436733"))</f>
        <v>0</v>
      </c>
    </row>
    <row r="180" spans="1:23">
      <c r="A180" s="4">
        <f>IF(B180=" "," ",HYPERLINK(CONCATENATE("#metadata!",ADDRESS(INDEX($M$2:$M$1001,MATCH(ROWS($K$2:K180),$K$2:$K$1001,0),0),1)),INDEX($P$2:$P$1001,MATCH(ROWS($K$2:K180),$K$2:$K$1001,0),0)))</f>
        <v>0</v>
      </c>
      <c r="B180" s="3">
        <f>IF(OR(INDEX($L$2:$L$1001,MATCH(ROWS($K$2:K180),$K$2:$K$1001,0),1)&gt;=100000,INDEX($R$1005:$W$1005,1,MATCH(COLUMNS($R$1006:R1006),$R$1006:$W$1006,0))&gt;=100000), " ",IF(INDEX($R$2:$W$1001,MATCH(ROWS($K$2:K180),$K$2:$K$1001,0),MATCH(COLUMNS($R$1006:R1006),$R$1006:$W$1006,0)), HYPERLINK("#",""), HYPERLINK(CONCATENATE("#Metadata!", ADDRESS(INDEX($M$2:$M$1001,MATCH(ROWS($K$2:K180),$K$2:$K$1001,0),0), INDEX($R$1004:$W$1004,1,MATCH(COLUMNS($R$1006:R1006),$R$1006:$W$1006,0)))),"Fix")))</f>
        <v>0</v>
      </c>
      <c r="C180" s="3">
        <f>IF(OR(INDEX($L$2:$L$1001,MATCH(ROWS($K$2:K180),$K$2:$K$1001,0),1)&gt;=100000,INDEX($R$1005:$W$1005,1,MATCH(COLUMNS($R$1006:S1006),$R$1006:$W$1006,0))&gt;=100000), " ",IF(INDEX($R$2:$W$1001,MATCH(ROWS($K$2:K180),$K$2:$K$1001,0),MATCH(COLUMNS($R$1006:S1006),$R$1006:$W$1006,0)), HYPERLINK("#",""), HYPERLINK(CONCATENATE("#Metadata!", ADDRESS(INDEX($M$2:$M$1001,MATCH(ROWS($K$2:K180),$K$2:$K$1001,0),0), INDEX($R$1004:$W$1004,1,MATCH(COLUMNS($R$1006:S1006),$R$1006:$W$1006,0)))),"Fix")))</f>
        <v>0</v>
      </c>
      <c r="D180" s="3">
        <f>IF(OR(INDEX($L$2:$L$1001,MATCH(ROWS($K$2:K180),$K$2:$K$1001,0),1)&gt;=100000,INDEX($R$1005:$W$1005,1,MATCH(COLUMNS($R$1006:T1006),$R$1006:$W$1006,0))&gt;=100000), " ",IF(INDEX($R$2:$W$1001,MATCH(ROWS($K$2:K180),$K$2:$K$1001,0),MATCH(COLUMNS($R$1006:T1006),$R$1006:$W$1006,0)), HYPERLINK("#",""), HYPERLINK(CONCATENATE("#Metadata!", ADDRESS(INDEX($M$2:$M$1001,MATCH(ROWS($K$2:K180),$K$2:$K$1001,0),0), INDEX($R$1004:$W$1004,1,MATCH(COLUMNS($R$1006:T1006),$R$1006:$W$1006,0)))),"Fix")))</f>
        <v>0</v>
      </c>
      <c r="E180" s="3">
        <f>IF(OR(INDEX($L$2:$L$1001,MATCH(ROWS($K$2:K180),$K$2:$K$1001,0),1)&gt;=100000,INDEX($R$1005:$W$1005,1,MATCH(COLUMNS($R$1006:U1006),$R$1006:$W$1006,0))&gt;=100000), " ",IF(INDEX($R$2:$W$1001,MATCH(ROWS($K$2:K180),$K$2:$K$1001,0),MATCH(COLUMNS($R$1006:U1006),$R$1006:$W$1006,0)), HYPERLINK("#",""), HYPERLINK(CONCATENATE("#Metadata!", ADDRESS(INDEX($M$2:$M$1001,MATCH(ROWS($K$2:K180),$K$2:$K$1001,0),0), INDEX($R$1004:$W$1004,1,MATCH(COLUMNS($R$1006:U1006),$R$1006:$W$1006,0)))),"Fix")))</f>
        <v>0</v>
      </c>
      <c r="F180" s="3">
        <f>IF(OR(INDEX($L$2:$L$1001,MATCH(ROWS($K$2:K180),$K$2:$K$1001,0),1)&gt;=100000,INDEX($R$1005:$W$1005,1,MATCH(COLUMNS($R$1006:V1006),$R$1006:$W$1006,0))&gt;=100000), " ",IF(INDEX($R$2:$W$1001,MATCH(ROWS($K$2:K180),$K$2:$K$1001,0),MATCH(COLUMNS($R$1006:V1006),$R$1006:$W$1006,0)), HYPERLINK("#",""), HYPERLINK(CONCATENATE("#Metadata!", ADDRESS(INDEX($M$2:$M$1001,MATCH(ROWS($K$2:K180),$K$2:$K$1001,0),0), INDEX($R$1004:$W$1004,1,MATCH(COLUMNS($R$1006:V1006),$R$1006:$W$1006,0)))),"Fix")))</f>
        <v>0</v>
      </c>
      <c r="G180" s="3">
        <f>IF(OR(INDEX($L$2:$L$1001,MATCH(ROWS($K$2:K180),$K$2:$K$1001,0),1)&gt;=100000,INDEX($R$1005:$W$1005,1,MATCH(COLUMNS($R$1006:W1006),$R$1006:$W$1006,0))&gt;=100000), " ",IF(INDEX($R$2:$W$1001,MATCH(ROWS($K$2:K180),$K$2:$K$1001,0),MATCH(COLUMNS($R$1006:W1006),$R$1006:$W$1006,0)), HYPERLINK("#",""), HYPERLINK(CONCATENATE("#Metadata!", ADDRESS(INDEX($M$2:$M$1001,MATCH(ROWS($K$2:K180),$K$2:$K$1001,0),0), INDEX($R$1004:$W$1004,1,MATCH(COLUMNS($R$1006:W1006),$R$1006:$W$1006,0)))),"Fix")))</f>
        <v>0</v>
      </c>
      <c r="K180">
        <v>0</v>
      </c>
      <c r="L180">
        <v>0</v>
      </c>
      <c r="M180">
        <v>0</v>
      </c>
      <c r="N180">
        <f>IF(O180,TRUE,AND(R180:W180))</f>
        <v>0</v>
      </c>
      <c r="O180">
        <f>COUNTBLANK(Metadata!B180:G180)=COLUMNS(Metadata!B180:G180)</f>
        <v>0</v>
      </c>
      <c r="P180">
        <v>0</v>
      </c>
      <c r="R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S180">
        <f>IF(Metadata!C180="",FALSE,TRUE)</f>
        <v>0</v>
      </c>
      <c r="T180">
        <f>IF(Metadata!D180="",FALSE,TRUE)</f>
        <v>0</v>
      </c>
      <c r="U180">
        <f>IF(Metadata!E180="",FALSE,TRUE)</f>
        <v>0</v>
      </c>
      <c r="V180">
        <f>AND(IF(Metadata!F180="",FALSE,TRUE),exact(Metadata!F180,"rat gut metagenome"))</f>
        <v>0</v>
      </c>
      <c r="W180">
        <f>AND(IF(Metadata!G180="",FALSE,TRUE),exact(Metadata!G180,"1436733"))</f>
        <v>0</v>
      </c>
    </row>
    <row r="181" spans="1:23">
      <c r="A181" s="4">
        <f>IF(B181=" "," ",HYPERLINK(CONCATENATE("#metadata!",ADDRESS(INDEX($M$2:$M$1001,MATCH(ROWS($K$2:K181),$K$2:$K$1001,0),0),1)),INDEX($P$2:$P$1001,MATCH(ROWS($K$2:K181),$K$2:$K$1001,0),0)))</f>
        <v>0</v>
      </c>
      <c r="B181" s="3">
        <f>IF(OR(INDEX($L$2:$L$1001,MATCH(ROWS($K$2:K181),$K$2:$K$1001,0),1)&gt;=100000,INDEX($R$1005:$W$1005,1,MATCH(COLUMNS($R$1006:R1006),$R$1006:$W$1006,0))&gt;=100000), " ",IF(INDEX($R$2:$W$1001,MATCH(ROWS($K$2:K181),$K$2:$K$1001,0),MATCH(COLUMNS($R$1006:R1006),$R$1006:$W$1006,0)), HYPERLINK("#",""), HYPERLINK(CONCATENATE("#Metadata!", ADDRESS(INDEX($M$2:$M$1001,MATCH(ROWS($K$2:K181),$K$2:$K$1001,0),0), INDEX($R$1004:$W$1004,1,MATCH(COLUMNS($R$1006:R1006),$R$1006:$W$1006,0)))),"Fix")))</f>
        <v>0</v>
      </c>
      <c r="C181" s="3">
        <f>IF(OR(INDEX($L$2:$L$1001,MATCH(ROWS($K$2:K181),$K$2:$K$1001,0),1)&gt;=100000,INDEX($R$1005:$W$1005,1,MATCH(COLUMNS($R$1006:S1006),$R$1006:$W$1006,0))&gt;=100000), " ",IF(INDEX($R$2:$W$1001,MATCH(ROWS($K$2:K181),$K$2:$K$1001,0),MATCH(COLUMNS($R$1006:S1006),$R$1006:$W$1006,0)), HYPERLINK("#",""), HYPERLINK(CONCATENATE("#Metadata!", ADDRESS(INDEX($M$2:$M$1001,MATCH(ROWS($K$2:K181),$K$2:$K$1001,0),0), INDEX($R$1004:$W$1004,1,MATCH(COLUMNS($R$1006:S1006),$R$1006:$W$1006,0)))),"Fix")))</f>
        <v>0</v>
      </c>
      <c r="D181" s="3">
        <f>IF(OR(INDEX($L$2:$L$1001,MATCH(ROWS($K$2:K181),$K$2:$K$1001,0),1)&gt;=100000,INDEX($R$1005:$W$1005,1,MATCH(COLUMNS($R$1006:T1006),$R$1006:$W$1006,0))&gt;=100000), " ",IF(INDEX($R$2:$W$1001,MATCH(ROWS($K$2:K181),$K$2:$K$1001,0),MATCH(COLUMNS($R$1006:T1006),$R$1006:$W$1006,0)), HYPERLINK("#",""), HYPERLINK(CONCATENATE("#Metadata!", ADDRESS(INDEX($M$2:$M$1001,MATCH(ROWS($K$2:K181),$K$2:$K$1001,0),0), INDEX($R$1004:$W$1004,1,MATCH(COLUMNS($R$1006:T1006),$R$1006:$W$1006,0)))),"Fix")))</f>
        <v>0</v>
      </c>
      <c r="E181" s="3">
        <f>IF(OR(INDEX($L$2:$L$1001,MATCH(ROWS($K$2:K181),$K$2:$K$1001,0),1)&gt;=100000,INDEX($R$1005:$W$1005,1,MATCH(COLUMNS($R$1006:U1006),$R$1006:$W$1006,0))&gt;=100000), " ",IF(INDEX($R$2:$W$1001,MATCH(ROWS($K$2:K181),$K$2:$K$1001,0),MATCH(COLUMNS($R$1006:U1006),$R$1006:$W$1006,0)), HYPERLINK("#",""), HYPERLINK(CONCATENATE("#Metadata!", ADDRESS(INDEX($M$2:$M$1001,MATCH(ROWS($K$2:K181),$K$2:$K$1001,0),0), INDEX($R$1004:$W$1004,1,MATCH(COLUMNS($R$1006:U1006),$R$1006:$W$1006,0)))),"Fix")))</f>
        <v>0</v>
      </c>
      <c r="F181" s="3">
        <f>IF(OR(INDEX($L$2:$L$1001,MATCH(ROWS($K$2:K181),$K$2:$K$1001,0),1)&gt;=100000,INDEX($R$1005:$W$1005,1,MATCH(COLUMNS($R$1006:V1006),$R$1006:$W$1006,0))&gt;=100000), " ",IF(INDEX($R$2:$W$1001,MATCH(ROWS($K$2:K181),$K$2:$K$1001,0),MATCH(COLUMNS($R$1006:V1006),$R$1006:$W$1006,0)), HYPERLINK("#",""), HYPERLINK(CONCATENATE("#Metadata!", ADDRESS(INDEX($M$2:$M$1001,MATCH(ROWS($K$2:K181),$K$2:$K$1001,0),0), INDEX($R$1004:$W$1004,1,MATCH(COLUMNS($R$1006:V1006),$R$1006:$W$1006,0)))),"Fix")))</f>
        <v>0</v>
      </c>
      <c r="G181" s="3">
        <f>IF(OR(INDEX($L$2:$L$1001,MATCH(ROWS($K$2:K181),$K$2:$K$1001,0),1)&gt;=100000,INDEX($R$1005:$W$1005,1,MATCH(COLUMNS($R$1006:W1006),$R$1006:$W$1006,0))&gt;=100000), " ",IF(INDEX($R$2:$W$1001,MATCH(ROWS($K$2:K181),$K$2:$K$1001,0),MATCH(COLUMNS($R$1006:W1006),$R$1006:$W$1006,0)), HYPERLINK("#",""), HYPERLINK(CONCATENATE("#Metadata!", ADDRESS(INDEX($M$2:$M$1001,MATCH(ROWS($K$2:K181),$K$2:$K$1001,0),0), INDEX($R$1004:$W$1004,1,MATCH(COLUMNS($R$1006:W1006),$R$1006:$W$1006,0)))),"Fix")))</f>
        <v>0</v>
      </c>
      <c r="K181">
        <v>0</v>
      </c>
      <c r="L181">
        <v>0</v>
      </c>
      <c r="M181">
        <v>0</v>
      </c>
      <c r="N181">
        <f>IF(O181,TRUE,AND(R181:W181))</f>
        <v>0</v>
      </c>
      <c r="O181">
        <f>COUNTBLANK(Metadata!B181:G181)=COLUMNS(Metadata!B181:G181)</f>
        <v>0</v>
      </c>
      <c r="P181">
        <v>0</v>
      </c>
      <c r="R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S181">
        <f>IF(Metadata!C181="",FALSE,TRUE)</f>
        <v>0</v>
      </c>
      <c r="T181">
        <f>IF(Metadata!D181="",FALSE,TRUE)</f>
        <v>0</v>
      </c>
      <c r="U181">
        <f>IF(Metadata!E181="",FALSE,TRUE)</f>
        <v>0</v>
      </c>
      <c r="V181">
        <f>AND(IF(Metadata!F181="",FALSE,TRUE),exact(Metadata!F181,"rat gut metagenome"))</f>
        <v>0</v>
      </c>
      <c r="W181">
        <f>AND(IF(Metadata!G181="",FALSE,TRUE),exact(Metadata!G181,"1436733"))</f>
        <v>0</v>
      </c>
    </row>
    <row r="182" spans="1:23">
      <c r="A182" s="4">
        <f>IF(B182=" "," ",HYPERLINK(CONCATENATE("#metadata!",ADDRESS(INDEX($M$2:$M$1001,MATCH(ROWS($K$2:K182),$K$2:$K$1001,0),0),1)),INDEX($P$2:$P$1001,MATCH(ROWS($K$2:K182),$K$2:$K$1001,0),0)))</f>
        <v>0</v>
      </c>
      <c r="B182" s="3">
        <f>IF(OR(INDEX($L$2:$L$1001,MATCH(ROWS($K$2:K182),$K$2:$K$1001,0),1)&gt;=100000,INDEX($R$1005:$W$1005,1,MATCH(COLUMNS($R$1006:R1006),$R$1006:$W$1006,0))&gt;=100000), " ",IF(INDEX($R$2:$W$1001,MATCH(ROWS($K$2:K182),$K$2:$K$1001,0),MATCH(COLUMNS($R$1006:R1006),$R$1006:$W$1006,0)), HYPERLINK("#",""), HYPERLINK(CONCATENATE("#Metadata!", ADDRESS(INDEX($M$2:$M$1001,MATCH(ROWS($K$2:K182),$K$2:$K$1001,0),0), INDEX($R$1004:$W$1004,1,MATCH(COLUMNS($R$1006:R1006),$R$1006:$W$1006,0)))),"Fix")))</f>
        <v>0</v>
      </c>
      <c r="C182" s="3">
        <f>IF(OR(INDEX($L$2:$L$1001,MATCH(ROWS($K$2:K182),$K$2:$K$1001,0),1)&gt;=100000,INDEX($R$1005:$W$1005,1,MATCH(COLUMNS($R$1006:S1006),$R$1006:$W$1006,0))&gt;=100000), " ",IF(INDEX($R$2:$W$1001,MATCH(ROWS($K$2:K182),$K$2:$K$1001,0),MATCH(COLUMNS($R$1006:S1006),$R$1006:$W$1006,0)), HYPERLINK("#",""), HYPERLINK(CONCATENATE("#Metadata!", ADDRESS(INDEX($M$2:$M$1001,MATCH(ROWS($K$2:K182),$K$2:$K$1001,0),0), INDEX($R$1004:$W$1004,1,MATCH(COLUMNS($R$1006:S1006),$R$1006:$W$1006,0)))),"Fix")))</f>
        <v>0</v>
      </c>
      <c r="D182" s="3">
        <f>IF(OR(INDEX($L$2:$L$1001,MATCH(ROWS($K$2:K182),$K$2:$K$1001,0),1)&gt;=100000,INDEX($R$1005:$W$1005,1,MATCH(COLUMNS($R$1006:T1006),$R$1006:$W$1006,0))&gt;=100000), " ",IF(INDEX($R$2:$W$1001,MATCH(ROWS($K$2:K182),$K$2:$K$1001,0),MATCH(COLUMNS($R$1006:T1006),$R$1006:$W$1006,0)), HYPERLINK("#",""), HYPERLINK(CONCATENATE("#Metadata!", ADDRESS(INDEX($M$2:$M$1001,MATCH(ROWS($K$2:K182),$K$2:$K$1001,0),0), INDEX($R$1004:$W$1004,1,MATCH(COLUMNS($R$1006:T1006),$R$1006:$W$1006,0)))),"Fix")))</f>
        <v>0</v>
      </c>
      <c r="E182" s="3">
        <f>IF(OR(INDEX($L$2:$L$1001,MATCH(ROWS($K$2:K182),$K$2:$K$1001,0),1)&gt;=100000,INDEX($R$1005:$W$1005,1,MATCH(COLUMNS($R$1006:U1006),$R$1006:$W$1006,0))&gt;=100000), " ",IF(INDEX($R$2:$W$1001,MATCH(ROWS($K$2:K182),$K$2:$K$1001,0),MATCH(COLUMNS($R$1006:U1006),$R$1006:$W$1006,0)), HYPERLINK("#",""), HYPERLINK(CONCATENATE("#Metadata!", ADDRESS(INDEX($M$2:$M$1001,MATCH(ROWS($K$2:K182),$K$2:$K$1001,0),0), INDEX($R$1004:$W$1004,1,MATCH(COLUMNS($R$1006:U1006),$R$1006:$W$1006,0)))),"Fix")))</f>
        <v>0</v>
      </c>
      <c r="F182" s="3">
        <f>IF(OR(INDEX($L$2:$L$1001,MATCH(ROWS($K$2:K182),$K$2:$K$1001,0),1)&gt;=100000,INDEX($R$1005:$W$1005,1,MATCH(COLUMNS($R$1006:V1006),$R$1006:$W$1006,0))&gt;=100000), " ",IF(INDEX($R$2:$W$1001,MATCH(ROWS($K$2:K182),$K$2:$K$1001,0),MATCH(COLUMNS($R$1006:V1006),$R$1006:$W$1006,0)), HYPERLINK("#",""), HYPERLINK(CONCATENATE("#Metadata!", ADDRESS(INDEX($M$2:$M$1001,MATCH(ROWS($K$2:K182),$K$2:$K$1001,0),0), INDEX($R$1004:$W$1004,1,MATCH(COLUMNS($R$1006:V1006),$R$1006:$W$1006,0)))),"Fix")))</f>
        <v>0</v>
      </c>
      <c r="G182" s="3">
        <f>IF(OR(INDEX($L$2:$L$1001,MATCH(ROWS($K$2:K182),$K$2:$K$1001,0),1)&gt;=100000,INDEX($R$1005:$W$1005,1,MATCH(COLUMNS($R$1006:W1006),$R$1006:$W$1006,0))&gt;=100000), " ",IF(INDEX($R$2:$W$1001,MATCH(ROWS($K$2:K182),$K$2:$K$1001,0),MATCH(COLUMNS($R$1006:W1006),$R$1006:$W$1006,0)), HYPERLINK("#",""), HYPERLINK(CONCATENATE("#Metadata!", ADDRESS(INDEX($M$2:$M$1001,MATCH(ROWS($K$2:K182),$K$2:$K$1001,0),0), INDEX($R$1004:$W$1004,1,MATCH(COLUMNS($R$1006:W1006),$R$1006:$W$1006,0)))),"Fix")))</f>
        <v>0</v>
      </c>
      <c r="K182">
        <v>0</v>
      </c>
      <c r="L182">
        <v>0</v>
      </c>
      <c r="M182">
        <v>0</v>
      </c>
      <c r="N182">
        <f>IF(O182,TRUE,AND(R182:W182))</f>
        <v>0</v>
      </c>
      <c r="O182">
        <f>COUNTBLANK(Metadata!B182:G182)=COLUMNS(Metadata!B182:G182)</f>
        <v>0</v>
      </c>
      <c r="P182">
        <v>0</v>
      </c>
      <c r="R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S182">
        <f>IF(Metadata!C182="",FALSE,TRUE)</f>
        <v>0</v>
      </c>
      <c r="T182">
        <f>IF(Metadata!D182="",FALSE,TRUE)</f>
        <v>0</v>
      </c>
      <c r="U182">
        <f>IF(Metadata!E182="",FALSE,TRUE)</f>
        <v>0</v>
      </c>
      <c r="V182">
        <f>AND(IF(Metadata!F182="",FALSE,TRUE),exact(Metadata!F182,"rat gut metagenome"))</f>
        <v>0</v>
      </c>
      <c r="W182">
        <f>AND(IF(Metadata!G182="",FALSE,TRUE),exact(Metadata!G182,"1436733"))</f>
        <v>0</v>
      </c>
    </row>
    <row r="183" spans="1:23">
      <c r="A183" s="4">
        <f>IF(B183=" "," ",HYPERLINK(CONCATENATE("#metadata!",ADDRESS(INDEX($M$2:$M$1001,MATCH(ROWS($K$2:K183),$K$2:$K$1001,0),0),1)),INDEX($P$2:$P$1001,MATCH(ROWS($K$2:K183),$K$2:$K$1001,0),0)))</f>
        <v>0</v>
      </c>
      <c r="B183" s="3">
        <f>IF(OR(INDEX($L$2:$L$1001,MATCH(ROWS($K$2:K183),$K$2:$K$1001,0),1)&gt;=100000,INDEX($R$1005:$W$1005,1,MATCH(COLUMNS($R$1006:R1006),$R$1006:$W$1006,0))&gt;=100000), " ",IF(INDEX($R$2:$W$1001,MATCH(ROWS($K$2:K183),$K$2:$K$1001,0),MATCH(COLUMNS($R$1006:R1006),$R$1006:$W$1006,0)), HYPERLINK("#",""), HYPERLINK(CONCATENATE("#Metadata!", ADDRESS(INDEX($M$2:$M$1001,MATCH(ROWS($K$2:K183),$K$2:$K$1001,0),0), INDEX($R$1004:$W$1004,1,MATCH(COLUMNS($R$1006:R1006),$R$1006:$W$1006,0)))),"Fix")))</f>
        <v>0</v>
      </c>
      <c r="C183" s="3">
        <f>IF(OR(INDEX($L$2:$L$1001,MATCH(ROWS($K$2:K183),$K$2:$K$1001,0),1)&gt;=100000,INDEX($R$1005:$W$1005,1,MATCH(COLUMNS($R$1006:S1006),$R$1006:$W$1006,0))&gt;=100000), " ",IF(INDEX($R$2:$W$1001,MATCH(ROWS($K$2:K183),$K$2:$K$1001,0),MATCH(COLUMNS($R$1006:S1006),$R$1006:$W$1006,0)), HYPERLINK("#",""), HYPERLINK(CONCATENATE("#Metadata!", ADDRESS(INDEX($M$2:$M$1001,MATCH(ROWS($K$2:K183),$K$2:$K$1001,0),0), INDEX($R$1004:$W$1004,1,MATCH(COLUMNS($R$1006:S1006),$R$1006:$W$1006,0)))),"Fix")))</f>
        <v>0</v>
      </c>
      <c r="D183" s="3">
        <f>IF(OR(INDEX($L$2:$L$1001,MATCH(ROWS($K$2:K183),$K$2:$K$1001,0),1)&gt;=100000,INDEX($R$1005:$W$1005,1,MATCH(COLUMNS($R$1006:T1006),$R$1006:$W$1006,0))&gt;=100000), " ",IF(INDEX($R$2:$W$1001,MATCH(ROWS($K$2:K183),$K$2:$K$1001,0),MATCH(COLUMNS($R$1006:T1006),$R$1006:$W$1006,0)), HYPERLINK("#",""), HYPERLINK(CONCATENATE("#Metadata!", ADDRESS(INDEX($M$2:$M$1001,MATCH(ROWS($K$2:K183),$K$2:$K$1001,0),0), INDEX($R$1004:$W$1004,1,MATCH(COLUMNS($R$1006:T1006),$R$1006:$W$1006,0)))),"Fix")))</f>
        <v>0</v>
      </c>
      <c r="E183" s="3">
        <f>IF(OR(INDEX($L$2:$L$1001,MATCH(ROWS($K$2:K183),$K$2:$K$1001,0),1)&gt;=100000,INDEX($R$1005:$W$1005,1,MATCH(COLUMNS($R$1006:U1006),$R$1006:$W$1006,0))&gt;=100000), " ",IF(INDEX($R$2:$W$1001,MATCH(ROWS($K$2:K183),$K$2:$K$1001,0),MATCH(COLUMNS($R$1006:U1006),$R$1006:$W$1006,0)), HYPERLINK("#",""), HYPERLINK(CONCATENATE("#Metadata!", ADDRESS(INDEX($M$2:$M$1001,MATCH(ROWS($K$2:K183),$K$2:$K$1001,0),0), INDEX($R$1004:$W$1004,1,MATCH(COLUMNS($R$1006:U1006),$R$1006:$W$1006,0)))),"Fix")))</f>
        <v>0</v>
      </c>
      <c r="F183" s="3">
        <f>IF(OR(INDEX($L$2:$L$1001,MATCH(ROWS($K$2:K183),$K$2:$K$1001,0),1)&gt;=100000,INDEX($R$1005:$W$1005,1,MATCH(COLUMNS($R$1006:V1006),$R$1006:$W$1006,0))&gt;=100000), " ",IF(INDEX($R$2:$W$1001,MATCH(ROWS($K$2:K183),$K$2:$K$1001,0),MATCH(COLUMNS($R$1006:V1006),$R$1006:$W$1006,0)), HYPERLINK("#",""), HYPERLINK(CONCATENATE("#Metadata!", ADDRESS(INDEX($M$2:$M$1001,MATCH(ROWS($K$2:K183),$K$2:$K$1001,0),0), INDEX($R$1004:$W$1004,1,MATCH(COLUMNS($R$1006:V1006),$R$1006:$W$1006,0)))),"Fix")))</f>
        <v>0</v>
      </c>
      <c r="G183" s="3">
        <f>IF(OR(INDEX($L$2:$L$1001,MATCH(ROWS($K$2:K183),$K$2:$K$1001,0),1)&gt;=100000,INDEX($R$1005:$W$1005,1,MATCH(COLUMNS($R$1006:W1006),$R$1006:$W$1006,0))&gt;=100000), " ",IF(INDEX($R$2:$W$1001,MATCH(ROWS($K$2:K183),$K$2:$K$1001,0),MATCH(COLUMNS($R$1006:W1006),$R$1006:$W$1006,0)), HYPERLINK("#",""), HYPERLINK(CONCATENATE("#Metadata!", ADDRESS(INDEX($M$2:$M$1001,MATCH(ROWS($K$2:K183),$K$2:$K$1001,0),0), INDEX($R$1004:$W$1004,1,MATCH(COLUMNS($R$1006:W1006),$R$1006:$W$1006,0)))),"Fix")))</f>
        <v>0</v>
      </c>
      <c r="K183">
        <v>0</v>
      </c>
      <c r="L183">
        <v>0</v>
      </c>
      <c r="M183">
        <v>0</v>
      </c>
      <c r="N183">
        <f>IF(O183,TRUE,AND(R183:W183))</f>
        <v>0</v>
      </c>
      <c r="O183">
        <f>COUNTBLANK(Metadata!B183:G183)=COLUMNS(Metadata!B183:G183)</f>
        <v>0</v>
      </c>
      <c r="P183">
        <v>0</v>
      </c>
      <c r="R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S183">
        <f>IF(Metadata!C183="",FALSE,TRUE)</f>
        <v>0</v>
      </c>
      <c r="T183">
        <f>IF(Metadata!D183="",FALSE,TRUE)</f>
        <v>0</v>
      </c>
      <c r="U183">
        <f>IF(Metadata!E183="",FALSE,TRUE)</f>
        <v>0</v>
      </c>
      <c r="V183">
        <f>AND(IF(Metadata!F183="",FALSE,TRUE),exact(Metadata!F183,"rat gut metagenome"))</f>
        <v>0</v>
      </c>
      <c r="W183">
        <f>AND(IF(Metadata!G183="",FALSE,TRUE),exact(Metadata!G183,"1436733"))</f>
        <v>0</v>
      </c>
    </row>
    <row r="184" spans="1:23">
      <c r="A184" s="4">
        <f>IF(B184=" "," ",HYPERLINK(CONCATENATE("#metadata!",ADDRESS(INDEX($M$2:$M$1001,MATCH(ROWS($K$2:K184),$K$2:$K$1001,0),0),1)),INDEX($P$2:$P$1001,MATCH(ROWS($K$2:K184),$K$2:$K$1001,0),0)))</f>
        <v>0</v>
      </c>
      <c r="B184" s="3">
        <f>IF(OR(INDEX($L$2:$L$1001,MATCH(ROWS($K$2:K184),$K$2:$K$1001,0),1)&gt;=100000,INDEX($R$1005:$W$1005,1,MATCH(COLUMNS($R$1006:R1006),$R$1006:$W$1006,0))&gt;=100000), " ",IF(INDEX($R$2:$W$1001,MATCH(ROWS($K$2:K184),$K$2:$K$1001,0),MATCH(COLUMNS($R$1006:R1006),$R$1006:$W$1006,0)), HYPERLINK("#",""), HYPERLINK(CONCATENATE("#Metadata!", ADDRESS(INDEX($M$2:$M$1001,MATCH(ROWS($K$2:K184),$K$2:$K$1001,0),0), INDEX($R$1004:$W$1004,1,MATCH(COLUMNS($R$1006:R1006),$R$1006:$W$1006,0)))),"Fix")))</f>
        <v>0</v>
      </c>
      <c r="C184" s="3">
        <f>IF(OR(INDEX($L$2:$L$1001,MATCH(ROWS($K$2:K184),$K$2:$K$1001,0),1)&gt;=100000,INDEX($R$1005:$W$1005,1,MATCH(COLUMNS($R$1006:S1006),$R$1006:$W$1006,0))&gt;=100000), " ",IF(INDEX($R$2:$W$1001,MATCH(ROWS($K$2:K184),$K$2:$K$1001,0),MATCH(COLUMNS($R$1006:S1006),$R$1006:$W$1006,0)), HYPERLINK("#",""), HYPERLINK(CONCATENATE("#Metadata!", ADDRESS(INDEX($M$2:$M$1001,MATCH(ROWS($K$2:K184),$K$2:$K$1001,0),0), INDEX($R$1004:$W$1004,1,MATCH(COLUMNS($R$1006:S1006),$R$1006:$W$1006,0)))),"Fix")))</f>
        <v>0</v>
      </c>
      <c r="D184" s="3">
        <f>IF(OR(INDEX($L$2:$L$1001,MATCH(ROWS($K$2:K184),$K$2:$K$1001,0),1)&gt;=100000,INDEX($R$1005:$W$1005,1,MATCH(COLUMNS($R$1006:T1006),$R$1006:$W$1006,0))&gt;=100000), " ",IF(INDEX($R$2:$W$1001,MATCH(ROWS($K$2:K184),$K$2:$K$1001,0),MATCH(COLUMNS($R$1006:T1006),$R$1006:$W$1006,0)), HYPERLINK("#",""), HYPERLINK(CONCATENATE("#Metadata!", ADDRESS(INDEX($M$2:$M$1001,MATCH(ROWS($K$2:K184),$K$2:$K$1001,0),0), INDEX($R$1004:$W$1004,1,MATCH(COLUMNS($R$1006:T1006),$R$1006:$W$1006,0)))),"Fix")))</f>
        <v>0</v>
      </c>
      <c r="E184" s="3">
        <f>IF(OR(INDEX($L$2:$L$1001,MATCH(ROWS($K$2:K184),$K$2:$K$1001,0),1)&gt;=100000,INDEX($R$1005:$W$1005,1,MATCH(COLUMNS($R$1006:U1006),$R$1006:$W$1006,0))&gt;=100000), " ",IF(INDEX($R$2:$W$1001,MATCH(ROWS($K$2:K184),$K$2:$K$1001,0),MATCH(COLUMNS($R$1006:U1006),$R$1006:$W$1006,0)), HYPERLINK("#",""), HYPERLINK(CONCATENATE("#Metadata!", ADDRESS(INDEX($M$2:$M$1001,MATCH(ROWS($K$2:K184),$K$2:$K$1001,0),0), INDEX($R$1004:$W$1004,1,MATCH(COLUMNS($R$1006:U1006),$R$1006:$W$1006,0)))),"Fix")))</f>
        <v>0</v>
      </c>
      <c r="F184" s="3">
        <f>IF(OR(INDEX($L$2:$L$1001,MATCH(ROWS($K$2:K184),$K$2:$K$1001,0),1)&gt;=100000,INDEX($R$1005:$W$1005,1,MATCH(COLUMNS($R$1006:V1006),$R$1006:$W$1006,0))&gt;=100000), " ",IF(INDEX($R$2:$W$1001,MATCH(ROWS($K$2:K184),$K$2:$K$1001,0),MATCH(COLUMNS($R$1006:V1006),$R$1006:$W$1006,0)), HYPERLINK("#",""), HYPERLINK(CONCATENATE("#Metadata!", ADDRESS(INDEX($M$2:$M$1001,MATCH(ROWS($K$2:K184),$K$2:$K$1001,0),0), INDEX($R$1004:$W$1004,1,MATCH(COLUMNS($R$1006:V1006),$R$1006:$W$1006,0)))),"Fix")))</f>
        <v>0</v>
      </c>
      <c r="G184" s="3">
        <f>IF(OR(INDEX($L$2:$L$1001,MATCH(ROWS($K$2:K184),$K$2:$K$1001,0),1)&gt;=100000,INDEX($R$1005:$W$1005,1,MATCH(COLUMNS($R$1006:W1006),$R$1006:$W$1006,0))&gt;=100000), " ",IF(INDEX($R$2:$W$1001,MATCH(ROWS($K$2:K184),$K$2:$K$1001,0),MATCH(COLUMNS($R$1006:W1006),$R$1006:$W$1006,0)), HYPERLINK("#",""), HYPERLINK(CONCATENATE("#Metadata!", ADDRESS(INDEX($M$2:$M$1001,MATCH(ROWS($K$2:K184),$K$2:$K$1001,0),0), INDEX($R$1004:$W$1004,1,MATCH(COLUMNS($R$1006:W1006),$R$1006:$W$1006,0)))),"Fix")))</f>
        <v>0</v>
      </c>
      <c r="K184">
        <v>0</v>
      </c>
      <c r="L184">
        <v>0</v>
      </c>
      <c r="M184">
        <v>0</v>
      </c>
      <c r="N184">
        <f>IF(O184,TRUE,AND(R184:W184))</f>
        <v>0</v>
      </c>
      <c r="O184">
        <f>COUNTBLANK(Metadata!B184:G184)=COLUMNS(Metadata!B184:G184)</f>
        <v>0</v>
      </c>
      <c r="P184">
        <v>0</v>
      </c>
      <c r="R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S184">
        <f>IF(Metadata!C184="",FALSE,TRUE)</f>
        <v>0</v>
      </c>
      <c r="T184">
        <f>IF(Metadata!D184="",FALSE,TRUE)</f>
        <v>0</v>
      </c>
      <c r="U184">
        <f>IF(Metadata!E184="",FALSE,TRUE)</f>
        <v>0</v>
      </c>
      <c r="V184">
        <f>AND(IF(Metadata!F184="",FALSE,TRUE),exact(Metadata!F184,"rat gut metagenome"))</f>
        <v>0</v>
      </c>
      <c r="W184">
        <f>AND(IF(Metadata!G184="",FALSE,TRUE),exact(Metadata!G184,"1436733"))</f>
        <v>0</v>
      </c>
    </row>
    <row r="185" spans="1:23">
      <c r="A185" s="4">
        <f>IF(B185=" "," ",HYPERLINK(CONCATENATE("#metadata!",ADDRESS(INDEX($M$2:$M$1001,MATCH(ROWS($K$2:K185),$K$2:$K$1001,0),0),1)),INDEX($P$2:$P$1001,MATCH(ROWS($K$2:K185),$K$2:$K$1001,0),0)))</f>
        <v>0</v>
      </c>
      <c r="B185" s="3">
        <f>IF(OR(INDEX($L$2:$L$1001,MATCH(ROWS($K$2:K185),$K$2:$K$1001,0),1)&gt;=100000,INDEX($R$1005:$W$1005,1,MATCH(COLUMNS($R$1006:R1006),$R$1006:$W$1006,0))&gt;=100000), " ",IF(INDEX($R$2:$W$1001,MATCH(ROWS($K$2:K185),$K$2:$K$1001,0),MATCH(COLUMNS($R$1006:R1006),$R$1006:$W$1006,0)), HYPERLINK("#",""), HYPERLINK(CONCATENATE("#Metadata!", ADDRESS(INDEX($M$2:$M$1001,MATCH(ROWS($K$2:K185),$K$2:$K$1001,0),0), INDEX($R$1004:$W$1004,1,MATCH(COLUMNS($R$1006:R1006),$R$1006:$W$1006,0)))),"Fix")))</f>
        <v>0</v>
      </c>
      <c r="C185" s="3">
        <f>IF(OR(INDEX($L$2:$L$1001,MATCH(ROWS($K$2:K185),$K$2:$K$1001,0),1)&gt;=100000,INDEX($R$1005:$W$1005,1,MATCH(COLUMNS($R$1006:S1006),$R$1006:$W$1006,0))&gt;=100000), " ",IF(INDEX($R$2:$W$1001,MATCH(ROWS($K$2:K185),$K$2:$K$1001,0),MATCH(COLUMNS($R$1006:S1006),$R$1006:$W$1006,0)), HYPERLINK("#",""), HYPERLINK(CONCATENATE("#Metadata!", ADDRESS(INDEX($M$2:$M$1001,MATCH(ROWS($K$2:K185),$K$2:$K$1001,0),0), INDEX($R$1004:$W$1004,1,MATCH(COLUMNS($R$1006:S1006),$R$1006:$W$1006,0)))),"Fix")))</f>
        <v>0</v>
      </c>
      <c r="D185" s="3">
        <f>IF(OR(INDEX($L$2:$L$1001,MATCH(ROWS($K$2:K185),$K$2:$K$1001,0),1)&gt;=100000,INDEX($R$1005:$W$1005,1,MATCH(COLUMNS($R$1006:T1006),$R$1006:$W$1006,0))&gt;=100000), " ",IF(INDEX($R$2:$W$1001,MATCH(ROWS($K$2:K185),$K$2:$K$1001,0),MATCH(COLUMNS($R$1006:T1006),$R$1006:$W$1006,0)), HYPERLINK("#",""), HYPERLINK(CONCATENATE("#Metadata!", ADDRESS(INDEX($M$2:$M$1001,MATCH(ROWS($K$2:K185),$K$2:$K$1001,0),0), INDEX($R$1004:$W$1004,1,MATCH(COLUMNS($R$1006:T1006),$R$1006:$W$1006,0)))),"Fix")))</f>
        <v>0</v>
      </c>
      <c r="E185" s="3">
        <f>IF(OR(INDEX($L$2:$L$1001,MATCH(ROWS($K$2:K185),$K$2:$K$1001,0),1)&gt;=100000,INDEX($R$1005:$W$1005,1,MATCH(COLUMNS($R$1006:U1006),$R$1006:$W$1006,0))&gt;=100000), " ",IF(INDEX($R$2:$W$1001,MATCH(ROWS($K$2:K185),$K$2:$K$1001,0),MATCH(COLUMNS($R$1006:U1006),$R$1006:$W$1006,0)), HYPERLINK("#",""), HYPERLINK(CONCATENATE("#Metadata!", ADDRESS(INDEX($M$2:$M$1001,MATCH(ROWS($K$2:K185),$K$2:$K$1001,0),0), INDEX($R$1004:$W$1004,1,MATCH(COLUMNS($R$1006:U1006),$R$1006:$W$1006,0)))),"Fix")))</f>
        <v>0</v>
      </c>
      <c r="F185" s="3">
        <f>IF(OR(INDEX($L$2:$L$1001,MATCH(ROWS($K$2:K185),$K$2:$K$1001,0),1)&gt;=100000,INDEX($R$1005:$W$1005,1,MATCH(COLUMNS($R$1006:V1006),$R$1006:$W$1006,0))&gt;=100000), " ",IF(INDEX($R$2:$W$1001,MATCH(ROWS($K$2:K185),$K$2:$K$1001,0),MATCH(COLUMNS($R$1006:V1006),$R$1006:$W$1006,0)), HYPERLINK("#",""), HYPERLINK(CONCATENATE("#Metadata!", ADDRESS(INDEX($M$2:$M$1001,MATCH(ROWS($K$2:K185),$K$2:$K$1001,0),0), INDEX($R$1004:$W$1004,1,MATCH(COLUMNS($R$1006:V1006),$R$1006:$W$1006,0)))),"Fix")))</f>
        <v>0</v>
      </c>
      <c r="G185" s="3">
        <f>IF(OR(INDEX($L$2:$L$1001,MATCH(ROWS($K$2:K185),$K$2:$K$1001,0),1)&gt;=100000,INDEX($R$1005:$W$1005,1,MATCH(COLUMNS($R$1006:W1006),$R$1006:$W$1006,0))&gt;=100000), " ",IF(INDEX($R$2:$W$1001,MATCH(ROWS($K$2:K185),$K$2:$K$1001,0),MATCH(COLUMNS($R$1006:W1006),$R$1006:$W$1006,0)), HYPERLINK("#",""), HYPERLINK(CONCATENATE("#Metadata!", ADDRESS(INDEX($M$2:$M$1001,MATCH(ROWS($K$2:K185),$K$2:$K$1001,0),0), INDEX($R$1004:$W$1004,1,MATCH(COLUMNS($R$1006:W1006),$R$1006:$W$1006,0)))),"Fix")))</f>
        <v>0</v>
      </c>
      <c r="K185">
        <v>0</v>
      </c>
      <c r="L185">
        <v>0</v>
      </c>
      <c r="M185">
        <v>0</v>
      </c>
      <c r="N185">
        <f>IF(O185,TRUE,AND(R185:W185))</f>
        <v>0</v>
      </c>
      <c r="O185">
        <f>COUNTBLANK(Metadata!B185:G185)=COLUMNS(Metadata!B185:G185)</f>
        <v>0</v>
      </c>
      <c r="P185">
        <v>0</v>
      </c>
      <c r="R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S185">
        <f>IF(Metadata!C185="",FALSE,TRUE)</f>
        <v>0</v>
      </c>
      <c r="T185">
        <f>IF(Metadata!D185="",FALSE,TRUE)</f>
        <v>0</v>
      </c>
      <c r="U185">
        <f>IF(Metadata!E185="",FALSE,TRUE)</f>
        <v>0</v>
      </c>
      <c r="V185">
        <f>AND(IF(Metadata!F185="",FALSE,TRUE),exact(Metadata!F185,"rat gut metagenome"))</f>
        <v>0</v>
      </c>
      <c r="W185">
        <f>AND(IF(Metadata!G185="",FALSE,TRUE),exact(Metadata!G185,"1436733"))</f>
        <v>0</v>
      </c>
    </row>
    <row r="186" spans="1:23">
      <c r="A186" s="4">
        <f>IF(B186=" "," ",HYPERLINK(CONCATENATE("#metadata!",ADDRESS(INDEX($M$2:$M$1001,MATCH(ROWS($K$2:K186),$K$2:$K$1001,0),0),1)),INDEX($P$2:$P$1001,MATCH(ROWS($K$2:K186),$K$2:$K$1001,0),0)))</f>
        <v>0</v>
      </c>
      <c r="B186" s="3">
        <f>IF(OR(INDEX($L$2:$L$1001,MATCH(ROWS($K$2:K186),$K$2:$K$1001,0),1)&gt;=100000,INDEX($R$1005:$W$1005,1,MATCH(COLUMNS($R$1006:R1006),$R$1006:$W$1006,0))&gt;=100000), " ",IF(INDEX($R$2:$W$1001,MATCH(ROWS($K$2:K186),$K$2:$K$1001,0),MATCH(COLUMNS($R$1006:R1006),$R$1006:$W$1006,0)), HYPERLINK("#",""), HYPERLINK(CONCATENATE("#Metadata!", ADDRESS(INDEX($M$2:$M$1001,MATCH(ROWS($K$2:K186),$K$2:$K$1001,0),0), INDEX($R$1004:$W$1004,1,MATCH(COLUMNS($R$1006:R1006),$R$1006:$W$1006,0)))),"Fix")))</f>
        <v>0</v>
      </c>
      <c r="C186" s="3">
        <f>IF(OR(INDEX($L$2:$L$1001,MATCH(ROWS($K$2:K186),$K$2:$K$1001,0),1)&gt;=100000,INDEX($R$1005:$W$1005,1,MATCH(COLUMNS($R$1006:S1006),$R$1006:$W$1006,0))&gt;=100000), " ",IF(INDEX($R$2:$W$1001,MATCH(ROWS($K$2:K186),$K$2:$K$1001,0),MATCH(COLUMNS($R$1006:S1006),$R$1006:$W$1006,0)), HYPERLINK("#",""), HYPERLINK(CONCATENATE("#Metadata!", ADDRESS(INDEX($M$2:$M$1001,MATCH(ROWS($K$2:K186),$K$2:$K$1001,0),0), INDEX($R$1004:$W$1004,1,MATCH(COLUMNS($R$1006:S1006),$R$1006:$W$1006,0)))),"Fix")))</f>
        <v>0</v>
      </c>
      <c r="D186" s="3">
        <f>IF(OR(INDEX($L$2:$L$1001,MATCH(ROWS($K$2:K186),$K$2:$K$1001,0),1)&gt;=100000,INDEX($R$1005:$W$1005,1,MATCH(COLUMNS($R$1006:T1006),$R$1006:$W$1006,0))&gt;=100000), " ",IF(INDEX($R$2:$W$1001,MATCH(ROWS($K$2:K186),$K$2:$K$1001,0),MATCH(COLUMNS($R$1006:T1006),$R$1006:$W$1006,0)), HYPERLINK("#",""), HYPERLINK(CONCATENATE("#Metadata!", ADDRESS(INDEX($M$2:$M$1001,MATCH(ROWS($K$2:K186),$K$2:$K$1001,0),0), INDEX($R$1004:$W$1004,1,MATCH(COLUMNS($R$1006:T1006),$R$1006:$W$1006,0)))),"Fix")))</f>
        <v>0</v>
      </c>
      <c r="E186" s="3">
        <f>IF(OR(INDEX($L$2:$L$1001,MATCH(ROWS($K$2:K186),$K$2:$K$1001,0),1)&gt;=100000,INDEX($R$1005:$W$1005,1,MATCH(COLUMNS($R$1006:U1006),$R$1006:$W$1006,0))&gt;=100000), " ",IF(INDEX($R$2:$W$1001,MATCH(ROWS($K$2:K186),$K$2:$K$1001,0),MATCH(COLUMNS($R$1006:U1006),$R$1006:$W$1006,0)), HYPERLINK("#",""), HYPERLINK(CONCATENATE("#Metadata!", ADDRESS(INDEX($M$2:$M$1001,MATCH(ROWS($K$2:K186),$K$2:$K$1001,0),0), INDEX($R$1004:$W$1004,1,MATCH(COLUMNS($R$1006:U1006),$R$1006:$W$1006,0)))),"Fix")))</f>
        <v>0</v>
      </c>
      <c r="F186" s="3">
        <f>IF(OR(INDEX($L$2:$L$1001,MATCH(ROWS($K$2:K186),$K$2:$K$1001,0),1)&gt;=100000,INDEX($R$1005:$W$1005,1,MATCH(COLUMNS($R$1006:V1006),$R$1006:$W$1006,0))&gt;=100000), " ",IF(INDEX($R$2:$W$1001,MATCH(ROWS($K$2:K186),$K$2:$K$1001,0),MATCH(COLUMNS($R$1006:V1006),$R$1006:$W$1006,0)), HYPERLINK("#",""), HYPERLINK(CONCATENATE("#Metadata!", ADDRESS(INDEX($M$2:$M$1001,MATCH(ROWS($K$2:K186),$K$2:$K$1001,0),0), INDEX($R$1004:$W$1004,1,MATCH(COLUMNS($R$1006:V1006),$R$1006:$W$1006,0)))),"Fix")))</f>
        <v>0</v>
      </c>
      <c r="G186" s="3">
        <f>IF(OR(INDEX($L$2:$L$1001,MATCH(ROWS($K$2:K186),$K$2:$K$1001,0),1)&gt;=100000,INDEX($R$1005:$W$1005,1,MATCH(COLUMNS($R$1006:W1006),$R$1006:$W$1006,0))&gt;=100000), " ",IF(INDEX($R$2:$W$1001,MATCH(ROWS($K$2:K186),$K$2:$K$1001,0),MATCH(COLUMNS($R$1006:W1006),$R$1006:$W$1006,0)), HYPERLINK("#",""), HYPERLINK(CONCATENATE("#Metadata!", ADDRESS(INDEX($M$2:$M$1001,MATCH(ROWS($K$2:K186),$K$2:$K$1001,0),0), INDEX($R$1004:$W$1004,1,MATCH(COLUMNS($R$1006:W1006),$R$1006:$W$1006,0)))),"Fix")))</f>
        <v>0</v>
      </c>
      <c r="K186">
        <v>0</v>
      </c>
      <c r="L186">
        <v>0</v>
      </c>
      <c r="M186">
        <v>0</v>
      </c>
      <c r="N186">
        <f>IF(O186,TRUE,AND(R186:W186))</f>
        <v>0</v>
      </c>
      <c r="O186">
        <f>COUNTBLANK(Metadata!B186:G186)=COLUMNS(Metadata!B186:G186)</f>
        <v>0</v>
      </c>
      <c r="P186">
        <v>0</v>
      </c>
      <c r="R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S186">
        <f>IF(Metadata!C186="",FALSE,TRUE)</f>
        <v>0</v>
      </c>
      <c r="T186">
        <f>IF(Metadata!D186="",FALSE,TRUE)</f>
        <v>0</v>
      </c>
      <c r="U186">
        <f>IF(Metadata!E186="",FALSE,TRUE)</f>
        <v>0</v>
      </c>
      <c r="V186">
        <f>AND(IF(Metadata!F186="",FALSE,TRUE),exact(Metadata!F186,"rat gut metagenome"))</f>
        <v>0</v>
      </c>
      <c r="W186">
        <f>AND(IF(Metadata!G186="",FALSE,TRUE),exact(Metadata!G186,"1436733"))</f>
        <v>0</v>
      </c>
    </row>
    <row r="187" spans="1:23">
      <c r="A187" s="4">
        <f>IF(B187=" "," ",HYPERLINK(CONCATENATE("#metadata!",ADDRESS(INDEX($M$2:$M$1001,MATCH(ROWS($K$2:K187),$K$2:$K$1001,0),0),1)),INDEX($P$2:$P$1001,MATCH(ROWS($K$2:K187),$K$2:$K$1001,0),0)))</f>
        <v>0</v>
      </c>
      <c r="B187" s="3">
        <f>IF(OR(INDEX($L$2:$L$1001,MATCH(ROWS($K$2:K187),$K$2:$K$1001,0),1)&gt;=100000,INDEX($R$1005:$W$1005,1,MATCH(COLUMNS($R$1006:R1006),$R$1006:$W$1006,0))&gt;=100000), " ",IF(INDEX($R$2:$W$1001,MATCH(ROWS($K$2:K187),$K$2:$K$1001,0),MATCH(COLUMNS($R$1006:R1006),$R$1006:$W$1006,0)), HYPERLINK("#",""), HYPERLINK(CONCATENATE("#Metadata!", ADDRESS(INDEX($M$2:$M$1001,MATCH(ROWS($K$2:K187),$K$2:$K$1001,0),0), INDEX($R$1004:$W$1004,1,MATCH(COLUMNS($R$1006:R1006),$R$1006:$W$1006,0)))),"Fix")))</f>
        <v>0</v>
      </c>
      <c r="C187" s="3">
        <f>IF(OR(INDEX($L$2:$L$1001,MATCH(ROWS($K$2:K187),$K$2:$K$1001,0),1)&gt;=100000,INDEX($R$1005:$W$1005,1,MATCH(COLUMNS($R$1006:S1006),$R$1006:$W$1006,0))&gt;=100000), " ",IF(INDEX($R$2:$W$1001,MATCH(ROWS($K$2:K187),$K$2:$K$1001,0),MATCH(COLUMNS($R$1006:S1006),$R$1006:$W$1006,0)), HYPERLINK("#",""), HYPERLINK(CONCATENATE("#Metadata!", ADDRESS(INDEX($M$2:$M$1001,MATCH(ROWS($K$2:K187),$K$2:$K$1001,0),0), INDEX($R$1004:$W$1004,1,MATCH(COLUMNS($R$1006:S1006),$R$1006:$W$1006,0)))),"Fix")))</f>
        <v>0</v>
      </c>
      <c r="D187" s="3">
        <f>IF(OR(INDEX($L$2:$L$1001,MATCH(ROWS($K$2:K187),$K$2:$K$1001,0),1)&gt;=100000,INDEX($R$1005:$W$1005,1,MATCH(COLUMNS($R$1006:T1006),$R$1006:$W$1006,0))&gt;=100000), " ",IF(INDEX($R$2:$W$1001,MATCH(ROWS($K$2:K187),$K$2:$K$1001,0),MATCH(COLUMNS($R$1006:T1006),$R$1006:$W$1006,0)), HYPERLINK("#",""), HYPERLINK(CONCATENATE("#Metadata!", ADDRESS(INDEX($M$2:$M$1001,MATCH(ROWS($K$2:K187),$K$2:$K$1001,0),0), INDEX($R$1004:$W$1004,1,MATCH(COLUMNS($R$1006:T1006),$R$1006:$W$1006,0)))),"Fix")))</f>
        <v>0</v>
      </c>
      <c r="E187" s="3">
        <f>IF(OR(INDEX($L$2:$L$1001,MATCH(ROWS($K$2:K187),$K$2:$K$1001,0),1)&gt;=100000,INDEX($R$1005:$W$1005,1,MATCH(COLUMNS($R$1006:U1006),$R$1006:$W$1006,0))&gt;=100000), " ",IF(INDEX($R$2:$W$1001,MATCH(ROWS($K$2:K187),$K$2:$K$1001,0),MATCH(COLUMNS($R$1006:U1006),$R$1006:$W$1006,0)), HYPERLINK("#",""), HYPERLINK(CONCATENATE("#Metadata!", ADDRESS(INDEX($M$2:$M$1001,MATCH(ROWS($K$2:K187),$K$2:$K$1001,0),0), INDEX($R$1004:$W$1004,1,MATCH(COLUMNS($R$1006:U1006),$R$1006:$W$1006,0)))),"Fix")))</f>
        <v>0</v>
      </c>
      <c r="F187" s="3">
        <f>IF(OR(INDEX($L$2:$L$1001,MATCH(ROWS($K$2:K187),$K$2:$K$1001,0),1)&gt;=100000,INDEX($R$1005:$W$1005,1,MATCH(COLUMNS($R$1006:V1006),$R$1006:$W$1006,0))&gt;=100000), " ",IF(INDEX($R$2:$W$1001,MATCH(ROWS($K$2:K187),$K$2:$K$1001,0),MATCH(COLUMNS($R$1006:V1006),$R$1006:$W$1006,0)), HYPERLINK("#",""), HYPERLINK(CONCATENATE("#Metadata!", ADDRESS(INDEX($M$2:$M$1001,MATCH(ROWS($K$2:K187),$K$2:$K$1001,0),0), INDEX($R$1004:$W$1004,1,MATCH(COLUMNS($R$1006:V1006),$R$1006:$W$1006,0)))),"Fix")))</f>
        <v>0</v>
      </c>
      <c r="G187" s="3">
        <f>IF(OR(INDEX($L$2:$L$1001,MATCH(ROWS($K$2:K187),$K$2:$K$1001,0),1)&gt;=100000,INDEX($R$1005:$W$1005,1,MATCH(COLUMNS($R$1006:W1006),$R$1006:$W$1006,0))&gt;=100000), " ",IF(INDEX($R$2:$W$1001,MATCH(ROWS($K$2:K187),$K$2:$K$1001,0),MATCH(COLUMNS($R$1006:W1006),$R$1006:$W$1006,0)), HYPERLINK("#",""), HYPERLINK(CONCATENATE("#Metadata!", ADDRESS(INDEX($M$2:$M$1001,MATCH(ROWS($K$2:K187),$K$2:$K$1001,0),0), INDEX($R$1004:$W$1004,1,MATCH(COLUMNS($R$1006:W1006),$R$1006:$W$1006,0)))),"Fix")))</f>
        <v>0</v>
      </c>
      <c r="K187">
        <v>0</v>
      </c>
      <c r="L187">
        <v>0</v>
      </c>
      <c r="M187">
        <v>0</v>
      </c>
      <c r="N187">
        <f>IF(O187,TRUE,AND(R187:W187))</f>
        <v>0</v>
      </c>
      <c r="O187">
        <f>COUNTBLANK(Metadata!B187:G187)=COLUMNS(Metadata!B187:G187)</f>
        <v>0</v>
      </c>
      <c r="P187">
        <v>0</v>
      </c>
      <c r="R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S187">
        <f>IF(Metadata!C187="",FALSE,TRUE)</f>
        <v>0</v>
      </c>
      <c r="T187">
        <f>IF(Metadata!D187="",FALSE,TRUE)</f>
        <v>0</v>
      </c>
      <c r="U187">
        <f>IF(Metadata!E187="",FALSE,TRUE)</f>
        <v>0</v>
      </c>
      <c r="V187">
        <f>AND(IF(Metadata!F187="",FALSE,TRUE),exact(Metadata!F187,"rat gut metagenome"))</f>
        <v>0</v>
      </c>
      <c r="W187">
        <f>AND(IF(Metadata!G187="",FALSE,TRUE),exact(Metadata!G187,"1436733"))</f>
        <v>0</v>
      </c>
    </row>
    <row r="188" spans="1:23">
      <c r="A188" s="4">
        <f>IF(B188=" "," ",HYPERLINK(CONCATENATE("#metadata!",ADDRESS(INDEX($M$2:$M$1001,MATCH(ROWS($K$2:K188),$K$2:$K$1001,0),0),1)),INDEX($P$2:$P$1001,MATCH(ROWS($K$2:K188),$K$2:$K$1001,0),0)))</f>
        <v>0</v>
      </c>
      <c r="B188" s="3">
        <f>IF(OR(INDEX($L$2:$L$1001,MATCH(ROWS($K$2:K188),$K$2:$K$1001,0),1)&gt;=100000,INDEX($R$1005:$W$1005,1,MATCH(COLUMNS($R$1006:R1006),$R$1006:$W$1006,0))&gt;=100000), " ",IF(INDEX($R$2:$W$1001,MATCH(ROWS($K$2:K188),$K$2:$K$1001,0),MATCH(COLUMNS($R$1006:R1006),$R$1006:$W$1006,0)), HYPERLINK("#",""), HYPERLINK(CONCATENATE("#Metadata!", ADDRESS(INDEX($M$2:$M$1001,MATCH(ROWS($K$2:K188),$K$2:$K$1001,0),0), INDEX($R$1004:$W$1004,1,MATCH(COLUMNS($R$1006:R1006),$R$1006:$W$1006,0)))),"Fix")))</f>
        <v>0</v>
      </c>
      <c r="C188" s="3">
        <f>IF(OR(INDEX($L$2:$L$1001,MATCH(ROWS($K$2:K188),$K$2:$K$1001,0),1)&gt;=100000,INDEX($R$1005:$W$1005,1,MATCH(COLUMNS($R$1006:S1006),$R$1006:$W$1006,0))&gt;=100000), " ",IF(INDEX($R$2:$W$1001,MATCH(ROWS($K$2:K188),$K$2:$K$1001,0),MATCH(COLUMNS($R$1006:S1006),$R$1006:$W$1006,0)), HYPERLINK("#",""), HYPERLINK(CONCATENATE("#Metadata!", ADDRESS(INDEX($M$2:$M$1001,MATCH(ROWS($K$2:K188),$K$2:$K$1001,0),0), INDEX($R$1004:$W$1004,1,MATCH(COLUMNS($R$1006:S1006),$R$1006:$W$1006,0)))),"Fix")))</f>
        <v>0</v>
      </c>
      <c r="D188" s="3">
        <f>IF(OR(INDEX($L$2:$L$1001,MATCH(ROWS($K$2:K188),$K$2:$K$1001,0),1)&gt;=100000,INDEX($R$1005:$W$1005,1,MATCH(COLUMNS($R$1006:T1006),$R$1006:$W$1006,0))&gt;=100000), " ",IF(INDEX($R$2:$W$1001,MATCH(ROWS($K$2:K188),$K$2:$K$1001,0),MATCH(COLUMNS($R$1006:T1006),$R$1006:$W$1006,0)), HYPERLINK("#",""), HYPERLINK(CONCATENATE("#Metadata!", ADDRESS(INDEX($M$2:$M$1001,MATCH(ROWS($K$2:K188),$K$2:$K$1001,0),0), INDEX($R$1004:$W$1004,1,MATCH(COLUMNS($R$1006:T1006),$R$1006:$W$1006,0)))),"Fix")))</f>
        <v>0</v>
      </c>
      <c r="E188" s="3">
        <f>IF(OR(INDEX($L$2:$L$1001,MATCH(ROWS($K$2:K188),$K$2:$K$1001,0),1)&gt;=100000,INDEX($R$1005:$W$1005,1,MATCH(COLUMNS($R$1006:U1006),$R$1006:$W$1006,0))&gt;=100000), " ",IF(INDEX($R$2:$W$1001,MATCH(ROWS($K$2:K188),$K$2:$K$1001,0),MATCH(COLUMNS($R$1006:U1006),$R$1006:$W$1006,0)), HYPERLINK("#",""), HYPERLINK(CONCATENATE("#Metadata!", ADDRESS(INDEX($M$2:$M$1001,MATCH(ROWS($K$2:K188),$K$2:$K$1001,0),0), INDEX($R$1004:$W$1004,1,MATCH(COLUMNS($R$1006:U1006),$R$1006:$W$1006,0)))),"Fix")))</f>
        <v>0</v>
      </c>
      <c r="F188" s="3">
        <f>IF(OR(INDEX($L$2:$L$1001,MATCH(ROWS($K$2:K188),$K$2:$K$1001,0),1)&gt;=100000,INDEX($R$1005:$W$1005,1,MATCH(COLUMNS($R$1006:V1006),$R$1006:$W$1006,0))&gt;=100000), " ",IF(INDEX($R$2:$W$1001,MATCH(ROWS($K$2:K188),$K$2:$K$1001,0),MATCH(COLUMNS($R$1006:V1006),$R$1006:$W$1006,0)), HYPERLINK("#",""), HYPERLINK(CONCATENATE("#Metadata!", ADDRESS(INDEX($M$2:$M$1001,MATCH(ROWS($K$2:K188),$K$2:$K$1001,0),0), INDEX($R$1004:$W$1004,1,MATCH(COLUMNS($R$1006:V1006),$R$1006:$W$1006,0)))),"Fix")))</f>
        <v>0</v>
      </c>
      <c r="G188" s="3">
        <f>IF(OR(INDEX($L$2:$L$1001,MATCH(ROWS($K$2:K188),$K$2:$K$1001,0),1)&gt;=100000,INDEX($R$1005:$W$1005,1,MATCH(COLUMNS($R$1006:W1006),$R$1006:$W$1006,0))&gt;=100000), " ",IF(INDEX($R$2:$W$1001,MATCH(ROWS($K$2:K188),$K$2:$K$1001,0),MATCH(COLUMNS($R$1006:W1006),$R$1006:$W$1006,0)), HYPERLINK("#",""), HYPERLINK(CONCATENATE("#Metadata!", ADDRESS(INDEX($M$2:$M$1001,MATCH(ROWS($K$2:K188),$K$2:$K$1001,0),0), INDEX($R$1004:$W$1004,1,MATCH(COLUMNS($R$1006:W1006),$R$1006:$W$1006,0)))),"Fix")))</f>
        <v>0</v>
      </c>
      <c r="K188">
        <v>0</v>
      </c>
      <c r="L188">
        <v>0</v>
      </c>
      <c r="M188">
        <v>0</v>
      </c>
      <c r="N188">
        <f>IF(O188,TRUE,AND(R188:W188))</f>
        <v>0</v>
      </c>
      <c r="O188">
        <f>COUNTBLANK(Metadata!B188:G188)=COLUMNS(Metadata!B188:G188)</f>
        <v>0</v>
      </c>
      <c r="P188">
        <v>0</v>
      </c>
      <c r="R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S188">
        <f>IF(Metadata!C188="",FALSE,TRUE)</f>
        <v>0</v>
      </c>
      <c r="T188">
        <f>IF(Metadata!D188="",FALSE,TRUE)</f>
        <v>0</v>
      </c>
      <c r="U188">
        <f>IF(Metadata!E188="",FALSE,TRUE)</f>
        <v>0</v>
      </c>
      <c r="V188">
        <f>AND(IF(Metadata!F188="",FALSE,TRUE),exact(Metadata!F188,"rat gut metagenome"))</f>
        <v>0</v>
      </c>
      <c r="W188">
        <f>AND(IF(Metadata!G188="",FALSE,TRUE),exact(Metadata!G188,"1436733"))</f>
        <v>0</v>
      </c>
    </row>
    <row r="189" spans="1:23">
      <c r="A189" s="4">
        <f>IF(B189=" "," ",HYPERLINK(CONCATENATE("#metadata!",ADDRESS(INDEX($M$2:$M$1001,MATCH(ROWS($K$2:K189),$K$2:$K$1001,0),0),1)),INDEX($P$2:$P$1001,MATCH(ROWS($K$2:K189),$K$2:$K$1001,0),0)))</f>
        <v>0</v>
      </c>
      <c r="B189" s="3">
        <f>IF(OR(INDEX($L$2:$L$1001,MATCH(ROWS($K$2:K189),$K$2:$K$1001,0),1)&gt;=100000,INDEX($R$1005:$W$1005,1,MATCH(COLUMNS($R$1006:R1006),$R$1006:$W$1006,0))&gt;=100000), " ",IF(INDEX($R$2:$W$1001,MATCH(ROWS($K$2:K189),$K$2:$K$1001,0),MATCH(COLUMNS($R$1006:R1006),$R$1006:$W$1006,0)), HYPERLINK("#",""), HYPERLINK(CONCATENATE("#Metadata!", ADDRESS(INDEX($M$2:$M$1001,MATCH(ROWS($K$2:K189),$K$2:$K$1001,0),0), INDEX($R$1004:$W$1004,1,MATCH(COLUMNS($R$1006:R1006),$R$1006:$W$1006,0)))),"Fix")))</f>
        <v>0</v>
      </c>
      <c r="C189" s="3">
        <f>IF(OR(INDEX($L$2:$L$1001,MATCH(ROWS($K$2:K189),$K$2:$K$1001,0),1)&gt;=100000,INDEX($R$1005:$W$1005,1,MATCH(COLUMNS($R$1006:S1006),$R$1006:$W$1006,0))&gt;=100000), " ",IF(INDEX($R$2:$W$1001,MATCH(ROWS($K$2:K189),$K$2:$K$1001,0),MATCH(COLUMNS($R$1006:S1006),$R$1006:$W$1006,0)), HYPERLINK("#",""), HYPERLINK(CONCATENATE("#Metadata!", ADDRESS(INDEX($M$2:$M$1001,MATCH(ROWS($K$2:K189),$K$2:$K$1001,0),0), INDEX($R$1004:$W$1004,1,MATCH(COLUMNS($R$1006:S1006),$R$1006:$W$1006,0)))),"Fix")))</f>
        <v>0</v>
      </c>
      <c r="D189" s="3">
        <f>IF(OR(INDEX($L$2:$L$1001,MATCH(ROWS($K$2:K189),$K$2:$K$1001,0),1)&gt;=100000,INDEX($R$1005:$W$1005,1,MATCH(COLUMNS($R$1006:T1006),$R$1006:$W$1006,0))&gt;=100000), " ",IF(INDEX($R$2:$W$1001,MATCH(ROWS($K$2:K189),$K$2:$K$1001,0),MATCH(COLUMNS($R$1006:T1006),$R$1006:$W$1006,0)), HYPERLINK("#",""), HYPERLINK(CONCATENATE("#Metadata!", ADDRESS(INDEX($M$2:$M$1001,MATCH(ROWS($K$2:K189),$K$2:$K$1001,0),0), INDEX($R$1004:$W$1004,1,MATCH(COLUMNS($R$1006:T1006),$R$1006:$W$1006,0)))),"Fix")))</f>
        <v>0</v>
      </c>
      <c r="E189" s="3">
        <f>IF(OR(INDEX($L$2:$L$1001,MATCH(ROWS($K$2:K189),$K$2:$K$1001,0),1)&gt;=100000,INDEX($R$1005:$W$1005,1,MATCH(COLUMNS($R$1006:U1006),$R$1006:$W$1006,0))&gt;=100000), " ",IF(INDEX($R$2:$W$1001,MATCH(ROWS($K$2:K189),$K$2:$K$1001,0),MATCH(COLUMNS($R$1006:U1006),$R$1006:$W$1006,0)), HYPERLINK("#",""), HYPERLINK(CONCATENATE("#Metadata!", ADDRESS(INDEX($M$2:$M$1001,MATCH(ROWS($K$2:K189),$K$2:$K$1001,0),0), INDEX($R$1004:$W$1004,1,MATCH(COLUMNS($R$1006:U1006),$R$1006:$W$1006,0)))),"Fix")))</f>
        <v>0</v>
      </c>
      <c r="F189" s="3">
        <f>IF(OR(INDEX($L$2:$L$1001,MATCH(ROWS($K$2:K189),$K$2:$K$1001,0),1)&gt;=100000,INDEX($R$1005:$W$1005,1,MATCH(COLUMNS($R$1006:V1006),$R$1006:$W$1006,0))&gt;=100000), " ",IF(INDEX($R$2:$W$1001,MATCH(ROWS($K$2:K189),$K$2:$K$1001,0),MATCH(COLUMNS($R$1006:V1006),$R$1006:$W$1006,0)), HYPERLINK("#",""), HYPERLINK(CONCATENATE("#Metadata!", ADDRESS(INDEX($M$2:$M$1001,MATCH(ROWS($K$2:K189),$K$2:$K$1001,0),0), INDEX($R$1004:$W$1004,1,MATCH(COLUMNS($R$1006:V1006),$R$1006:$W$1006,0)))),"Fix")))</f>
        <v>0</v>
      </c>
      <c r="G189" s="3">
        <f>IF(OR(INDEX($L$2:$L$1001,MATCH(ROWS($K$2:K189),$K$2:$K$1001,0),1)&gt;=100000,INDEX($R$1005:$W$1005,1,MATCH(COLUMNS($R$1006:W1006),$R$1006:$W$1006,0))&gt;=100000), " ",IF(INDEX($R$2:$W$1001,MATCH(ROWS($K$2:K189),$K$2:$K$1001,0),MATCH(COLUMNS($R$1006:W1006),$R$1006:$W$1006,0)), HYPERLINK("#",""), HYPERLINK(CONCATENATE("#Metadata!", ADDRESS(INDEX($M$2:$M$1001,MATCH(ROWS($K$2:K189),$K$2:$K$1001,0),0), INDEX($R$1004:$W$1004,1,MATCH(COLUMNS($R$1006:W1006),$R$1006:$W$1006,0)))),"Fix")))</f>
        <v>0</v>
      </c>
      <c r="K189">
        <v>0</v>
      </c>
      <c r="L189">
        <v>0</v>
      </c>
      <c r="M189">
        <v>0</v>
      </c>
      <c r="N189">
        <f>IF(O189,TRUE,AND(R189:W189))</f>
        <v>0</v>
      </c>
      <c r="O189">
        <f>COUNTBLANK(Metadata!B189:G189)=COLUMNS(Metadata!B189:G189)</f>
        <v>0</v>
      </c>
      <c r="P189">
        <v>0</v>
      </c>
      <c r="R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S189">
        <f>IF(Metadata!C189="",FALSE,TRUE)</f>
        <v>0</v>
      </c>
      <c r="T189">
        <f>IF(Metadata!D189="",FALSE,TRUE)</f>
        <v>0</v>
      </c>
      <c r="U189">
        <f>IF(Metadata!E189="",FALSE,TRUE)</f>
        <v>0</v>
      </c>
      <c r="V189">
        <f>AND(IF(Metadata!F189="",FALSE,TRUE),exact(Metadata!F189,"rat gut metagenome"))</f>
        <v>0</v>
      </c>
      <c r="W189">
        <f>AND(IF(Metadata!G189="",FALSE,TRUE),exact(Metadata!G189,"1436733"))</f>
        <v>0</v>
      </c>
    </row>
    <row r="190" spans="1:23">
      <c r="A190" s="4">
        <f>IF(B190=" "," ",HYPERLINK(CONCATENATE("#metadata!",ADDRESS(INDEX($M$2:$M$1001,MATCH(ROWS($K$2:K190),$K$2:$K$1001,0),0),1)),INDEX($P$2:$P$1001,MATCH(ROWS($K$2:K190),$K$2:$K$1001,0),0)))</f>
        <v>0</v>
      </c>
      <c r="B190" s="3">
        <f>IF(OR(INDEX($L$2:$L$1001,MATCH(ROWS($K$2:K190),$K$2:$K$1001,0),1)&gt;=100000,INDEX($R$1005:$W$1005,1,MATCH(COLUMNS($R$1006:R1006),$R$1006:$W$1006,0))&gt;=100000), " ",IF(INDEX($R$2:$W$1001,MATCH(ROWS($K$2:K190),$K$2:$K$1001,0),MATCH(COLUMNS($R$1006:R1006),$R$1006:$W$1006,0)), HYPERLINK("#",""), HYPERLINK(CONCATENATE("#Metadata!", ADDRESS(INDEX($M$2:$M$1001,MATCH(ROWS($K$2:K190),$K$2:$K$1001,0),0), INDEX($R$1004:$W$1004,1,MATCH(COLUMNS($R$1006:R1006),$R$1006:$W$1006,0)))),"Fix")))</f>
        <v>0</v>
      </c>
      <c r="C190" s="3">
        <f>IF(OR(INDEX($L$2:$L$1001,MATCH(ROWS($K$2:K190),$K$2:$K$1001,0),1)&gt;=100000,INDEX($R$1005:$W$1005,1,MATCH(COLUMNS($R$1006:S1006),$R$1006:$W$1006,0))&gt;=100000), " ",IF(INDEX($R$2:$W$1001,MATCH(ROWS($K$2:K190),$K$2:$K$1001,0),MATCH(COLUMNS($R$1006:S1006),$R$1006:$W$1006,0)), HYPERLINK("#",""), HYPERLINK(CONCATENATE("#Metadata!", ADDRESS(INDEX($M$2:$M$1001,MATCH(ROWS($K$2:K190),$K$2:$K$1001,0),0), INDEX($R$1004:$W$1004,1,MATCH(COLUMNS($R$1006:S1006),$R$1006:$W$1006,0)))),"Fix")))</f>
        <v>0</v>
      </c>
      <c r="D190" s="3">
        <f>IF(OR(INDEX($L$2:$L$1001,MATCH(ROWS($K$2:K190),$K$2:$K$1001,0),1)&gt;=100000,INDEX($R$1005:$W$1005,1,MATCH(COLUMNS($R$1006:T1006),$R$1006:$W$1006,0))&gt;=100000), " ",IF(INDEX($R$2:$W$1001,MATCH(ROWS($K$2:K190),$K$2:$K$1001,0),MATCH(COLUMNS($R$1006:T1006),$R$1006:$W$1006,0)), HYPERLINK("#",""), HYPERLINK(CONCATENATE("#Metadata!", ADDRESS(INDEX($M$2:$M$1001,MATCH(ROWS($K$2:K190),$K$2:$K$1001,0),0), INDEX($R$1004:$W$1004,1,MATCH(COLUMNS($R$1006:T1006),$R$1006:$W$1006,0)))),"Fix")))</f>
        <v>0</v>
      </c>
      <c r="E190" s="3">
        <f>IF(OR(INDEX($L$2:$L$1001,MATCH(ROWS($K$2:K190),$K$2:$K$1001,0),1)&gt;=100000,INDEX($R$1005:$W$1005,1,MATCH(COLUMNS($R$1006:U1006),$R$1006:$W$1006,0))&gt;=100000), " ",IF(INDEX($R$2:$W$1001,MATCH(ROWS($K$2:K190),$K$2:$K$1001,0),MATCH(COLUMNS($R$1006:U1006),$R$1006:$W$1006,0)), HYPERLINK("#",""), HYPERLINK(CONCATENATE("#Metadata!", ADDRESS(INDEX($M$2:$M$1001,MATCH(ROWS($K$2:K190),$K$2:$K$1001,0),0), INDEX($R$1004:$W$1004,1,MATCH(COLUMNS($R$1006:U1006),$R$1006:$W$1006,0)))),"Fix")))</f>
        <v>0</v>
      </c>
      <c r="F190" s="3">
        <f>IF(OR(INDEX($L$2:$L$1001,MATCH(ROWS($K$2:K190),$K$2:$K$1001,0),1)&gt;=100000,INDEX($R$1005:$W$1005,1,MATCH(COLUMNS($R$1006:V1006),$R$1006:$W$1006,0))&gt;=100000), " ",IF(INDEX($R$2:$W$1001,MATCH(ROWS($K$2:K190),$K$2:$K$1001,0),MATCH(COLUMNS($R$1006:V1006),$R$1006:$W$1006,0)), HYPERLINK("#",""), HYPERLINK(CONCATENATE("#Metadata!", ADDRESS(INDEX($M$2:$M$1001,MATCH(ROWS($K$2:K190),$K$2:$K$1001,0),0), INDEX($R$1004:$W$1004,1,MATCH(COLUMNS($R$1006:V1006),$R$1006:$W$1006,0)))),"Fix")))</f>
        <v>0</v>
      </c>
      <c r="G190" s="3">
        <f>IF(OR(INDEX($L$2:$L$1001,MATCH(ROWS($K$2:K190),$K$2:$K$1001,0),1)&gt;=100000,INDEX($R$1005:$W$1005,1,MATCH(COLUMNS($R$1006:W1006),$R$1006:$W$1006,0))&gt;=100000), " ",IF(INDEX($R$2:$W$1001,MATCH(ROWS($K$2:K190),$K$2:$K$1001,0),MATCH(COLUMNS($R$1006:W1006),$R$1006:$W$1006,0)), HYPERLINK("#",""), HYPERLINK(CONCATENATE("#Metadata!", ADDRESS(INDEX($M$2:$M$1001,MATCH(ROWS($K$2:K190),$K$2:$K$1001,0),0), INDEX($R$1004:$W$1004,1,MATCH(COLUMNS($R$1006:W1006),$R$1006:$W$1006,0)))),"Fix")))</f>
        <v>0</v>
      </c>
      <c r="K190">
        <v>0</v>
      </c>
      <c r="L190">
        <v>0</v>
      </c>
      <c r="M190">
        <v>0</v>
      </c>
      <c r="N190">
        <f>IF(O190,TRUE,AND(R190:W190))</f>
        <v>0</v>
      </c>
      <c r="O190">
        <f>COUNTBLANK(Metadata!B190:G190)=COLUMNS(Metadata!B190:G190)</f>
        <v>0</v>
      </c>
      <c r="P190">
        <v>0</v>
      </c>
      <c r="R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S190">
        <f>IF(Metadata!C190="",FALSE,TRUE)</f>
        <v>0</v>
      </c>
      <c r="T190">
        <f>IF(Metadata!D190="",FALSE,TRUE)</f>
        <v>0</v>
      </c>
      <c r="U190">
        <f>IF(Metadata!E190="",FALSE,TRUE)</f>
        <v>0</v>
      </c>
      <c r="V190">
        <f>AND(IF(Metadata!F190="",FALSE,TRUE),exact(Metadata!F190,"rat gut metagenome"))</f>
        <v>0</v>
      </c>
      <c r="W190">
        <f>AND(IF(Metadata!G190="",FALSE,TRUE),exact(Metadata!G190,"1436733"))</f>
        <v>0</v>
      </c>
    </row>
    <row r="191" spans="1:23">
      <c r="A191" s="4">
        <f>IF(B191=" "," ",HYPERLINK(CONCATENATE("#metadata!",ADDRESS(INDEX($M$2:$M$1001,MATCH(ROWS($K$2:K191),$K$2:$K$1001,0),0),1)),INDEX($P$2:$P$1001,MATCH(ROWS($K$2:K191),$K$2:$K$1001,0),0)))</f>
        <v>0</v>
      </c>
      <c r="B191" s="3">
        <f>IF(OR(INDEX($L$2:$L$1001,MATCH(ROWS($K$2:K191),$K$2:$K$1001,0),1)&gt;=100000,INDEX($R$1005:$W$1005,1,MATCH(COLUMNS($R$1006:R1006),$R$1006:$W$1006,0))&gt;=100000), " ",IF(INDEX($R$2:$W$1001,MATCH(ROWS($K$2:K191),$K$2:$K$1001,0),MATCH(COLUMNS($R$1006:R1006),$R$1006:$W$1006,0)), HYPERLINK("#",""), HYPERLINK(CONCATENATE("#Metadata!", ADDRESS(INDEX($M$2:$M$1001,MATCH(ROWS($K$2:K191),$K$2:$K$1001,0),0), INDEX($R$1004:$W$1004,1,MATCH(COLUMNS($R$1006:R1006),$R$1006:$W$1006,0)))),"Fix")))</f>
        <v>0</v>
      </c>
      <c r="C191" s="3">
        <f>IF(OR(INDEX($L$2:$L$1001,MATCH(ROWS($K$2:K191),$K$2:$K$1001,0),1)&gt;=100000,INDEX($R$1005:$W$1005,1,MATCH(COLUMNS($R$1006:S1006),$R$1006:$W$1006,0))&gt;=100000), " ",IF(INDEX($R$2:$W$1001,MATCH(ROWS($K$2:K191),$K$2:$K$1001,0),MATCH(COLUMNS($R$1006:S1006),$R$1006:$W$1006,0)), HYPERLINK("#",""), HYPERLINK(CONCATENATE("#Metadata!", ADDRESS(INDEX($M$2:$M$1001,MATCH(ROWS($K$2:K191),$K$2:$K$1001,0),0), INDEX($R$1004:$W$1004,1,MATCH(COLUMNS($R$1006:S1006),$R$1006:$W$1006,0)))),"Fix")))</f>
        <v>0</v>
      </c>
      <c r="D191" s="3">
        <f>IF(OR(INDEX($L$2:$L$1001,MATCH(ROWS($K$2:K191),$K$2:$K$1001,0),1)&gt;=100000,INDEX($R$1005:$W$1005,1,MATCH(COLUMNS($R$1006:T1006),$R$1006:$W$1006,0))&gt;=100000), " ",IF(INDEX($R$2:$W$1001,MATCH(ROWS($K$2:K191),$K$2:$K$1001,0),MATCH(COLUMNS($R$1006:T1006),$R$1006:$W$1006,0)), HYPERLINK("#",""), HYPERLINK(CONCATENATE("#Metadata!", ADDRESS(INDEX($M$2:$M$1001,MATCH(ROWS($K$2:K191),$K$2:$K$1001,0),0), INDEX($R$1004:$W$1004,1,MATCH(COLUMNS($R$1006:T1006),$R$1006:$W$1006,0)))),"Fix")))</f>
        <v>0</v>
      </c>
      <c r="E191" s="3">
        <f>IF(OR(INDEX($L$2:$L$1001,MATCH(ROWS($K$2:K191),$K$2:$K$1001,0),1)&gt;=100000,INDEX($R$1005:$W$1005,1,MATCH(COLUMNS($R$1006:U1006),$R$1006:$W$1006,0))&gt;=100000), " ",IF(INDEX($R$2:$W$1001,MATCH(ROWS($K$2:K191),$K$2:$K$1001,0),MATCH(COLUMNS($R$1006:U1006),$R$1006:$W$1006,0)), HYPERLINK("#",""), HYPERLINK(CONCATENATE("#Metadata!", ADDRESS(INDEX($M$2:$M$1001,MATCH(ROWS($K$2:K191),$K$2:$K$1001,0),0), INDEX($R$1004:$W$1004,1,MATCH(COLUMNS($R$1006:U1006),$R$1006:$W$1006,0)))),"Fix")))</f>
        <v>0</v>
      </c>
      <c r="F191" s="3">
        <f>IF(OR(INDEX($L$2:$L$1001,MATCH(ROWS($K$2:K191),$K$2:$K$1001,0),1)&gt;=100000,INDEX($R$1005:$W$1005,1,MATCH(COLUMNS($R$1006:V1006),$R$1006:$W$1006,0))&gt;=100000), " ",IF(INDEX($R$2:$W$1001,MATCH(ROWS($K$2:K191),$K$2:$K$1001,0),MATCH(COLUMNS($R$1006:V1006),$R$1006:$W$1006,0)), HYPERLINK("#",""), HYPERLINK(CONCATENATE("#Metadata!", ADDRESS(INDEX($M$2:$M$1001,MATCH(ROWS($K$2:K191),$K$2:$K$1001,0),0), INDEX($R$1004:$W$1004,1,MATCH(COLUMNS($R$1006:V1006),$R$1006:$W$1006,0)))),"Fix")))</f>
        <v>0</v>
      </c>
      <c r="G191" s="3">
        <f>IF(OR(INDEX($L$2:$L$1001,MATCH(ROWS($K$2:K191),$K$2:$K$1001,0),1)&gt;=100000,INDEX($R$1005:$W$1005,1,MATCH(COLUMNS($R$1006:W1006),$R$1006:$W$1006,0))&gt;=100000), " ",IF(INDEX($R$2:$W$1001,MATCH(ROWS($K$2:K191),$K$2:$K$1001,0),MATCH(COLUMNS($R$1006:W1006),$R$1006:$W$1006,0)), HYPERLINK("#",""), HYPERLINK(CONCATENATE("#Metadata!", ADDRESS(INDEX($M$2:$M$1001,MATCH(ROWS($K$2:K191),$K$2:$K$1001,0),0), INDEX($R$1004:$W$1004,1,MATCH(COLUMNS($R$1006:W1006),$R$1006:$W$1006,0)))),"Fix")))</f>
        <v>0</v>
      </c>
      <c r="K191">
        <v>0</v>
      </c>
      <c r="L191">
        <v>0</v>
      </c>
      <c r="M191">
        <v>0</v>
      </c>
      <c r="N191">
        <f>IF(O191,TRUE,AND(R191:W191))</f>
        <v>0</v>
      </c>
      <c r="O191">
        <f>COUNTBLANK(Metadata!B191:G191)=COLUMNS(Metadata!B191:G191)</f>
        <v>0</v>
      </c>
      <c r="P191">
        <v>0</v>
      </c>
      <c r="R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S191">
        <f>IF(Metadata!C191="",FALSE,TRUE)</f>
        <v>0</v>
      </c>
      <c r="T191">
        <f>IF(Metadata!D191="",FALSE,TRUE)</f>
        <v>0</v>
      </c>
      <c r="U191">
        <f>IF(Metadata!E191="",FALSE,TRUE)</f>
        <v>0</v>
      </c>
      <c r="V191">
        <f>AND(IF(Metadata!F191="",FALSE,TRUE),exact(Metadata!F191,"rat gut metagenome"))</f>
        <v>0</v>
      </c>
      <c r="W191">
        <f>AND(IF(Metadata!G191="",FALSE,TRUE),exact(Metadata!G191,"1436733"))</f>
        <v>0</v>
      </c>
    </row>
    <row r="192" spans="1:23">
      <c r="A192" s="4">
        <f>IF(B192=" "," ",HYPERLINK(CONCATENATE("#metadata!",ADDRESS(INDEX($M$2:$M$1001,MATCH(ROWS($K$2:K192),$K$2:$K$1001,0),0),1)),INDEX($P$2:$P$1001,MATCH(ROWS($K$2:K192),$K$2:$K$1001,0),0)))</f>
        <v>0</v>
      </c>
      <c r="B192" s="3">
        <f>IF(OR(INDEX($L$2:$L$1001,MATCH(ROWS($K$2:K192),$K$2:$K$1001,0),1)&gt;=100000,INDEX($R$1005:$W$1005,1,MATCH(COLUMNS($R$1006:R1006),$R$1006:$W$1006,0))&gt;=100000), " ",IF(INDEX($R$2:$W$1001,MATCH(ROWS($K$2:K192),$K$2:$K$1001,0),MATCH(COLUMNS($R$1006:R1006),$R$1006:$W$1006,0)), HYPERLINK("#",""), HYPERLINK(CONCATENATE("#Metadata!", ADDRESS(INDEX($M$2:$M$1001,MATCH(ROWS($K$2:K192),$K$2:$K$1001,0),0), INDEX($R$1004:$W$1004,1,MATCH(COLUMNS($R$1006:R1006),$R$1006:$W$1006,0)))),"Fix")))</f>
        <v>0</v>
      </c>
      <c r="C192" s="3">
        <f>IF(OR(INDEX($L$2:$L$1001,MATCH(ROWS($K$2:K192),$K$2:$K$1001,0),1)&gt;=100000,INDEX($R$1005:$W$1005,1,MATCH(COLUMNS($R$1006:S1006),$R$1006:$W$1006,0))&gt;=100000), " ",IF(INDEX($R$2:$W$1001,MATCH(ROWS($K$2:K192),$K$2:$K$1001,0),MATCH(COLUMNS($R$1006:S1006),$R$1006:$W$1006,0)), HYPERLINK("#",""), HYPERLINK(CONCATENATE("#Metadata!", ADDRESS(INDEX($M$2:$M$1001,MATCH(ROWS($K$2:K192),$K$2:$K$1001,0),0), INDEX($R$1004:$W$1004,1,MATCH(COLUMNS($R$1006:S1006),$R$1006:$W$1006,0)))),"Fix")))</f>
        <v>0</v>
      </c>
      <c r="D192" s="3">
        <f>IF(OR(INDEX($L$2:$L$1001,MATCH(ROWS($K$2:K192),$K$2:$K$1001,0),1)&gt;=100000,INDEX($R$1005:$W$1005,1,MATCH(COLUMNS($R$1006:T1006),$R$1006:$W$1006,0))&gt;=100000), " ",IF(INDEX($R$2:$W$1001,MATCH(ROWS($K$2:K192),$K$2:$K$1001,0),MATCH(COLUMNS($R$1006:T1006),$R$1006:$W$1006,0)), HYPERLINK("#",""), HYPERLINK(CONCATENATE("#Metadata!", ADDRESS(INDEX($M$2:$M$1001,MATCH(ROWS($K$2:K192),$K$2:$K$1001,0),0), INDEX($R$1004:$W$1004,1,MATCH(COLUMNS($R$1006:T1006),$R$1006:$W$1006,0)))),"Fix")))</f>
        <v>0</v>
      </c>
      <c r="E192" s="3">
        <f>IF(OR(INDEX($L$2:$L$1001,MATCH(ROWS($K$2:K192),$K$2:$K$1001,0),1)&gt;=100000,INDEX($R$1005:$W$1005,1,MATCH(COLUMNS($R$1006:U1006),$R$1006:$W$1006,0))&gt;=100000), " ",IF(INDEX($R$2:$W$1001,MATCH(ROWS($K$2:K192),$K$2:$K$1001,0),MATCH(COLUMNS($R$1006:U1006),$R$1006:$W$1006,0)), HYPERLINK("#",""), HYPERLINK(CONCATENATE("#Metadata!", ADDRESS(INDEX($M$2:$M$1001,MATCH(ROWS($K$2:K192),$K$2:$K$1001,0),0), INDEX($R$1004:$W$1004,1,MATCH(COLUMNS($R$1006:U1006),$R$1006:$W$1006,0)))),"Fix")))</f>
        <v>0</v>
      </c>
      <c r="F192" s="3">
        <f>IF(OR(INDEX($L$2:$L$1001,MATCH(ROWS($K$2:K192),$K$2:$K$1001,0),1)&gt;=100000,INDEX($R$1005:$W$1005,1,MATCH(COLUMNS($R$1006:V1006),$R$1006:$W$1006,0))&gt;=100000), " ",IF(INDEX($R$2:$W$1001,MATCH(ROWS($K$2:K192),$K$2:$K$1001,0),MATCH(COLUMNS($R$1006:V1006),$R$1006:$W$1006,0)), HYPERLINK("#",""), HYPERLINK(CONCATENATE("#Metadata!", ADDRESS(INDEX($M$2:$M$1001,MATCH(ROWS($K$2:K192),$K$2:$K$1001,0),0), INDEX($R$1004:$W$1004,1,MATCH(COLUMNS($R$1006:V1006),$R$1006:$W$1006,0)))),"Fix")))</f>
        <v>0</v>
      </c>
      <c r="G192" s="3">
        <f>IF(OR(INDEX($L$2:$L$1001,MATCH(ROWS($K$2:K192),$K$2:$K$1001,0),1)&gt;=100000,INDEX($R$1005:$W$1005,1,MATCH(COLUMNS($R$1006:W1006),$R$1006:$W$1006,0))&gt;=100000), " ",IF(INDEX($R$2:$W$1001,MATCH(ROWS($K$2:K192),$K$2:$K$1001,0),MATCH(COLUMNS($R$1006:W1006),$R$1006:$W$1006,0)), HYPERLINK("#",""), HYPERLINK(CONCATENATE("#Metadata!", ADDRESS(INDEX($M$2:$M$1001,MATCH(ROWS($K$2:K192),$K$2:$K$1001,0),0), INDEX($R$1004:$W$1004,1,MATCH(COLUMNS($R$1006:W1006),$R$1006:$W$1006,0)))),"Fix")))</f>
        <v>0</v>
      </c>
      <c r="K192">
        <v>0</v>
      </c>
      <c r="L192">
        <v>0</v>
      </c>
      <c r="M192">
        <v>0</v>
      </c>
      <c r="N192">
        <f>IF(O192,TRUE,AND(R192:W192))</f>
        <v>0</v>
      </c>
      <c r="O192">
        <f>COUNTBLANK(Metadata!B192:G192)=COLUMNS(Metadata!B192:G192)</f>
        <v>0</v>
      </c>
      <c r="P192">
        <v>0</v>
      </c>
      <c r="R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S192">
        <f>IF(Metadata!C192="",FALSE,TRUE)</f>
        <v>0</v>
      </c>
      <c r="T192">
        <f>IF(Metadata!D192="",FALSE,TRUE)</f>
        <v>0</v>
      </c>
      <c r="U192">
        <f>IF(Metadata!E192="",FALSE,TRUE)</f>
        <v>0</v>
      </c>
      <c r="V192">
        <f>AND(IF(Metadata!F192="",FALSE,TRUE),exact(Metadata!F192,"rat gut metagenome"))</f>
        <v>0</v>
      </c>
      <c r="W192">
        <f>AND(IF(Metadata!G192="",FALSE,TRUE),exact(Metadata!G192,"1436733"))</f>
        <v>0</v>
      </c>
    </row>
    <row r="193" spans="1:23">
      <c r="A193" s="4">
        <f>IF(B193=" "," ",HYPERLINK(CONCATENATE("#metadata!",ADDRESS(INDEX($M$2:$M$1001,MATCH(ROWS($K$2:K193),$K$2:$K$1001,0),0),1)),INDEX($P$2:$P$1001,MATCH(ROWS($K$2:K193),$K$2:$K$1001,0),0)))</f>
        <v>0</v>
      </c>
      <c r="B193" s="3">
        <f>IF(OR(INDEX($L$2:$L$1001,MATCH(ROWS($K$2:K193),$K$2:$K$1001,0),1)&gt;=100000,INDEX($R$1005:$W$1005,1,MATCH(COLUMNS($R$1006:R1006),$R$1006:$W$1006,0))&gt;=100000), " ",IF(INDEX($R$2:$W$1001,MATCH(ROWS($K$2:K193),$K$2:$K$1001,0),MATCH(COLUMNS($R$1006:R1006),$R$1006:$W$1006,0)), HYPERLINK("#",""), HYPERLINK(CONCATENATE("#Metadata!", ADDRESS(INDEX($M$2:$M$1001,MATCH(ROWS($K$2:K193),$K$2:$K$1001,0),0), INDEX($R$1004:$W$1004,1,MATCH(COLUMNS($R$1006:R1006),$R$1006:$W$1006,0)))),"Fix")))</f>
        <v>0</v>
      </c>
      <c r="C193" s="3">
        <f>IF(OR(INDEX($L$2:$L$1001,MATCH(ROWS($K$2:K193),$K$2:$K$1001,0),1)&gt;=100000,INDEX($R$1005:$W$1005,1,MATCH(COLUMNS($R$1006:S1006),$R$1006:$W$1006,0))&gt;=100000), " ",IF(INDEX($R$2:$W$1001,MATCH(ROWS($K$2:K193),$K$2:$K$1001,0),MATCH(COLUMNS($R$1006:S1006),$R$1006:$W$1006,0)), HYPERLINK("#",""), HYPERLINK(CONCATENATE("#Metadata!", ADDRESS(INDEX($M$2:$M$1001,MATCH(ROWS($K$2:K193),$K$2:$K$1001,0),0), INDEX($R$1004:$W$1004,1,MATCH(COLUMNS($R$1006:S1006),$R$1006:$W$1006,0)))),"Fix")))</f>
        <v>0</v>
      </c>
      <c r="D193" s="3">
        <f>IF(OR(INDEX($L$2:$L$1001,MATCH(ROWS($K$2:K193),$K$2:$K$1001,0),1)&gt;=100000,INDEX($R$1005:$W$1005,1,MATCH(COLUMNS($R$1006:T1006),$R$1006:$W$1006,0))&gt;=100000), " ",IF(INDEX($R$2:$W$1001,MATCH(ROWS($K$2:K193),$K$2:$K$1001,0),MATCH(COLUMNS($R$1006:T1006),$R$1006:$W$1006,0)), HYPERLINK("#",""), HYPERLINK(CONCATENATE("#Metadata!", ADDRESS(INDEX($M$2:$M$1001,MATCH(ROWS($K$2:K193),$K$2:$K$1001,0),0), INDEX($R$1004:$W$1004,1,MATCH(COLUMNS($R$1006:T1006),$R$1006:$W$1006,0)))),"Fix")))</f>
        <v>0</v>
      </c>
      <c r="E193" s="3">
        <f>IF(OR(INDEX($L$2:$L$1001,MATCH(ROWS($K$2:K193),$K$2:$K$1001,0),1)&gt;=100000,INDEX($R$1005:$W$1005,1,MATCH(COLUMNS($R$1006:U1006),$R$1006:$W$1006,0))&gt;=100000), " ",IF(INDEX($R$2:$W$1001,MATCH(ROWS($K$2:K193),$K$2:$K$1001,0),MATCH(COLUMNS($R$1006:U1006),$R$1006:$W$1006,0)), HYPERLINK("#",""), HYPERLINK(CONCATENATE("#Metadata!", ADDRESS(INDEX($M$2:$M$1001,MATCH(ROWS($K$2:K193),$K$2:$K$1001,0),0), INDEX($R$1004:$W$1004,1,MATCH(COLUMNS($R$1006:U1006),$R$1006:$W$1006,0)))),"Fix")))</f>
        <v>0</v>
      </c>
      <c r="F193" s="3">
        <f>IF(OR(INDEX($L$2:$L$1001,MATCH(ROWS($K$2:K193),$K$2:$K$1001,0),1)&gt;=100000,INDEX($R$1005:$W$1005,1,MATCH(COLUMNS($R$1006:V1006),$R$1006:$W$1006,0))&gt;=100000), " ",IF(INDEX($R$2:$W$1001,MATCH(ROWS($K$2:K193),$K$2:$K$1001,0),MATCH(COLUMNS($R$1006:V1006),$R$1006:$W$1006,0)), HYPERLINK("#",""), HYPERLINK(CONCATENATE("#Metadata!", ADDRESS(INDEX($M$2:$M$1001,MATCH(ROWS($K$2:K193),$K$2:$K$1001,0),0), INDEX($R$1004:$W$1004,1,MATCH(COLUMNS($R$1006:V1006),$R$1006:$W$1006,0)))),"Fix")))</f>
        <v>0</v>
      </c>
      <c r="G193" s="3">
        <f>IF(OR(INDEX($L$2:$L$1001,MATCH(ROWS($K$2:K193),$K$2:$K$1001,0),1)&gt;=100000,INDEX($R$1005:$W$1005,1,MATCH(COLUMNS($R$1006:W1006),$R$1006:$W$1006,0))&gt;=100000), " ",IF(INDEX($R$2:$W$1001,MATCH(ROWS($K$2:K193),$K$2:$K$1001,0),MATCH(COLUMNS($R$1006:W1006),$R$1006:$W$1006,0)), HYPERLINK("#",""), HYPERLINK(CONCATENATE("#Metadata!", ADDRESS(INDEX($M$2:$M$1001,MATCH(ROWS($K$2:K193),$K$2:$K$1001,0),0), INDEX($R$1004:$W$1004,1,MATCH(COLUMNS($R$1006:W1006),$R$1006:$W$1006,0)))),"Fix")))</f>
        <v>0</v>
      </c>
      <c r="K193">
        <v>0</v>
      </c>
      <c r="L193">
        <v>0</v>
      </c>
      <c r="M193">
        <v>0</v>
      </c>
      <c r="N193">
        <f>IF(O193,TRUE,AND(R193:W193))</f>
        <v>0</v>
      </c>
      <c r="O193">
        <f>COUNTBLANK(Metadata!B193:G193)=COLUMNS(Metadata!B193:G193)</f>
        <v>0</v>
      </c>
      <c r="P193">
        <v>0</v>
      </c>
      <c r="R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S193">
        <f>IF(Metadata!C193="",FALSE,TRUE)</f>
        <v>0</v>
      </c>
      <c r="T193">
        <f>IF(Metadata!D193="",FALSE,TRUE)</f>
        <v>0</v>
      </c>
      <c r="U193">
        <f>IF(Metadata!E193="",FALSE,TRUE)</f>
        <v>0</v>
      </c>
      <c r="V193">
        <f>AND(IF(Metadata!F193="",FALSE,TRUE),exact(Metadata!F193,"rat gut metagenome"))</f>
        <v>0</v>
      </c>
      <c r="W193">
        <f>AND(IF(Metadata!G193="",FALSE,TRUE),exact(Metadata!G193,"1436733"))</f>
        <v>0</v>
      </c>
    </row>
    <row r="194" spans="1:23">
      <c r="A194" s="4">
        <f>IF(B194=" "," ",HYPERLINK(CONCATENATE("#metadata!",ADDRESS(INDEX($M$2:$M$1001,MATCH(ROWS($K$2:K194),$K$2:$K$1001,0),0),1)),INDEX($P$2:$P$1001,MATCH(ROWS($K$2:K194),$K$2:$K$1001,0),0)))</f>
        <v>0</v>
      </c>
      <c r="B194" s="3">
        <f>IF(OR(INDEX($L$2:$L$1001,MATCH(ROWS($K$2:K194),$K$2:$K$1001,0),1)&gt;=100000,INDEX($R$1005:$W$1005,1,MATCH(COLUMNS($R$1006:R1006),$R$1006:$W$1006,0))&gt;=100000), " ",IF(INDEX($R$2:$W$1001,MATCH(ROWS($K$2:K194),$K$2:$K$1001,0),MATCH(COLUMNS($R$1006:R1006),$R$1006:$W$1006,0)), HYPERLINK("#",""), HYPERLINK(CONCATENATE("#Metadata!", ADDRESS(INDEX($M$2:$M$1001,MATCH(ROWS($K$2:K194),$K$2:$K$1001,0),0), INDEX($R$1004:$W$1004,1,MATCH(COLUMNS($R$1006:R1006),$R$1006:$W$1006,0)))),"Fix")))</f>
        <v>0</v>
      </c>
      <c r="C194" s="3">
        <f>IF(OR(INDEX($L$2:$L$1001,MATCH(ROWS($K$2:K194),$K$2:$K$1001,0),1)&gt;=100000,INDEX($R$1005:$W$1005,1,MATCH(COLUMNS($R$1006:S1006),$R$1006:$W$1006,0))&gt;=100000), " ",IF(INDEX($R$2:$W$1001,MATCH(ROWS($K$2:K194),$K$2:$K$1001,0),MATCH(COLUMNS($R$1006:S1006),$R$1006:$W$1006,0)), HYPERLINK("#",""), HYPERLINK(CONCATENATE("#Metadata!", ADDRESS(INDEX($M$2:$M$1001,MATCH(ROWS($K$2:K194),$K$2:$K$1001,0),0), INDEX($R$1004:$W$1004,1,MATCH(COLUMNS($R$1006:S1006),$R$1006:$W$1006,0)))),"Fix")))</f>
        <v>0</v>
      </c>
      <c r="D194" s="3">
        <f>IF(OR(INDEX($L$2:$L$1001,MATCH(ROWS($K$2:K194),$K$2:$K$1001,0),1)&gt;=100000,INDEX($R$1005:$W$1005,1,MATCH(COLUMNS($R$1006:T1006),$R$1006:$W$1006,0))&gt;=100000), " ",IF(INDEX($R$2:$W$1001,MATCH(ROWS($K$2:K194),$K$2:$K$1001,0),MATCH(COLUMNS($R$1006:T1006),$R$1006:$W$1006,0)), HYPERLINK("#",""), HYPERLINK(CONCATENATE("#Metadata!", ADDRESS(INDEX($M$2:$M$1001,MATCH(ROWS($K$2:K194),$K$2:$K$1001,0),0), INDEX($R$1004:$W$1004,1,MATCH(COLUMNS($R$1006:T1006),$R$1006:$W$1006,0)))),"Fix")))</f>
        <v>0</v>
      </c>
      <c r="E194" s="3">
        <f>IF(OR(INDEX($L$2:$L$1001,MATCH(ROWS($K$2:K194),$K$2:$K$1001,0),1)&gt;=100000,INDEX($R$1005:$W$1005,1,MATCH(COLUMNS($R$1006:U1006),$R$1006:$W$1006,0))&gt;=100000), " ",IF(INDEX($R$2:$W$1001,MATCH(ROWS($K$2:K194),$K$2:$K$1001,0),MATCH(COLUMNS($R$1006:U1006),$R$1006:$W$1006,0)), HYPERLINK("#",""), HYPERLINK(CONCATENATE("#Metadata!", ADDRESS(INDEX($M$2:$M$1001,MATCH(ROWS($K$2:K194),$K$2:$K$1001,0),0), INDEX($R$1004:$W$1004,1,MATCH(COLUMNS($R$1006:U1006),$R$1006:$W$1006,0)))),"Fix")))</f>
        <v>0</v>
      </c>
      <c r="F194" s="3">
        <f>IF(OR(INDEX($L$2:$L$1001,MATCH(ROWS($K$2:K194),$K$2:$K$1001,0),1)&gt;=100000,INDEX($R$1005:$W$1005,1,MATCH(COLUMNS($R$1006:V1006),$R$1006:$W$1006,0))&gt;=100000), " ",IF(INDEX($R$2:$W$1001,MATCH(ROWS($K$2:K194),$K$2:$K$1001,0),MATCH(COLUMNS($R$1006:V1006),$R$1006:$W$1006,0)), HYPERLINK("#",""), HYPERLINK(CONCATENATE("#Metadata!", ADDRESS(INDEX($M$2:$M$1001,MATCH(ROWS($K$2:K194),$K$2:$K$1001,0),0), INDEX($R$1004:$W$1004,1,MATCH(COLUMNS($R$1006:V1006),$R$1006:$W$1006,0)))),"Fix")))</f>
        <v>0</v>
      </c>
      <c r="G194" s="3">
        <f>IF(OR(INDEX($L$2:$L$1001,MATCH(ROWS($K$2:K194),$K$2:$K$1001,0),1)&gt;=100000,INDEX($R$1005:$W$1005,1,MATCH(COLUMNS($R$1006:W1006),$R$1006:$W$1006,0))&gt;=100000), " ",IF(INDEX($R$2:$W$1001,MATCH(ROWS($K$2:K194),$K$2:$K$1001,0),MATCH(COLUMNS($R$1006:W1006),$R$1006:$W$1006,0)), HYPERLINK("#",""), HYPERLINK(CONCATENATE("#Metadata!", ADDRESS(INDEX($M$2:$M$1001,MATCH(ROWS($K$2:K194),$K$2:$K$1001,0),0), INDEX($R$1004:$W$1004,1,MATCH(COLUMNS($R$1006:W1006),$R$1006:$W$1006,0)))),"Fix")))</f>
        <v>0</v>
      </c>
      <c r="K194">
        <v>0</v>
      </c>
      <c r="L194">
        <v>0</v>
      </c>
      <c r="M194">
        <v>0</v>
      </c>
      <c r="N194">
        <f>IF(O194,TRUE,AND(R194:W194))</f>
        <v>0</v>
      </c>
      <c r="O194">
        <f>COUNTBLANK(Metadata!B194:G194)=COLUMNS(Metadata!B194:G194)</f>
        <v>0</v>
      </c>
      <c r="P194">
        <v>0</v>
      </c>
      <c r="R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S194">
        <f>IF(Metadata!C194="",FALSE,TRUE)</f>
        <v>0</v>
      </c>
      <c r="T194">
        <f>IF(Metadata!D194="",FALSE,TRUE)</f>
        <v>0</v>
      </c>
      <c r="U194">
        <f>IF(Metadata!E194="",FALSE,TRUE)</f>
        <v>0</v>
      </c>
      <c r="V194">
        <f>AND(IF(Metadata!F194="",FALSE,TRUE),exact(Metadata!F194,"rat gut metagenome"))</f>
        <v>0</v>
      </c>
      <c r="W194">
        <f>AND(IF(Metadata!G194="",FALSE,TRUE),exact(Metadata!G194,"1436733"))</f>
        <v>0</v>
      </c>
    </row>
    <row r="195" spans="1:23">
      <c r="A195" s="4">
        <f>IF(B195=" "," ",HYPERLINK(CONCATENATE("#metadata!",ADDRESS(INDEX($M$2:$M$1001,MATCH(ROWS($K$2:K195),$K$2:$K$1001,0),0),1)),INDEX($P$2:$P$1001,MATCH(ROWS($K$2:K195),$K$2:$K$1001,0),0)))</f>
        <v>0</v>
      </c>
      <c r="B195" s="3">
        <f>IF(OR(INDEX($L$2:$L$1001,MATCH(ROWS($K$2:K195),$K$2:$K$1001,0),1)&gt;=100000,INDEX($R$1005:$W$1005,1,MATCH(COLUMNS($R$1006:R1006),$R$1006:$W$1006,0))&gt;=100000), " ",IF(INDEX($R$2:$W$1001,MATCH(ROWS($K$2:K195),$K$2:$K$1001,0),MATCH(COLUMNS($R$1006:R1006),$R$1006:$W$1006,0)), HYPERLINK("#",""), HYPERLINK(CONCATENATE("#Metadata!", ADDRESS(INDEX($M$2:$M$1001,MATCH(ROWS($K$2:K195),$K$2:$K$1001,0),0), INDEX($R$1004:$W$1004,1,MATCH(COLUMNS($R$1006:R1006),$R$1006:$W$1006,0)))),"Fix")))</f>
        <v>0</v>
      </c>
      <c r="C195" s="3">
        <f>IF(OR(INDEX($L$2:$L$1001,MATCH(ROWS($K$2:K195),$K$2:$K$1001,0),1)&gt;=100000,INDEX($R$1005:$W$1005,1,MATCH(COLUMNS($R$1006:S1006),$R$1006:$W$1006,0))&gt;=100000), " ",IF(INDEX($R$2:$W$1001,MATCH(ROWS($K$2:K195),$K$2:$K$1001,0),MATCH(COLUMNS($R$1006:S1006),$R$1006:$W$1006,0)), HYPERLINK("#",""), HYPERLINK(CONCATENATE("#Metadata!", ADDRESS(INDEX($M$2:$M$1001,MATCH(ROWS($K$2:K195),$K$2:$K$1001,0),0), INDEX($R$1004:$W$1004,1,MATCH(COLUMNS($R$1006:S1006),$R$1006:$W$1006,0)))),"Fix")))</f>
        <v>0</v>
      </c>
      <c r="D195" s="3">
        <f>IF(OR(INDEX($L$2:$L$1001,MATCH(ROWS($K$2:K195),$K$2:$K$1001,0),1)&gt;=100000,INDEX($R$1005:$W$1005,1,MATCH(COLUMNS($R$1006:T1006),$R$1006:$W$1006,0))&gt;=100000), " ",IF(INDEX($R$2:$W$1001,MATCH(ROWS($K$2:K195),$K$2:$K$1001,0),MATCH(COLUMNS($R$1006:T1006),$R$1006:$W$1006,0)), HYPERLINK("#",""), HYPERLINK(CONCATENATE("#Metadata!", ADDRESS(INDEX($M$2:$M$1001,MATCH(ROWS($K$2:K195),$K$2:$K$1001,0),0), INDEX($R$1004:$W$1004,1,MATCH(COLUMNS($R$1006:T1006),$R$1006:$W$1006,0)))),"Fix")))</f>
        <v>0</v>
      </c>
      <c r="E195" s="3">
        <f>IF(OR(INDEX($L$2:$L$1001,MATCH(ROWS($K$2:K195),$K$2:$K$1001,0),1)&gt;=100000,INDEX($R$1005:$W$1005,1,MATCH(COLUMNS($R$1006:U1006),$R$1006:$W$1006,0))&gt;=100000), " ",IF(INDEX($R$2:$W$1001,MATCH(ROWS($K$2:K195),$K$2:$K$1001,0),MATCH(COLUMNS($R$1006:U1006),$R$1006:$W$1006,0)), HYPERLINK("#",""), HYPERLINK(CONCATENATE("#Metadata!", ADDRESS(INDEX($M$2:$M$1001,MATCH(ROWS($K$2:K195),$K$2:$K$1001,0),0), INDEX($R$1004:$W$1004,1,MATCH(COLUMNS($R$1006:U1006),$R$1006:$W$1006,0)))),"Fix")))</f>
        <v>0</v>
      </c>
      <c r="F195" s="3">
        <f>IF(OR(INDEX($L$2:$L$1001,MATCH(ROWS($K$2:K195),$K$2:$K$1001,0),1)&gt;=100000,INDEX($R$1005:$W$1005,1,MATCH(COLUMNS($R$1006:V1006),$R$1006:$W$1006,0))&gt;=100000), " ",IF(INDEX($R$2:$W$1001,MATCH(ROWS($K$2:K195),$K$2:$K$1001,0),MATCH(COLUMNS($R$1006:V1006),$R$1006:$W$1006,0)), HYPERLINK("#",""), HYPERLINK(CONCATENATE("#Metadata!", ADDRESS(INDEX($M$2:$M$1001,MATCH(ROWS($K$2:K195),$K$2:$K$1001,0),0), INDEX($R$1004:$W$1004,1,MATCH(COLUMNS($R$1006:V1006),$R$1006:$W$1006,0)))),"Fix")))</f>
        <v>0</v>
      </c>
      <c r="G195" s="3">
        <f>IF(OR(INDEX($L$2:$L$1001,MATCH(ROWS($K$2:K195),$K$2:$K$1001,0),1)&gt;=100000,INDEX($R$1005:$W$1005,1,MATCH(COLUMNS($R$1006:W1006),$R$1006:$W$1006,0))&gt;=100000), " ",IF(INDEX($R$2:$W$1001,MATCH(ROWS($K$2:K195),$K$2:$K$1001,0),MATCH(COLUMNS($R$1006:W1006),$R$1006:$W$1006,0)), HYPERLINK("#",""), HYPERLINK(CONCATENATE("#Metadata!", ADDRESS(INDEX($M$2:$M$1001,MATCH(ROWS($K$2:K195),$K$2:$K$1001,0),0), INDEX($R$1004:$W$1004,1,MATCH(COLUMNS($R$1006:W1006),$R$1006:$W$1006,0)))),"Fix")))</f>
        <v>0</v>
      </c>
      <c r="K195">
        <v>0</v>
      </c>
      <c r="L195">
        <v>0</v>
      </c>
      <c r="M195">
        <v>0</v>
      </c>
      <c r="N195">
        <f>IF(O195,TRUE,AND(R195:W195))</f>
        <v>0</v>
      </c>
      <c r="O195">
        <f>COUNTBLANK(Metadata!B195:G195)=COLUMNS(Metadata!B195:G195)</f>
        <v>0</v>
      </c>
      <c r="P195">
        <v>0</v>
      </c>
      <c r="R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S195">
        <f>IF(Metadata!C195="",FALSE,TRUE)</f>
        <v>0</v>
      </c>
      <c r="T195">
        <f>IF(Metadata!D195="",FALSE,TRUE)</f>
        <v>0</v>
      </c>
      <c r="U195">
        <f>IF(Metadata!E195="",FALSE,TRUE)</f>
        <v>0</v>
      </c>
      <c r="V195">
        <f>AND(IF(Metadata!F195="",FALSE,TRUE),exact(Metadata!F195,"rat gut metagenome"))</f>
        <v>0</v>
      </c>
      <c r="W195">
        <f>AND(IF(Metadata!G195="",FALSE,TRUE),exact(Metadata!G195,"1436733"))</f>
        <v>0</v>
      </c>
    </row>
    <row r="196" spans="1:23">
      <c r="A196" s="4">
        <f>IF(B196=" "," ",HYPERLINK(CONCATENATE("#metadata!",ADDRESS(INDEX($M$2:$M$1001,MATCH(ROWS($K$2:K196),$K$2:$K$1001,0),0),1)),INDEX($P$2:$P$1001,MATCH(ROWS($K$2:K196),$K$2:$K$1001,0),0)))</f>
        <v>0</v>
      </c>
      <c r="B196" s="3">
        <f>IF(OR(INDEX($L$2:$L$1001,MATCH(ROWS($K$2:K196),$K$2:$K$1001,0),1)&gt;=100000,INDEX($R$1005:$W$1005,1,MATCH(COLUMNS($R$1006:R1006),$R$1006:$W$1006,0))&gt;=100000), " ",IF(INDEX($R$2:$W$1001,MATCH(ROWS($K$2:K196),$K$2:$K$1001,0),MATCH(COLUMNS($R$1006:R1006),$R$1006:$W$1006,0)), HYPERLINK("#",""), HYPERLINK(CONCATENATE("#Metadata!", ADDRESS(INDEX($M$2:$M$1001,MATCH(ROWS($K$2:K196),$K$2:$K$1001,0),0), INDEX($R$1004:$W$1004,1,MATCH(COLUMNS($R$1006:R1006),$R$1006:$W$1006,0)))),"Fix")))</f>
        <v>0</v>
      </c>
      <c r="C196" s="3">
        <f>IF(OR(INDEX($L$2:$L$1001,MATCH(ROWS($K$2:K196),$K$2:$K$1001,0),1)&gt;=100000,INDEX($R$1005:$W$1005,1,MATCH(COLUMNS($R$1006:S1006),$R$1006:$W$1006,0))&gt;=100000), " ",IF(INDEX($R$2:$W$1001,MATCH(ROWS($K$2:K196),$K$2:$K$1001,0),MATCH(COLUMNS($R$1006:S1006),$R$1006:$W$1006,0)), HYPERLINK("#",""), HYPERLINK(CONCATENATE("#Metadata!", ADDRESS(INDEX($M$2:$M$1001,MATCH(ROWS($K$2:K196),$K$2:$K$1001,0),0), INDEX($R$1004:$W$1004,1,MATCH(COLUMNS($R$1006:S1006),$R$1006:$W$1006,0)))),"Fix")))</f>
        <v>0</v>
      </c>
      <c r="D196" s="3">
        <f>IF(OR(INDEX($L$2:$L$1001,MATCH(ROWS($K$2:K196),$K$2:$K$1001,0),1)&gt;=100000,INDEX($R$1005:$W$1005,1,MATCH(COLUMNS($R$1006:T1006),$R$1006:$W$1006,0))&gt;=100000), " ",IF(INDEX($R$2:$W$1001,MATCH(ROWS($K$2:K196),$K$2:$K$1001,0),MATCH(COLUMNS($R$1006:T1006),$R$1006:$W$1006,0)), HYPERLINK("#",""), HYPERLINK(CONCATENATE("#Metadata!", ADDRESS(INDEX($M$2:$M$1001,MATCH(ROWS($K$2:K196),$K$2:$K$1001,0),0), INDEX($R$1004:$W$1004,1,MATCH(COLUMNS($R$1006:T1006),$R$1006:$W$1006,0)))),"Fix")))</f>
        <v>0</v>
      </c>
      <c r="E196" s="3">
        <f>IF(OR(INDEX($L$2:$L$1001,MATCH(ROWS($K$2:K196),$K$2:$K$1001,0),1)&gt;=100000,INDEX($R$1005:$W$1005,1,MATCH(COLUMNS($R$1006:U1006),$R$1006:$W$1006,0))&gt;=100000), " ",IF(INDEX($R$2:$W$1001,MATCH(ROWS($K$2:K196),$K$2:$K$1001,0),MATCH(COLUMNS($R$1006:U1006),$R$1006:$W$1006,0)), HYPERLINK("#",""), HYPERLINK(CONCATENATE("#Metadata!", ADDRESS(INDEX($M$2:$M$1001,MATCH(ROWS($K$2:K196),$K$2:$K$1001,0),0), INDEX($R$1004:$W$1004,1,MATCH(COLUMNS($R$1006:U1006),$R$1006:$W$1006,0)))),"Fix")))</f>
        <v>0</v>
      </c>
      <c r="F196" s="3">
        <f>IF(OR(INDEX($L$2:$L$1001,MATCH(ROWS($K$2:K196),$K$2:$K$1001,0),1)&gt;=100000,INDEX($R$1005:$W$1005,1,MATCH(COLUMNS($R$1006:V1006),$R$1006:$W$1006,0))&gt;=100000), " ",IF(INDEX($R$2:$W$1001,MATCH(ROWS($K$2:K196),$K$2:$K$1001,0),MATCH(COLUMNS($R$1006:V1006),$R$1006:$W$1006,0)), HYPERLINK("#",""), HYPERLINK(CONCATENATE("#Metadata!", ADDRESS(INDEX($M$2:$M$1001,MATCH(ROWS($K$2:K196),$K$2:$K$1001,0),0), INDEX($R$1004:$W$1004,1,MATCH(COLUMNS($R$1006:V1006),$R$1006:$W$1006,0)))),"Fix")))</f>
        <v>0</v>
      </c>
      <c r="G196" s="3">
        <f>IF(OR(INDEX($L$2:$L$1001,MATCH(ROWS($K$2:K196),$K$2:$K$1001,0),1)&gt;=100000,INDEX($R$1005:$W$1005,1,MATCH(COLUMNS($R$1006:W1006),$R$1006:$W$1006,0))&gt;=100000), " ",IF(INDEX($R$2:$W$1001,MATCH(ROWS($K$2:K196),$K$2:$K$1001,0),MATCH(COLUMNS($R$1006:W1006),$R$1006:$W$1006,0)), HYPERLINK("#",""), HYPERLINK(CONCATENATE("#Metadata!", ADDRESS(INDEX($M$2:$M$1001,MATCH(ROWS($K$2:K196),$K$2:$K$1001,0),0), INDEX($R$1004:$W$1004,1,MATCH(COLUMNS($R$1006:W1006),$R$1006:$W$1006,0)))),"Fix")))</f>
        <v>0</v>
      </c>
      <c r="K196">
        <v>0</v>
      </c>
      <c r="L196">
        <v>0</v>
      </c>
      <c r="M196">
        <v>0</v>
      </c>
      <c r="N196">
        <f>IF(O196,TRUE,AND(R196:W196))</f>
        <v>0</v>
      </c>
      <c r="O196">
        <f>COUNTBLANK(Metadata!B196:G196)=COLUMNS(Metadata!B196:G196)</f>
        <v>0</v>
      </c>
      <c r="P196">
        <v>0</v>
      </c>
      <c r="R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S196">
        <f>IF(Metadata!C196="",FALSE,TRUE)</f>
        <v>0</v>
      </c>
      <c r="T196">
        <f>IF(Metadata!D196="",FALSE,TRUE)</f>
        <v>0</v>
      </c>
      <c r="U196">
        <f>IF(Metadata!E196="",FALSE,TRUE)</f>
        <v>0</v>
      </c>
      <c r="V196">
        <f>AND(IF(Metadata!F196="",FALSE,TRUE),exact(Metadata!F196,"rat gut metagenome"))</f>
        <v>0</v>
      </c>
      <c r="W196">
        <f>AND(IF(Metadata!G196="",FALSE,TRUE),exact(Metadata!G196,"1436733"))</f>
        <v>0</v>
      </c>
    </row>
    <row r="197" spans="1:23">
      <c r="A197" s="4">
        <f>IF(B197=" "," ",HYPERLINK(CONCATENATE("#metadata!",ADDRESS(INDEX($M$2:$M$1001,MATCH(ROWS($K$2:K197),$K$2:$K$1001,0),0),1)),INDEX($P$2:$P$1001,MATCH(ROWS($K$2:K197),$K$2:$K$1001,0),0)))</f>
        <v>0</v>
      </c>
      <c r="B197" s="3">
        <f>IF(OR(INDEX($L$2:$L$1001,MATCH(ROWS($K$2:K197),$K$2:$K$1001,0),1)&gt;=100000,INDEX($R$1005:$W$1005,1,MATCH(COLUMNS($R$1006:R1006),$R$1006:$W$1006,0))&gt;=100000), " ",IF(INDEX($R$2:$W$1001,MATCH(ROWS($K$2:K197),$K$2:$K$1001,0),MATCH(COLUMNS($R$1006:R1006),$R$1006:$W$1006,0)), HYPERLINK("#",""), HYPERLINK(CONCATENATE("#Metadata!", ADDRESS(INDEX($M$2:$M$1001,MATCH(ROWS($K$2:K197),$K$2:$K$1001,0),0), INDEX($R$1004:$W$1004,1,MATCH(COLUMNS($R$1006:R1006),$R$1006:$W$1006,0)))),"Fix")))</f>
        <v>0</v>
      </c>
      <c r="C197" s="3">
        <f>IF(OR(INDEX($L$2:$L$1001,MATCH(ROWS($K$2:K197),$K$2:$K$1001,0),1)&gt;=100000,INDEX($R$1005:$W$1005,1,MATCH(COLUMNS($R$1006:S1006),$R$1006:$W$1006,0))&gt;=100000), " ",IF(INDEX($R$2:$W$1001,MATCH(ROWS($K$2:K197),$K$2:$K$1001,0),MATCH(COLUMNS($R$1006:S1006),$R$1006:$W$1006,0)), HYPERLINK("#",""), HYPERLINK(CONCATENATE("#Metadata!", ADDRESS(INDEX($M$2:$M$1001,MATCH(ROWS($K$2:K197),$K$2:$K$1001,0),0), INDEX($R$1004:$W$1004,1,MATCH(COLUMNS($R$1006:S1006),$R$1006:$W$1006,0)))),"Fix")))</f>
        <v>0</v>
      </c>
      <c r="D197" s="3">
        <f>IF(OR(INDEX($L$2:$L$1001,MATCH(ROWS($K$2:K197),$K$2:$K$1001,0),1)&gt;=100000,INDEX($R$1005:$W$1005,1,MATCH(COLUMNS($R$1006:T1006),$R$1006:$W$1006,0))&gt;=100000), " ",IF(INDEX($R$2:$W$1001,MATCH(ROWS($K$2:K197),$K$2:$K$1001,0),MATCH(COLUMNS($R$1006:T1006),$R$1006:$W$1006,0)), HYPERLINK("#",""), HYPERLINK(CONCATENATE("#Metadata!", ADDRESS(INDEX($M$2:$M$1001,MATCH(ROWS($K$2:K197),$K$2:$K$1001,0),0), INDEX($R$1004:$W$1004,1,MATCH(COLUMNS($R$1006:T1006),$R$1006:$W$1006,0)))),"Fix")))</f>
        <v>0</v>
      </c>
      <c r="E197" s="3">
        <f>IF(OR(INDEX($L$2:$L$1001,MATCH(ROWS($K$2:K197),$K$2:$K$1001,0),1)&gt;=100000,INDEX($R$1005:$W$1005,1,MATCH(COLUMNS($R$1006:U1006),$R$1006:$W$1006,0))&gt;=100000), " ",IF(INDEX($R$2:$W$1001,MATCH(ROWS($K$2:K197),$K$2:$K$1001,0),MATCH(COLUMNS($R$1006:U1006),$R$1006:$W$1006,0)), HYPERLINK("#",""), HYPERLINK(CONCATENATE("#Metadata!", ADDRESS(INDEX($M$2:$M$1001,MATCH(ROWS($K$2:K197),$K$2:$K$1001,0),0), INDEX($R$1004:$W$1004,1,MATCH(COLUMNS($R$1006:U1006),$R$1006:$W$1006,0)))),"Fix")))</f>
        <v>0</v>
      </c>
      <c r="F197" s="3">
        <f>IF(OR(INDEX($L$2:$L$1001,MATCH(ROWS($K$2:K197),$K$2:$K$1001,0),1)&gt;=100000,INDEX($R$1005:$W$1005,1,MATCH(COLUMNS($R$1006:V1006),$R$1006:$W$1006,0))&gt;=100000), " ",IF(INDEX($R$2:$W$1001,MATCH(ROWS($K$2:K197),$K$2:$K$1001,0),MATCH(COLUMNS($R$1006:V1006),$R$1006:$W$1006,0)), HYPERLINK("#",""), HYPERLINK(CONCATENATE("#Metadata!", ADDRESS(INDEX($M$2:$M$1001,MATCH(ROWS($K$2:K197),$K$2:$K$1001,0),0), INDEX($R$1004:$W$1004,1,MATCH(COLUMNS($R$1006:V1006),$R$1006:$W$1006,0)))),"Fix")))</f>
        <v>0</v>
      </c>
      <c r="G197" s="3">
        <f>IF(OR(INDEX($L$2:$L$1001,MATCH(ROWS($K$2:K197),$K$2:$K$1001,0),1)&gt;=100000,INDEX($R$1005:$W$1005,1,MATCH(COLUMNS($R$1006:W1006),$R$1006:$W$1006,0))&gt;=100000), " ",IF(INDEX($R$2:$W$1001,MATCH(ROWS($K$2:K197),$K$2:$K$1001,0),MATCH(COLUMNS($R$1006:W1006),$R$1006:$W$1006,0)), HYPERLINK("#",""), HYPERLINK(CONCATENATE("#Metadata!", ADDRESS(INDEX($M$2:$M$1001,MATCH(ROWS($K$2:K197),$K$2:$K$1001,0),0), INDEX($R$1004:$W$1004,1,MATCH(COLUMNS($R$1006:W1006),$R$1006:$W$1006,0)))),"Fix")))</f>
        <v>0</v>
      </c>
      <c r="K197">
        <v>0</v>
      </c>
      <c r="L197">
        <v>0</v>
      </c>
      <c r="M197">
        <v>0</v>
      </c>
      <c r="N197">
        <f>IF(O197,TRUE,AND(R197:W197))</f>
        <v>0</v>
      </c>
      <c r="O197">
        <f>COUNTBLANK(Metadata!B197:G197)=COLUMNS(Metadata!B197:G197)</f>
        <v>0</v>
      </c>
      <c r="P197">
        <v>0</v>
      </c>
      <c r="R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S197">
        <f>IF(Metadata!C197="",FALSE,TRUE)</f>
        <v>0</v>
      </c>
      <c r="T197">
        <f>IF(Metadata!D197="",FALSE,TRUE)</f>
        <v>0</v>
      </c>
      <c r="U197">
        <f>IF(Metadata!E197="",FALSE,TRUE)</f>
        <v>0</v>
      </c>
      <c r="V197">
        <f>AND(IF(Metadata!F197="",FALSE,TRUE),exact(Metadata!F197,"rat gut metagenome"))</f>
        <v>0</v>
      </c>
      <c r="W197">
        <f>AND(IF(Metadata!G197="",FALSE,TRUE),exact(Metadata!G197,"1436733"))</f>
        <v>0</v>
      </c>
    </row>
    <row r="198" spans="1:23">
      <c r="A198" s="4">
        <f>IF(B198=" "," ",HYPERLINK(CONCATENATE("#metadata!",ADDRESS(INDEX($M$2:$M$1001,MATCH(ROWS($K$2:K198),$K$2:$K$1001,0),0),1)),INDEX($P$2:$P$1001,MATCH(ROWS($K$2:K198),$K$2:$K$1001,0),0)))</f>
        <v>0</v>
      </c>
      <c r="B198" s="3">
        <f>IF(OR(INDEX($L$2:$L$1001,MATCH(ROWS($K$2:K198),$K$2:$K$1001,0),1)&gt;=100000,INDEX($R$1005:$W$1005,1,MATCH(COLUMNS($R$1006:R1006),$R$1006:$W$1006,0))&gt;=100000), " ",IF(INDEX($R$2:$W$1001,MATCH(ROWS($K$2:K198),$K$2:$K$1001,0),MATCH(COLUMNS($R$1006:R1006),$R$1006:$W$1006,0)), HYPERLINK("#",""), HYPERLINK(CONCATENATE("#Metadata!", ADDRESS(INDEX($M$2:$M$1001,MATCH(ROWS($K$2:K198),$K$2:$K$1001,0),0), INDEX($R$1004:$W$1004,1,MATCH(COLUMNS($R$1006:R1006),$R$1006:$W$1006,0)))),"Fix")))</f>
        <v>0</v>
      </c>
      <c r="C198" s="3">
        <f>IF(OR(INDEX($L$2:$L$1001,MATCH(ROWS($K$2:K198),$K$2:$K$1001,0),1)&gt;=100000,INDEX($R$1005:$W$1005,1,MATCH(COLUMNS($R$1006:S1006),$R$1006:$W$1006,0))&gt;=100000), " ",IF(INDEX($R$2:$W$1001,MATCH(ROWS($K$2:K198),$K$2:$K$1001,0),MATCH(COLUMNS($R$1006:S1006),$R$1006:$W$1006,0)), HYPERLINK("#",""), HYPERLINK(CONCATENATE("#Metadata!", ADDRESS(INDEX($M$2:$M$1001,MATCH(ROWS($K$2:K198),$K$2:$K$1001,0),0), INDEX($R$1004:$W$1004,1,MATCH(COLUMNS($R$1006:S1006),$R$1006:$W$1006,0)))),"Fix")))</f>
        <v>0</v>
      </c>
      <c r="D198" s="3">
        <f>IF(OR(INDEX($L$2:$L$1001,MATCH(ROWS($K$2:K198),$K$2:$K$1001,0),1)&gt;=100000,INDEX($R$1005:$W$1005,1,MATCH(COLUMNS($R$1006:T1006),$R$1006:$W$1006,0))&gt;=100000), " ",IF(INDEX($R$2:$W$1001,MATCH(ROWS($K$2:K198),$K$2:$K$1001,0),MATCH(COLUMNS($R$1006:T1006),$R$1006:$W$1006,0)), HYPERLINK("#",""), HYPERLINK(CONCATENATE("#Metadata!", ADDRESS(INDEX($M$2:$M$1001,MATCH(ROWS($K$2:K198),$K$2:$K$1001,0),0), INDEX($R$1004:$W$1004,1,MATCH(COLUMNS($R$1006:T1006),$R$1006:$W$1006,0)))),"Fix")))</f>
        <v>0</v>
      </c>
      <c r="E198" s="3">
        <f>IF(OR(INDEX($L$2:$L$1001,MATCH(ROWS($K$2:K198),$K$2:$K$1001,0),1)&gt;=100000,INDEX($R$1005:$W$1005,1,MATCH(COLUMNS($R$1006:U1006),$R$1006:$W$1006,0))&gt;=100000), " ",IF(INDEX($R$2:$W$1001,MATCH(ROWS($K$2:K198),$K$2:$K$1001,0),MATCH(COLUMNS($R$1006:U1006),$R$1006:$W$1006,0)), HYPERLINK("#",""), HYPERLINK(CONCATENATE("#Metadata!", ADDRESS(INDEX($M$2:$M$1001,MATCH(ROWS($K$2:K198),$K$2:$K$1001,0),0), INDEX($R$1004:$W$1004,1,MATCH(COLUMNS($R$1006:U1006),$R$1006:$W$1006,0)))),"Fix")))</f>
        <v>0</v>
      </c>
      <c r="F198" s="3">
        <f>IF(OR(INDEX($L$2:$L$1001,MATCH(ROWS($K$2:K198),$K$2:$K$1001,0),1)&gt;=100000,INDEX($R$1005:$W$1005,1,MATCH(COLUMNS($R$1006:V1006),$R$1006:$W$1006,0))&gt;=100000), " ",IF(INDEX($R$2:$W$1001,MATCH(ROWS($K$2:K198),$K$2:$K$1001,0),MATCH(COLUMNS($R$1006:V1006),$R$1006:$W$1006,0)), HYPERLINK("#",""), HYPERLINK(CONCATENATE("#Metadata!", ADDRESS(INDEX($M$2:$M$1001,MATCH(ROWS($K$2:K198),$K$2:$K$1001,0),0), INDEX($R$1004:$W$1004,1,MATCH(COLUMNS($R$1006:V1006),$R$1006:$W$1006,0)))),"Fix")))</f>
        <v>0</v>
      </c>
      <c r="G198" s="3">
        <f>IF(OR(INDEX($L$2:$L$1001,MATCH(ROWS($K$2:K198),$K$2:$K$1001,0),1)&gt;=100000,INDEX($R$1005:$W$1005,1,MATCH(COLUMNS($R$1006:W1006),$R$1006:$W$1006,0))&gt;=100000), " ",IF(INDEX($R$2:$W$1001,MATCH(ROWS($K$2:K198),$K$2:$K$1001,0),MATCH(COLUMNS($R$1006:W1006),$R$1006:$W$1006,0)), HYPERLINK("#",""), HYPERLINK(CONCATENATE("#Metadata!", ADDRESS(INDEX($M$2:$M$1001,MATCH(ROWS($K$2:K198),$K$2:$K$1001,0),0), INDEX($R$1004:$W$1004,1,MATCH(COLUMNS($R$1006:W1006),$R$1006:$W$1006,0)))),"Fix")))</f>
        <v>0</v>
      </c>
      <c r="K198">
        <v>0</v>
      </c>
      <c r="L198">
        <v>0</v>
      </c>
      <c r="M198">
        <v>0</v>
      </c>
      <c r="N198">
        <f>IF(O198,TRUE,AND(R198:W198))</f>
        <v>0</v>
      </c>
      <c r="O198">
        <f>COUNTBLANK(Metadata!B198:G198)=COLUMNS(Metadata!B198:G198)</f>
        <v>0</v>
      </c>
      <c r="P198">
        <v>0</v>
      </c>
      <c r="R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S198">
        <f>IF(Metadata!C198="",FALSE,TRUE)</f>
        <v>0</v>
      </c>
      <c r="T198">
        <f>IF(Metadata!D198="",FALSE,TRUE)</f>
        <v>0</v>
      </c>
      <c r="U198">
        <f>IF(Metadata!E198="",FALSE,TRUE)</f>
        <v>0</v>
      </c>
      <c r="V198">
        <f>AND(IF(Metadata!F198="",FALSE,TRUE),exact(Metadata!F198,"rat gut metagenome"))</f>
        <v>0</v>
      </c>
      <c r="W198">
        <f>AND(IF(Metadata!G198="",FALSE,TRUE),exact(Metadata!G198,"1436733"))</f>
        <v>0</v>
      </c>
    </row>
    <row r="199" spans="1:23">
      <c r="A199" s="4">
        <f>IF(B199=" "," ",HYPERLINK(CONCATENATE("#metadata!",ADDRESS(INDEX($M$2:$M$1001,MATCH(ROWS($K$2:K199),$K$2:$K$1001,0),0),1)),INDEX($P$2:$P$1001,MATCH(ROWS($K$2:K199),$K$2:$K$1001,0),0)))</f>
        <v>0</v>
      </c>
      <c r="B199" s="3">
        <f>IF(OR(INDEX($L$2:$L$1001,MATCH(ROWS($K$2:K199),$K$2:$K$1001,0),1)&gt;=100000,INDEX($R$1005:$W$1005,1,MATCH(COLUMNS($R$1006:R1006),$R$1006:$W$1006,0))&gt;=100000), " ",IF(INDEX($R$2:$W$1001,MATCH(ROWS($K$2:K199),$K$2:$K$1001,0),MATCH(COLUMNS($R$1006:R1006),$R$1006:$W$1006,0)), HYPERLINK("#",""), HYPERLINK(CONCATENATE("#Metadata!", ADDRESS(INDEX($M$2:$M$1001,MATCH(ROWS($K$2:K199),$K$2:$K$1001,0),0), INDEX($R$1004:$W$1004,1,MATCH(COLUMNS($R$1006:R1006),$R$1006:$W$1006,0)))),"Fix")))</f>
        <v>0</v>
      </c>
      <c r="C199" s="3">
        <f>IF(OR(INDEX($L$2:$L$1001,MATCH(ROWS($K$2:K199),$K$2:$K$1001,0),1)&gt;=100000,INDEX($R$1005:$W$1005,1,MATCH(COLUMNS($R$1006:S1006),$R$1006:$W$1006,0))&gt;=100000), " ",IF(INDEX($R$2:$W$1001,MATCH(ROWS($K$2:K199),$K$2:$K$1001,0),MATCH(COLUMNS($R$1006:S1006),$R$1006:$W$1006,0)), HYPERLINK("#",""), HYPERLINK(CONCATENATE("#Metadata!", ADDRESS(INDEX($M$2:$M$1001,MATCH(ROWS($K$2:K199),$K$2:$K$1001,0),0), INDEX($R$1004:$W$1004,1,MATCH(COLUMNS($R$1006:S1006),$R$1006:$W$1006,0)))),"Fix")))</f>
        <v>0</v>
      </c>
      <c r="D199" s="3">
        <f>IF(OR(INDEX($L$2:$L$1001,MATCH(ROWS($K$2:K199),$K$2:$K$1001,0),1)&gt;=100000,INDEX($R$1005:$W$1005,1,MATCH(COLUMNS($R$1006:T1006),$R$1006:$W$1006,0))&gt;=100000), " ",IF(INDEX($R$2:$W$1001,MATCH(ROWS($K$2:K199),$K$2:$K$1001,0),MATCH(COLUMNS($R$1006:T1006),$R$1006:$W$1006,0)), HYPERLINK("#",""), HYPERLINK(CONCATENATE("#Metadata!", ADDRESS(INDEX($M$2:$M$1001,MATCH(ROWS($K$2:K199),$K$2:$K$1001,0),0), INDEX($R$1004:$W$1004,1,MATCH(COLUMNS($R$1006:T1006),$R$1006:$W$1006,0)))),"Fix")))</f>
        <v>0</v>
      </c>
      <c r="E199" s="3">
        <f>IF(OR(INDEX($L$2:$L$1001,MATCH(ROWS($K$2:K199),$K$2:$K$1001,0),1)&gt;=100000,INDEX($R$1005:$W$1005,1,MATCH(COLUMNS($R$1006:U1006),$R$1006:$W$1006,0))&gt;=100000), " ",IF(INDEX($R$2:$W$1001,MATCH(ROWS($K$2:K199),$K$2:$K$1001,0),MATCH(COLUMNS($R$1006:U1006),$R$1006:$W$1006,0)), HYPERLINK("#",""), HYPERLINK(CONCATENATE("#Metadata!", ADDRESS(INDEX($M$2:$M$1001,MATCH(ROWS($K$2:K199),$K$2:$K$1001,0),0), INDEX($R$1004:$W$1004,1,MATCH(COLUMNS($R$1006:U1006),$R$1006:$W$1006,0)))),"Fix")))</f>
        <v>0</v>
      </c>
      <c r="F199" s="3">
        <f>IF(OR(INDEX($L$2:$L$1001,MATCH(ROWS($K$2:K199),$K$2:$K$1001,0),1)&gt;=100000,INDEX($R$1005:$W$1005,1,MATCH(COLUMNS($R$1006:V1006),$R$1006:$W$1006,0))&gt;=100000), " ",IF(INDEX($R$2:$W$1001,MATCH(ROWS($K$2:K199),$K$2:$K$1001,0),MATCH(COLUMNS($R$1006:V1006),$R$1006:$W$1006,0)), HYPERLINK("#",""), HYPERLINK(CONCATENATE("#Metadata!", ADDRESS(INDEX($M$2:$M$1001,MATCH(ROWS($K$2:K199),$K$2:$K$1001,0),0), INDEX($R$1004:$W$1004,1,MATCH(COLUMNS($R$1006:V1006),$R$1006:$W$1006,0)))),"Fix")))</f>
        <v>0</v>
      </c>
      <c r="G199" s="3">
        <f>IF(OR(INDEX($L$2:$L$1001,MATCH(ROWS($K$2:K199),$K$2:$K$1001,0),1)&gt;=100000,INDEX($R$1005:$W$1005,1,MATCH(COLUMNS($R$1006:W1006),$R$1006:$W$1006,0))&gt;=100000), " ",IF(INDEX($R$2:$W$1001,MATCH(ROWS($K$2:K199),$K$2:$K$1001,0),MATCH(COLUMNS($R$1006:W1006),$R$1006:$W$1006,0)), HYPERLINK("#",""), HYPERLINK(CONCATENATE("#Metadata!", ADDRESS(INDEX($M$2:$M$1001,MATCH(ROWS($K$2:K199),$K$2:$K$1001,0),0), INDEX($R$1004:$W$1004,1,MATCH(COLUMNS($R$1006:W1006),$R$1006:$W$1006,0)))),"Fix")))</f>
        <v>0</v>
      </c>
      <c r="K199">
        <v>0</v>
      </c>
      <c r="L199">
        <v>0</v>
      </c>
      <c r="M199">
        <v>0</v>
      </c>
      <c r="N199">
        <f>IF(O199,TRUE,AND(R199:W199))</f>
        <v>0</v>
      </c>
      <c r="O199">
        <f>COUNTBLANK(Metadata!B199:G199)=COLUMNS(Metadata!B199:G199)</f>
        <v>0</v>
      </c>
      <c r="P199">
        <v>0</v>
      </c>
      <c r="R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S199">
        <f>IF(Metadata!C199="",FALSE,TRUE)</f>
        <v>0</v>
      </c>
      <c r="T199">
        <f>IF(Metadata!D199="",FALSE,TRUE)</f>
        <v>0</v>
      </c>
      <c r="U199">
        <f>IF(Metadata!E199="",FALSE,TRUE)</f>
        <v>0</v>
      </c>
      <c r="V199">
        <f>AND(IF(Metadata!F199="",FALSE,TRUE),exact(Metadata!F199,"rat gut metagenome"))</f>
        <v>0</v>
      </c>
      <c r="W199">
        <f>AND(IF(Metadata!G199="",FALSE,TRUE),exact(Metadata!G199,"1436733"))</f>
        <v>0</v>
      </c>
    </row>
    <row r="200" spans="1:23">
      <c r="A200" s="4">
        <f>IF(B200=" "," ",HYPERLINK(CONCATENATE("#metadata!",ADDRESS(INDEX($M$2:$M$1001,MATCH(ROWS($K$2:K200),$K$2:$K$1001,0),0),1)),INDEX($P$2:$P$1001,MATCH(ROWS($K$2:K200),$K$2:$K$1001,0),0)))</f>
        <v>0</v>
      </c>
      <c r="B200" s="3">
        <f>IF(OR(INDEX($L$2:$L$1001,MATCH(ROWS($K$2:K200),$K$2:$K$1001,0),1)&gt;=100000,INDEX($R$1005:$W$1005,1,MATCH(COLUMNS($R$1006:R1006),$R$1006:$W$1006,0))&gt;=100000), " ",IF(INDEX($R$2:$W$1001,MATCH(ROWS($K$2:K200),$K$2:$K$1001,0),MATCH(COLUMNS($R$1006:R1006),$R$1006:$W$1006,0)), HYPERLINK("#",""), HYPERLINK(CONCATENATE("#Metadata!", ADDRESS(INDEX($M$2:$M$1001,MATCH(ROWS($K$2:K200),$K$2:$K$1001,0),0), INDEX($R$1004:$W$1004,1,MATCH(COLUMNS($R$1006:R1006),$R$1006:$W$1006,0)))),"Fix")))</f>
        <v>0</v>
      </c>
      <c r="C200" s="3">
        <f>IF(OR(INDEX($L$2:$L$1001,MATCH(ROWS($K$2:K200),$K$2:$K$1001,0),1)&gt;=100000,INDEX($R$1005:$W$1005,1,MATCH(COLUMNS($R$1006:S1006),$R$1006:$W$1006,0))&gt;=100000), " ",IF(INDEX($R$2:$W$1001,MATCH(ROWS($K$2:K200),$K$2:$K$1001,0),MATCH(COLUMNS($R$1006:S1006),$R$1006:$W$1006,0)), HYPERLINK("#",""), HYPERLINK(CONCATENATE("#Metadata!", ADDRESS(INDEX($M$2:$M$1001,MATCH(ROWS($K$2:K200),$K$2:$K$1001,0),0), INDEX($R$1004:$W$1004,1,MATCH(COLUMNS($R$1006:S1006),$R$1006:$W$1006,0)))),"Fix")))</f>
        <v>0</v>
      </c>
      <c r="D200" s="3">
        <f>IF(OR(INDEX($L$2:$L$1001,MATCH(ROWS($K$2:K200),$K$2:$K$1001,0),1)&gt;=100000,INDEX($R$1005:$W$1005,1,MATCH(COLUMNS($R$1006:T1006),$R$1006:$W$1006,0))&gt;=100000), " ",IF(INDEX($R$2:$W$1001,MATCH(ROWS($K$2:K200),$K$2:$K$1001,0),MATCH(COLUMNS($R$1006:T1006),$R$1006:$W$1006,0)), HYPERLINK("#",""), HYPERLINK(CONCATENATE("#Metadata!", ADDRESS(INDEX($M$2:$M$1001,MATCH(ROWS($K$2:K200),$K$2:$K$1001,0),0), INDEX($R$1004:$W$1004,1,MATCH(COLUMNS($R$1006:T1006),$R$1006:$W$1006,0)))),"Fix")))</f>
        <v>0</v>
      </c>
      <c r="E200" s="3">
        <f>IF(OR(INDEX($L$2:$L$1001,MATCH(ROWS($K$2:K200),$K$2:$K$1001,0),1)&gt;=100000,INDEX($R$1005:$W$1005,1,MATCH(COLUMNS($R$1006:U1006),$R$1006:$W$1006,0))&gt;=100000), " ",IF(INDEX($R$2:$W$1001,MATCH(ROWS($K$2:K200),$K$2:$K$1001,0),MATCH(COLUMNS($R$1006:U1006),$R$1006:$W$1006,0)), HYPERLINK("#",""), HYPERLINK(CONCATENATE("#Metadata!", ADDRESS(INDEX($M$2:$M$1001,MATCH(ROWS($K$2:K200),$K$2:$K$1001,0),0), INDEX($R$1004:$W$1004,1,MATCH(COLUMNS($R$1006:U1006),$R$1006:$W$1006,0)))),"Fix")))</f>
        <v>0</v>
      </c>
      <c r="F200" s="3">
        <f>IF(OR(INDEX($L$2:$L$1001,MATCH(ROWS($K$2:K200),$K$2:$K$1001,0),1)&gt;=100000,INDEX($R$1005:$W$1005,1,MATCH(COLUMNS($R$1006:V1006),$R$1006:$W$1006,0))&gt;=100000), " ",IF(INDEX($R$2:$W$1001,MATCH(ROWS($K$2:K200),$K$2:$K$1001,0),MATCH(COLUMNS($R$1006:V1006),$R$1006:$W$1006,0)), HYPERLINK("#",""), HYPERLINK(CONCATENATE("#Metadata!", ADDRESS(INDEX($M$2:$M$1001,MATCH(ROWS($K$2:K200),$K$2:$K$1001,0),0), INDEX($R$1004:$W$1004,1,MATCH(COLUMNS($R$1006:V1006),$R$1006:$W$1006,0)))),"Fix")))</f>
        <v>0</v>
      </c>
      <c r="G200" s="3">
        <f>IF(OR(INDEX($L$2:$L$1001,MATCH(ROWS($K$2:K200),$K$2:$K$1001,0),1)&gt;=100000,INDEX($R$1005:$W$1005,1,MATCH(COLUMNS($R$1006:W1006),$R$1006:$W$1006,0))&gt;=100000), " ",IF(INDEX($R$2:$W$1001,MATCH(ROWS($K$2:K200),$K$2:$K$1001,0),MATCH(COLUMNS($R$1006:W1006),$R$1006:$W$1006,0)), HYPERLINK("#",""), HYPERLINK(CONCATENATE("#Metadata!", ADDRESS(INDEX($M$2:$M$1001,MATCH(ROWS($K$2:K200),$K$2:$K$1001,0),0), INDEX($R$1004:$W$1004,1,MATCH(COLUMNS($R$1006:W1006),$R$1006:$W$1006,0)))),"Fix")))</f>
        <v>0</v>
      </c>
      <c r="K200">
        <v>0</v>
      </c>
      <c r="L200">
        <v>0</v>
      </c>
      <c r="M200">
        <v>0</v>
      </c>
      <c r="N200">
        <f>IF(O200,TRUE,AND(R200:W200))</f>
        <v>0</v>
      </c>
      <c r="O200">
        <f>COUNTBLANK(Metadata!B200:G200)=COLUMNS(Metadata!B200:G200)</f>
        <v>0</v>
      </c>
      <c r="P200">
        <v>0</v>
      </c>
      <c r="R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S200">
        <f>IF(Metadata!C200="",FALSE,TRUE)</f>
        <v>0</v>
      </c>
      <c r="T200">
        <f>IF(Metadata!D200="",FALSE,TRUE)</f>
        <v>0</v>
      </c>
      <c r="U200">
        <f>IF(Metadata!E200="",FALSE,TRUE)</f>
        <v>0</v>
      </c>
      <c r="V200">
        <f>AND(IF(Metadata!F200="",FALSE,TRUE),exact(Metadata!F200,"rat gut metagenome"))</f>
        <v>0</v>
      </c>
      <c r="W200">
        <f>AND(IF(Metadata!G200="",FALSE,TRUE),exact(Metadata!G200,"1436733"))</f>
        <v>0</v>
      </c>
    </row>
    <row r="201" spans="1:23">
      <c r="A201" s="4">
        <f>IF(B201=" "," ",HYPERLINK(CONCATENATE("#metadata!",ADDRESS(INDEX($M$2:$M$1001,MATCH(ROWS($K$2:K201),$K$2:$K$1001,0),0),1)),INDEX($P$2:$P$1001,MATCH(ROWS($K$2:K201),$K$2:$K$1001,0),0)))</f>
        <v>0</v>
      </c>
      <c r="B201" s="3">
        <f>IF(OR(INDEX($L$2:$L$1001,MATCH(ROWS($K$2:K201),$K$2:$K$1001,0),1)&gt;=100000,INDEX($R$1005:$W$1005,1,MATCH(COLUMNS($R$1006:R1006),$R$1006:$W$1006,0))&gt;=100000), " ",IF(INDEX($R$2:$W$1001,MATCH(ROWS($K$2:K201),$K$2:$K$1001,0),MATCH(COLUMNS($R$1006:R1006),$R$1006:$W$1006,0)), HYPERLINK("#",""), HYPERLINK(CONCATENATE("#Metadata!", ADDRESS(INDEX($M$2:$M$1001,MATCH(ROWS($K$2:K201),$K$2:$K$1001,0),0), INDEX($R$1004:$W$1004,1,MATCH(COLUMNS($R$1006:R1006),$R$1006:$W$1006,0)))),"Fix")))</f>
        <v>0</v>
      </c>
      <c r="C201" s="3">
        <f>IF(OR(INDEX($L$2:$L$1001,MATCH(ROWS($K$2:K201),$K$2:$K$1001,0),1)&gt;=100000,INDEX($R$1005:$W$1005,1,MATCH(COLUMNS($R$1006:S1006),$R$1006:$W$1006,0))&gt;=100000), " ",IF(INDEX($R$2:$W$1001,MATCH(ROWS($K$2:K201),$K$2:$K$1001,0),MATCH(COLUMNS($R$1006:S1006),$R$1006:$W$1006,0)), HYPERLINK("#",""), HYPERLINK(CONCATENATE("#Metadata!", ADDRESS(INDEX($M$2:$M$1001,MATCH(ROWS($K$2:K201),$K$2:$K$1001,0),0), INDEX($R$1004:$W$1004,1,MATCH(COLUMNS($R$1006:S1006),$R$1006:$W$1006,0)))),"Fix")))</f>
        <v>0</v>
      </c>
      <c r="D201" s="3">
        <f>IF(OR(INDEX($L$2:$L$1001,MATCH(ROWS($K$2:K201),$K$2:$K$1001,0),1)&gt;=100000,INDEX($R$1005:$W$1005,1,MATCH(COLUMNS($R$1006:T1006),$R$1006:$W$1006,0))&gt;=100000), " ",IF(INDEX($R$2:$W$1001,MATCH(ROWS($K$2:K201),$K$2:$K$1001,0),MATCH(COLUMNS($R$1006:T1006),$R$1006:$W$1006,0)), HYPERLINK("#",""), HYPERLINK(CONCATENATE("#Metadata!", ADDRESS(INDEX($M$2:$M$1001,MATCH(ROWS($K$2:K201),$K$2:$K$1001,0),0), INDEX($R$1004:$W$1004,1,MATCH(COLUMNS($R$1006:T1006),$R$1006:$W$1006,0)))),"Fix")))</f>
        <v>0</v>
      </c>
      <c r="E201" s="3">
        <f>IF(OR(INDEX($L$2:$L$1001,MATCH(ROWS($K$2:K201),$K$2:$K$1001,0),1)&gt;=100000,INDEX($R$1005:$W$1005,1,MATCH(COLUMNS($R$1006:U1006),$R$1006:$W$1006,0))&gt;=100000), " ",IF(INDEX($R$2:$W$1001,MATCH(ROWS($K$2:K201),$K$2:$K$1001,0),MATCH(COLUMNS($R$1006:U1006),$R$1006:$W$1006,0)), HYPERLINK("#",""), HYPERLINK(CONCATENATE("#Metadata!", ADDRESS(INDEX($M$2:$M$1001,MATCH(ROWS($K$2:K201),$K$2:$K$1001,0),0), INDEX($R$1004:$W$1004,1,MATCH(COLUMNS($R$1006:U1006),$R$1006:$W$1006,0)))),"Fix")))</f>
        <v>0</v>
      </c>
      <c r="F201" s="3">
        <f>IF(OR(INDEX($L$2:$L$1001,MATCH(ROWS($K$2:K201),$K$2:$K$1001,0),1)&gt;=100000,INDEX($R$1005:$W$1005,1,MATCH(COLUMNS($R$1006:V1006),$R$1006:$W$1006,0))&gt;=100000), " ",IF(INDEX($R$2:$W$1001,MATCH(ROWS($K$2:K201),$K$2:$K$1001,0),MATCH(COLUMNS($R$1006:V1006),$R$1006:$W$1006,0)), HYPERLINK("#",""), HYPERLINK(CONCATENATE("#Metadata!", ADDRESS(INDEX($M$2:$M$1001,MATCH(ROWS($K$2:K201),$K$2:$K$1001,0),0), INDEX($R$1004:$W$1004,1,MATCH(COLUMNS($R$1006:V1006),$R$1006:$W$1006,0)))),"Fix")))</f>
        <v>0</v>
      </c>
      <c r="G201" s="3">
        <f>IF(OR(INDEX($L$2:$L$1001,MATCH(ROWS($K$2:K201),$K$2:$K$1001,0),1)&gt;=100000,INDEX($R$1005:$W$1005,1,MATCH(COLUMNS($R$1006:W1006),$R$1006:$W$1006,0))&gt;=100000), " ",IF(INDEX($R$2:$W$1001,MATCH(ROWS($K$2:K201),$K$2:$K$1001,0),MATCH(COLUMNS($R$1006:W1006),$R$1006:$W$1006,0)), HYPERLINK("#",""), HYPERLINK(CONCATENATE("#Metadata!", ADDRESS(INDEX($M$2:$M$1001,MATCH(ROWS($K$2:K201),$K$2:$K$1001,0),0), INDEX($R$1004:$W$1004,1,MATCH(COLUMNS($R$1006:W1006),$R$1006:$W$1006,0)))),"Fix")))</f>
        <v>0</v>
      </c>
      <c r="K201">
        <v>0</v>
      </c>
      <c r="L201">
        <v>0</v>
      </c>
      <c r="M201">
        <v>0</v>
      </c>
      <c r="N201">
        <f>IF(O201,TRUE,AND(R201:W201))</f>
        <v>0</v>
      </c>
      <c r="O201">
        <f>COUNTBLANK(Metadata!B201:G201)=COLUMNS(Metadata!B201:G201)</f>
        <v>0</v>
      </c>
      <c r="P201">
        <v>0</v>
      </c>
      <c r="R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S201">
        <f>IF(Metadata!C201="",FALSE,TRUE)</f>
        <v>0</v>
      </c>
      <c r="T201">
        <f>IF(Metadata!D201="",FALSE,TRUE)</f>
        <v>0</v>
      </c>
      <c r="U201">
        <f>IF(Metadata!E201="",FALSE,TRUE)</f>
        <v>0</v>
      </c>
      <c r="V201">
        <f>AND(IF(Metadata!F201="",FALSE,TRUE),exact(Metadata!F201,"rat gut metagenome"))</f>
        <v>0</v>
      </c>
      <c r="W201">
        <f>AND(IF(Metadata!G201="",FALSE,TRUE),exact(Metadata!G201,"1436733"))</f>
        <v>0</v>
      </c>
    </row>
    <row r="202" spans="1:23">
      <c r="A202" s="4">
        <f>IF(B202=" "," ",HYPERLINK(CONCATENATE("#metadata!",ADDRESS(INDEX($M$2:$M$1001,MATCH(ROWS($K$2:K202),$K$2:$K$1001,0),0),1)),INDEX($P$2:$P$1001,MATCH(ROWS($K$2:K202),$K$2:$K$1001,0),0)))</f>
        <v>0</v>
      </c>
      <c r="B202" s="3">
        <f>IF(OR(INDEX($L$2:$L$1001,MATCH(ROWS($K$2:K202),$K$2:$K$1001,0),1)&gt;=100000,INDEX($R$1005:$W$1005,1,MATCH(COLUMNS($R$1006:R1006),$R$1006:$W$1006,0))&gt;=100000), " ",IF(INDEX($R$2:$W$1001,MATCH(ROWS($K$2:K202),$K$2:$K$1001,0),MATCH(COLUMNS($R$1006:R1006),$R$1006:$W$1006,0)), HYPERLINK("#",""), HYPERLINK(CONCATENATE("#Metadata!", ADDRESS(INDEX($M$2:$M$1001,MATCH(ROWS($K$2:K202),$K$2:$K$1001,0),0), INDEX($R$1004:$W$1004,1,MATCH(COLUMNS($R$1006:R1006),$R$1006:$W$1006,0)))),"Fix")))</f>
        <v>0</v>
      </c>
      <c r="C202" s="3">
        <f>IF(OR(INDEX($L$2:$L$1001,MATCH(ROWS($K$2:K202),$K$2:$K$1001,0),1)&gt;=100000,INDEX($R$1005:$W$1005,1,MATCH(COLUMNS($R$1006:S1006),$R$1006:$W$1006,0))&gt;=100000), " ",IF(INDEX($R$2:$W$1001,MATCH(ROWS($K$2:K202),$K$2:$K$1001,0),MATCH(COLUMNS($R$1006:S1006),$R$1006:$W$1006,0)), HYPERLINK("#",""), HYPERLINK(CONCATENATE("#Metadata!", ADDRESS(INDEX($M$2:$M$1001,MATCH(ROWS($K$2:K202),$K$2:$K$1001,0),0), INDEX($R$1004:$W$1004,1,MATCH(COLUMNS($R$1006:S1006),$R$1006:$W$1006,0)))),"Fix")))</f>
        <v>0</v>
      </c>
      <c r="D202" s="3">
        <f>IF(OR(INDEX($L$2:$L$1001,MATCH(ROWS($K$2:K202),$K$2:$K$1001,0),1)&gt;=100000,INDEX($R$1005:$W$1005,1,MATCH(COLUMNS($R$1006:T1006),$R$1006:$W$1006,0))&gt;=100000), " ",IF(INDEX($R$2:$W$1001,MATCH(ROWS($K$2:K202),$K$2:$K$1001,0),MATCH(COLUMNS($R$1006:T1006),$R$1006:$W$1006,0)), HYPERLINK("#",""), HYPERLINK(CONCATENATE("#Metadata!", ADDRESS(INDEX($M$2:$M$1001,MATCH(ROWS($K$2:K202),$K$2:$K$1001,0),0), INDEX($R$1004:$W$1004,1,MATCH(COLUMNS($R$1006:T1006),$R$1006:$W$1006,0)))),"Fix")))</f>
        <v>0</v>
      </c>
      <c r="E202" s="3">
        <f>IF(OR(INDEX($L$2:$L$1001,MATCH(ROWS($K$2:K202),$K$2:$K$1001,0),1)&gt;=100000,INDEX($R$1005:$W$1005,1,MATCH(COLUMNS($R$1006:U1006),$R$1006:$W$1006,0))&gt;=100000), " ",IF(INDEX($R$2:$W$1001,MATCH(ROWS($K$2:K202),$K$2:$K$1001,0),MATCH(COLUMNS($R$1006:U1006),$R$1006:$W$1006,0)), HYPERLINK("#",""), HYPERLINK(CONCATENATE("#Metadata!", ADDRESS(INDEX($M$2:$M$1001,MATCH(ROWS($K$2:K202),$K$2:$K$1001,0),0), INDEX($R$1004:$W$1004,1,MATCH(COLUMNS($R$1006:U1006),$R$1006:$W$1006,0)))),"Fix")))</f>
        <v>0</v>
      </c>
      <c r="F202" s="3">
        <f>IF(OR(INDEX($L$2:$L$1001,MATCH(ROWS($K$2:K202),$K$2:$K$1001,0),1)&gt;=100000,INDEX($R$1005:$W$1005,1,MATCH(COLUMNS($R$1006:V1006),$R$1006:$W$1006,0))&gt;=100000), " ",IF(INDEX($R$2:$W$1001,MATCH(ROWS($K$2:K202),$K$2:$K$1001,0),MATCH(COLUMNS($R$1006:V1006),$R$1006:$W$1006,0)), HYPERLINK("#",""), HYPERLINK(CONCATENATE("#Metadata!", ADDRESS(INDEX($M$2:$M$1001,MATCH(ROWS($K$2:K202),$K$2:$K$1001,0),0), INDEX($R$1004:$W$1004,1,MATCH(COLUMNS($R$1006:V1006),$R$1006:$W$1006,0)))),"Fix")))</f>
        <v>0</v>
      </c>
      <c r="G202" s="3">
        <f>IF(OR(INDEX($L$2:$L$1001,MATCH(ROWS($K$2:K202),$K$2:$K$1001,0),1)&gt;=100000,INDEX($R$1005:$W$1005,1,MATCH(COLUMNS($R$1006:W1006),$R$1006:$W$1006,0))&gt;=100000), " ",IF(INDEX($R$2:$W$1001,MATCH(ROWS($K$2:K202),$K$2:$K$1001,0),MATCH(COLUMNS($R$1006:W1006),$R$1006:$W$1006,0)), HYPERLINK("#",""), HYPERLINK(CONCATENATE("#Metadata!", ADDRESS(INDEX($M$2:$M$1001,MATCH(ROWS($K$2:K202),$K$2:$K$1001,0),0), INDEX($R$1004:$W$1004,1,MATCH(COLUMNS($R$1006:W1006),$R$1006:$W$1006,0)))),"Fix")))</f>
        <v>0</v>
      </c>
      <c r="K202">
        <v>0</v>
      </c>
      <c r="L202">
        <v>0</v>
      </c>
      <c r="M202">
        <v>0</v>
      </c>
      <c r="N202">
        <f>IF(O202,TRUE,AND(R202:W202))</f>
        <v>0</v>
      </c>
      <c r="O202">
        <f>COUNTBLANK(Metadata!B202:G202)=COLUMNS(Metadata!B202:G202)</f>
        <v>0</v>
      </c>
      <c r="P202">
        <v>0</v>
      </c>
      <c r="R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S202">
        <f>IF(Metadata!C202="",FALSE,TRUE)</f>
        <v>0</v>
      </c>
      <c r="T202">
        <f>IF(Metadata!D202="",FALSE,TRUE)</f>
        <v>0</v>
      </c>
      <c r="U202">
        <f>IF(Metadata!E202="",FALSE,TRUE)</f>
        <v>0</v>
      </c>
      <c r="V202">
        <f>AND(IF(Metadata!F202="",FALSE,TRUE),exact(Metadata!F202,"rat gut metagenome"))</f>
        <v>0</v>
      </c>
      <c r="W202">
        <f>AND(IF(Metadata!G202="",FALSE,TRUE),exact(Metadata!G202,"1436733"))</f>
        <v>0</v>
      </c>
    </row>
    <row r="203" spans="1:23">
      <c r="A203" s="4">
        <f>IF(B203=" "," ",HYPERLINK(CONCATENATE("#metadata!",ADDRESS(INDEX($M$2:$M$1001,MATCH(ROWS($K$2:K203),$K$2:$K$1001,0),0),1)),INDEX($P$2:$P$1001,MATCH(ROWS($K$2:K203),$K$2:$K$1001,0),0)))</f>
        <v>0</v>
      </c>
      <c r="B203" s="3">
        <f>IF(OR(INDEX($L$2:$L$1001,MATCH(ROWS($K$2:K203),$K$2:$K$1001,0),1)&gt;=100000,INDEX($R$1005:$W$1005,1,MATCH(COLUMNS($R$1006:R1006),$R$1006:$W$1006,0))&gt;=100000), " ",IF(INDEX($R$2:$W$1001,MATCH(ROWS($K$2:K203),$K$2:$K$1001,0),MATCH(COLUMNS($R$1006:R1006),$R$1006:$W$1006,0)), HYPERLINK("#",""), HYPERLINK(CONCATENATE("#Metadata!", ADDRESS(INDEX($M$2:$M$1001,MATCH(ROWS($K$2:K203),$K$2:$K$1001,0),0), INDEX($R$1004:$W$1004,1,MATCH(COLUMNS($R$1006:R1006),$R$1006:$W$1006,0)))),"Fix")))</f>
        <v>0</v>
      </c>
      <c r="C203" s="3">
        <f>IF(OR(INDEX($L$2:$L$1001,MATCH(ROWS($K$2:K203),$K$2:$K$1001,0),1)&gt;=100000,INDEX($R$1005:$W$1005,1,MATCH(COLUMNS($R$1006:S1006),$R$1006:$W$1006,0))&gt;=100000), " ",IF(INDEX($R$2:$W$1001,MATCH(ROWS($K$2:K203),$K$2:$K$1001,0),MATCH(COLUMNS($R$1006:S1006),$R$1006:$W$1006,0)), HYPERLINK("#",""), HYPERLINK(CONCATENATE("#Metadata!", ADDRESS(INDEX($M$2:$M$1001,MATCH(ROWS($K$2:K203),$K$2:$K$1001,0),0), INDEX($R$1004:$W$1004,1,MATCH(COLUMNS($R$1006:S1006),$R$1006:$W$1006,0)))),"Fix")))</f>
        <v>0</v>
      </c>
      <c r="D203" s="3">
        <f>IF(OR(INDEX($L$2:$L$1001,MATCH(ROWS($K$2:K203),$K$2:$K$1001,0),1)&gt;=100000,INDEX($R$1005:$W$1005,1,MATCH(COLUMNS($R$1006:T1006),$R$1006:$W$1006,0))&gt;=100000), " ",IF(INDEX($R$2:$W$1001,MATCH(ROWS($K$2:K203),$K$2:$K$1001,0),MATCH(COLUMNS($R$1006:T1006),$R$1006:$W$1006,0)), HYPERLINK("#",""), HYPERLINK(CONCATENATE("#Metadata!", ADDRESS(INDEX($M$2:$M$1001,MATCH(ROWS($K$2:K203),$K$2:$K$1001,0),0), INDEX($R$1004:$W$1004,1,MATCH(COLUMNS($R$1006:T1006),$R$1006:$W$1006,0)))),"Fix")))</f>
        <v>0</v>
      </c>
      <c r="E203" s="3">
        <f>IF(OR(INDEX($L$2:$L$1001,MATCH(ROWS($K$2:K203),$K$2:$K$1001,0),1)&gt;=100000,INDEX($R$1005:$W$1005,1,MATCH(COLUMNS($R$1006:U1006),$R$1006:$W$1006,0))&gt;=100000), " ",IF(INDEX($R$2:$W$1001,MATCH(ROWS($K$2:K203),$K$2:$K$1001,0),MATCH(COLUMNS($R$1006:U1006),$R$1006:$W$1006,0)), HYPERLINK("#",""), HYPERLINK(CONCATENATE("#Metadata!", ADDRESS(INDEX($M$2:$M$1001,MATCH(ROWS($K$2:K203),$K$2:$K$1001,0),0), INDEX($R$1004:$W$1004,1,MATCH(COLUMNS($R$1006:U1006),$R$1006:$W$1006,0)))),"Fix")))</f>
        <v>0</v>
      </c>
      <c r="F203" s="3">
        <f>IF(OR(INDEX($L$2:$L$1001,MATCH(ROWS($K$2:K203),$K$2:$K$1001,0),1)&gt;=100000,INDEX($R$1005:$W$1005,1,MATCH(COLUMNS($R$1006:V1006),$R$1006:$W$1006,0))&gt;=100000), " ",IF(INDEX($R$2:$W$1001,MATCH(ROWS($K$2:K203),$K$2:$K$1001,0),MATCH(COLUMNS($R$1006:V1006),$R$1006:$W$1006,0)), HYPERLINK("#",""), HYPERLINK(CONCATENATE("#Metadata!", ADDRESS(INDEX($M$2:$M$1001,MATCH(ROWS($K$2:K203),$K$2:$K$1001,0),0), INDEX($R$1004:$W$1004,1,MATCH(COLUMNS($R$1006:V1006),$R$1006:$W$1006,0)))),"Fix")))</f>
        <v>0</v>
      </c>
      <c r="G203" s="3">
        <f>IF(OR(INDEX($L$2:$L$1001,MATCH(ROWS($K$2:K203),$K$2:$K$1001,0),1)&gt;=100000,INDEX($R$1005:$W$1005,1,MATCH(COLUMNS($R$1006:W1006),$R$1006:$W$1006,0))&gt;=100000), " ",IF(INDEX($R$2:$W$1001,MATCH(ROWS($K$2:K203),$K$2:$K$1001,0),MATCH(COLUMNS($R$1006:W1006),$R$1006:$W$1006,0)), HYPERLINK("#",""), HYPERLINK(CONCATENATE("#Metadata!", ADDRESS(INDEX($M$2:$M$1001,MATCH(ROWS($K$2:K203),$K$2:$K$1001,0),0), INDEX($R$1004:$W$1004,1,MATCH(COLUMNS($R$1006:W1006),$R$1006:$W$1006,0)))),"Fix")))</f>
        <v>0</v>
      </c>
      <c r="K203">
        <v>0</v>
      </c>
      <c r="L203">
        <v>0</v>
      </c>
      <c r="M203">
        <v>0</v>
      </c>
      <c r="N203">
        <f>IF(O203,TRUE,AND(R203:W203))</f>
        <v>0</v>
      </c>
      <c r="O203">
        <f>COUNTBLANK(Metadata!B203:G203)=COLUMNS(Metadata!B203:G203)</f>
        <v>0</v>
      </c>
      <c r="P203">
        <v>0</v>
      </c>
      <c r="R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S203">
        <f>IF(Metadata!C203="",FALSE,TRUE)</f>
        <v>0</v>
      </c>
      <c r="T203">
        <f>IF(Metadata!D203="",FALSE,TRUE)</f>
        <v>0</v>
      </c>
      <c r="U203">
        <f>IF(Metadata!E203="",FALSE,TRUE)</f>
        <v>0</v>
      </c>
      <c r="V203">
        <f>AND(IF(Metadata!F203="",FALSE,TRUE),exact(Metadata!F203,"rat gut metagenome"))</f>
        <v>0</v>
      </c>
      <c r="W203">
        <f>AND(IF(Metadata!G203="",FALSE,TRUE),exact(Metadata!G203,"1436733"))</f>
        <v>0</v>
      </c>
    </row>
    <row r="204" spans="1:23">
      <c r="A204" s="4">
        <f>IF(B204=" "," ",HYPERLINK(CONCATENATE("#metadata!",ADDRESS(INDEX($M$2:$M$1001,MATCH(ROWS($K$2:K204),$K$2:$K$1001,0),0),1)),INDEX($P$2:$P$1001,MATCH(ROWS($K$2:K204),$K$2:$K$1001,0),0)))</f>
        <v>0</v>
      </c>
      <c r="B204" s="3">
        <f>IF(OR(INDEX($L$2:$L$1001,MATCH(ROWS($K$2:K204),$K$2:$K$1001,0),1)&gt;=100000,INDEX($R$1005:$W$1005,1,MATCH(COLUMNS($R$1006:R1006),$R$1006:$W$1006,0))&gt;=100000), " ",IF(INDEX($R$2:$W$1001,MATCH(ROWS($K$2:K204),$K$2:$K$1001,0),MATCH(COLUMNS($R$1006:R1006),$R$1006:$W$1006,0)), HYPERLINK("#",""), HYPERLINK(CONCATENATE("#Metadata!", ADDRESS(INDEX($M$2:$M$1001,MATCH(ROWS($K$2:K204),$K$2:$K$1001,0),0), INDEX($R$1004:$W$1004,1,MATCH(COLUMNS($R$1006:R1006),$R$1006:$W$1006,0)))),"Fix")))</f>
        <v>0</v>
      </c>
      <c r="C204" s="3">
        <f>IF(OR(INDEX($L$2:$L$1001,MATCH(ROWS($K$2:K204),$K$2:$K$1001,0),1)&gt;=100000,INDEX($R$1005:$W$1005,1,MATCH(COLUMNS($R$1006:S1006),$R$1006:$W$1006,0))&gt;=100000), " ",IF(INDEX($R$2:$W$1001,MATCH(ROWS($K$2:K204),$K$2:$K$1001,0),MATCH(COLUMNS($R$1006:S1006),$R$1006:$W$1006,0)), HYPERLINK("#",""), HYPERLINK(CONCATENATE("#Metadata!", ADDRESS(INDEX($M$2:$M$1001,MATCH(ROWS($K$2:K204),$K$2:$K$1001,0),0), INDEX($R$1004:$W$1004,1,MATCH(COLUMNS($R$1006:S1006),$R$1006:$W$1006,0)))),"Fix")))</f>
        <v>0</v>
      </c>
      <c r="D204" s="3">
        <f>IF(OR(INDEX($L$2:$L$1001,MATCH(ROWS($K$2:K204),$K$2:$K$1001,0),1)&gt;=100000,INDEX($R$1005:$W$1005,1,MATCH(COLUMNS($R$1006:T1006),$R$1006:$W$1006,0))&gt;=100000), " ",IF(INDEX($R$2:$W$1001,MATCH(ROWS($K$2:K204),$K$2:$K$1001,0),MATCH(COLUMNS($R$1006:T1006),$R$1006:$W$1006,0)), HYPERLINK("#",""), HYPERLINK(CONCATENATE("#Metadata!", ADDRESS(INDEX($M$2:$M$1001,MATCH(ROWS($K$2:K204),$K$2:$K$1001,0),0), INDEX($R$1004:$W$1004,1,MATCH(COLUMNS($R$1006:T1006),$R$1006:$W$1006,0)))),"Fix")))</f>
        <v>0</v>
      </c>
      <c r="E204" s="3">
        <f>IF(OR(INDEX($L$2:$L$1001,MATCH(ROWS($K$2:K204),$K$2:$K$1001,0),1)&gt;=100000,INDEX($R$1005:$W$1005,1,MATCH(COLUMNS($R$1006:U1006),$R$1006:$W$1006,0))&gt;=100000), " ",IF(INDEX($R$2:$W$1001,MATCH(ROWS($K$2:K204),$K$2:$K$1001,0),MATCH(COLUMNS($R$1006:U1006),$R$1006:$W$1006,0)), HYPERLINK("#",""), HYPERLINK(CONCATENATE("#Metadata!", ADDRESS(INDEX($M$2:$M$1001,MATCH(ROWS($K$2:K204),$K$2:$K$1001,0),0), INDEX($R$1004:$W$1004,1,MATCH(COLUMNS($R$1006:U1006),$R$1006:$W$1006,0)))),"Fix")))</f>
        <v>0</v>
      </c>
      <c r="F204" s="3">
        <f>IF(OR(INDEX($L$2:$L$1001,MATCH(ROWS($K$2:K204),$K$2:$K$1001,0),1)&gt;=100000,INDEX($R$1005:$W$1005,1,MATCH(COLUMNS($R$1006:V1006),$R$1006:$W$1006,0))&gt;=100000), " ",IF(INDEX($R$2:$W$1001,MATCH(ROWS($K$2:K204),$K$2:$K$1001,0),MATCH(COLUMNS($R$1006:V1006),$R$1006:$W$1006,0)), HYPERLINK("#",""), HYPERLINK(CONCATENATE("#Metadata!", ADDRESS(INDEX($M$2:$M$1001,MATCH(ROWS($K$2:K204),$K$2:$K$1001,0),0), INDEX($R$1004:$W$1004,1,MATCH(COLUMNS($R$1006:V1006),$R$1006:$W$1006,0)))),"Fix")))</f>
        <v>0</v>
      </c>
      <c r="G204" s="3">
        <f>IF(OR(INDEX($L$2:$L$1001,MATCH(ROWS($K$2:K204),$K$2:$K$1001,0),1)&gt;=100000,INDEX($R$1005:$W$1005,1,MATCH(COLUMNS($R$1006:W1006),$R$1006:$W$1006,0))&gt;=100000), " ",IF(INDEX($R$2:$W$1001,MATCH(ROWS($K$2:K204),$K$2:$K$1001,0),MATCH(COLUMNS($R$1006:W1006),$R$1006:$W$1006,0)), HYPERLINK("#",""), HYPERLINK(CONCATENATE("#Metadata!", ADDRESS(INDEX($M$2:$M$1001,MATCH(ROWS($K$2:K204),$K$2:$K$1001,0),0), INDEX($R$1004:$W$1004,1,MATCH(COLUMNS($R$1006:W1006),$R$1006:$W$1006,0)))),"Fix")))</f>
        <v>0</v>
      </c>
      <c r="K204">
        <v>0</v>
      </c>
      <c r="L204">
        <v>0</v>
      </c>
      <c r="M204">
        <v>0</v>
      </c>
      <c r="N204">
        <f>IF(O204,TRUE,AND(R204:W204))</f>
        <v>0</v>
      </c>
      <c r="O204">
        <f>COUNTBLANK(Metadata!B204:G204)=COLUMNS(Metadata!B204:G204)</f>
        <v>0</v>
      </c>
      <c r="P204">
        <v>0</v>
      </c>
      <c r="R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S204">
        <f>IF(Metadata!C204="",FALSE,TRUE)</f>
        <v>0</v>
      </c>
      <c r="T204">
        <f>IF(Metadata!D204="",FALSE,TRUE)</f>
        <v>0</v>
      </c>
      <c r="U204">
        <f>IF(Metadata!E204="",FALSE,TRUE)</f>
        <v>0</v>
      </c>
      <c r="V204">
        <f>AND(IF(Metadata!F204="",FALSE,TRUE),exact(Metadata!F204,"rat gut metagenome"))</f>
        <v>0</v>
      </c>
      <c r="W204">
        <f>AND(IF(Metadata!G204="",FALSE,TRUE),exact(Metadata!G204,"1436733"))</f>
        <v>0</v>
      </c>
    </row>
    <row r="205" spans="1:23">
      <c r="A205" s="4">
        <f>IF(B205=" "," ",HYPERLINK(CONCATENATE("#metadata!",ADDRESS(INDEX($M$2:$M$1001,MATCH(ROWS($K$2:K205),$K$2:$K$1001,0),0),1)),INDEX($P$2:$P$1001,MATCH(ROWS($K$2:K205),$K$2:$K$1001,0),0)))</f>
        <v>0</v>
      </c>
      <c r="B205" s="3">
        <f>IF(OR(INDEX($L$2:$L$1001,MATCH(ROWS($K$2:K205),$K$2:$K$1001,0),1)&gt;=100000,INDEX($R$1005:$W$1005,1,MATCH(COLUMNS($R$1006:R1006),$R$1006:$W$1006,0))&gt;=100000), " ",IF(INDEX($R$2:$W$1001,MATCH(ROWS($K$2:K205),$K$2:$K$1001,0),MATCH(COLUMNS($R$1006:R1006),$R$1006:$W$1006,0)), HYPERLINK("#",""), HYPERLINK(CONCATENATE("#Metadata!", ADDRESS(INDEX($M$2:$M$1001,MATCH(ROWS($K$2:K205),$K$2:$K$1001,0),0), INDEX($R$1004:$W$1004,1,MATCH(COLUMNS($R$1006:R1006),$R$1006:$W$1006,0)))),"Fix")))</f>
        <v>0</v>
      </c>
      <c r="C205" s="3">
        <f>IF(OR(INDEX($L$2:$L$1001,MATCH(ROWS($K$2:K205),$K$2:$K$1001,0),1)&gt;=100000,INDEX($R$1005:$W$1005,1,MATCH(COLUMNS($R$1006:S1006),$R$1006:$W$1006,0))&gt;=100000), " ",IF(INDEX($R$2:$W$1001,MATCH(ROWS($K$2:K205),$K$2:$K$1001,0),MATCH(COLUMNS($R$1006:S1006),$R$1006:$W$1006,0)), HYPERLINK("#",""), HYPERLINK(CONCATENATE("#Metadata!", ADDRESS(INDEX($M$2:$M$1001,MATCH(ROWS($K$2:K205),$K$2:$K$1001,0),0), INDEX($R$1004:$W$1004,1,MATCH(COLUMNS($R$1006:S1006),$R$1006:$W$1006,0)))),"Fix")))</f>
        <v>0</v>
      </c>
      <c r="D205" s="3">
        <f>IF(OR(INDEX($L$2:$L$1001,MATCH(ROWS($K$2:K205),$K$2:$K$1001,0),1)&gt;=100000,INDEX($R$1005:$W$1005,1,MATCH(COLUMNS($R$1006:T1006),$R$1006:$W$1006,0))&gt;=100000), " ",IF(INDEX($R$2:$W$1001,MATCH(ROWS($K$2:K205),$K$2:$K$1001,0),MATCH(COLUMNS($R$1006:T1006),$R$1006:$W$1006,0)), HYPERLINK("#",""), HYPERLINK(CONCATENATE("#Metadata!", ADDRESS(INDEX($M$2:$M$1001,MATCH(ROWS($K$2:K205),$K$2:$K$1001,0),0), INDEX($R$1004:$W$1004,1,MATCH(COLUMNS($R$1006:T1006),$R$1006:$W$1006,0)))),"Fix")))</f>
        <v>0</v>
      </c>
      <c r="E205" s="3">
        <f>IF(OR(INDEX($L$2:$L$1001,MATCH(ROWS($K$2:K205),$K$2:$K$1001,0),1)&gt;=100000,INDEX($R$1005:$W$1005,1,MATCH(COLUMNS($R$1006:U1006),$R$1006:$W$1006,0))&gt;=100000), " ",IF(INDEX($R$2:$W$1001,MATCH(ROWS($K$2:K205),$K$2:$K$1001,0),MATCH(COLUMNS($R$1006:U1006),$R$1006:$W$1006,0)), HYPERLINK("#",""), HYPERLINK(CONCATENATE("#Metadata!", ADDRESS(INDEX($M$2:$M$1001,MATCH(ROWS($K$2:K205),$K$2:$K$1001,0),0), INDEX($R$1004:$W$1004,1,MATCH(COLUMNS($R$1006:U1006),$R$1006:$W$1006,0)))),"Fix")))</f>
        <v>0</v>
      </c>
      <c r="F205" s="3">
        <f>IF(OR(INDEX($L$2:$L$1001,MATCH(ROWS($K$2:K205),$K$2:$K$1001,0),1)&gt;=100000,INDEX($R$1005:$W$1005,1,MATCH(COLUMNS($R$1006:V1006),$R$1006:$W$1006,0))&gt;=100000), " ",IF(INDEX($R$2:$W$1001,MATCH(ROWS($K$2:K205),$K$2:$K$1001,0),MATCH(COLUMNS($R$1006:V1006),$R$1006:$W$1006,0)), HYPERLINK("#",""), HYPERLINK(CONCATENATE("#Metadata!", ADDRESS(INDEX($M$2:$M$1001,MATCH(ROWS($K$2:K205),$K$2:$K$1001,0),0), INDEX($R$1004:$W$1004,1,MATCH(COLUMNS($R$1006:V1006),$R$1006:$W$1006,0)))),"Fix")))</f>
        <v>0</v>
      </c>
      <c r="G205" s="3">
        <f>IF(OR(INDEX($L$2:$L$1001,MATCH(ROWS($K$2:K205),$K$2:$K$1001,0),1)&gt;=100000,INDEX($R$1005:$W$1005,1,MATCH(COLUMNS($R$1006:W1006),$R$1006:$W$1006,0))&gt;=100000), " ",IF(INDEX($R$2:$W$1001,MATCH(ROWS($K$2:K205),$K$2:$K$1001,0),MATCH(COLUMNS($R$1006:W1006),$R$1006:$W$1006,0)), HYPERLINK("#",""), HYPERLINK(CONCATENATE("#Metadata!", ADDRESS(INDEX($M$2:$M$1001,MATCH(ROWS($K$2:K205),$K$2:$K$1001,0),0), INDEX($R$1004:$W$1004,1,MATCH(COLUMNS($R$1006:W1006),$R$1006:$W$1006,0)))),"Fix")))</f>
        <v>0</v>
      </c>
      <c r="K205">
        <v>0</v>
      </c>
      <c r="L205">
        <v>0</v>
      </c>
      <c r="M205">
        <v>0</v>
      </c>
      <c r="N205">
        <f>IF(O205,TRUE,AND(R205:W205))</f>
        <v>0</v>
      </c>
      <c r="O205">
        <f>COUNTBLANK(Metadata!B205:G205)=COLUMNS(Metadata!B205:G205)</f>
        <v>0</v>
      </c>
      <c r="P205">
        <v>0</v>
      </c>
      <c r="R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S205">
        <f>IF(Metadata!C205="",FALSE,TRUE)</f>
        <v>0</v>
      </c>
      <c r="T205">
        <f>IF(Metadata!D205="",FALSE,TRUE)</f>
        <v>0</v>
      </c>
      <c r="U205">
        <f>IF(Metadata!E205="",FALSE,TRUE)</f>
        <v>0</v>
      </c>
      <c r="V205">
        <f>AND(IF(Metadata!F205="",FALSE,TRUE),exact(Metadata!F205,"rat gut metagenome"))</f>
        <v>0</v>
      </c>
      <c r="W205">
        <f>AND(IF(Metadata!G205="",FALSE,TRUE),exact(Metadata!G205,"1436733"))</f>
        <v>0</v>
      </c>
    </row>
    <row r="206" spans="1:23">
      <c r="A206" s="4">
        <f>IF(B206=" "," ",HYPERLINK(CONCATENATE("#metadata!",ADDRESS(INDEX($M$2:$M$1001,MATCH(ROWS($K$2:K206),$K$2:$K$1001,0),0),1)),INDEX($P$2:$P$1001,MATCH(ROWS($K$2:K206),$K$2:$K$1001,0),0)))</f>
        <v>0</v>
      </c>
      <c r="B206" s="3">
        <f>IF(OR(INDEX($L$2:$L$1001,MATCH(ROWS($K$2:K206),$K$2:$K$1001,0),1)&gt;=100000,INDEX($R$1005:$W$1005,1,MATCH(COLUMNS($R$1006:R1006),$R$1006:$W$1006,0))&gt;=100000), " ",IF(INDEX($R$2:$W$1001,MATCH(ROWS($K$2:K206),$K$2:$K$1001,0),MATCH(COLUMNS($R$1006:R1006),$R$1006:$W$1006,0)), HYPERLINK("#",""), HYPERLINK(CONCATENATE("#Metadata!", ADDRESS(INDEX($M$2:$M$1001,MATCH(ROWS($K$2:K206),$K$2:$K$1001,0),0), INDEX($R$1004:$W$1004,1,MATCH(COLUMNS($R$1006:R1006),$R$1006:$W$1006,0)))),"Fix")))</f>
        <v>0</v>
      </c>
      <c r="C206" s="3">
        <f>IF(OR(INDEX($L$2:$L$1001,MATCH(ROWS($K$2:K206),$K$2:$K$1001,0),1)&gt;=100000,INDEX($R$1005:$W$1005,1,MATCH(COLUMNS($R$1006:S1006),$R$1006:$W$1006,0))&gt;=100000), " ",IF(INDEX($R$2:$W$1001,MATCH(ROWS($K$2:K206),$K$2:$K$1001,0),MATCH(COLUMNS($R$1006:S1006),$R$1006:$W$1006,0)), HYPERLINK("#",""), HYPERLINK(CONCATENATE("#Metadata!", ADDRESS(INDEX($M$2:$M$1001,MATCH(ROWS($K$2:K206),$K$2:$K$1001,0),0), INDEX($R$1004:$W$1004,1,MATCH(COLUMNS($R$1006:S1006),$R$1006:$W$1006,0)))),"Fix")))</f>
        <v>0</v>
      </c>
      <c r="D206" s="3">
        <f>IF(OR(INDEX($L$2:$L$1001,MATCH(ROWS($K$2:K206),$K$2:$K$1001,0),1)&gt;=100000,INDEX($R$1005:$W$1005,1,MATCH(COLUMNS($R$1006:T1006),$R$1006:$W$1006,0))&gt;=100000), " ",IF(INDEX($R$2:$W$1001,MATCH(ROWS($K$2:K206),$K$2:$K$1001,0),MATCH(COLUMNS($R$1006:T1006),$R$1006:$W$1006,0)), HYPERLINK("#",""), HYPERLINK(CONCATENATE("#Metadata!", ADDRESS(INDEX($M$2:$M$1001,MATCH(ROWS($K$2:K206),$K$2:$K$1001,0),0), INDEX($R$1004:$W$1004,1,MATCH(COLUMNS($R$1006:T1006),$R$1006:$W$1006,0)))),"Fix")))</f>
        <v>0</v>
      </c>
      <c r="E206" s="3">
        <f>IF(OR(INDEX($L$2:$L$1001,MATCH(ROWS($K$2:K206),$K$2:$K$1001,0),1)&gt;=100000,INDEX($R$1005:$W$1005,1,MATCH(COLUMNS($R$1006:U1006),$R$1006:$W$1006,0))&gt;=100000), " ",IF(INDEX($R$2:$W$1001,MATCH(ROWS($K$2:K206),$K$2:$K$1001,0),MATCH(COLUMNS($R$1006:U1006),$R$1006:$W$1006,0)), HYPERLINK("#",""), HYPERLINK(CONCATENATE("#Metadata!", ADDRESS(INDEX($M$2:$M$1001,MATCH(ROWS($K$2:K206),$K$2:$K$1001,0),0), INDEX($R$1004:$W$1004,1,MATCH(COLUMNS($R$1006:U1006),$R$1006:$W$1006,0)))),"Fix")))</f>
        <v>0</v>
      </c>
      <c r="F206" s="3">
        <f>IF(OR(INDEX($L$2:$L$1001,MATCH(ROWS($K$2:K206),$K$2:$K$1001,0),1)&gt;=100000,INDEX($R$1005:$W$1005,1,MATCH(COLUMNS($R$1006:V1006),$R$1006:$W$1006,0))&gt;=100000), " ",IF(INDEX($R$2:$W$1001,MATCH(ROWS($K$2:K206),$K$2:$K$1001,0),MATCH(COLUMNS($R$1006:V1006),$R$1006:$W$1006,0)), HYPERLINK("#",""), HYPERLINK(CONCATENATE("#Metadata!", ADDRESS(INDEX($M$2:$M$1001,MATCH(ROWS($K$2:K206),$K$2:$K$1001,0),0), INDEX($R$1004:$W$1004,1,MATCH(COLUMNS($R$1006:V1006),$R$1006:$W$1006,0)))),"Fix")))</f>
        <v>0</v>
      </c>
      <c r="G206" s="3">
        <f>IF(OR(INDEX($L$2:$L$1001,MATCH(ROWS($K$2:K206),$K$2:$K$1001,0),1)&gt;=100000,INDEX($R$1005:$W$1005,1,MATCH(COLUMNS($R$1006:W1006),$R$1006:$W$1006,0))&gt;=100000), " ",IF(INDEX($R$2:$W$1001,MATCH(ROWS($K$2:K206),$K$2:$K$1001,0),MATCH(COLUMNS($R$1006:W1006),$R$1006:$W$1006,0)), HYPERLINK("#",""), HYPERLINK(CONCATENATE("#Metadata!", ADDRESS(INDEX($M$2:$M$1001,MATCH(ROWS($K$2:K206),$K$2:$K$1001,0),0), INDEX($R$1004:$W$1004,1,MATCH(COLUMNS($R$1006:W1006),$R$1006:$W$1006,0)))),"Fix")))</f>
        <v>0</v>
      </c>
      <c r="K206">
        <v>0</v>
      </c>
      <c r="L206">
        <v>0</v>
      </c>
      <c r="M206">
        <v>0</v>
      </c>
      <c r="N206">
        <f>IF(O206,TRUE,AND(R206:W206))</f>
        <v>0</v>
      </c>
      <c r="O206">
        <f>COUNTBLANK(Metadata!B206:G206)=COLUMNS(Metadata!B206:G206)</f>
        <v>0</v>
      </c>
      <c r="P206">
        <v>0</v>
      </c>
      <c r="R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S206">
        <f>IF(Metadata!C206="",FALSE,TRUE)</f>
        <v>0</v>
      </c>
      <c r="T206">
        <f>IF(Metadata!D206="",FALSE,TRUE)</f>
        <v>0</v>
      </c>
      <c r="U206">
        <f>IF(Metadata!E206="",FALSE,TRUE)</f>
        <v>0</v>
      </c>
      <c r="V206">
        <f>AND(IF(Metadata!F206="",FALSE,TRUE),exact(Metadata!F206,"rat gut metagenome"))</f>
        <v>0</v>
      </c>
      <c r="W206">
        <f>AND(IF(Metadata!G206="",FALSE,TRUE),exact(Metadata!G206,"1436733"))</f>
        <v>0</v>
      </c>
    </row>
    <row r="207" spans="1:23">
      <c r="A207" s="4">
        <f>IF(B207=" "," ",HYPERLINK(CONCATENATE("#metadata!",ADDRESS(INDEX($M$2:$M$1001,MATCH(ROWS($K$2:K207),$K$2:$K$1001,0),0),1)),INDEX($P$2:$P$1001,MATCH(ROWS($K$2:K207),$K$2:$K$1001,0),0)))</f>
        <v>0</v>
      </c>
      <c r="B207" s="3">
        <f>IF(OR(INDEX($L$2:$L$1001,MATCH(ROWS($K$2:K207),$K$2:$K$1001,0),1)&gt;=100000,INDEX($R$1005:$W$1005,1,MATCH(COLUMNS($R$1006:R1006),$R$1006:$W$1006,0))&gt;=100000), " ",IF(INDEX($R$2:$W$1001,MATCH(ROWS($K$2:K207),$K$2:$K$1001,0),MATCH(COLUMNS($R$1006:R1006),$R$1006:$W$1006,0)), HYPERLINK("#",""), HYPERLINK(CONCATENATE("#Metadata!", ADDRESS(INDEX($M$2:$M$1001,MATCH(ROWS($K$2:K207),$K$2:$K$1001,0),0), INDEX($R$1004:$W$1004,1,MATCH(COLUMNS($R$1006:R1006),$R$1006:$W$1006,0)))),"Fix")))</f>
        <v>0</v>
      </c>
      <c r="C207" s="3">
        <f>IF(OR(INDEX($L$2:$L$1001,MATCH(ROWS($K$2:K207),$K$2:$K$1001,0),1)&gt;=100000,INDEX($R$1005:$W$1005,1,MATCH(COLUMNS($R$1006:S1006),$R$1006:$W$1006,0))&gt;=100000), " ",IF(INDEX($R$2:$W$1001,MATCH(ROWS($K$2:K207),$K$2:$K$1001,0),MATCH(COLUMNS($R$1006:S1006),$R$1006:$W$1006,0)), HYPERLINK("#",""), HYPERLINK(CONCATENATE("#Metadata!", ADDRESS(INDEX($M$2:$M$1001,MATCH(ROWS($K$2:K207),$K$2:$K$1001,0),0), INDEX($R$1004:$W$1004,1,MATCH(COLUMNS($R$1006:S1006),$R$1006:$W$1006,0)))),"Fix")))</f>
        <v>0</v>
      </c>
      <c r="D207" s="3">
        <f>IF(OR(INDEX($L$2:$L$1001,MATCH(ROWS($K$2:K207),$K$2:$K$1001,0),1)&gt;=100000,INDEX($R$1005:$W$1005,1,MATCH(COLUMNS($R$1006:T1006),$R$1006:$W$1006,0))&gt;=100000), " ",IF(INDEX($R$2:$W$1001,MATCH(ROWS($K$2:K207),$K$2:$K$1001,0),MATCH(COLUMNS($R$1006:T1006),$R$1006:$W$1006,0)), HYPERLINK("#",""), HYPERLINK(CONCATENATE("#Metadata!", ADDRESS(INDEX($M$2:$M$1001,MATCH(ROWS($K$2:K207),$K$2:$K$1001,0),0), INDEX($R$1004:$W$1004,1,MATCH(COLUMNS($R$1006:T1006),$R$1006:$W$1006,0)))),"Fix")))</f>
        <v>0</v>
      </c>
      <c r="E207" s="3">
        <f>IF(OR(INDEX($L$2:$L$1001,MATCH(ROWS($K$2:K207),$K$2:$K$1001,0),1)&gt;=100000,INDEX($R$1005:$W$1005,1,MATCH(COLUMNS($R$1006:U1006),$R$1006:$W$1006,0))&gt;=100000), " ",IF(INDEX($R$2:$W$1001,MATCH(ROWS($K$2:K207),$K$2:$K$1001,0),MATCH(COLUMNS($R$1006:U1006),$R$1006:$W$1006,0)), HYPERLINK("#",""), HYPERLINK(CONCATENATE("#Metadata!", ADDRESS(INDEX($M$2:$M$1001,MATCH(ROWS($K$2:K207),$K$2:$K$1001,0),0), INDEX($R$1004:$W$1004,1,MATCH(COLUMNS($R$1006:U1006),$R$1006:$W$1006,0)))),"Fix")))</f>
        <v>0</v>
      </c>
      <c r="F207" s="3">
        <f>IF(OR(INDEX($L$2:$L$1001,MATCH(ROWS($K$2:K207),$K$2:$K$1001,0),1)&gt;=100000,INDEX($R$1005:$W$1005,1,MATCH(COLUMNS($R$1006:V1006),$R$1006:$W$1006,0))&gt;=100000), " ",IF(INDEX($R$2:$W$1001,MATCH(ROWS($K$2:K207),$K$2:$K$1001,0),MATCH(COLUMNS($R$1006:V1006),$R$1006:$W$1006,0)), HYPERLINK("#",""), HYPERLINK(CONCATENATE("#Metadata!", ADDRESS(INDEX($M$2:$M$1001,MATCH(ROWS($K$2:K207),$K$2:$K$1001,0),0), INDEX($R$1004:$W$1004,1,MATCH(COLUMNS($R$1006:V1006),$R$1006:$W$1006,0)))),"Fix")))</f>
        <v>0</v>
      </c>
      <c r="G207" s="3">
        <f>IF(OR(INDEX($L$2:$L$1001,MATCH(ROWS($K$2:K207),$K$2:$K$1001,0),1)&gt;=100000,INDEX($R$1005:$W$1005,1,MATCH(COLUMNS($R$1006:W1006),$R$1006:$W$1006,0))&gt;=100000), " ",IF(INDEX($R$2:$W$1001,MATCH(ROWS($K$2:K207),$K$2:$K$1001,0),MATCH(COLUMNS($R$1006:W1006),$R$1006:$W$1006,0)), HYPERLINK("#",""), HYPERLINK(CONCATENATE("#Metadata!", ADDRESS(INDEX($M$2:$M$1001,MATCH(ROWS($K$2:K207),$K$2:$K$1001,0),0), INDEX($R$1004:$W$1004,1,MATCH(COLUMNS($R$1006:W1006),$R$1006:$W$1006,0)))),"Fix")))</f>
        <v>0</v>
      </c>
      <c r="K207">
        <v>0</v>
      </c>
      <c r="L207">
        <v>0</v>
      </c>
      <c r="M207">
        <v>0</v>
      </c>
      <c r="N207">
        <f>IF(O207,TRUE,AND(R207:W207))</f>
        <v>0</v>
      </c>
      <c r="O207">
        <f>COUNTBLANK(Metadata!B207:G207)=COLUMNS(Metadata!B207:G207)</f>
        <v>0</v>
      </c>
      <c r="P207">
        <v>0</v>
      </c>
      <c r="R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S207">
        <f>IF(Metadata!C207="",FALSE,TRUE)</f>
        <v>0</v>
      </c>
      <c r="T207">
        <f>IF(Metadata!D207="",FALSE,TRUE)</f>
        <v>0</v>
      </c>
      <c r="U207">
        <f>IF(Metadata!E207="",FALSE,TRUE)</f>
        <v>0</v>
      </c>
      <c r="V207">
        <f>AND(IF(Metadata!F207="",FALSE,TRUE),exact(Metadata!F207,"rat gut metagenome"))</f>
        <v>0</v>
      </c>
      <c r="W207">
        <f>AND(IF(Metadata!G207="",FALSE,TRUE),exact(Metadata!G207,"1436733"))</f>
        <v>0</v>
      </c>
    </row>
    <row r="208" spans="1:23">
      <c r="A208" s="4">
        <f>IF(B208=" "," ",HYPERLINK(CONCATENATE("#metadata!",ADDRESS(INDEX($M$2:$M$1001,MATCH(ROWS($K$2:K208),$K$2:$K$1001,0),0),1)),INDEX($P$2:$P$1001,MATCH(ROWS($K$2:K208),$K$2:$K$1001,0),0)))</f>
        <v>0</v>
      </c>
      <c r="B208" s="3">
        <f>IF(OR(INDEX($L$2:$L$1001,MATCH(ROWS($K$2:K208),$K$2:$K$1001,0),1)&gt;=100000,INDEX($R$1005:$W$1005,1,MATCH(COLUMNS($R$1006:R1006),$R$1006:$W$1006,0))&gt;=100000), " ",IF(INDEX($R$2:$W$1001,MATCH(ROWS($K$2:K208),$K$2:$K$1001,0),MATCH(COLUMNS($R$1006:R1006),$R$1006:$W$1006,0)), HYPERLINK("#",""), HYPERLINK(CONCATENATE("#Metadata!", ADDRESS(INDEX($M$2:$M$1001,MATCH(ROWS($K$2:K208),$K$2:$K$1001,0),0), INDEX($R$1004:$W$1004,1,MATCH(COLUMNS($R$1006:R1006),$R$1006:$W$1006,0)))),"Fix")))</f>
        <v>0</v>
      </c>
      <c r="C208" s="3">
        <f>IF(OR(INDEX($L$2:$L$1001,MATCH(ROWS($K$2:K208),$K$2:$K$1001,0),1)&gt;=100000,INDEX($R$1005:$W$1005,1,MATCH(COLUMNS($R$1006:S1006),$R$1006:$W$1006,0))&gt;=100000), " ",IF(INDEX($R$2:$W$1001,MATCH(ROWS($K$2:K208),$K$2:$K$1001,0),MATCH(COLUMNS($R$1006:S1006),$R$1006:$W$1006,0)), HYPERLINK("#",""), HYPERLINK(CONCATENATE("#Metadata!", ADDRESS(INDEX($M$2:$M$1001,MATCH(ROWS($K$2:K208),$K$2:$K$1001,0),0), INDEX($R$1004:$W$1004,1,MATCH(COLUMNS($R$1006:S1006),$R$1006:$W$1006,0)))),"Fix")))</f>
        <v>0</v>
      </c>
      <c r="D208" s="3">
        <f>IF(OR(INDEX($L$2:$L$1001,MATCH(ROWS($K$2:K208),$K$2:$K$1001,0),1)&gt;=100000,INDEX($R$1005:$W$1005,1,MATCH(COLUMNS($R$1006:T1006),$R$1006:$W$1006,0))&gt;=100000), " ",IF(INDEX($R$2:$W$1001,MATCH(ROWS($K$2:K208),$K$2:$K$1001,0),MATCH(COLUMNS($R$1006:T1006),$R$1006:$W$1006,0)), HYPERLINK("#",""), HYPERLINK(CONCATENATE("#Metadata!", ADDRESS(INDEX($M$2:$M$1001,MATCH(ROWS($K$2:K208),$K$2:$K$1001,0),0), INDEX($R$1004:$W$1004,1,MATCH(COLUMNS($R$1006:T1006),$R$1006:$W$1006,0)))),"Fix")))</f>
        <v>0</v>
      </c>
      <c r="E208" s="3">
        <f>IF(OR(INDEX($L$2:$L$1001,MATCH(ROWS($K$2:K208),$K$2:$K$1001,0),1)&gt;=100000,INDEX($R$1005:$W$1005,1,MATCH(COLUMNS($R$1006:U1006),$R$1006:$W$1006,0))&gt;=100000), " ",IF(INDEX($R$2:$W$1001,MATCH(ROWS($K$2:K208),$K$2:$K$1001,0),MATCH(COLUMNS($R$1006:U1006),$R$1006:$W$1006,0)), HYPERLINK("#",""), HYPERLINK(CONCATENATE("#Metadata!", ADDRESS(INDEX($M$2:$M$1001,MATCH(ROWS($K$2:K208),$K$2:$K$1001,0),0), INDEX($R$1004:$W$1004,1,MATCH(COLUMNS($R$1006:U1006),$R$1006:$W$1006,0)))),"Fix")))</f>
        <v>0</v>
      </c>
      <c r="F208" s="3">
        <f>IF(OR(INDEX($L$2:$L$1001,MATCH(ROWS($K$2:K208),$K$2:$K$1001,0),1)&gt;=100000,INDEX($R$1005:$W$1005,1,MATCH(COLUMNS($R$1006:V1006),$R$1006:$W$1006,0))&gt;=100000), " ",IF(INDEX($R$2:$W$1001,MATCH(ROWS($K$2:K208),$K$2:$K$1001,0),MATCH(COLUMNS($R$1006:V1006),$R$1006:$W$1006,0)), HYPERLINK("#",""), HYPERLINK(CONCATENATE("#Metadata!", ADDRESS(INDEX($M$2:$M$1001,MATCH(ROWS($K$2:K208),$K$2:$K$1001,0),0), INDEX($R$1004:$W$1004,1,MATCH(COLUMNS($R$1006:V1006),$R$1006:$W$1006,0)))),"Fix")))</f>
        <v>0</v>
      </c>
      <c r="G208" s="3">
        <f>IF(OR(INDEX($L$2:$L$1001,MATCH(ROWS($K$2:K208),$K$2:$K$1001,0),1)&gt;=100000,INDEX($R$1005:$W$1005,1,MATCH(COLUMNS($R$1006:W1006),$R$1006:$W$1006,0))&gt;=100000), " ",IF(INDEX($R$2:$W$1001,MATCH(ROWS($K$2:K208),$K$2:$K$1001,0),MATCH(COLUMNS($R$1006:W1006),$R$1006:$W$1006,0)), HYPERLINK("#",""), HYPERLINK(CONCATENATE("#Metadata!", ADDRESS(INDEX($M$2:$M$1001,MATCH(ROWS($K$2:K208),$K$2:$K$1001,0),0), INDEX($R$1004:$W$1004,1,MATCH(COLUMNS($R$1006:W1006),$R$1006:$W$1006,0)))),"Fix")))</f>
        <v>0</v>
      </c>
      <c r="K208">
        <v>0</v>
      </c>
      <c r="L208">
        <v>0</v>
      </c>
      <c r="M208">
        <v>0</v>
      </c>
      <c r="N208">
        <f>IF(O208,TRUE,AND(R208:W208))</f>
        <v>0</v>
      </c>
      <c r="O208">
        <f>COUNTBLANK(Metadata!B208:G208)=COLUMNS(Metadata!B208:G208)</f>
        <v>0</v>
      </c>
      <c r="P208">
        <v>0</v>
      </c>
      <c r="R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S208">
        <f>IF(Metadata!C208="",FALSE,TRUE)</f>
        <v>0</v>
      </c>
      <c r="T208">
        <f>IF(Metadata!D208="",FALSE,TRUE)</f>
        <v>0</v>
      </c>
      <c r="U208">
        <f>IF(Metadata!E208="",FALSE,TRUE)</f>
        <v>0</v>
      </c>
      <c r="V208">
        <f>AND(IF(Metadata!F208="",FALSE,TRUE),exact(Metadata!F208,"rat gut metagenome"))</f>
        <v>0</v>
      </c>
      <c r="W208">
        <f>AND(IF(Metadata!G208="",FALSE,TRUE),exact(Metadata!G208,"1436733"))</f>
        <v>0</v>
      </c>
    </row>
    <row r="209" spans="1:23">
      <c r="A209" s="4">
        <f>IF(B209=" "," ",HYPERLINK(CONCATENATE("#metadata!",ADDRESS(INDEX($M$2:$M$1001,MATCH(ROWS($K$2:K209),$K$2:$K$1001,0),0),1)),INDEX($P$2:$P$1001,MATCH(ROWS($K$2:K209),$K$2:$K$1001,0),0)))</f>
        <v>0</v>
      </c>
      <c r="B209" s="3">
        <f>IF(OR(INDEX($L$2:$L$1001,MATCH(ROWS($K$2:K209),$K$2:$K$1001,0),1)&gt;=100000,INDEX($R$1005:$W$1005,1,MATCH(COLUMNS($R$1006:R1006),$R$1006:$W$1006,0))&gt;=100000), " ",IF(INDEX($R$2:$W$1001,MATCH(ROWS($K$2:K209),$K$2:$K$1001,0),MATCH(COLUMNS($R$1006:R1006),$R$1006:$W$1006,0)), HYPERLINK("#",""), HYPERLINK(CONCATENATE("#Metadata!", ADDRESS(INDEX($M$2:$M$1001,MATCH(ROWS($K$2:K209),$K$2:$K$1001,0),0), INDEX($R$1004:$W$1004,1,MATCH(COLUMNS($R$1006:R1006),$R$1006:$W$1006,0)))),"Fix")))</f>
        <v>0</v>
      </c>
      <c r="C209" s="3">
        <f>IF(OR(INDEX($L$2:$L$1001,MATCH(ROWS($K$2:K209),$K$2:$K$1001,0),1)&gt;=100000,INDEX($R$1005:$W$1005,1,MATCH(COLUMNS($R$1006:S1006),$R$1006:$W$1006,0))&gt;=100000), " ",IF(INDEX($R$2:$W$1001,MATCH(ROWS($K$2:K209),$K$2:$K$1001,0),MATCH(COLUMNS($R$1006:S1006),$R$1006:$W$1006,0)), HYPERLINK("#",""), HYPERLINK(CONCATENATE("#Metadata!", ADDRESS(INDEX($M$2:$M$1001,MATCH(ROWS($K$2:K209),$K$2:$K$1001,0),0), INDEX($R$1004:$W$1004,1,MATCH(COLUMNS($R$1006:S1006),$R$1006:$W$1006,0)))),"Fix")))</f>
        <v>0</v>
      </c>
      <c r="D209" s="3">
        <f>IF(OR(INDEX($L$2:$L$1001,MATCH(ROWS($K$2:K209),$K$2:$K$1001,0),1)&gt;=100000,INDEX($R$1005:$W$1005,1,MATCH(COLUMNS($R$1006:T1006),$R$1006:$W$1006,0))&gt;=100000), " ",IF(INDEX($R$2:$W$1001,MATCH(ROWS($K$2:K209),$K$2:$K$1001,0),MATCH(COLUMNS($R$1006:T1006),$R$1006:$W$1006,0)), HYPERLINK("#",""), HYPERLINK(CONCATENATE("#Metadata!", ADDRESS(INDEX($M$2:$M$1001,MATCH(ROWS($K$2:K209),$K$2:$K$1001,0),0), INDEX($R$1004:$W$1004,1,MATCH(COLUMNS($R$1006:T1006),$R$1006:$W$1006,0)))),"Fix")))</f>
        <v>0</v>
      </c>
      <c r="E209" s="3">
        <f>IF(OR(INDEX($L$2:$L$1001,MATCH(ROWS($K$2:K209),$K$2:$K$1001,0),1)&gt;=100000,INDEX($R$1005:$W$1005,1,MATCH(COLUMNS($R$1006:U1006),$R$1006:$W$1006,0))&gt;=100000), " ",IF(INDEX($R$2:$W$1001,MATCH(ROWS($K$2:K209),$K$2:$K$1001,0),MATCH(COLUMNS($R$1006:U1006),$R$1006:$W$1006,0)), HYPERLINK("#",""), HYPERLINK(CONCATENATE("#Metadata!", ADDRESS(INDEX($M$2:$M$1001,MATCH(ROWS($K$2:K209),$K$2:$K$1001,0),0), INDEX($R$1004:$W$1004,1,MATCH(COLUMNS($R$1006:U1006),$R$1006:$W$1006,0)))),"Fix")))</f>
        <v>0</v>
      </c>
      <c r="F209" s="3">
        <f>IF(OR(INDEX($L$2:$L$1001,MATCH(ROWS($K$2:K209),$K$2:$K$1001,0),1)&gt;=100000,INDEX($R$1005:$W$1005,1,MATCH(COLUMNS($R$1006:V1006),$R$1006:$W$1006,0))&gt;=100000), " ",IF(INDEX($R$2:$W$1001,MATCH(ROWS($K$2:K209),$K$2:$K$1001,0),MATCH(COLUMNS($R$1006:V1006),$R$1006:$W$1006,0)), HYPERLINK("#",""), HYPERLINK(CONCATENATE("#Metadata!", ADDRESS(INDEX($M$2:$M$1001,MATCH(ROWS($K$2:K209),$K$2:$K$1001,0),0), INDEX($R$1004:$W$1004,1,MATCH(COLUMNS($R$1006:V1006),$R$1006:$W$1006,0)))),"Fix")))</f>
        <v>0</v>
      </c>
      <c r="G209" s="3">
        <f>IF(OR(INDEX($L$2:$L$1001,MATCH(ROWS($K$2:K209),$K$2:$K$1001,0),1)&gt;=100000,INDEX($R$1005:$W$1005,1,MATCH(COLUMNS($R$1006:W1006),$R$1006:$W$1006,0))&gt;=100000), " ",IF(INDEX($R$2:$W$1001,MATCH(ROWS($K$2:K209),$K$2:$K$1001,0),MATCH(COLUMNS($R$1006:W1006),$R$1006:$W$1006,0)), HYPERLINK("#",""), HYPERLINK(CONCATENATE("#Metadata!", ADDRESS(INDEX($M$2:$M$1001,MATCH(ROWS($K$2:K209),$K$2:$K$1001,0),0), INDEX($R$1004:$W$1004,1,MATCH(COLUMNS($R$1006:W1006),$R$1006:$W$1006,0)))),"Fix")))</f>
        <v>0</v>
      </c>
      <c r="K209">
        <v>0</v>
      </c>
      <c r="L209">
        <v>0</v>
      </c>
      <c r="M209">
        <v>0</v>
      </c>
      <c r="N209">
        <f>IF(O209,TRUE,AND(R209:W209))</f>
        <v>0</v>
      </c>
      <c r="O209">
        <f>COUNTBLANK(Metadata!B209:G209)=COLUMNS(Metadata!B209:G209)</f>
        <v>0</v>
      </c>
      <c r="P209">
        <v>0</v>
      </c>
      <c r="R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S209">
        <f>IF(Metadata!C209="",FALSE,TRUE)</f>
        <v>0</v>
      </c>
      <c r="T209">
        <f>IF(Metadata!D209="",FALSE,TRUE)</f>
        <v>0</v>
      </c>
      <c r="U209">
        <f>IF(Metadata!E209="",FALSE,TRUE)</f>
        <v>0</v>
      </c>
      <c r="V209">
        <f>AND(IF(Metadata!F209="",FALSE,TRUE),exact(Metadata!F209,"rat gut metagenome"))</f>
        <v>0</v>
      </c>
      <c r="W209">
        <f>AND(IF(Metadata!G209="",FALSE,TRUE),exact(Metadata!G209,"1436733"))</f>
        <v>0</v>
      </c>
    </row>
    <row r="210" spans="1:23">
      <c r="A210" s="4">
        <f>IF(B210=" "," ",HYPERLINK(CONCATENATE("#metadata!",ADDRESS(INDEX($M$2:$M$1001,MATCH(ROWS($K$2:K210),$K$2:$K$1001,0),0),1)),INDEX($P$2:$P$1001,MATCH(ROWS($K$2:K210),$K$2:$K$1001,0),0)))</f>
        <v>0</v>
      </c>
      <c r="B210" s="3">
        <f>IF(OR(INDEX($L$2:$L$1001,MATCH(ROWS($K$2:K210),$K$2:$K$1001,0),1)&gt;=100000,INDEX($R$1005:$W$1005,1,MATCH(COLUMNS($R$1006:R1006),$R$1006:$W$1006,0))&gt;=100000), " ",IF(INDEX($R$2:$W$1001,MATCH(ROWS($K$2:K210),$K$2:$K$1001,0),MATCH(COLUMNS($R$1006:R1006),$R$1006:$W$1006,0)), HYPERLINK("#",""), HYPERLINK(CONCATENATE("#Metadata!", ADDRESS(INDEX($M$2:$M$1001,MATCH(ROWS($K$2:K210),$K$2:$K$1001,0),0), INDEX($R$1004:$W$1004,1,MATCH(COLUMNS($R$1006:R1006),$R$1006:$W$1006,0)))),"Fix")))</f>
        <v>0</v>
      </c>
      <c r="C210" s="3">
        <f>IF(OR(INDEX($L$2:$L$1001,MATCH(ROWS($K$2:K210),$K$2:$K$1001,0),1)&gt;=100000,INDEX($R$1005:$W$1005,1,MATCH(COLUMNS($R$1006:S1006),$R$1006:$W$1006,0))&gt;=100000), " ",IF(INDEX($R$2:$W$1001,MATCH(ROWS($K$2:K210),$K$2:$K$1001,0),MATCH(COLUMNS($R$1006:S1006),$R$1006:$W$1006,0)), HYPERLINK("#",""), HYPERLINK(CONCATENATE("#Metadata!", ADDRESS(INDEX($M$2:$M$1001,MATCH(ROWS($K$2:K210),$K$2:$K$1001,0),0), INDEX($R$1004:$W$1004,1,MATCH(COLUMNS($R$1006:S1006),$R$1006:$W$1006,0)))),"Fix")))</f>
        <v>0</v>
      </c>
      <c r="D210" s="3">
        <f>IF(OR(INDEX($L$2:$L$1001,MATCH(ROWS($K$2:K210),$K$2:$K$1001,0),1)&gt;=100000,INDEX($R$1005:$W$1005,1,MATCH(COLUMNS($R$1006:T1006),$R$1006:$W$1006,0))&gt;=100000), " ",IF(INDEX($R$2:$W$1001,MATCH(ROWS($K$2:K210),$K$2:$K$1001,0),MATCH(COLUMNS($R$1006:T1006),$R$1006:$W$1006,0)), HYPERLINK("#",""), HYPERLINK(CONCATENATE("#Metadata!", ADDRESS(INDEX($M$2:$M$1001,MATCH(ROWS($K$2:K210),$K$2:$K$1001,0),0), INDEX($R$1004:$W$1004,1,MATCH(COLUMNS($R$1006:T1006),$R$1006:$W$1006,0)))),"Fix")))</f>
        <v>0</v>
      </c>
      <c r="E210" s="3">
        <f>IF(OR(INDEX($L$2:$L$1001,MATCH(ROWS($K$2:K210),$K$2:$K$1001,0),1)&gt;=100000,INDEX($R$1005:$W$1005,1,MATCH(COLUMNS($R$1006:U1006),$R$1006:$W$1006,0))&gt;=100000), " ",IF(INDEX($R$2:$W$1001,MATCH(ROWS($K$2:K210),$K$2:$K$1001,0),MATCH(COLUMNS($R$1006:U1006),$R$1006:$W$1006,0)), HYPERLINK("#",""), HYPERLINK(CONCATENATE("#Metadata!", ADDRESS(INDEX($M$2:$M$1001,MATCH(ROWS($K$2:K210),$K$2:$K$1001,0),0), INDEX($R$1004:$W$1004,1,MATCH(COLUMNS($R$1006:U1006),$R$1006:$W$1006,0)))),"Fix")))</f>
        <v>0</v>
      </c>
      <c r="F210" s="3">
        <f>IF(OR(INDEX($L$2:$L$1001,MATCH(ROWS($K$2:K210),$K$2:$K$1001,0),1)&gt;=100000,INDEX($R$1005:$W$1005,1,MATCH(COLUMNS($R$1006:V1006),$R$1006:$W$1006,0))&gt;=100000), " ",IF(INDEX($R$2:$W$1001,MATCH(ROWS($K$2:K210),$K$2:$K$1001,0),MATCH(COLUMNS($R$1006:V1006),$R$1006:$W$1006,0)), HYPERLINK("#",""), HYPERLINK(CONCATENATE("#Metadata!", ADDRESS(INDEX($M$2:$M$1001,MATCH(ROWS($K$2:K210),$K$2:$K$1001,0),0), INDEX($R$1004:$W$1004,1,MATCH(COLUMNS($R$1006:V1006),$R$1006:$W$1006,0)))),"Fix")))</f>
        <v>0</v>
      </c>
      <c r="G210" s="3">
        <f>IF(OR(INDEX($L$2:$L$1001,MATCH(ROWS($K$2:K210),$K$2:$K$1001,0),1)&gt;=100000,INDEX($R$1005:$W$1005,1,MATCH(COLUMNS($R$1006:W1006),$R$1006:$W$1006,0))&gt;=100000), " ",IF(INDEX($R$2:$W$1001,MATCH(ROWS($K$2:K210),$K$2:$K$1001,0),MATCH(COLUMNS($R$1006:W1006),$R$1006:$W$1006,0)), HYPERLINK("#",""), HYPERLINK(CONCATENATE("#Metadata!", ADDRESS(INDEX($M$2:$M$1001,MATCH(ROWS($K$2:K210),$K$2:$K$1001,0),0), INDEX($R$1004:$W$1004,1,MATCH(COLUMNS($R$1006:W1006),$R$1006:$W$1006,0)))),"Fix")))</f>
        <v>0</v>
      </c>
      <c r="K210">
        <v>0</v>
      </c>
      <c r="L210">
        <v>0</v>
      </c>
      <c r="M210">
        <v>0</v>
      </c>
      <c r="N210">
        <f>IF(O210,TRUE,AND(R210:W210))</f>
        <v>0</v>
      </c>
      <c r="O210">
        <f>COUNTBLANK(Metadata!B210:G210)=COLUMNS(Metadata!B210:G210)</f>
        <v>0</v>
      </c>
      <c r="P210">
        <v>0</v>
      </c>
      <c r="R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S210">
        <f>IF(Metadata!C210="",FALSE,TRUE)</f>
        <v>0</v>
      </c>
      <c r="T210">
        <f>IF(Metadata!D210="",FALSE,TRUE)</f>
        <v>0</v>
      </c>
      <c r="U210">
        <f>IF(Metadata!E210="",FALSE,TRUE)</f>
        <v>0</v>
      </c>
      <c r="V210">
        <f>AND(IF(Metadata!F210="",FALSE,TRUE),exact(Metadata!F210,"rat gut metagenome"))</f>
        <v>0</v>
      </c>
      <c r="W210">
        <f>AND(IF(Metadata!G210="",FALSE,TRUE),exact(Metadata!G210,"1436733"))</f>
        <v>0</v>
      </c>
    </row>
    <row r="211" spans="1:23">
      <c r="A211" s="4">
        <f>IF(B211=" "," ",HYPERLINK(CONCATENATE("#metadata!",ADDRESS(INDEX($M$2:$M$1001,MATCH(ROWS($K$2:K211),$K$2:$K$1001,0),0),1)),INDEX($P$2:$P$1001,MATCH(ROWS($K$2:K211),$K$2:$K$1001,0),0)))</f>
        <v>0</v>
      </c>
      <c r="B211" s="3">
        <f>IF(OR(INDEX($L$2:$L$1001,MATCH(ROWS($K$2:K211),$K$2:$K$1001,0),1)&gt;=100000,INDEX($R$1005:$W$1005,1,MATCH(COLUMNS($R$1006:R1006),$R$1006:$W$1006,0))&gt;=100000), " ",IF(INDEX($R$2:$W$1001,MATCH(ROWS($K$2:K211),$K$2:$K$1001,0),MATCH(COLUMNS($R$1006:R1006),$R$1006:$W$1006,0)), HYPERLINK("#",""), HYPERLINK(CONCATENATE("#Metadata!", ADDRESS(INDEX($M$2:$M$1001,MATCH(ROWS($K$2:K211),$K$2:$K$1001,0),0), INDEX($R$1004:$W$1004,1,MATCH(COLUMNS($R$1006:R1006),$R$1006:$W$1006,0)))),"Fix")))</f>
        <v>0</v>
      </c>
      <c r="C211" s="3">
        <f>IF(OR(INDEX($L$2:$L$1001,MATCH(ROWS($K$2:K211),$K$2:$K$1001,0),1)&gt;=100000,INDEX($R$1005:$W$1005,1,MATCH(COLUMNS($R$1006:S1006),$R$1006:$W$1006,0))&gt;=100000), " ",IF(INDEX($R$2:$W$1001,MATCH(ROWS($K$2:K211),$K$2:$K$1001,0),MATCH(COLUMNS($R$1006:S1006),$R$1006:$W$1006,0)), HYPERLINK("#",""), HYPERLINK(CONCATENATE("#Metadata!", ADDRESS(INDEX($M$2:$M$1001,MATCH(ROWS($K$2:K211),$K$2:$K$1001,0),0), INDEX($R$1004:$W$1004,1,MATCH(COLUMNS($R$1006:S1006),$R$1006:$W$1006,0)))),"Fix")))</f>
        <v>0</v>
      </c>
      <c r="D211" s="3">
        <f>IF(OR(INDEX($L$2:$L$1001,MATCH(ROWS($K$2:K211),$K$2:$K$1001,0),1)&gt;=100000,INDEX($R$1005:$W$1005,1,MATCH(COLUMNS($R$1006:T1006),$R$1006:$W$1006,0))&gt;=100000), " ",IF(INDEX($R$2:$W$1001,MATCH(ROWS($K$2:K211),$K$2:$K$1001,0),MATCH(COLUMNS($R$1006:T1006),$R$1006:$W$1006,0)), HYPERLINK("#",""), HYPERLINK(CONCATENATE("#Metadata!", ADDRESS(INDEX($M$2:$M$1001,MATCH(ROWS($K$2:K211),$K$2:$K$1001,0),0), INDEX($R$1004:$W$1004,1,MATCH(COLUMNS($R$1006:T1006),$R$1006:$W$1006,0)))),"Fix")))</f>
        <v>0</v>
      </c>
      <c r="E211" s="3">
        <f>IF(OR(INDEX($L$2:$L$1001,MATCH(ROWS($K$2:K211),$K$2:$K$1001,0),1)&gt;=100000,INDEX($R$1005:$W$1005,1,MATCH(COLUMNS($R$1006:U1006),$R$1006:$W$1006,0))&gt;=100000), " ",IF(INDEX($R$2:$W$1001,MATCH(ROWS($K$2:K211),$K$2:$K$1001,0),MATCH(COLUMNS($R$1006:U1006),$R$1006:$W$1006,0)), HYPERLINK("#",""), HYPERLINK(CONCATENATE("#Metadata!", ADDRESS(INDEX($M$2:$M$1001,MATCH(ROWS($K$2:K211),$K$2:$K$1001,0),0), INDEX($R$1004:$W$1004,1,MATCH(COLUMNS($R$1006:U1006),$R$1006:$W$1006,0)))),"Fix")))</f>
        <v>0</v>
      </c>
      <c r="F211" s="3">
        <f>IF(OR(INDEX($L$2:$L$1001,MATCH(ROWS($K$2:K211),$K$2:$K$1001,0),1)&gt;=100000,INDEX($R$1005:$W$1005,1,MATCH(COLUMNS($R$1006:V1006),$R$1006:$W$1006,0))&gt;=100000), " ",IF(INDEX($R$2:$W$1001,MATCH(ROWS($K$2:K211),$K$2:$K$1001,0),MATCH(COLUMNS($R$1006:V1006),$R$1006:$W$1006,0)), HYPERLINK("#",""), HYPERLINK(CONCATENATE("#Metadata!", ADDRESS(INDEX($M$2:$M$1001,MATCH(ROWS($K$2:K211),$K$2:$K$1001,0),0), INDEX($R$1004:$W$1004,1,MATCH(COLUMNS($R$1006:V1006),$R$1006:$W$1006,0)))),"Fix")))</f>
        <v>0</v>
      </c>
      <c r="G211" s="3">
        <f>IF(OR(INDEX($L$2:$L$1001,MATCH(ROWS($K$2:K211),$K$2:$K$1001,0),1)&gt;=100000,INDEX($R$1005:$W$1005,1,MATCH(COLUMNS($R$1006:W1006),$R$1006:$W$1006,0))&gt;=100000), " ",IF(INDEX($R$2:$W$1001,MATCH(ROWS($K$2:K211),$K$2:$K$1001,0),MATCH(COLUMNS($R$1006:W1006),$R$1006:$W$1006,0)), HYPERLINK("#",""), HYPERLINK(CONCATENATE("#Metadata!", ADDRESS(INDEX($M$2:$M$1001,MATCH(ROWS($K$2:K211),$K$2:$K$1001,0),0), INDEX($R$1004:$W$1004,1,MATCH(COLUMNS($R$1006:W1006),$R$1006:$W$1006,0)))),"Fix")))</f>
        <v>0</v>
      </c>
      <c r="K211">
        <v>0</v>
      </c>
      <c r="L211">
        <v>0</v>
      </c>
      <c r="M211">
        <v>0</v>
      </c>
      <c r="N211">
        <f>IF(O211,TRUE,AND(R211:W211))</f>
        <v>0</v>
      </c>
      <c r="O211">
        <f>COUNTBLANK(Metadata!B211:G211)=COLUMNS(Metadata!B211:G211)</f>
        <v>0</v>
      </c>
      <c r="P211">
        <v>0</v>
      </c>
      <c r="R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S211">
        <f>IF(Metadata!C211="",FALSE,TRUE)</f>
        <v>0</v>
      </c>
      <c r="T211">
        <f>IF(Metadata!D211="",FALSE,TRUE)</f>
        <v>0</v>
      </c>
      <c r="U211">
        <f>IF(Metadata!E211="",FALSE,TRUE)</f>
        <v>0</v>
      </c>
      <c r="V211">
        <f>AND(IF(Metadata!F211="",FALSE,TRUE),exact(Metadata!F211,"rat gut metagenome"))</f>
        <v>0</v>
      </c>
      <c r="W211">
        <f>AND(IF(Metadata!G211="",FALSE,TRUE),exact(Metadata!G211,"1436733"))</f>
        <v>0</v>
      </c>
    </row>
    <row r="212" spans="1:23">
      <c r="A212" s="4">
        <f>IF(B212=" "," ",HYPERLINK(CONCATENATE("#metadata!",ADDRESS(INDEX($M$2:$M$1001,MATCH(ROWS($K$2:K212),$K$2:$K$1001,0),0),1)),INDEX($P$2:$P$1001,MATCH(ROWS($K$2:K212),$K$2:$K$1001,0),0)))</f>
        <v>0</v>
      </c>
      <c r="B212" s="3">
        <f>IF(OR(INDEX($L$2:$L$1001,MATCH(ROWS($K$2:K212),$K$2:$K$1001,0),1)&gt;=100000,INDEX($R$1005:$W$1005,1,MATCH(COLUMNS($R$1006:R1006),$R$1006:$W$1006,0))&gt;=100000), " ",IF(INDEX($R$2:$W$1001,MATCH(ROWS($K$2:K212),$K$2:$K$1001,0),MATCH(COLUMNS($R$1006:R1006),$R$1006:$W$1006,0)), HYPERLINK("#",""), HYPERLINK(CONCATENATE("#Metadata!", ADDRESS(INDEX($M$2:$M$1001,MATCH(ROWS($K$2:K212),$K$2:$K$1001,0),0), INDEX($R$1004:$W$1004,1,MATCH(COLUMNS($R$1006:R1006),$R$1006:$W$1006,0)))),"Fix")))</f>
        <v>0</v>
      </c>
      <c r="C212" s="3">
        <f>IF(OR(INDEX($L$2:$L$1001,MATCH(ROWS($K$2:K212),$K$2:$K$1001,0),1)&gt;=100000,INDEX($R$1005:$W$1005,1,MATCH(COLUMNS($R$1006:S1006),$R$1006:$W$1006,0))&gt;=100000), " ",IF(INDEX($R$2:$W$1001,MATCH(ROWS($K$2:K212),$K$2:$K$1001,0),MATCH(COLUMNS($R$1006:S1006),$R$1006:$W$1006,0)), HYPERLINK("#",""), HYPERLINK(CONCATENATE("#Metadata!", ADDRESS(INDEX($M$2:$M$1001,MATCH(ROWS($K$2:K212),$K$2:$K$1001,0),0), INDEX($R$1004:$W$1004,1,MATCH(COLUMNS($R$1006:S1006),$R$1006:$W$1006,0)))),"Fix")))</f>
        <v>0</v>
      </c>
      <c r="D212" s="3">
        <f>IF(OR(INDEX($L$2:$L$1001,MATCH(ROWS($K$2:K212),$K$2:$K$1001,0),1)&gt;=100000,INDEX($R$1005:$W$1005,1,MATCH(COLUMNS($R$1006:T1006),$R$1006:$W$1006,0))&gt;=100000), " ",IF(INDEX($R$2:$W$1001,MATCH(ROWS($K$2:K212),$K$2:$K$1001,0),MATCH(COLUMNS($R$1006:T1006),$R$1006:$W$1006,0)), HYPERLINK("#",""), HYPERLINK(CONCATENATE("#Metadata!", ADDRESS(INDEX($M$2:$M$1001,MATCH(ROWS($K$2:K212),$K$2:$K$1001,0),0), INDEX($R$1004:$W$1004,1,MATCH(COLUMNS($R$1006:T1006),$R$1006:$W$1006,0)))),"Fix")))</f>
        <v>0</v>
      </c>
      <c r="E212" s="3">
        <f>IF(OR(INDEX($L$2:$L$1001,MATCH(ROWS($K$2:K212),$K$2:$K$1001,0),1)&gt;=100000,INDEX($R$1005:$W$1005,1,MATCH(COLUMNS($R$1006:U1006),$R$1006:$W$1006,0))&gt;=100000), " ",IF(INDEX($R$2:$W$1001,MATCH(ROWS($K$2:K212),$K$2:$K$1001,0),MATCH(COLUMNS($R$1006:U1006),$R$1006:$W$1006,0)), HYPERLINK("#",""), HYPERLINK(CONCATENATE("#Metadata!", ADDRESS(INDEX($M$2:$M$1001,MATCH(ROWS($K$2:K212),$K$2:$K$1001,0),0), INDEX($R$1004:$W$1004,1,MATCH(COLUMNS($R$1006:U1006),$R$1006:$W$1006,0)))),"Fix")))</f>
        <v>0</v>
      </c>
      <c r="F212" s="3">
        <f>IF(OR(INDEX($L$2:$L$1001,MATCH(ROWS($K$2:K212),$K$2:$K$1001,0),1)&gt;=100000,INDEX($R$1005:$W$1005,1,MATCH(COLUMNS($R$1006:V1006),$R$1006:$W$1006,0))&gt;=100000), " ",IF(INDEX($R$2:$W$1001,MATCH(ROWS($K$2:K212),$K$2:$K$1001,0),MATCH(COLUMNS($R$1006:V1006),$R$1006:$W$1006,0)), HYPERLINK("#",""), HYPERLINK(CONCATENATE("#Metadata!", ADDRESS(INDEX($M$2:$M$1001,MATCH(ROWS($K$2:K212),$K$2:$K$1001,0),0), INDEX($R$1004:$W$1004,1,MATCH(COLUMNS($R$1006:V1006),$R$1006:$W$1006,0)))),"Fix")))</f>
        <v>0</v>
      </c>
      <c r="G212" s="3">
        <f>IF(OR(INDEX($L$2:$L$1001,MATCH(ROWS($K$2:K212),$K$2:$K$1001,0),1)&gt;=100000,INDEX($R$1005:$W$1005,1,MATCH(COLUMNS($R$1006:W1006),$R$1006:$W$1006,0))&gt;=100000), " ",IF(INDEX($R$2:$W$1001,MATCH(ROWS($K$2:K212),$K$2:$K$1001,0),MATCH(COLUMNS($R$1006:W1006),$R$1006:$W$1006,0)), HYPERLINK("#",""), HYPERLINK(CONCATENATE("#Metadata!", ADDRESS(INDEX($M$2:$M$1001,MATCH(ROWS($K$2:K212),$K$2:$K$1001,0),0), INDEX($R$1004:$W$1004,1,MATCH(COLUMNS($R$1006:W1006),$R$1006:$W$1006,0)))),"Fix")))</f>
        <v>0</v>
      </c>
      <c r="K212">
        <v>0</v>
      </c>
      <c r="L212">
        <v>0</v>
      </c>
      <c r="M212">
        <v>0</v>
      </c>
      <c r="N212">
        <f>IF(O212,TRUE,AND(R212:W212))</f>
        <v>0</v>
      </c>
      <c r="O212">
        <f>COUNTBLANK(Metadata!B212:G212)=COLUMNS(Metadata!B212:G212)</f>
        <v>0</v>
      </c>
      <c r="P212">
        <v>0</v>
      </c>
      <c r="R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S212">
        <f>IF(Metadata!C212="",FALSE,TRUE)</f>
        <v>0</v>
      </c>
      <c r="T212">
        <f>IF(Metadata!D212="",FALSE,TRUE)</f>
        <v>0</v>
      </c>
      <c r="U212">
        <f>IF(Metadata!E212="",FALSE,TRUE)</f>
        <v>0</v>
      </c>
      <c r="V212">
        <f>AND(IF(Metadata!F212="",FALSE,TRUE),exact(Metadata!F212,"rat gut metagenome"))</f>
        <v>0</v>
      </c>
      <c r="W212">
        <f>AND(IF(Metadata!G212="",FALSE,TRUE),exact(Metadata!G212,"1436733"))</f>
        <v>0</v>
      </c>
    </row>
    <row r="213" spans="1:23">
      <c r="A213" s="4">
        <f>IF(B213=" "," ",HYPERLINK(CONCATENATE("#metadata!",ADDRESS(INDEX($M$2:$M$1001,MATCH(ROWS($K$2:K213),$K$2:$K$1001,0),0),1)),INDEX($P$2:$P$1001,MATCH(ROWS($K$2:K213),$K$2:$K$1001,0),0)))</f>
        <v>0</v>
      </c>
      <c r="B213" s="3">
        <f>IF(OR(INDEX($L$2:$L$1001,MATCH(ROWS($K$2:K213),$K$2:$K$1001,0),1)&gt;=100000,INDEX($R$1005:$W$1005,1,MATCH(COLUMNS($R$1006:R1006),$R$1006:$W$1006,0))&gt;=100000), " ",IF(INDEX($R$2:$W$1001,MATCH(ROWS($K$2:K213),$K$2:$K$1001,0),MATCH(COLUMNS($R$1006:R1006),$R$1006:$W$1006,0)), HYPERLINK("#",""), HYPERLINK(CONCATENATE("#Metadata!", ADDRESS(INDEX($M$2:$M$1001,MATCH(ROWS($K$2:K213),$K$2:$K$1001,0),0), INDEX($R$1004:$W$1004,1,MATCH(COLUMNS($R$1006:R1006),$R$1006:$W$1006,0)))),"Fix")))</f>
        <v>0</v>
      </c>
      <c r="C213" s="3">
        <f>IF(OR(INDEX($L$2:$L$1001,MATCH(ROWS($K$2:K213),$K$2:$K$1001,0),1)&gt;=100000,INDEX($R$1005:$W$1005,1,MATCH(COLUMNS($R$1006:S1006),$R$1006:$W$1006,0))&gt;=100000), " ",IF(INDEX($R$2:$W$1001,MATCH(ROWS($K$2:K213),$K$2:$K$1001,0),MATCH(COLUMNS($R$1006:S1006),$R$1006:$W$1006,0)), HYPERLINK("#",""), HYPERLINK(CONCATENATE("#Metadata!", ADDRESS(INDEX($M$2:$M$1001,MATCH(ROWS($K$2:K213),$K$2:$K$1001,0),0), INDEX($R$1004:$W$1004,1,MATCH(COLUMNS($R$1006:S1006),$R$1006:$W$1006,0)))),"Fix")))</f>
        <v>0</v>
      </c>
      <c r="D213" s="3">
        <f>IF(OR(INDEX($L$2:$L$1001,MATCH(ROWS($K$2:K213),$K$2:$K$1001,0),1)&gt;=100000,INDEX($R$1005:$W$1005,1,MATCH(COLUMNS($R$1006:T1006),$R$1006:$W$1006,0))&gt;=100000), " ",IF(INDEX($R$2:$W$1001,MATCH(ROWS($K$2:K213),$K$2:$K$1001,0),MATCH(COLUMNS($R$1006:T1006),$R$1006:$W$1006,0)), HYPERLINK("#",""), HYPERLINK(CONCATENATE("#Metadata!", ADDRESS(INDEX($M$2:$M$1001,MATCH(ROWS($K$2:K213),$K$2:$K$1001,0),0), INDEX($R$1004:$W$1004,1,MATCH(COLUMNS($R$1006:T1006),$R$1006:$W$1006,0)))),"Fix")))</f>
        <v>0</v>
      </c>
      <c r="E213" s="3">
        <f>IF(OR(INDEX($L$2:$L$1001,MATCH(ROWS($K$2:K213),$K$2:$K$1001,0),1)&gt;=100000,INDEX($R$1005:$W$1005,1,MATCH(COLUMNS($R$1006:U1006),$R$1006:$W$1006,0))&gt;=100000), " ",IF(INDEX($R$2:$W$1001,MATCH(ROWS($K$2:K213),$K$2:$K$1001,0),MATCH(COLUMNS($R$1006:U1006),$R$1006:$W$1006,0)), HYPERLINK("#",""), HYPERLINK(CONCATENATE("#Metadata!", ADDRESS(INDEX($M$2:$M$1001,MATCH(ROWS($K$2:K213),$K$2:$K$1001,0),0), INDEX($R$1004:$W$1004,1,MATCH(COLUMNS($R$1006:U1006),$R$1006:$W$1006,0)))),"Fix")))</f>
        <v>0</v>
      </c>
      <c r="F213" s="3">
        <f>IF(OR(INDEX($L$2:$L$1001,MATCH(ROWS($K$2:K213),$K$2:$K$1001,0),1)&gt;=100000,INDEX($R$1005:$W$1005,1,MATCH(COLUMNS($R$1006:V1006),$R$1006:$W$1006,0))&gt;=100000), " ",IF(INDEX($R$2:$W$1001,MATCH(ROWS($K$2:K213),$K$2:$K$1001,0),MATCH(COLUMNS($R$1006:V1006),$R$1006:$W$1006,0)), HYPERLINK("#",""), HYPERLINK(CONCATENATE("#Metadata!", ADDRESS(INDEX($M$2:$M$1001,MATCH(ROWS($K$2:K213),$K$2:$K$1001,0),0), INDEX($R$1004:$W$1004,1,MATCH(COLUMNS($R$1006:V1006),$R$1006:$W$1006,0)))),"Fix")))</f>
        <v>0</v>
      </c>
      <c r="G213" s="3">
        <f>IF(OR(INDEX($L$2:$L$1001,MATCH(ROWS($K$2:K213),$K$2:$K$1001,0),1)&gt;=100000,INDEX($R$1005:$W$1005,1,MATCH(COLUMNS($R$1006:W1006),$R$1006:$W$1006,0))&gt;=100000), " ",IF(INDEX($R$2:$W$1001,MATCH(ROWS($K$2:K213),$K$2:$K$1001,0),MATCH(COLUMNS($R$1006:W1006),$R$1006:$W$1006,0)), HYPERLINK("#",""), HYPERLINK(CONCATENATE("#Metadata!", ADDRESS(INDEX($M$2:$M$1001,MATCH(ROWS($K$2:K213),$K$2:$K$1001,0),0), INDEX($R$1004:$W$1004,1,MATCH(COLUMNS($R$1006:W1006),$R$1006:$W$1006,0)))),"Fix")))</f>
        <v>0</v>
      </c>
      <c r="K213">
        <v>0</v>
      </c>
      <c r="L213">
        <v>0</v>
      </c>
      <c r="M213">
        <v>0</v>
      </c>
      <c r="N213">
        <f>IF(O213,TRUE,AND(R213:W213))</f>
        <v>0</v>
      </c>
      <c r="O213">
        <f>COUNTBLANK(Metadata!B213:G213)=COLUMNS(Metadata!B213:G213)</f>
        <v>0</v>
      </c>
      <c r="P213">
        <v>0</v>
      </c>
      <c r="R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S213">
        <f>IF(Metadata!C213="",FALSE,TRUE)</f>
        <v>0</v>
      </c>
      <c r="T213">
        <f>IF(Metadata!D213="",FALSE,TRUE)</f>
        <v>0</v>
      </c>
      <c r="U213">
        <f>IF(Metadata!E213="",FALSE,TRUE)</f>
        <v>0</v>
      </c>
      <c r="V213">
        <f>AND(IF(Metadata!F213="",FALSE,TRUE),exact(Metadata!F213,"rat gut metagenome"))</f>
        <v>0</v>
      </c>
      <c r="W213">
        <f>AND(IF(Metadata!G213="",FALSE,TRUE),exact(Metadata!G213,"1436733"))</f>
        <v>0</v>
      </c>
    </row>
    <row r="214" spans="1:23">
      <c r="A214" s="4">
        <f>IF(B214=" "," ",HYPERLINK(CONCATENATE("#metadata!",ADDRESS(INDEX($M$2:$M$1001,MATCH(ROWS($K$2:K214),$K$2:$K$1001,0),0),1)),INDEX($P$2:$P$1001,MATCH(ROWS($K$2:K214),$K$2:$K$1001,0),0)))</f>
        <v>0</v>
      </c>
      <c r="B214" s="3">
        <f>IF(OR(INDEX($L$2:$L$1001,MATCH(ROWS($K$2:K214),$K$2:$K$1001,0),1)&gt;=100000,INDEX($R$1005:$W$1005,1,MATCH(COLUMNS($R$1006:R1006),$R$1006:$W$1006,0))&gt;=100000), " ",IF(INDEX($R$2:$W$1001,MATCH(ROWS($K$2:K214),$K$2:$K$1001,0),MATCH(COLUMNS($R$1006:R1006),$R$1006:$W$1006,0)), HYPERLINK("#",""), HYPERLINK(CONCATENATE("#Metadata!", ADDRESS(INDEX($M$2:$M$1001,MATCH(ROWS($K$2:K214),$K$2:$K$1001,0),0), INDEX($R$1004:$W$1004,1,MATCH(COLUMNS($R$1006:R1006),$R$1006:$W$1006,0)))),"Fix")))</f>
        <v>0</v>
      </c>
      <c r="C214" s="3">
        <f>IF(OR(INDEX($L$2:$L$1001,MATCH(ROWS($K$2:K214),$K$2:$K$1001,0),1)&gt;=100000,INDEX($R$1005:$W$1005,1,MATCH(COLUMNS($R$1006:S1006),$R$1006:$W$1006,0))&gt;=100000), " ",IF(INDEX($R$2:$W$1001,MATCH(ROWS($K$2:K214),$K$2:$K$1001,0),MATCH(COLUMNS($R$1006:S1006),$R$1006:$W$1006,0)), HYPERLINK("#",""), HYPERLINK(CONCATENATE("#Metadata!", ADDRESS(INDEX($M$2:$M$1001,MATCH(ROWS($K$2:K214),$K$2:$K$1001,0),0), INDEX($R$1004:$W$1004,1,MATCH(COLUMNS($R$1006:S1006),$R$1006:$W$1006,0)))),"Fix")))</f>
        <v>0</v>
      </c>
      <c r="D214" s="3">
        <f>IF(OR(INDEX($L$2:$L$1001,MATCH(ROWS($K$2:K214),$K$2:$K$1001,0),1)&gt;=100000,INDEX($R$1005:$W$1005,1,MATCH(COLUMNS($R$1006:T1006),$R$1006:$W$1006,0))&gt;=100000), " ",IF(INDEX($R$2:$W$1001,MATCH(ROWS($K$2:K214),$K$2:$K$1001,0),MATCH(COLUMNS($R$1006:T1006),$R$1006:$W$1006,0)), HYPERLINK("#",""), HYPERLINK(CONCATENATE("#Metadata!", ADDRESS(INDEX($M$2:$M$1001,MATCH(ROWS($K$2:K214),$K$2:$K$1001,0),0), INDEX($R$1004:$W$1004,1,MATCH(COLUMNS($R$1006:T1006),$R$1006:$W$1006,0)))),"Fix")))</f>
        <v>0</v>
      </c>
      <c r="E214" s="3">
        <f>IF(OR(INDEX($L$2:$L$1001,MATCH(ROWS($K$2:K214),$K$2:$K$1001,0),1)&gt;=100000,INDEX($R$1005:$W$1005,1,MATCH(COLUMNS($R$1006:U1006),$R$1006:$W$1006,0))&gt;=100000), " ",IF(INDEX($R$2:$W$1001,MATCH(ROWS($K$2:K214),$K$2:$K$1001,0),MATCH(COLUMNS($R$1006:U1006),$R$1006:$W$1006,0)), HYPERLINK("#",""), HYPERLINK(CONCATENATE("#Metadata!", ADDRESS(INDEX($M$2:$M$1001,MATCH(ROWS($K$2:K214),$K$2:$K$1001,0),0), INDEX($R$1004:$W$1004,1,MATCH(COLUMNS($R$1006:U1006),$R$1006:$W$1006,0)))),"Fix")))</f>
        <v>0</v>
      </c>
      <c r="F214" s="3">
        <f>IF(OR(INDEX($L$2:$L$1001,MATCH(ROWS($K$2:K214),$K$2:$K$1001,0),1)&gt;=100000,INDEX($R$1005:$W$1005,1,MATCH(COLUMNS($R$1006:V1006),$R$1006:$W$1006,0))&gt;=100000), " ",IF(INDEX($R$2:$W$1001,MATCH(ROWS($K$2:K214),$K$2:$K$1001,0),MATCH(COLUMNS($R$1006:V1006),$R$1006:$W$1006,0)), HYPERLINK("#",""), HYPERLINK(CONCATENATE("#Metadata!", ADDRESS(INDEX($M$2:$M$1001,MATCH(ROWS($K$2:K214),$K$2:$K$1001,0),0), INDEX($R$1004:$W$1004,1,MATCH(COLUMNS($R$1006:V1006),$R$1006:$W$1006,0)))),"Fix")))</f>
        <v>0</v>
      </c>
      <c r="G214" s="3">
        <f>IF(OR(INDEX($L$2:$L$1001,MATCH(ROWS($K$2:K214),$K$2:$K$1001,0),1)&gt;=100000,INDEX($R$1005:$W$1005,1,MATCH(COLUMNS($R$1006:W1006),$R$1006:$W$1006,0))&gt;=100000), " ",IF(INDEX($R$2:$W$1001,MATCH(ROWS($K$2:K214),$K$2:$K$1001,0),MATCH(COLUMNS($R$1006:W1006),$R$1006:$W$1006,0)), HYPERLINK("#",""), HYPERLINK(CONCATENATE("#Metadata!", ADDRESS(INDEX($M$2:$M$1001,MATCH(ROWS($K$2:K214),$K$2:$K$1001,0),0), INDEX($R$1004:$W$1004,1,MATCH(COLUMNS($R$1006:W1006),$R$1006:$W$1006,0)))),"Fix")))</f>
        <v>0</v>
      </c>
      <c r="K214">
        <v>0</v>
      </c>
      <c r="L214">
        <v>0</v>
      </c>
      <c r="M214">
        <v>0</v>
      </c>
      <c r="N214">
        <f>IF(O214,TRUE,AND(R214:W214))</f>
        <v>0</v>
      </c>
      <c r="O214">
        <f>COUNTBLANK(Metadata!B214:G214)=COLUMNS(Metadata!B214:G214)</f>
        <v>0</v>
      </c>
      <c r="P214">
        <v>0</v>
      </c>
      <c r="R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S214">
        <f>IF(Metadata!C214="",FALSE,TRUE)</f>
        <v>0</v>
      </c>
      <c r="T214">
        <f>IF(Metadata!D214="",FALSE,TRUE)</f>
        <v>0</v>
      </c>
      <c r="U214">
        <f>IF(Metadata!E214="",FALSE,TRUE)</f>
        <v>0</v>
      </c>
      <c r="V214">
        <f>AND(IF(Metadata!F214="",FALSE,TRUE),exact(Metadata!F214,"rat gut metagenome"))</f>
        <v>0</v>
      </c>
      <c r="W214">
        <f>AND(IF(Metadata!G214="",FALSE,TRUE),exact(Metadata!G214,"1436733"))</f>
        <v>0</v>
      </c>
    </row>
    <row r="215" spans="1:23">
      <c r="A215" s="4">
        <f>IF(B215=" "," ",HYPERLINK(CONCATENATE("#metadata!",ADDRESS(INDEX($M$2:$M$1001,MATCH(ROWS($K$2:K215),$K$2:$K$1001,0),0),1)),INDEX($P$2:$P$1001,MATCH(ROWS($K$2:K215),$K$2:$K$1001,0),0)))</f>
        <v>0</v>
      </c>
      <c r="B215" s="3">
        <f>IF(OR(INDEX($L$2:$L$1001,MATCH(ROWS($K$2:K215),$K$2:$K$1001,0),1)&gt;=100000,INDEX($R$1005:$W$1005,1,MATCH(COLUMNS($R$1006:R1006),$R$1006:$W$1006,0))&gt;=100000), " ",IF(INDEX($R$2:$W$1001,MATCH(ROWS($K$2:K215),$K$2:$K$1001,0),MATCH(COLUMNS($R$1006:R1006),$R$1006:$W$1006,0)), HYPERLINK("#",""), HYPERLINK(CONCATENATE("#Metadata!", ADDRESS(INDEX($M$2:$M$1001,MATCH(ROWS($K$2:K215),$K$2:$K$1001,0),0), INDEX($R$1004:$W$1004,1,MATCH(COLUMNS($R$1006:R1006),$R$1006:$W$1006,0)))),"Fix")))</f>
        <v>0</v>
      </c>
      <c r="C215" s="3">
        <f>IF(OR(INDEX($L$2:$L$1001,MATCH(ROWS($K$2:K215),$K$2:$K$1001,0),1)&gt;=100000,INDEX($R$1005:$W$1005,1,MATCH(COLUMNS($R$1006:S1006),$R$1006:$W$1006,0))&gt;=100000), " ",IF(INDEX($R$2:$W$1001,MATCH(ROWS($K$2:K215),$K$2:$K$1001,0),MATCH(COLUMNS($R$1006:S1006),$R$1006:$W$1006,0)), HYPERLINK("#",""), HYPERLINK(CONCATENATE("#Metadata!", ADDRESS(INDEX($M$2:$M$1001,MATCH(ROWS($K$2:K215),$K$2:$K$1001,0),0), INDEX($R$1004:$W$1004,1,MATCH(COLUMNS($R$1006:S1006),$R$1006:$W$1006,0)))),"Fix")))</f>
        <v>0</v>
      </c>
      <c r="D215" s="3">
        <f>IF(OR(INDEX($L$2:$L$1001,MATCH(ROWS($K$2:K215),$K$2:$K$1001,0),1)&gt;=100000,INDEX($R$1005:$W$1005,1,MATCH(COLUMNS($R$1006:T1006),$R$1006:$W$1006,0))&gt;=100000), " ",IF(INDEX($R$2:$W$1001,MATCH(ROWS($K$2:K215),$K$2:$K$1001,0),MATCH(COLUMNS($R$1006:T1006),$R$1006:$W$1006,0)), HYPERLINK("#",""), HYPERLINK(CONCATENATE("#Metadata!", ADDRESS(INDEX($M$2:$M$1001,MATCH(ROWS($K$2:K215),$K$2:$K$1001,0),0), INDEX($R$1004:$W$1004,1,MATCH(COLUMNS($R$1006:T1006),$R$1006:$W$1006,0)))),"Fix")))</f>
        <v>0</v>
      </c>
      <c r="E215" s="3">
        <f>IF(OR(INDEX($L$2:$L$1001,MATCH(ROWS($K$2:K215),$K$2:$K$1001,0),1)&gt;=100000,INDEX($R$1005:$W$1005,1,MATCH(COLUMNS($R$1006:U1006),$R$1006:$W$1006,0))&gt;=100000), " ",IF(INDEX($R$2:$W$1001,MATCH(ROWS($K$2:K215),$K$2:$K$1001,0),MATCH(COLUMNS($R$1006:U1006),$R$1006:$W$1006,0)), HYPERLINK("#",""), HYPERLINK(CONCATENATE("#Metadata!", ADDRESS(INDEX($M$2:$M$1001,MATCH(ROWS($K$2:K215),$K$2:$K$1001,0),0), INDEX($R$1004:$W$1004,1,MATCH(COLUMNS($R$1006:U1006),$R$1006:$W$1006,0)))),"Fix")))</f>
        <v>0</v>
      </c>
      <c r="F215" s="3">
        <f>IF(OR(INDEX($L$2:$L$1001,MATCH(ROWS($K$2:K215),$K$2:$K$1001,0),1)&gt;=100000,INDEX($R$1005:$W$1005,1,MATCH(COLUMNS($R$1006:V1006),$R$1006:$W$1006,0))&gt;=100000), " ",IF(INDEX($R$2:$W$1001,MATCH(ROWS($K$2:K215),$K$2:$K$1001,0),MATCH(COLUMNS($R$1006:V1006),$R$1006:$W$1006,0)), HYPERLINK("#",""), HYPERLINK(CONCATENATE("#Metadata!", ADDRESS(INDEX($M$2:$M$1001,MATCH(ROWS($K$2:K215),$K$2:$K$1001,0),0), INDEX($R$1004:$W$1004,1,MATCH(COLUMNS($R$1006:V1006),$R$1006:$W$1006,0)))),"Fix")))</f>
        <v>0</v>
      </c>
      <c r="G215" s="3">
        <f>IF(OR(INDEX($L$2:$L$1001,MATCH(ROWS($K$2:K215),$K$2:$K$1001,0),1)&gt;=100000,INDEX($R$1005:$W$1005,1,MATCH(COLUMNS($R$1006:W1006),$R$1006:$W$1006,0))&gt;=100000), " ",IF(INDEX($R$2:$W$1001,MATCH(ROWS($K$2:K215),$K$2:$K$1001,0),MATCH(COLUMNS($R$1006:W1006),$R$1006:$W$1006,0)), HYPERLINK("#",""), HYPERLINK(CONCATENATE("#Metadata!", ADDRESS(INDEX($M$2:$M$1001,MATCH(ROWS($K$2:K215),$K$2:$K$1001,0),0), INDEX($R$1004:$W$1004,1,MATCH(COLUMNS($R$1006:W1006),$R$1006:$W$1006,0)))),"Fix")))</f>
        <v>0</v>
      </c>
      <c r="K215">
        <v>0</v>
      </c>
      <c r="L215">
        <v>0</v>
      </c>
      <c r="M215">
        <v>0</v>
      </c>
      <c r="N215">
        <f>IF(O215,TRUE,AND(R215:W215))</f>
        <v>0</v>
      </c>
      <c r="O215">
        <f>COUNTBLANK(Metadata!B215:G215)=COLUMNS(Metadata!B215:G215)</f>
        <v>0</v>
      </c>
      <c r="P215">
        <v>0</v>
      </c>
      <c r="R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S215">
        <f>IF(Metadata!C215="",FALSE,TRUE)</f>
        <v>0</v>
      </c>
      <c r="T215">
        <f>IF(Metadata!D215="",FALSE,TRUE)</f>
        <v>0</v>
      </c>
      <c r="U215">
        <f>IF(Metadata!E215="",FALSE,TRUE)</f>
        <v>0</v>
      </c>
      <c r="V215">
        <f>AND(IF(Metadata!F215="",FALSE,TRUE),exact(Metadata!F215,"rat gut metagenome"))</f>
        <v>0</v>
      </c>
      <c r="W215">
        <f>AND(IF(Metadata!G215="",FALSE,TRUE),exact(Metadata!G215,"1436733"))</f>
        <v>0</v>
      </c>
    </row>
    <row r="216" spans="1:23">
      <c r="A216" s="4">
        <f>IF(B216=" "," ",HYPERLINK(CONCATENATE("#metadata!",ADDRESS(INDEX($M$2:$M$1001,MATCH(ROWS($K$2:K216),$K$2:$K$1001,0),0),1)),INDEX($P$2:$P$1001,MATCH(ROWS($K$2:K216),$K$2:$K$1001,0),0)))</f>
        <v>0</v>
      </c>
      <c r="B216" s="3">
        <f>IF(OR(INDEX($L$2:$L$1001,MATCH(ROWS($K$2:K216),$K$2:$K$1001,0),1)&gt;=100000,INDEX($R$1005:$W$1005,1,MATCH(COLUMNS($R$1006:R1006),$R$1006:$W$1006,0))&gt;=100000), " ",IF(INDEX($R$2:$W$1001,MATCH(ROWS($K$2:K216),$K$2:$K$1001,0),MATCH(COLUMNS($R$1006:R1006),$R$1006:$W$1006,0)), HYPERLINK("#",""), HYPERLINK(CONCATENATE("#Metadata!", ADDRESS(INDEX($M$2:$M$1001,MATCH(ROWS($K$2:K216),$K$2:$K$1001,0),0), INDEX($R$1004:$W$1004,1,MATCH(COLUMNS($R$1006:R1006),$R$1006:$W$1006,0)))),"Fix")))</f>
        <v>0</v>
      </c>
      <c r="C216" s="3">
        <f>IF(OR(INDEX($L$2:$L$1001,MATCH(ROWS($K$2:K216),$K$2:$K$1001,0),1)&gt;=100000,INDEX($R$1005:$W$1005,1,MATCH(COLUMNS($R$1006:S1006),$R$1006:$W$1006,0))&gt;=100000), " ",IF(INDEX($R$2:$W$1001,MATCH(ROWS($K$2:K216),$K$2:$K$1001,0),MATCH(COLUMNS($R$1006:S1006),$R$1006:$W$1006,0)), HYPERLINK("#",""), HYPERLINK(CONCATENATE("#Metadata!", ADDRESS(INDEX($M$2:$M$1001,MATCH(ROWS($K$2:K216),$K$2:$K$1001,0),0), INDEX($R$1004:$W$1004,1,MATCH(COLUMNS($R$1006:S1006),$R$1006:$W$1006,0)))),"Fix")))</f>
        <v>0</v>
      </c>
      <c r="D216" s="3">
        <f>IF(OR(INDEX($L$2:$L$1001,MATCH(ROWS($K$2:K216),$K$2:$K$1001,0),1)&gt;=100000,INDEX($R$1005:$W$1005,1,MATCH(COLUMNS($R$1006:T1006),$R$1006:$W$1006,0))&gt;=100000), " ",IF(INDEX($R$2:$W$1001,MATCH(ROWS($K$2:K216),$K$2:$K$1001,0),MATCH(COLUMNS($R$1006:T1006),$R$1006:$W$1006,0)), HYPERLINK("#",""), HYPERLINK(CONCATENATE("#Metadata!", ADDRESS(INDEX($M$2:$M$1001,MATCH(ROWS($K$2:K216),$K$2:$K$1001,0),0), INDEX($R$1004:$W$1004,1,MATCH(COLUMNS($R$1006:T1006),$R$1006:$W$1006,0)))),"Fix")))</f>
        <v>0</v>
      </c>
      <c r="E216" s="3">
        <f>IF(OR(INDEX($L$2:$L$1001,MATCH(ROWS($K$2:K216),$K$2:$K$1001,0),1)&gt;=100000,INDEX($R$1005:$W$1005,1,MATCH(COLUMNS($R$1006:U1006),$R$1006:$W$1006,0))&gt;=100000), " ",IF(INDEX($R$2:$W$1001,MATCH(ROWS($K$2:K216),$K$2:$K$1001,0),MATCH(COLUMNS($R$1006:U1006),$R$1006:$W$1006,0)), HYPERLINK("#",""), HYPERLINK(CONCATENATE("#Metadata!", ADDRESS(INDEX($M$2:$M$1001,MATCH(ROWS($K$2:K216),$K$2:$K$1001,0),0), INDEX($R$1004:$W$1004,1,MATCH(COLUMNS($R$1006:U1006),$R$1006:$W$1006,0)))),"Fix")))</f>
        <v>0</v>
      </c>
      <c r="F216" s="3">
        <f>IF(OR(INDEX($L$2:$L$1001,MATCH(ROWS($K$2:K216),$K$2:$K$1001,0),1)&gt;=100000,INDEX($R$1005:$W$1005,1,MATCH(COLUMNS($R$1006:V1006),$R$1006:$W$1006,0))&gt;=100000), " ",IF(INDEX($R$2:$W$1001,MATCH(ROWS($K$2:K216),$K$2:$K$1001,0),MATCH(COLUMNS($R$1006:V1006),$R$1006:$W$1006,0)), HYPERLINK("#",""), HYPERLINK(CONCATENATE("#Metadata!", ADDRESS(INDEX($M$2:$M$1001,MATCH(ROWS($K$2:K216),$K$2:$K$1001,0),0), INDEX($R$1004:$W$1004,1,MATCH(COLUMNS($R$1006:V1006),$R$1006:$W$1006,0)))),"Fix")))</f>
        <v>0</v>
      </c>
      <c r="G216" s="3">
        <f>IF(OR(INDEX($L$2:$L$1001,MATCH(ROWS($K$2:K216),$K$2:$K$1001,0),1)&gt;=100000,INDEX($R$1005:$W$1005,1,MATCH(COLUMNS($R$1006:W1006),$R$1006:$W$1006,0))&gt;=100000), " ",IF(INDEX($R$2:$W$1001,MATCH(ROWS($K$2:K216),$K$2:$K$1001,0),MATCH(COLUMNS($R$1006:W1006),$R$1006:$W$1006,0)), HYPERLINK("#",""), HYPERLINK(CONCATENATE("#Metadata!", ADDRESS(INDEX($M$2:$M$1001,MATCH(ROWS($K$2:K216),$K$2:$K$1001,0),0), INDEX($R$1004:$W$1004,1,MATCH(COLUMNS($R$1006:W1006),$R$1006:$W$1006,0)))),"Fix")))</f>
        <v>0</v>
      </c>
      <c r="K216">
        <v>0</v>
      </c>
      <c r="L216">
        <v>0</v>
      </c>
      <c r="M216">
        <v>0</v>
      </c>
      <c r="N216">
        <f>IF(O216,TRUE,AND(R216:W216))</f>
        <v>0</v>
      </c>
      <c r="O216">
        <f>COUNTBLANK(Metadata!B216:G216)=COLUMNS(Metadata!B216:G216)</f>
        <v>0</v>
      </c>
      <c r="P216">
        <v>0</v>
      </c>
      <c r="R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S216">
        <f>IF(Metadata!C216="",FALSE,TRUE)</f>
        <v>0</v>
      </c>
      <c r="T216">
        <f>IF(Metadata!D216="",FALSE,TRUE)</f>
        <v>0</v>
      </c>
      <c r="U216">
        <f>IF(Metadata!E216="",FALSE,TRUE)</f>
        <v>0</v>
      </c>
      <c r="V216">
        <f>AND(IF(Metadata!F216="",FALSE,TRUE),exact(Metadata!F216,"rat gut metagenome"))</f>
        <v>0</v>
      </c>
      <c r="W216">
        <f>AND(IF(Metadata!G216="",FALSE,TRUE),exact(Metadata!G216,"1436733"))</f>
        <v>0</v>
      </c>
    </row>
    <row r="217" spans="1:23">
      <c r="A217" s="4">
        <f>IF(B217=" "," ",HYPERLINK(CONCATENATE("#metadata!",ADDRESS(INDEX($M$2:$M$1001,MATCH(ROWS($K$2:K217),$K$2:$K$1001,0),0),1)),INDEX($P$2:$P$1001,MATCH(ROWS($K$2:K217),$K$2:$K$1001,0),0)))</f>
        <v>0</v>
      </c>
      <c r="B217" s="3">
        <f>IF(OR(INDEX($L$2:$L$1001,MATCH(ROWS($K$2:K217),$K$2:$K$1001,0),1)&gt;=100000,INDEX($R$1005:$W$1005,1,MATCH(COLUMNS($R$1006:R1006),$R$1006:$W$1006,0))&gt;=100000), " ",IF(INDEX($R$2:$W$1001,MATCH(ROWS($K$2:K217),$K$2:$K$1001,0),MATCH(COLUMNS($R$1006:R1006),$R$1006:$W$1006,0)), HYPERLINK("#",""), HYPERLINK(CONCATENATE("#Metadata!", ADDRESS(INDEX($M$2:$M$1001,MATCH(ROWS($K$2:K217),$K$2:$K$1001,0),0), INDEX($R$1004:$W$1004,1,MATCH(COLUMNS($R$1006:R1006),$R$1006:$W$1006,0)))),"Fix")))</f>
        <v>0</v>
      </c>
      <c r="C217" s="3">
        <f>IF(OR(INDEX($L$2:$L$1001,MATCH(ROWS($K$2:K217),$K$2:$K$1001,0),1)&gt;=100000,INDEX($R$1005:$W$1005,1,MATCH(COLUMNS($R$1006:S1006),$R$1006:$W$1006,0))&gt;=100000), " ",IF(INDEX($R$2:$W$1001,MATCH(ROWS($K$2:K217),$K$2:$K$1001,0),MATCH(COLUMNS($R$1006:S1006),$R$1006:$W$1006,0)), HYPERLINK("#",""), HYPERLINK(CONCATENATE("#Metadata!", ADDRESS(INDEX($M$2:$M$1001,MATCH(ROWS($K$2:K217),$K$2:$K$1001,0),0), INDEX($R$1004:$W$1004,1,MATCH(COLUMNS($R$1006:S1006),$R$1006:$W$1006,0)))),"Fix")))</f>
        <v>0</v>
      </c>
      <c r="D217" s="3">
        <f>IF(OR(INDEX($L$2:$L$1001,MATCH(ROWS($K$2:K217),$K$2:$K$1001,0),1)&gt;=100000,INDEX($R$1005:$W$1005,1,MATCH(COLUMNS($R$1006:T1006),$R$1006:$W$1006,0))&gt;=100000), " ",IF(INDEX($R$2:$W$1001,MATCH(ROWS($K$2:K217),$K$2:$K$1001,0),MATCH(COLUMNS($R$1006:T1006),$R$1006:$W$1006,0)), HYPERLINK("#",""), HYPERLINK(CONCATENATE("#Metadata!", ADDRESS(INDEX($M$2:$M$1001,MATCH(ROWS($K$2:K217),$K$2:$K$1001,0),0), INDEX($R$1004:$W$1004,1,MATCH(COLUMNS($R$1006:T1006),$R$1006:$W$1006,0)))),"Fix")))</f>
        <v>0</v>
      </c>
      <c r="E217" s="3">
        <f>IF(OR(INDEX($L$2:$L$1001,MATCH(ROWS($K$2:K217),$K$2:$K$1001,0),1)&gt;=100000,INDEX($R$1005:$W$1005,1,MATCH(COLUMNS($R$1006:U1006),$R$1006:$W$1006,0))&gt;=100000), " ",IF(INDEX($R$2:$W$1001,MATCH(ROWS($K$2:K217),$K$2:$K$1001,0),MATCH(COLUMNS($R$1006:U1006),$R$1006:$W$1006,0)), HYPERLINK("#",""), HYPERLINK(CONCATENATE("#Metadata!", ADDRESS(INDEX($M$2:$M$1001,MATCH(ROWS($K$2:K217),$K$2:$K$1001,0),0), INDEX($R$1004:$W$1004,1,MATCH(COLUMNS($R$1006:U1006),$R$1006:$W$1006,0)))),"Fix")))</f>
        <v>0</v>
      </c>
      <c r="F217" s="3">
        <f>IF(OR(INDEX($L$2:$L$1001,MATCH(ROWS($K$2:K217),$K$2:$K$1001,0),1)&gt;=100000,INDEX($R$1005:$W$1005,1,MATCH(COLUMNS($R$1006:V1006),$R$1006:$W$1006,0))&gt;=100000), " ",IF(INDEX($R$2:$W$1001,MATCH(ROWS($K$2:K217),$K$2:$K$1001,0),MATCH(COLUMNS($R$1006:V1006),$R$1006:$W$1006,0)), HYPERLINK("#",""), HYPERLINK(CONCATENATE("#Metadata!", ADDRESS(INDEX($M$2:$M$1001,MATCH(ROWS($K$2:K217),$K$2:$K$1001,0),0), INDEX($R$1004:$W$1004,1,MATCH(COLUMNS($R$1006:V1006),$R$1006:$W$1006,0)))),"Fix")))</f>
        <v>0</v>
      </c>
      <c r="G217" s="3">
        <f>IF(OR(INDEX($L$2:$L$1001,MATCH(ROWS($K$2:K217),$K$2:$K$1001,0),1)&gt;=100000,INDEX($R$1005:$W$1005,1,MATCH(COLUMNS($R$1006:W1006),$R$1006:$W$1006,0))&gt;=100000), " ",IF(INDEX($R$2:$W$1001,MATCH(ROWS($K$2:K217),$K$2:$K$1001,0),MATCH(COLUMNS($R$1006:W1006),$R$1006:$W$1006,0)), HYPERLINK("#",""), HYPERLINK(CONCATENATE("#Metadata!", ADDRESS(INDEX($M$2:$M$1001,MATCH(ROWS($K$2:K217),$K$2:$K$1001,0),0), INDEX($R$1004:$W$1004,1,MATCH(COLUMNS($R$1006:W1006),$R$1006:$W$1006,0)))),"Fix")))</f>
        <v>0</v>
      </c>
      <c r="K217">
        <v>0</v>
      </c>
      <c r="L217">
        <v>0</v>
      </c>
      <c r="M217">
        <v>0</v>
      </c>
      <c r="N217">
        <f>IF(O217,TRUE,AND(R217:W217))</f>
        <v>0</v>
      </c>
      <c r="O217">
        <f>COUNTBLANK(Metadata!B217:G217)=COLUMNS(Metadata!B217:G217)</f>
        <v>0</v>
      </c>
      <c r="P217">
        <v>0</v>
      </c>
      <c r="R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S217">
        <f>IF(Metadata!C217="",FALSE,TRUE)</f>
        <v>0</v>
      </c>
      <c r="T217">
        <f>IF(Metadata!D217="",FALSE,TRUE)</f>
        <v>0</v>
      </c>
      <c r="U217">
        <f>IF(Metadata!E217="",FALSE,TRUE)</f>
        <v>0</v>
      </c>
      <c r="V217">
        <f>AND(IF(Metadata!F217="",FALSE,TRUE),exact(Metadata!F217,"rat gut metagenome"))</f>
        <v>0</v>
      </c>
      <c r="W217">
        <f>AND(IF(Metadata!G217="",FALSE,TRUE),exact(Metadata!G217,"1436733"))</f>
        <v>0</v>
      </c>
    </row>
    <row r="218" spans="1:23">
      <c r="A218" s="4">
        <f>IF(B218=" "," ",HYPERLINK(CONCATENATE("#metadata!",ADDRESS(INDEX($M$2:$M$1001,MATCH(ROWS($K$2:K218),$K$2:$K$1001,0),0),1)),INDEX($P$2:$P$1001,MATCH(ROWS($K$2:K218),$K$2:$K$1001,0),0)))</f>
        <v>0</v>
      </c>
      <c r="B218" s="3">
        <f>IF(OR(INDEX($L$2:$L$1001,MATCH(ROWS($K$2:K218),$K$2:$K$1001,0),1)&gt;=100000,INDEX($R$1005:$W$1005,1,MATCH(COLUMNS($R$1006:R1006),$R$1006:$W$1006,0))&gt;=100000), " ",IF(INDEX($R$2:$W$1001,MATCH(ROWS($K$2:K218),$K$2:$K$1001,0),MATCH(COLUMNS($R$1006:R1006),$R$1006:$W$1006,0)), HYPERLINK("#",""), HYPERLINK(CONCATENATE("#Metadata!", ADDRESS(INDEX($M$2:$M$1001,MATCH(ROWS($K$2:K218),$K$2:$K$1001,0),0), INDEX($R$1004:$W$1004,1,MATCH(COLUMNS($R$1006:R1006),$R$1006:$W$1006,0)))),"Fix")))</f>
        <v>0</v>
      </c>
      <c r="C218" s="3">
        <f>IF(OR(INDEX($L$2:$L$1001,MATCH(ROWS($K$2:K218),$K$2:$K$1001,0),1)&gt;=100000,INDEX($R$1005:$W$1005,1,MATCH(COLUMNS($R$1006:S1006),$R$1006:$W$1006,0))&gt;=100000), " ",IF(INDEX($R$2:$W$1001,MATCH(ROWS($K$2:K218),$K$2:$K$1001,0),MATCH(COLUMNS($R$1006:S1006),$R$1006:$W$1006,0)), HYPERLINK("#",""), HYPERLINK(CONCATENATE("#Metadata!", ADDRESS(INDEX($M$2:$M$1001,MATCH(ROWS($K$2:K218),$K$2:$K$1001,0),0), INDEX($R$1004:$W$1004,1,MATCH(COLUMNS($R$1006:S1006),$R$1006:$W$1006,0)))),"Fix")))</f>
        <v>0</v>
      </c>
      <c r="D218" s="3">
        <f>IF(OR(INDEX($L$2:$L$1001,MATCH(ROWS($K$2:K218),$K$2:$K$1001,0),1)&gt;=100000,INDEX($R$1005:$W$1005,1,MATCH(COLUMNS($R$1006:T1006),$R$1006:$W$1006,0))&gt;=100000), " ",IF(INDEX($R$2:$W$1001,MATCH(ROWS($K$2:K218),$K$2:$K$1001,0),MATCH(COLUMNS($R$1006:T1006),$R$1006:$W$1006,0)), HYPERLINK("#",""), HYPERLINK(CONCATENATE("#Metadata!", ADDRESS(INDEX($M$2:$M$1001,MATCH(ROWS($K$2:K218),$K$2:$K$1001,0),0), INDEX($R$1004:$W$1004,1,MATCH(COLUMNS($R$1006:T1006),$R$1006:$W$1006,0)))),"Fix")))</f>
        <v>0</v>
      </c>
      <c r="E218" s="3">
        <f>IF(OR(INDEX($L$2:$L$1001,MATCH(ROWS($K$2:K218),$K$2:$K$1001,0),1)&gt;=100000,INDEX($R$1005:$W$1005,1,MATCH(COLUMNS($R$1006:U1006),$R$1006:$W$1006,0))&gt;=100000), " ",IF(INDEX($R$2:$W$1001,MATCH(ROWS($K$2:K218),$K$2:$K$1001,0),MATCH(COLUMNS($R$1006:U1006),$R$1006:$W$1006,0)), HYPERLINK("#",""), HYPERLINK(CONCATENATE("#Metadata!", ADDRESS(INDEX($M$2:$M$1001,MATCH(ROWS($K$2:K218),$K$2:$K$1001,0),0), INDEX($R$1004:$W$1004,1,MATCH(COLUMNS($R$1006:U1006),$R$1006:$W$1006,0)))),"Fix")))</f>
        <v>0</v>
      </c>
      <c r="F218" s="3">
        <f>IF(OR(INDEX($L$2:$L$1001,MATCH(ROWS($K$2:K218),$K$2:$K$1001,0),1)&gt;=100000,INDEX($R$1005:$W$1005,1,MATCH(COLUMNS($R$1006:V1006),$R$1006:$W$1006,0))&gt;=100000), " ",IF(INDEX($R$2:$W$1001,MATCH(ROWS($K$2:K218),$K$2:$K$1001,0),MATCH(COLUMNS($R$1006:V1006),$R$1006:$W$1006,0)), HYPERLINK("#",""), HYPERLINK(CONCATENATE("#Metadata!", ADDRESS(INDEX($M$2:$M$1001,MATCH(ROWS($K$2:K218),$K$2:$K$1001,0),0), INDEX($R$1004:$W$1004,1,MATCH(COLUMNS($R$1006:V1006),$R$1006:$W$1006,0)))),"Fix")))</f>
        <v>0</v>
      </c>
      <c r="G218" s="3">
        <f>IF(OR(INDEX($L$2:$L$1001,MATCH(ROWS($K$2:K218),$K$2:$K$1001,0),1)&gt;=100000,INDEX($R$1005:$W$1005,1,MATCH(COLUMNS($R$1006:W1006),$R$1006:$W$1006,0))&gt;=100000), " ",IF(INDEX($R$2:$W$1001,MATCH(ROWS($K$2:K218),$K$2:$K$1001,0),MATCH(COLUMNS($R$1006:W1006),$R$1006:$W$1006,0)), HYPERLINK("#",""), HYPERLINK(CONCATENATE("#Metadata!", ADDRESS(INDEX($M$2:$M$1001,MATCH(ROWS($K$2:K218),$K$2:$K$1001,0),0), INDEX($R$1004:$W$1004,1,MATCH(COLUMNS($R$1006:W1006),$R$1006:$W$1006,0)))),"Fix")))</f>
        <v>0</v>
      </c>
      <c r="K218">
        <v>0</v>
      </c>
      <c r="L218">
        <v>0</v>
      </c>
      <c r="M218">
        <v>0</v>
      </c>
      <c r="N218">
        <f>IF(O218,TRUE,AND(R218:W218))</f>
        <v>0</v>
      </c>
      <c r="O218">
        <f>COUNTBLANK(Metadata!B218:G218)=COLUMNS(Metadata!B218:G218)</f>
        <v>0</v>
      </c>
      <c r="P218">
        <v>0</v>
      </c>
      <c r="R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S218">
        <f>IF(Metadata!C218="",FALSE,TRUE)</f>
        <v>0</v>
      </c>
      <c r="T218">
        <f>IF(Metadata!D218="",FALSE,TRUE)</f>
        <v>0</v>
      </c>
      <c r="U218">
        <f>IF(Metadata!E218="",FALSE,TRUE)</f>
        <v>0</v>
      </c>
      <c r="V218">
        <f>AND(IF(Metadata!F218="",FALSE,TRUE),exact(Metadata!F218,"rat gut metagenome"))</f>
        <v>0</v>
      </c>
      <c r="W218">
        <f>AND(IF(Metadata!G218="",FALSE,TRUE),exact(Metadata!G218,"1436733"))</f>
        <v>0</v>
      </c>
    </row>
    <row r="219" spans="1:23">
      <c r="A219" s="4">
        <f>IF(B219=" "," ",HYPERLINK(CONCATENATE("#metadata!",ADDRESS(INDEX($M$2:$M$1001,MATCH(ROWS($K$2:K219),$K$2:$K$1001,0),0),1)),INDEX($P$2:$P$1001,MATCH(ROWS($K$2:K219),$K$2:$K$1001,0),0)))</f>
        <v>0</v>
      </c>
      <c r="B219" s="3">
        <f>IF(OR(INDEX($L$2:$L$1001,MATCH(ROWS($K$2:K219),$K$2:$K$1001,0),1)&gt;=100000,INDEX($R$1005:$W$1005,1,MATCH(COLUMNS($R$1006:R1006),$R$1006:$W$1006,0))&gt;=100000), " ",IF(INDEX($R$2:$W$1001,MATCH(ROWS($K$2:K219),$K$2:$K$1001,0),MATCH(COLUMNS($R$1006:R1006),$R$1006:$W$1006,0)), HYPERLINK("#",""), HYPERLINK(CONCATENATE("#Metadata!", ADDRESS(INDEX($M$2:$M$1001,MATCH(ROWS($K$2:K219),$K$2:$K$1001,0),0), INDEX($R$1004:$W$1004,1,MATCH(COLUMNS($R$1006:R1006),$R$1006:$W$1006,0)))),"Fix")))</f>
        <v>0</v>
      </c>
      <c r="C219" s="3">
        <f>IF(OR(INDEX($L$2:$L$1001,MATCH(ROWS($K$2:K219),$K$2:$K$1001,0),1)&gt;=100000,INDEX($R$1005:$W$1005,1,MATCH(COLUMNS($R$1006:S1006),$R$1006:$W$1006,0))&gt;=100000), " ",IF(INDEX($R$2:$W$1001,MATCH(ROWS($K$2:K219),$K$2:$K$1001,0),MATCH(COLUMNS($R$1006:S1006),$R$1006:$W$1006,0)), HYPERLINK("#",""), HYPERLINK(CONCATENATE("#Metadata!", ADDRESS(INDEX($M$2:$M$1001,MATCH(ROWS($K$2:K219),$K$2:$K$1001,0),0), INDEX($R$1004:$W$1004,1,MATCH(COLUMNS($R$1006:S1006),$R$1006:$W$1006,0)))),"Fix")))</f>
        <v>0</v>
      </c>
      <c r="D219" s="3">
        <f>IF(OR(INDEX($L$2:$L$1001,MATCH(ROWS($K$2:K219),$K$2:$K$1001,0),1)&gt;=100000,INDEX($R$1005:$W$1005,1,MATCH(COLUMNS($R$1006:T1006),$R$1006:$W$1006,0))&gt;=100000), " ",IF(INDEX($R$2:$W$1001,MATCH(ROWS($K$2:K219),$K$2:$K$1001,0),MATCH(COLUMNS($R$1006:T1006),$R$1006:$W$1006,0)), HYPERLINK("#",""), HYPERLINK(CONCATENATE("#Metadata!", ADDRESS(INDEX($M$2:$M$1001,MATCH(ROWS($K$2:K219),$K$2:$K$1001,0),0), INDEX($R$1004:$W$1004,1,MATCH(COLUMNS($R$1006:T1006),$R$1006:$W$1006,0)))),"Fix")))</f>
        <v>0</v>
      </c>
      <c r="E219" s="3">
        <f>IF(OR(INDEX($L$2:$L$1001,MATCH(ROWS($K$2:K219),$K$2:$K$1001,0),1)&gt;=100000,INDEX($R$1005:$W$1005,1,MATCH(COLUMNS($R$1006:U1006),$R$1006:$W$1006,0))&gt;=100000), " ",IF(INDEX($R$2:$W$1001,MATCH(ROWS($K$2:K219),$K$2:$K$1001,0),MATCH(COLUMNS($R$1006:U1006),$R$1006:$W$1006,0)), HYPERLINK("#",""), HYPERLINK(CONCATENATE("#Metadata!", ADDRESS(INDEX($M$2:$M$1001,MATCH(ROWS($K$2:K219),$K$2:$K$1001,0),0), INDEX($R$1004:$W$1004,1,MATCH(COLUMNS($R$1006:U1006),$R$1006:$W$1006,0)))),"Fix")))</f>
        <v>0</v>
      </c>
      <c r="F219" s="3">
        <f>IF(OR(INDEX($L$2:$L$1001,MATCH(ROWS($K$2:K219),$K$2:$K$1001,0),1)&gt;=100000,INDEX($R$1005:$W$1005,1,MATCH(COLUMNS($R$1006:V1006),$R$1006:$W$1006,0))&gt;=100000), " ",IF(INDEX($R$2:$W$1001,MATCH(ROWS($K$2:K219),$K$2:$K$1001,0),MATCH(COLUMNS($R$1006:V1006),$R$1006:$W$1006,0)), HYPERLINK("#",""), HYPERLINK(CONCATENATE("#Metadata!", ADDRESS(INDEX($M$2:$M$1001,MATCH(ROWS($K$2:K219),$K$2:$K$1001,0),0), INDEX($R$1004:$W$1004,1,MATCH(COLUMNS($R$1006:V1006),$R$1006:$W$1006,0)))),"Fix")))</f>
        <v>0</v>
      </c>
      <c r="G219" s="3">
        <f>IF(OR(INDEX($L$2:$L$1001,MATCH(ROWS($K$2:K219),$K$2:$K$1001,0),1)&gt;=100000,INDEX($R$1005:$W$1005,1,MATCH(COLUMNS($R$1006:W1006),$R$1006:$W$1006,0))&gt;=100000), " ",IF(INDEX($R$2:$W$1001,MATCH(ROWS($K$2:K219),$K$2:$K$1001,0),MATCH(COLUMNS($R$1006:W1006),$R$1006:$W$1006,0)), HYPERLINK("#",""), HYPERLINK(CONCATENATE("#Metadata!", ADDRESS(INDEX($M$2:$M$1001,MATCH(ROWS($K$2:K219),$K$2:$K$1001,0),0), INDEX($R$1004:$W$1004,1,MATCH(COLUMNS($R$1006:W1006),$R$1006:$W$1006,0)))),"Fix")))</f>
        <v>0</v>
      </c>
      <c r="K219">
        <v>0</v>
      </c>
      <c r="L219">
        <v>0</v>
      </c>
      <c r="M219">
        <v>0</v>
      </c>
      <c r="N219">
        <f>IF(O219,TRUE,AND(R219:W219))</f>
        <v>0</v>
      </c>
      <c r="O219">
        <f>COUNTBLANK(Metadata!B219:G219)=COLUMNS(Metadata!B219:G219)</f>
        <v>0</v>
      </c>
      <c r="P219">
        <v>0</v>
      </c>
      <c r="R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S219">
        <f>IF(Metadata!C219="",FALSE,TRUE)</f>
        <v>0</v>
      </c>
      <c r="T219">
        <f>IF(Metadata!D219="",FALSE,TRUE)</f>
        <v>0</v>
      </c>
      <c r="U219">
        <f>IF(Metadata!E219="",FALSE,TRUE)</f>
        <v>0</v>
      </c>
      <c r="V219">
        <f>AND(IF(Metadata!F219="",FALSE,TRUE),exact(Metadata!F219,"rat gut metagenome"))</f>
        <v>0</v>
      </c>
      <c r="W219">
        <f>AND(IF(Metadata!G219="",FALSE,TRUE),exact(Metadata!G219,"1436733"))</f>
        <v>0</v>
      </c>
    </row>
    <row r="220" spans="1:23">
      <c r="A220" s="4">
        <f>IF(B220=" "," ",HYPERLINK(CONCATENATE("#metadata!",ADDRESS(INDEX($M$2:$M$1001,MATCH(ROWS($K$2:K220),$K$2:$K$1001,0),0),1)),INDEX($P$2:$P$1001,MATCH(ROWS($K$2:K220),$K$2:$K$1001,0),0)))</f>
        <v>0</v>
      </c>
      <c r="B220" s="3">
        <f>IF(OR(INDEX($L$2:$L$1001,MATCH(ROWS($K$2:K220),$K$2:$K$1001,0),1)&gt;=100000,INDEX($R$1005:$W$1005,1,MATCH(COLUMNS($R$1006:R1006),$R$1006:$W$1006,0))&gt;=100000), " ",IF(INDEX($R$2:$W$1001,MATCH(ROWS($K$2:K220),$K$2:$K$1001,0),MATCH(COLUMNS($R$1006:R1006),$R$1006:$W$1006,0)), HYPERLINK("#",""), HYPERLINK(CONCATENATE("#Metadata!", ADDRESS(INDEX($M$2:$M$1001,MATCH(ROWS($K$2:K220),$K$2:$K$1001,0),0), INDEX($R$1004:$W$1004,1,MATCH(COLUMNS($R$1006:R1006),$R$1006:$W$1006,0)))),"Fix")))</f>
        <v>0</v>
      </c>
      <c r="C220" s="3">
        <f>IF(OR(INDEX($L$2:$L$1001,MATCH(ROWS($K$2:K220),$K$2:$K$1001,0),1)&gt;=100000,INDEX($R$1005:$W$1005,1,MATCH(COLUMNS($R$1006:S1006),$R$1006:$W$1006,0))&gt;=100000), " ",IF(INDEX($R$2:$W$1001,MATCH(ROWS($K$2:K220),$K$2:$K$1001,0),MATCH(COLUMNS($R$1006:S1006),$R$1006:$W$1006,0)), HYPERLINK("#",""), HYPERLINK(CONCATENATE("#Metadata!", ADDRESS(INDEX($M$2:$M$1001,MATCH(ROWS($K$2:K220),$K$2:$K$1001,0),0), INDEX($R$1004:$W$1004,1,MATCH(COLUMNS($R$1006:S1006),$R$1006:$W$1006,0)))),"Fix")))</f>
        <v>0</v>
      </c>
      <c r="D220" s="3">
        <f>IF(OR(INDEX($L$2:$L$1001,MATCH(ROWS($K$2:K220),$K$2:$K$1001,0),1)&gt;=100000,INDEX($R$1005:$W$1005,1,MATCH(COLUMNS($R$1006:T1006),$R$1006:$W$1006,0))&gt;=100000), " ",IF(INDEX($R$2:$W$1001,MATCH(ROWS($K$2:K220),$K$2:$K$1001,0),MATCH(COLUMNS($R$1006:T1006),$R$1006:$W$1006,0)), HYPERLINK("#",""), HYPERLINK(CONCATENATE("#Metadata!", ADDRESS(INDEX($M$2:$M$1001,MATCH(ROWS($K$2:K220),$K$2:$K$1001,0),0), INDEX($R$1004:$W$1004,1,MATCH(COLUMNS($R$1006:T1006),$R$1006:$W$1006,0)))),"Fix")))</f>
        <v>0</v>
      </c>
      <c r="E220" s="3">
        <f>IF(OR(INDEX($L$2:$L$1001,MATCH(ROWS($K$2:K220),$K$2:$K$1001,0),1)&gt;=100000,INDEX($R$1005:$W$1005,1,MATCH(COLUMNS($R$1006:U1006),$R$1006:$W$1006,0))&gt;=100000), " ",IF(INDEX($R$2:$W$1001,MATCH(ROWS($K$2:K220),$K$2:$K$1001,0),MATCH(COLUMNS($R$1006:U1006),$R$1006:$W$1006,0)), HYPERLINK("#",""), HYPERLINK(CONCATENATE("#Metadata!", ADDRESS(INDEX($M$2:$M$1001,MATCH(ROWS($K$2:K220),$K$2:$K$1001,0),0), INDEX($R$1004:$W$1004,1,MATCH(COLUMNS($R$1006:U1006),$R$1006:$W$1006,0)))),"Fix")))</f>
        <v>0</v>
      </c>
      <c r="F220" s="3">
        <f>IF(OR(INDEX($L$2:$L$1001,MATCH(ROWS($K$2:K220),$K$2:$K$1001,0),1)&gt;=100000,INDEX($R$1005:$W$1005,1,MATCH(COLUMNS($R$1006:V1006),$R$1006:$W$1006,0))&gt;=100000), " ",IF(INDEX($R$2:$W$1001,MATCH(ROWS($K$2:K220),$K$2:$K$1001,0),MATCH(COLUMNS($R$1006:V1006),$R$1006:$W$1006,0)), HYPERLINK("#",""), HYPERLINK(CONCATENATE("#Metadata!", ADDRESS(INDEX($M$2:$M$1001,MATCH(ROWS($K$2:K220),$K$2:$K$1001,0),0), INDEX($R$1004:$W$1004,1,MATCH(COLUMNS($R$1006:V1006),$R$1006:$W$1006,0)))),"Fix")))</f>
        <v>0</v>
      </c>
      <c r="G220" s="3">
        <f>IF(OR(INDEX($L$2:$L$1001,MATCH(ROWS($K$2:K220),$K$2:$K$1001,0),1)&gt;=100000,INDEX($R$1005:$W$1005,1,MATCH(COLUMNS($R$1006:W1006),$R$1006:$W$1006,0))&gt;=100000), " ",IF(INDEX($R$2:$W$1001,MATCH(ROWS($K$2:K220),$K$2:$K$1001,0),MATCH(COLUMNS($R$1006:W1006),$R$1006:$W$1006,0)), HYPERLINK("#",""), HYPERLINK(CONCATENATE("#Metadata!", ADDRESS(INDEX($M$2:$M$1001,MATCH(ROWS($K$2:K220),$K$2:$K$1001,0),0), INDEX($R$1004:$W$1004,1,MATCH(COLUMNS($R$1006:W1006),$R$1006:$W$1006,0)))),"Fix")))</f>
        <v>0</v>
      </c>
      <c r="K220">
        <v>0</v>
      </c>
      <c r="L220">
        <v>0</v>
      </c>
      <c r="M220">
        <v>0</v>
      </c>
      <c r="N220">
        <f>IF(O220,TRUE,AND(R220:W220))</f>
        <v>0</v>
      </c>
      <c r="O220">
        <f>COUNTBLANK(Metadata!B220:G220)=COLUMNS(Metadata!B220:G220)</f>
        <v>0</v>
      </c>
      <c r="P220">
        <v>0</v>
      </c>
      <c r="R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S220">
        <f>IF(Metadata!C220="",FALSE,TRUE)</f>
        <v>0</v>
      </c>
      <c r="T220">
        <f>IF(Metadata!D220="",FALSE,TRUE)</f>
        <v>0</v>
      </c>
      <c r="U220">
        <f>IF(Metadata!E220="",FALSE,TRUE)</f>
        <v>0</v>
      </c>
      <c r="V220">
        <f>AND(IF(Metadata!F220="",FALSE,TRUE),exact(Metadata!F220,"rat gut metagenome"))</f>
        <v>0</v>
      </c>
      <c r="W220">
        <f>AND(IF(Metadata!G220="",FALSE,TRUE),exact(Metadata!G220,"1436733"))</f>
        <v>0</v>
      </c>
    </row>
    <row r="221" spans="1:23">
      <c r="A221" s="4">
        <f>IF(B221=" "," ",HYPERLINK(CONCATENATE("#metadata!",ADDRESS(INDEX($M$2:$M$1001,MATCH(ROWS($K$2:K221),$K$2:$K$1001,0),0),1)),INDEX($P$2:$P$1001,MATCH(ROWS($K$2:K221),$K$2:$K$1001,0),0)))</f>
        <v>0</v>
      </c>
      <c r="B221" s="3">
        <f>IF(OR(INDEX($L$2:$L$1001,MATCH(ROWS($K$2:K221),$K$2:$K$1001,0),1)&gt;=100000,INDEX($R$1005:$W$1005,1,MATCH(COLUMNS($R$1006:R1006),$R$1006:$W$1006,0))&gt;=100000), " ",IF(INDEX($R$2:$W$1001,MATCH(ROWS($K$2:K221),$K$2:$K$1001,0),MATCH(COLUMNS($R$1006:R1006),$R$1006:$W$1006,0)), HYPERLINK("#",""), HYPERLINK(CONCATENATE("#Metadata!", ADDRESS(INDEX($M$2:$M$1001,MATCH(ROWS($K$2:K221),$K$2:$K$1001,0),0), INDEX($R$1004:$W$1004,1,MATCH(COLUMNS($R$1006:R1006),$R$1006:$W$1006,0)))),"Fix")))</f>
        <v>0</v>
      </c>
      <c r="C221" s="3">
        <f>IF(OR(INDEX($L$2:$L$1001,MATCH(ROWS($K$2:K221),$K$2:$K$1001,0),1)&gt;=100000,INDEX($R$1005:$W$1005,1,MATCH(COLUMNS($R$1006:S1006),$R$1006:$W$1006,0))&gt;=100000), " ",IF(INDEX($R$2:$W$1001,MATCH(ROWS($K$2:K221),$K$2:$K$1001,0),MATCH(COLUMNS($R$1006:S1006),$R$1006:$W$1006,0)), HYPERLINK("#",""), HYPERLINK(CONCATENATE("#Metadata!", ADDRESS(INDEX($M$2:$M$1001,MATCH(ROWS($K$2:K221),$K$2:$K$1001,0),0), INDEX($R$1004:$W$1004,1,MATCH(COLUMNS($R$1006:S1006),$R$1006:$W$1006,0)))),"Fix")))</f>
        <v>0</v>
      </c>
      <c r="D221" s="3">
        <f>IF(OR(INDEX($L$2:$L$1001,MATCH(ROWS($K$2:K221),$K$2:$K$1001,0),1)&gt;=100000,INDEX($R$1005:$W$1005,1,MATCH(COLUMNS($R$1006:T1006),$R$1006:$W$1006,0))&gt;=100000), " ",IF(INDEX($R$2:$W$1001,MATCH(ROWS($K$2:K221),$K$2:$K$1001,0),MATCH(COLUMNS($R$1006:T1006),$R$1006:$W$1006,0)), HYPERLINK("#",""), HYPERLINK(CONCATENATE("#Metadata!", ADDRESS(INDEX($M$2:$M$1001,MATCH(ROWS($K$2:K221),$K$2:$K$1001,0),0), INDEX($R$1004:$W$1004,1,MATCH(COLUMNS($R$1006:T1006),$R$1006:$W$1006,0)))),"Fix")))</f>
        <v>0</v>
      </c>
      <c r="E221" s="3">
        <f>IF(OR(INDEX($L$2:$L$1001,MATCH(ROWS($K$2:K221),$K$2:$K$1001,0),1)&gt;=100000,INDEX($R$1005:$W$1005,1,MATCH(COLUMNS($R$1006:U1006),$R$1006:$W$1006,0))&gt;=100000), " ",IF(INDEX($R$2:$W$1001,MATCH(ROWS($K$2:K221),$K$2:$K$1001,0),MATCH(COLUMNS($R$1006:U1006),$R$1006:$W$1006,0)), HYPERLINK("#",""), HYPERLINK(CONCATENATE("#Metadata!", ADDRESS(INDEX($M$2:$M$1001,MATCH(ROWS($K$2:K221),$K$2:$K$1001,0),0), INDEX($R$1004:$W$1004,1,MATCH(COLUMNS($R$1006:U1006),$R$1006:$W$1006,0)))),"Fix")))</f>
        <v>0</v>
      </c>
      <c r="F221" s="3">
        <f>IF(OR(INDEX($L$2:$L$1001,MATCH(ROWS($K$2:K221),$K$2:$K$1001,0),1)&gt;=100000,INDEX($R$1005:$W$1005,1,MATCH(COLUMNS($R$1006:V1006),$R$1006:$W$1006,0))&gt;=100000), " ",IF(INDEX($R$2:$W$1001,MATCH(ROWS($K$2:K221),$K$2:$K$1001,0),MATCH(COLUMNS($R$1006:V1006),$R$1006:$W$1006,0)), HYPERLINK("#",""), HYPERLINK(CONCATENATE("#Metadata!", ADDRESS(INDEX($M$2:$M$1001,MATCH(ROWS($K$2:K221),$K$2:$K$1001,0),0), INDEX($R$1004:$W$1004,1,MATCH(COLUMNS($R$1006:V1006),$R$1006:$W$1006,0)))),"Fix")))</f>
        <v>0</v>
      </c>
      <c r="G221" s="3">
        <f>IF(OR(INDEX($L$2:$L$1001,MATCH(ROWS($K$2:K221),$K$2:$K$1001,0),1)&gt;=100000,INDEX($R$1005:$W$1005,1,MATCH(COLUMNS($R$1006:W1006),$R$1006:$W$1006,0))&gt;=100000), " ",IF(INDEX($R$2:$W$1001,MATCH(ROWS($K$2:K221),$K$2:$K$1001,0),MATCH(COLUMNS($R$1006:W1006),$R$1006:$W$1006,0)), HYPERLINK("#",""), HYPERLINK(CONCATENATE("#Metadata!", ADDRESS(INDEX($M$2:$M$1001,MATCH(ROWS($K$2:K221),$K$2:$K$1001,0),0), INDEX($R$1004:$W$1004,1,MATCH(COLUMNS($R$1006:W1006),$R$1006:$W$1006,0)))),"Fix")))</f>
        <v>0</v>
      </c>
      <c r="K221">
        <v>0</v>
      </c>
      <c r="L221">
        <v>0</v>
      </c>
      <c r="M221">
        <v>0</v>
      </c>
      <c r="N221">
        <f>IF(O221,TRUE,AND(R221:W221))</f>
        <v>0</v>
      </c>
      <c r="O221">
        <f>COUNTBLANK(Metadata!B221:G221)=COLUMNS(Metadata!B221:G221)</f>
        <v>0</v>
      </c>
      <c r="P221">
        <v>0</v>
      </c>
      <c r="R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S221">
        <f>IF(Metadata!C221="",FALSE,TRUE)</f>
        <v>0</v>
      </c>
      <c r="T221">
        <f>IF(Metadata!D221="",FALSE,TRUE)</f>
        <v>0</v>
      </c>
      <c r="U221">
        <f>IF(Metadata!E221="",FALSE,TRUE)</f>
        <v>0</v>
      </c>
      <c r="V221">
        <f>AND(IF(Metadata!F221="",FALSE,TRUE),exact(Metadata!F221,"rat gut metagenome"))</f>
        <v>0</v>
      </c>
      <c r="W221">
        <f>AND(IF(Metadata!G221="",FALSE,TRUE),exact(Metadata!G221,"1436733"))</f>
        <v>0</v>
      </c>
    </row>
    <row r="222" spans="1:23">
      <c r="A222" s="4">
        <f>IF(B222=" "," ",HYPERLINK(CONCATENATE("#metadata!",ADDRESS(INDEX($M$2:$M$1001,MATCH(ROWS($K$2:K222),$K$2:$K$1001,0),0),1)),INDEX($P$2:$P$1001,MATCH(ROWS($K$2:K222),$K$2:$K$1001,0),0)))</f>
        <v>0</v>
      </c>
      <c r="B222" s="3">
        <f>IF(OR(INDEX($L$2:$L$1001,MATCH(ROWS($K$2:K222),$K$2:$K$1001,0),1)&gt;=100000,INDEX($R$1005:$W$1005,1,MATCH(COLUMNS($R$1006:R1006),$R$1006:$W$1006,0))&gt;=100000), " ",IF(INDEX($R$2:$W$1001,MATCH(ROWS($K$2:K222),$K$2:$K$1001,0),MATCH(COLUMNS($R$1006:R1006),$R$1006:$W$1006,0)), HYPERLINK("#",""), HYPERLINK(CONCATENATE("#Metadata!", ADDRESS(INDEX($M$2:$M$1001,MATCH(ROWS($K$2:K222),$K$2:$K$1001,0),0), INDEX($R$1004:$W$1004,1,MATCH(COLUMNS($R$1006:R1006),$R$1006:$W$1006,0)))),"Fix")))</f>
        <v>0</v>
      </c>
      <c r="C222" s="3">
        <f>IF(OR(INDEX($L$2:$L$1001,MATCH(ROWS($K$2:K222),$K$2:$K$1001,0),1)&gt;=100000,INDEX($R$1005:$W$1005,1,MATCH(COLUMNS($R$1006:S1006),$R$1006:$W$1006,0))&gt;=100000), " ",IF(INDEX($R$2:$W$1001,MATCH(ROWS($K$2:K222),$K$2:$K$1001,0),MATCH(COLUMNS($R$1006:S1006),$R$1006:$W$1006,0)), HYPERLINK("#",""), HYPERLINK(CONCATENATE("#Metadata!", ADDRESS(INDEX($M$2:$M$1001,MATCH(ROWS($K$2:K222),$K$2:$K$1001,0),0), INDEX($R$1004:$W$1004,1,MATCH(COLUMNS($R$1006:S1006),$R$1006:$W$1006,0)))),"Fix")))</f>
        <v>0</v>
      </c>
      <c r="D222" s="3">
        <f>IF(OR(INDEX($L$2:$L$1001,MATCH(ROWS($K$2:K222),$K$2:$K$1001,0),1)&gt;=100000,INDEX($R$1005:$W$1005,1,MATCH(COLUMNS($R$1006:T1006),$R$1006:$W$1006,0))&gt;=100000), " ",IF(INDEX($R$2:$W$1001,MATCH(ROWS($K$2:K222),$K$2:$K$1001,0),MATCH(COLUMNS($R$1006:T1006),$R$1006:$W$1006,0)), HYPERLINK("#",""), HYPERLINK(CONCATENATE("#Metadata!", ADDRESS(INDEX($M$2:$M$1001,MATCH(ROWS($K$2:K222),$K$2:$K$1001,0),0), INDEX($R$1004:$W$1004,1,MATCH(COLUMNS($R$1006:T1006),$R$1006:$W$1006,0)))),"Fix")))</f>
        <v>0</v>
      </c>
      <c r="E222" s="3">
        <f>IF(OR(INDEX($L$2:$L$1001,MATCH(ROWS($K$2:K222),$K$2:$K$1001,0),1)&gt;=100000,INDEX($R$1005:$W$1005,1,MATCH(COLUMNS($R$1006:U1006),$R$1006:$W$1006,0))&gt;=100000), " ",IF(INDEX($R$2:$W$1001,MATCH(ROWS($K$2:K222),$K$2:$K$1001,0),MATCH(COLUMNS($R$1006:U1006),$R$1006:$W$1006,0)), HYPERLINK("#",""), HYPERLINK(CONCATENATE("#Metadata!", ADDRESS(INDEX($M$2:$M$1001,MATCH(ROWS($K$2:K222),$K$2:$K$1001,0),0), INDEX($R$1004:$W$1004,1,MATCH(COLUMNS($R$1006:U1006),$R$1006:$W$1006,0)))),"Fix")))</f>
        <v>0</v>
      </c>
      <c r="F222" s="3">
        <f>IF(OR(INDEX($L$2:$L$1001,MATCH(ROWS($K$2:K222),$K$2:$K$1001,0),1)&gt;=100000,INDEX($R$1005:$W$1005,1,MATCH(COLUMNS($R$1006:V1006),$R$1006:$W$1006,0))&gt;=100000), " ",IF(INDEX($R$2:$W$1001,MATCH(ROWS($K$2:K222),$K$2:$K$1001,0),MATCH(COLUMNS($R$1006:V1006),$R$1006:$W$1006,0)), HYPERLINK("#",""), HYPERLINK(CONCATENATE("#Metadata!", ADDRESS(INDEX($M$2:$M$1001,MATCH(ROWS($K$2:K222),$K$2:$K$1001,0),0), INDEX($R$1004:$W$1004,1,MATCH(COLUMNS($R$1006:V1006),$R$1006:$W$1006,0)))),"Fix")))</f>
        <v>0</v>
      </c>
      <c r="G222" s="3">
        <f>IF(OR(INDEX($L$2:$L$1001,MATCH(ROWS($K$2:K222),$K$2:$K$1001,0),1)&gt;=100000,INDEX($R$1005:$W$1005,1,MATCH(COLUMNS($R$1006:W1006),$R$1006:$W$1006,0))&gt;=100000), " ",IF(INDEX($R$2:$W$1001,MATCH(ROWS($K$2:K222),$K$2:$K$1001,0),MATCH(COLUMNS($R$1006:W1006),$R$1006:$W$1006,0)), HYPERLINK("#",""), HYPERLINK(CONCATENATE("#Metadata!", ADDRESS(INDEX($M$2:$M$1001,MATCH(ROWS($K$2:K222),$K$2:$K$1001,0),0), INDEX($R$1004:$W$1004,1,MATCH(COLUMNS($R$1006:W1006),$R$1006:$W$1006,0)))),"Fix")))</f>
        <v>0</v>
      </c>
      <c r="K222">
        <v>0</v>
      </c>
      <c r="L222">
        <v>0</v>
      </c>
      <c r="M222">
        <v>0</v>
      </c>
      <c r="N222">
        <f>IF(O222,TRUE,AND(R222:W222))</f>
        <v>0</v>
      </c>
      <c r="O222">
        <f>COUNTBLANK(Metadata!B222:G222)=COLUMNS(Metadata!B222:G222)</f>
        <v>0</v>
      </c>
      <c r="P222">
        <v>0</v>
      </c>
      <c r="R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S222">
        <f>IF(Metadata!C222="",FALSE,TRUE)</f>
        <v>0</v>
      </c>
      <c r="T222">
        <f>IF(Metadata!D222="",FALSE,TRUE)</f>
        <v>0</v>
      </c>
      <c r="U222">
        <f>IF(Metadata!E222="",FALSE,TRUE)</f>
        <v>0</v>
      </c>
      <c r="V222">
        <f>AND(IF(Metadata!F222="",FALSE,TRUE),exact(Metadata!F222,"rat gut metagenome"))</f>
        <v>0</v>
      </c>
      <c r="W222">
        <f>AND(IF(Metadata!G222="",FALSE,TRUE),exact(Metadata!G222,"1436733"))</f>
        <v>0</v>
      </c>
    </row>
    <row r="223" spans="1:23">
      <c r="A223" s="4">
        <f>IF(B223=" "," ",HYPERLINK(CONCATENATE("#metadata!",ADDRESS(INDEX($M$2:$M$1001,MATCH(ROWS($K$2:K223),$K$2:$K$1001,0),0),1)),INDEX($P$2:$P$1001,MATCH(ROWS($K$2:K223),$K$2:$K$1001,0),0)))</f>
        <v>0</v>
      </c>
      <c r="B223" s="3">
        <f>IF(OR(INDEX($L$2:$L$1001,MATCH(ROWS($K$2:K223),$K$2:$K$1001,0),1)&gt;=100000,INDEX($R$1005:$W$1005,1,MATCH(COLUMNS($R$1006:R1006),$R$1006:$W$1006,0))&gt;=100000), " ",IF(INDEX($R$2:$W$1001,MATCH(ROWS($K$2:K223),$K$2:$K$1001,0),MATCH(COLUMNS($R$1006:R1006),$R$1006:$W$1006,0)), HYPERLINK("#",""), HYPERLINK(CONCATENATE("#Metadata!", ADDRESS(INDEX($M$2:$M$1001,MATCH(ROWS($K$2:K223),$K$2:$K$1001,0),0), INDEX($R$1004:$W$1004,1,MATCH(COLUMNS($R$1006:R1006),$R$1006:$W$1006,0)))),"Fix")))</f>
        <v>0</v>
      </c>
      <c r="C223" s="3">
        <f>IF(OR(INDEX($L$2:$L$1001,MATCH(ROWS($K$2:K223),$K$2:$K$1001,0),1)&gt;=100000,INDEX($R$1005:$W$1005,1,MATCH(COLUMNS($R$1006:S1006),$R$1006:$W$1006,0))&gt;=100000), " ",IF(INDEX($R$2:$W$1001,MATCH(ROWS($K$2:K223),$K$2:$K$1001,0),MATCH(COLUMNS($R$1006:S1006),$R$1006:$W$1006,0)), HYPERLINK("#",""), HYPERLINK(CONCATENATE("#Metadata!", ADDRESS(INDEX($M$2:$M$1001,MATCH(ROWS($K$2:K223),$K$2:$K$1001,0),0), INDEX($R$1004:$W$1004,1,MATCH(COLUMNS($R$1006:S1006),$R$1006:$W$1006,0)))),"Fix")))</f>
        <v>0</v>
      </c>
      <c r="D223" s="3">
        <f>IF(OR(INDEX($L$2:$L$1001,MATCH(ROWS($K$2:K223),$K$2:$K$1001,0),1)&gt;=100000,INDEX($R$1005:$W$1005,1,MATCH(COLUMNS($R$1006:T1006),$R$1006:$W$1006,0))&gt;=100000), " ",IF(INDEX($R$2:$W$1001,MATCH(ROWS($K$2:K223),$K$2:$K$1001,0),MATCH(COLUMNS($R$1006:T1006),$R$1006:$W$1006,0)), HYPERLINK("#",""), HYPERLINK(CONCATENATE("#Metadata!", ADDRESS(INDEX($M$2:$M$1001,MATCH(ROWS($K$2:K223),$K$2:$K$1001,0),0), INDEX($R$1004:$W$1004,1,MATCH(COLUMNS($R$1006:T1006),$R$1006:$W$1006,0)))),"Fix")))</f>
        <v>0</v>
      </c>
      <c r="E223" s="3">
        <f>IF(OR(INDEX($L$2:$L$1001,MATCH(ROWS($K$2:K223),$K$2:$K$1001,0),1)&gt;=100000,INDEX($R$1005:$W$1005,1,MATCH(COLUMNS($R$1006:U1006),$R$1006:$W$1006,0))&gt;=100000), " ",IF(INDEX($R$2:$W$1001,MATCH(ROWS($K$2:K223),$K$2:$K$1001,0),MATCH(COLUMNS($R$1006:U1006),$R$1006:$W$1006,0)), HYPERLINK("#",""), HYPERLINK(CONCATENATE("#Metadata!", ADDRESS(INDEX($M$2:$M$1001,MATCH(ROWS($K$2:K223),$K$2:$K$1001,0),0), INDEX($R$1004:$W$1004,1,MATCH(COLUMNS($R$1006:U1006),$R$1006:$W$1006,0)))),"Fix")))</f>
        <v>0</v>
      </c>
      <c r="F223" s="3">
        <f>IF(OR(INDEX($L$2:$L$1001,MATCH(ROWS($K$2:K223),$K$2:$K$1001,0),1)&gt;=100000,INDEX($R$1005:$W$1005,1,MATCH(COLUMNS($R$1006:V1006),$R$1006:$W$1006,0))&gt;=100000), " ",IF(INDEX($R$2:$W$1001,MATCH(ROWS($K$2:K223),$K$2:$K$1001,0),MATCH(COLUMNS($R$1006:V1006),$R$1006:$W$1006,0)), HYPERLINK("#",""), HYPERLINK(CONCATENATE("#Metadata!", ADDRESS(INDEX($M$2:$M$1001,MATCH(ROWS($K$2:K223),$K$2:$K$1001,0),0), INDEX($R$1004:$W$1004,1,MATCH(COLUMNS($R$1006:V1006),$R$1006:$W$1006,0)))),"Fix")))</f>
        <v>0</v>
      </c>
      <c r="G223" s="3">
        <f>IF(OR(INDEX($L$2:$L$1001,MATCH(ROWS($K$2:K223),$K$2:$K$1001,0),1)&gt;=100000,INDEX($R$1005:$W$1005,1,MATCH(COLUMNS($R$1006:W1006),$R$1006:$W$1006,0))&gt;=100000), " ",IF(INDEX($R$2:$W$1001,MATCH(ROWS($K$2:K223),$K$2:$K$1001,0),MATCH(COLUMNS($R$1006:W1006),$R$1006:$W$1006,0)), HYPERLINK("#",""), HYPERLINK(CONCATENATE("#Metadata!", ADDRESS(INDEX($M$2:$M$1001,MATCH(ROWS($K$2:K223),$K$2:$K$1001,0),0), INDEX($R$1004:$W$1004,1,MATCH(COLUMNS($R$1006:W1006),$R$1006:$W$1006,0)))),"Fix")))</f>
        <v>0</v>
      </c>
      <c r="K223">
        <v>0</v>
      </c>
      <c r="L223">
        <v>0</v>
      </c>
      <c r="M223">
        <v>0</v>
      </c>
      <c r="N223">
        <f>IF(O223,TRUE,AND(R223:W223))</f>
        <v>0</v>
      </c>
      <c r="O223">
        <f>COUNTBLANK(Metadata!B223:G223)=COLUMNS(Metadata!B223:G223)</f>
        <v>0</v>
      </c>
      <c r="P223">
        <v>0</v>
      </c>
      <c r="R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S223">
        <f>IF(Metadata!C223="",FALSE,TRUE)</f>
        <v>0</v>
      </c>
      <c r="T223">
        <f>IF(Metadata!D223="",FALSE,TRUE)</f>
        <v>0</v>
      </c>
      <c r="U223">
        <f>IF(Metadata!E223="",FALSE,TRUE)</f>
        <v>0</v>
      </c>
      <c r="V223">
        <f>AND(IF(Metadata!F223="",FALSE,TRUE),exact(Metadata!F223,"rat gut metagenome"))</f>
        <v>0</v>
      </c>
      <c r="W223">
        <f>AND(IF(Metadata!G223="",FALSE,TRUE),exact(Metadata!G223,"1436733"))</f>
        <v>0</v>
      </c>
    </row>
    <row r="224" spans="1:23">
      <c r="A224" s="4">
        <f>IF(B224=" "," ",HYPERLINK(CONCATENATE("#metadata!",ADDRESS(INDEX($M$2:$M$1001,MATCH(ROWS($K$2:K224),$K$2:$K$1001,0),0),1)),INDEX($P$2:$P$1001,MATCH(ROWS($K$2:K224),$K$2:$K$1001,0),0)))</f>
        <v>0</v>
      </c>
      <c r="B224" s="3">
        <f>IF(OR(INDEX($L$2:$L$1001,MATCH(ROWS($K$2:K224),$K$2:$K$1001,0),1)&gt;=100000,INDEX($R$1005:$W$1005,1,MATCH(COLUMNS($R$1006:R1006),$R$1006:$W$1006,0))&gt;=100000), " ",IF(INDEX($R$2:$W$1001,MATCH(ROWS($K$2:K224),$K$2:$K$1001,0),MATCH(COLUMNS($R$1006:R1006),$R$1006:$W$1006,0)), HYPERLINK("#",""), HYPERLINK(CONCATENATE("#Metadata!", ADDRESS(INDEX($M$2:$M$1001,MATCH(ROWS($K$2:K224),$K$2:$K$1001,0),0), INDEX($R$1004:$W$1004,1,MATCH(COLUMNS($R$1006:R1006),$R$1006:$W$1006,0)))),"Fix")))</f>
        <v>0</v>
      </c>
      <c r="C224" s="3">
        <f>IF(OR(INDEX($L$2:$L$1001,MATCH(ROWS($K$2:K224),$K$2:$K$1001,0),1)&gt;=100000,INDEX($R$1005:$W$1005,1,MATCH(COLUMNS($R$1006:S1006),$R$1006:$W$1006,0))&gt;=100000), " ",IF(INDEX($R$2:$W$1001,MATCH(ROWS($K$2:K224),$K$2:$K$1001,0),MATCH(COLUMNS($R$1006:S1006),$R$1006:$W$1006,0)), HYPERLINK("#",""), HYPERLINK(CONCATENATE("#Metadata!", ADDRESS(INDEX($M$2:$M$1001,MATCH(ROWS($K$2:K224),$K$2:$K$1001,0),0), INDEX($R$1004:$W$1004,1,MATCH(COLUMNS($R$1006:S1006),$R$1006:$W$1006,0)))),"Fix")))</f>
        <v>0</v>
      </c>
      <c r="D224" s="3">
        <f>IF(OR(INDEX($L$2:$L$1001,MATCH(ROWS($K$2:K224),$K$2:$K$1001,0),1)&gt;=100000,INDEX($R$1005:$W$1005,1,MATCH(COLUMNS($R$1006:T1006),$R$1006:$W$1006,0))&gt;=100000), " ",IF(INDEX($R$2:$W$1001,MATCH(ROWS($K$2:K224),$K$2:$K$1001,0),MATCH(COLUMNS($R$1006:T1006),$R$1006:$W$1006,0)), HYPERLINK("#",""), HYPERLINK(CONCATENATE("#Metadata!", ADDRESS(INDEX($M$2:$M$1001,MATCH(ROWS($K$2:K224),$K$2:$K$1001,0),0), INDEX($R$1004:$W$1004,1,MATCH(COLUMNS($R$1006:T1006),$R$1006:$W$1006,0)))),"Fix")))</f>
        <v>0</v>
      </c>
      <c r="E224" s="3">
        <f>IF(OR(INDEX($L$2:$L$1001,MATCH(ROWS($K$2:K224),$K$2:$K$1001,0),1)&gt;=100000,INDEX($R$1005:$W$1005,1,MATCH(COLUMNS($R$1006:U1006),$R$1006:$W$1006,0))&gt;=100000), " ",IF(INDEX($R$2:$W$1001,MATCH(ROWS($K$2:K224),$K$2:$K$1001,0),MATCH(COLUMNS($R$1006:U1006),$R$1006:$W$1006,0)), HYPERLINK("#",""), HYPERLINK(CONCATENATE("#Metadata!", ADDRESS(INDEX($M$2:$M$1001,MATCH(ROWS($K$2:K224),$K$2:$K$1001,0),0), INDEX($R$1004:$W$1004,1,MATCH(COLUMNS($R$1006:U1006),$R$1006:$W$1006,0)))),"Fix")))</f>
        <v>0</v>
      </c>
      <c r="F224" s="3">
        <f>IF(OR(INDEX($L$2:$L$1001,MATCH(ROWS($K$2:K224),$K$2:$K$1001,0),1)&gt;=100000,INDEX($R$1005:$W$1005,1,MATCH(COLUMNS($R$1006:V1006),$R$1006:$W$1006,0))&gt;=100000), " ",IF(INDEX($R$2:$W$1001,MATCH(ROWS($K$2:K224),$K$2:$K$1001,0),MATCH(COLUMNS($R$1006:V1006),$R$1006:$W$1006,0)), HYPERLINK("#",""), HYPERLINK(CONCATENATE("#Metadata!", ADDRESS(INDEX($M$2:$M$1001,MATCH(ROWS($K$2:K224),$K$2:$K$1001,0),0), INDEX($R$1004:$W$1004,1,MATCH(COLUMNS($R$1006:V1006),$R$1006:$W$1006,0)))),"Fix")))</f>
        <v>0</v>
      </c>
      <c r="G224" s="3">
        <f>IF(OR(INDEX($L$2:$L$1001,MATCH(ROWS($K$2:K224),$K$2:$K$1001,0),1)&gt;=100000,INDEX($R$1005:$W$1005,1,MATCH(COLUMNS($R$1006:W1006),$R$1006:$W$1006,0))&gt;=100000), " ",IF(INDEX($R$2:$W$1001,MATCH(ROWS($K$2:K224),$K$2:$K$1001,0),MATCH(COLUMNS($R$1006:W1006),$R$1006:$W$1006,0)), HYPERLINK("#",""), HYPERLINK(CONCATENATE("#Metadata!", ADDRESS(INDEX($M$2:$M$1001,MATCH(ROWS($K$2:K224),$K$2:$K$1001,0),0), INDEX($R$1004:$W$1004,1,MATCH(COLUMNS($R$1006:W1006),$R$1006:$W$1006,0)))),"Fix")))</f>
        <v>0</v>
      </c>
      <c r="K224">
        <v>0</v>
      </c>
      <c r="L224">
        <v>0</v>
      </c>
      <c r="M224">
        <v>0</v>
      </c>
      <c r="N224">
        <f>IF(O224,TRUE,AND(R224:W224))</f>
        <v>0</v>
      </c>
      <c r="O224">
        <f>COUNTBLANK(Metadata!B224:G224)=COLUMNS(Metadata!B224:G224)</f>
        <v>0</v>
      </c>
      <c r="P224">
        <v>0</v>
      </c>
      <c r="R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S224">
        <f>IF(Metadata!C224="",FALSE,TRUE)</f>
        <v>0</v>
      </c>
      <c r="T224">
        <f>IF(Metadata!D224="",FALSE,TRUE)</f>
        <v>0</v>
      </c>
      <c r="U224">
        <f>IF(Metadata!E224="",FALSE,TRUE)</f>
        <v>0</v>
      </c>
      <c r="V224">
        <f>AND(IF(Metadata!F224="",FALSE,TRUE),exact(Metadata!F224,"rat gut metagenome"))</f>
        <v>0</v>
      </c>
      <c r="W224">
        <f>AND(IF(Metadata!G224="",FALSE,TRUE),exact(Metadata!G224,"1436733"))</f>
        <v>0</v>
      </c>
    </row>
    <row r="225" spans="1:23">
      <c r="A225" s="4">
        <f>IF(B225=" "," ",HYPERLINK(CONCATENATE("#metadata!",ADDRESS(INDEX($M$2:$M$1001,MATCH(ROWS($K$2:K225),$K$2:$K$1001,0),0),1)),INDEX($P$2:$P$1001,MATCH(ROWS($K$2:K225),$K$2:$K$1001,0),0)))</f>
        <v>0</v>
      </c>
      <c r="B225" s="3">
        <f>IF(OR(INDEX($L$2:$L$1001,MATCH(ROWS($K$2:K225),$K$2:$K$1001,0),1)&gt;=100000,INDEX($R$1005:$W$1005,1,MATCH(COLUMNS($R$1006:R1006),$R$1006:$W$1006,0))&gt;=100000), " ",IF(INDEX($R$2:$W$1001,MATCH(ROWS($K$2:K225),$K$2:$K$1001,0),MATCH(COLUMNS($R$1006:R1006),$R$1006:$W$1006,0)), HYPERLINK("#",""), HYPERLINK(CONCATENATE("#Metadata!", ADDRESS(INDEX($M$2:$M$1001,MATCH(ROWS($K$2:K225),$K$2:$K$1001,0),0), INDEX($R$1004:$W$1004,1,MATCH(COLUMNS($R$1006:R1006),$R$1006:$W$1006,0)))),"Fix")))</f>
        <v>0</v>
      </c>
      <c r="C225" s="3">
        <f>IF(OR(INDEX($L$2:$L$1001,MATCH(ROWS($K$2:K225),$K$2:$K$1001,0),1)&gt;=100000,INDEX($R$1005:$W$1005,1,MATCH(COLUMNS($R$1006:S1006),$R$1006:$W$1006,0))&gt;=100000), " ",IF(INDEX($R$2:$W$1001,MATCH(ROWS($K$2:K225),$K$2:$K$1001,0),MATCH(COLUMNS($R$1006:S1006),$R$1006:$W$1006,0)), HYPERLINK("#",""), HYPERLINK(CONCATENATE("#Metadata!", ADDRESS(INDEX($M$2:$M$1001,MATCH(ROWS($K$2:K225),$K$2:$K$1001,0),0), INDEX($R$1004:$W$1004,1,MATCH(COLUMNS($R$1006:S1006),$R$1006:$W$1006,0)))),"Fix")))</f>
        <v>0</v>
      </c>
      <c r="D225" s="3">
        <f>IF(OR(INDEX($L$2:$L$1001,MATCH(ROWS($K$2:K225),$K$2:$K$1001,0),1)&gt;=100000,INDEX($R$1005:$W$1005,1,MATCH(COLUMNS($R$1006:T1006),$R$1006:$W$1006,0))&gt;=100000), " ",IF(INDEX($R$2:$W$1001,MATCH(ROWS($K$2:K225),$K$2:$K$1001,0),MATCH(COLUMNS($R$1006:T1006),$R$1006:$W$1006,0)), HYPERLINK("#",""), HYPERLINK(CONCATENATE("#Metadata!", ADDRESS(INDEX($M$2:$M$1001,MATCH(ROWS($K$2:K225),$K$2:$K$1001,0),0), INDEX($R$1004:$W$1004,1,MATCH(COLUMNS($R$1006:T1006),$R$1006:$W$1006,0)))),"Fix")))</f>
        <v>0</v>
      </c>
      <c r="E225" s="3">
        <f>IF(OR(INDEX($L$2:$L$1001,MATCH(ROWS($K$2:K225),$K$2:$K$1001,0),1)&gt;=100000,INDEX($R$1005:$W$1005,1,MATCH(COLUMNS($R$1006:U1006),$R$1006:$W$1006,0))&gt;=100000), " ",IF(INDEX($R$2:$W$1001,MATCH(ROWS($K$2:K225),$K$2:$K$1001,0),MATCH(COLUMNS($R$1006:U1006),$R$1006:$W$1006,0)), HYPERLINK("#",""), HYPERLINK(CONCATENATE("#Metadata!", ADDRESS(INDEX($M$2:$M$1001,MATCH(ROWS($K$2:K225),$K$2:$K$1001,0),0), INDEX($R$1004:$W$1004,1,MATCH(COLUMNS($R$1006:U1006),$R$1006:$W$1006,0)))),"Fix")))</f>
        <v>0</v>
      </c>
      <c r="F225" s="3">
        <f>IF(OR(INDEX($L$2:$L$1001,MATCH(ROWS($K$2:K225),$K$2:$K$1001,0),1)&gt;=100000,INDEX($R$1005:$W$1005,1,MATCH(COLUMNS($R$1006:V1006),$R$1006:$W$1006,0))&gt;=100000), " ",IF(INDEX($R$2:$W$1001,MATCH(ROWS($K$2:K225),$K$2:$K$1001,0),MATCH(COLUMNS($R$1006:V1006),$R$1006:$W$1006,0)), HYPERLINK("#",""), HYPERLINK(CONCATENATE("#Metadata!", ADDRESS(INDEX($M$2:$M$1001,MATCH(ROWS($K$2:K225),$K$2:$K$1001,0),0), INDEX($R$1004:$W$1004,1,MATCH(COLUMNS($R$1006:V1006),$R$1006:$W$1006,0)))),"Fix")))</f>
        <v>0</v>
      </c>
      <c r="G225" s="3">
        <f>IF(OR(INDEX($L$2:$L$1001,MATCH(ROWS($K$2:K225),$K$2:$K$1001,0),1)&gt;=100000,INDEX($R$1005:$W$1005,1,MATCH(COLUMNS($R$1006:W1006),$R$1006:$W$1006,0))&gt;=100000), " ",IF(INDEX($R$2:$W$1001,MATCH(ROWS($K$2:K225),$K$2:$K$1001,0),MATCH(COLUMNS($R$1006:W1006),$R$1006:$W$1006,0)), HYPERLINK("#",""), HYPERLINK(CONCATENATE("#Metadata!", ADDRESS(INDEX($M$2:$M$1001,MATCH(ROWS($K$2:K225),$K$2:$K$1001,0),0), INDEX($R$1004:$W$1004,1,MATCH(COLUMNS($R$1006:W1006),$R$1006:$W$1006,0)))),"Fix")))</f>
        <v>0</v>
      </c>
      <c r="K225">
        <v>0</v>
      </c>
      <c r="L225">
        <v>0</v>
      </c>
      <c r="M225">
        <v>0</v>
      </c>
      <c r="N225">
        <f>IF(O225,TRUE,AND(R225:W225))</f>
        <v>0</v>
      </c>
      <c r="O225">
        <f>COUNTBLANK(Metadata!B225:G225)=COLUMNS(Metadata!B225:G225)</f>
        <v>0</v>
      </c>
      <c r="P225">
        <v>0</v>
      </c>
      <c r="R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S225">
        <f>IF(Metadata!C225="",FALSE,TRUE)</f>
        <v>0</v>
      </c>
      <c r="T225">
        <f>IF(Metadata!D225="",FALSE,TRUE)</f>
        <v>0</v>
      </c>
      <c r="U225">
        <f>IF(Metadata!E225="",FALSE,TRUE)</f>
        <v>0</v>
      </c>
      <c r="V225">
        <f>AND(IF(Metadata!F225="",FALSE,TRUE),exact(Metadata!F225,"rat gut metagenome"))</f>
        <v>0</v>
      </c>
      <c r="W225">
        <f>AND(IF(Metadata!G225="",FALSE,TRUE),exact(Metadata!G225,"1436733"))</f>
        <v>0</v>
      </c>
    </row>
    <row r="226" spans="1:23">
      <c r="A226" s="4">
        <f>IF(B226=" "," ",HYPERLINK(CONCATENATE("#metadata!",ADDRESS(INDEX($M$2:$M$1001,MATCH(ROWS($K$2:K226),$K$2:$K$1001,0),0),1)),INDEX($P$2:$P$1001,MATCH(ROWS($K$2:K226),$K$2:$K$1001,0),0)))</f>
        <v>0</v>
      </c>
      <c r="B226" s="3">
        <f>IF(OR(INDEX($L$2:$L$1001,MATCH(ROWS($K$2:K226),$K$2:$K$1001,0),1)&gt;=100000,INDEX($R$1005:$W$1005,1,MATCH(COLUMNS($R$1006:R1006),$R$1006:$W$1006,0))&gt;=100000), " ",IF(INDEX($R$2:$W$1001,MATCH(ROWS($K$2:K226),$K$2:$K$1001,0),MATCH(COLUMNS($R$1006:R1006),$R$1006:$W$1006,0)), HYPERLINK("#",""), HYPERLINK(CONCATENATE("#Metadata!", ADDRESS(INDEX($M$2:$M$1001,MATCH(ROWS($K$2:K226),$K$2:$K$1001,0),0), INDEX($R$1004:$W$1004,1,MATCH(COLUMNS($R$1006:R1006),$R$1006:$W$1006,0)))),"Fix")))</f>
        <v>0</v>
      </c>
      <c r="C226" s="3">
        <f>IF(OR(INDEX($L$2:$L$1001,MATCH(ROWS($K$2:K226),$K$2:$K$1001,0),1)&gt;=100000,INDEX($R$1005:$W$1005,1,MATCH(COLUMNS($R$1006:S1006),$R$1006:$W$1006,0))&gt;=100000), " ",IF(INDEX($R$2:$W$1001,MATCH(ROWS($K$2:K226),$K$2:$K$1001,0),MATCH(COLUMNS($R$1006:S1006),$R$1006:$W$1006,0)), HYPERLINK("#",""), HYPERLINK(CONCATENATE("#Metadata!", ADDRESS(INDEX($M$2:$M$1001,MATCH(ROWS($K$2:K226),$K$2:$K$1001,0),0), INDEX($R$1004:$W$1004,1,MATCH(COLUMNS($R$1006:S1006),$R$1006:$W$1006,0)))),"Fix")))</f>
        <v>0</v>
      </c>
      <c r="D226" s="3">
        <f>IF(OR(INDEX($L$2:$L$1001,MATCH(ROWS($K$2:K226),$K$2:$K$1001,0),1)&gt;=100000,INDEX($R$1005:$W$1005,1,MATCH(COLUMNS($R$1006:T1006),$R$1006:$W$1006,0))&gt;=100000), " ",IF(INDEX($R$2:$W$1001,MATCH(ROWS($K$2:K226),$K$2:$K$1001,0),MATCH(COLUMNS($R$1006:T1006),$R$1006:$W$1006,0)), HYPERLINK("#",""), HYPERLINK(CONCATENATE("#Metadata!", ADDRESS(INDEX($M$2:$M$1001,MATCH(ROWS($K$2:K226),$K$2:$K$1001,0),0), INDEX($R$1004:$W$1004,1,MATCH(COLUMNS($R$1006:T1006),$R$1006:$W$1006,0)))),"Fix")))</f>
        <v>0</v>
      </c>
      <c r="E226" s="3">
        <f>IF(OR(INDEX($L$2:$L$1001,MATCH(ROWS($K$2:K226),$K$2:$K$1001,0),1)&gt;=100000,INDEX($R$1005:$W$1005,1,MATCH(COLUMNS($R$1006:U1006),$R$1006:$W$1006,0))&gt;=100000), " ",IF(INDEX($R$2:$W$1001,MATCH(ROWS($K$2:K226),$K$2:$K$1001,0),MATCH(COLUMNS($R$1006:U1006),$R$1006:$W$1006,0)), HYPERLINK("#",""), HYPERLINK(CONCATENATE("#Metadata!", ADDRESS(INDEX($M$2:$M$1001,MATCH(ROWS($K$2:K226),$K$2:$K$1001,0),0), INDEX($R$1004:$W$1004,1,MATCH(COLUMNS($R$1006:U1006),$R$1006:$W$1006,0)))),"Fix")))</f>
        <v>0</v>
      </c>
      <c r="F226" s="3">
        <f>IF(OR(INDEX($L$2:$L$1001,MATCH(ROWS($K$2:K226),$K$2:$K$1001,0),1)&gt;=100000,INDEX($R$1005:$W$1005,1,MATCH(COLUMNS($R$1006:V1006),$R$1006:$W$1006,0))&gt;=100000), " ",IF(INDEX($R$2:$W$1001,MATCH(ROWS($K$2:K226),$K$2:$K$1001,0),MATCH(COLUMNS($R$1006:V1006),$R$1006:$W$1006,0)), HYPERLINK("#",""), HYPERLINK(CONCATENATE("#Metadata!", ADDRESS(INDEX($M$2:$M$1001,MATCH(ROWS($K$2:K226),$K$2:$K$1001,0),0), INDEX($R$1004:$W$1004,1,MATCH(COLUMNS($R$1006:V1006),$R$1006:$W$1006,0)))),"Fix")))</f>
        <v>0</v>
      </c>
      <c r="G226" s="3">
        <f>IF(OR(INDEX($L$2:$L$1001,MATCH(ROWS($K$2:K226),$K$2:$K$1001,0),1)&gt;=100000,INDEX($R$1005:$W$1005,1,MATCH(COLUMNS($R$1006:W1006),$R$1006:$W$1006,0))&gt;=100000), " ",IF(INDEX($R$2:$W$1001,MATCH(ROWS($K$2:K226),$K$2:$K$1001,0),MATCH(COLUMNS($R$1006:W1006),$R$1006:$W$1006,0)), HYPERLINK("#",""), HYPERLINK(CONCATENATE("#Metadata!", ADDRESS(INDEX($M$2:$M$1001,MATCH(ROWS($K$2:K226),$K$2:$K$1001,0),0), INDEX($R$1004:$W$1004,1,MATCH(COLUMNS($R$1006:W1006),$R$1006:$W$1006,0)))),"Fix")))</f>
        <v>0</v>
      </c>
      <c r="K226">
        <v>0</v>
      </c>
      <c r="L226">
        <v>0</v>
      </c>
      <c r="M226">
        <v>0</v>
      </c>
      <c r="N226">
        <f>IF(O226,TRUE,AND(R226:W226))</f>
        <v>0</v>
      </c>
      <c r="O226">
        <f>COUNTBLANK(Metadata!B226:G226)=COLUMNS(Metadata!B226:G226)</f>
        <v>0</v>
      </c>
      <c r="P226">
        <v>0</v>
      </c>
      <c r="R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S226">
        <f>IF(Metadata!C226="",FALSE,TRUE)</f>
        <v>0</v>
      </c>
      <c r="T226">
        <f>IF(Metadata!D226="",FALSE,TRUE)</f>
        <v>0</v>
      </c>
      <c r="U226">
        <f>IF(Metadata!E226="",FALSE,TRUE)</f>
        <v>0</v>
      </c>
      <c r="V226">
        <f>AND(IF(Metadata!F226="",FALSE,TRUE),exact(Metadata!F226,"rat gut metagenome"))</f>
        <v>0</v>
      </c>
      <c r="W226">
        <f>AND(IF(Metadata!G226="",FALSE,TRUE),exact(Metadata!G226,"1436733"))</f>
        <v>0</v>
      </c>
    </row>
    <row r="227" spans="1:23">
      <c r="A227" s="4">
        <f>IF(B227=" "," ",HYPERLINK(CONCATENATE("#metadata!",ADDRESS(INDEX($M$2:$M$1001,MATCH(ROWS($K$2:K227),$K$2:$K$1001,0),0),1)),INDEX($P$2:$P$1001,MATCH(ROWS($K$2:K227),$K$2:$K$1001,0),0)))</f>
        <v>0</v>
      </c>
      <c r="B227" s="3">
        <f>IF(OR(INDEX($L$2:$L$1001,MATCH(ROWS($K$2:K227),$K$2:$K$1001,0),1)&gt;=100000,INDEX($R$1005:$W$1005,1,MATCH(COLUMNS($R$1006:R1006),$R$1006:$W$1006,0))&gt;=100000), " ",IF(INDEX($R$2:$W$1001,MATCH(ROWS($K$2:K227),$K$2:$K$1001,0),MATCH(COLUMNS($R$1006:R1006),$R$1006:$W$1006,0)), HYPERLINK("#",""), HYPERLINK(CONCATENATE("#Metadata!", ADDRESS(INDEX($M$2:$M$1001,MATCH(ROWS($K$2:K227),$K$2:$K$1001,0),0), INDEX($R$1004:$W$1004,1,MATCH(COLUMNS($R$1006:R1006),$R$1006:$W$1006,0)))),"Fix")))</f>
        <v>0</v>
      </c>
      <c r="C227" s="3">
        <f>IF(OR(INDEX($L$2:$L$1001,MATCH(ROWS($K$2:K227),$K$2:$K$1001,0),1)&gt;=100000,INDEX($R$1005:$W$1005,1,MATCH(COLUMNS($R$1006:S1006),$R$1006:$W$1006,0))&gt;=100000), " ",IF(INDEX($R$2:$W$1001,MATCH(ROWS($K$2:K227),$K$2:$K$1001,0),MATCH(COLUMNS($R$1006:S1006),$R$1006:$W$1006,0)), HYPERLINK("#",""), HYPERLINK(CONCATENATE("#Metadata!", ADDRESS(INDEX($M$2:$M$1001,MATCH(ROWS($K$2:K227),$K$2:$K$1001,0),0), INDEX($R$1004:$W$1004,1,MATCH(COLUMNS($R$1006:S1006),$R$1006:$W$1006,0)))),"Fix")))</f>
        <v>0</v>
      </c>
      <c r="D227" s="3">
        <f>IF(OR(INDEX($L$2:$L$1001,MATCH(ROWS($K$2:K227),$K$2:$K$1001,0),1)&gt;=100000,INDEX($R$1005:$W$1005,1,MATCH(COLUMNS($R$1006:T1006),$R$1006:$W$1006,0))&gt;=100000), " ",IF(INDEX($R$2:$W$1001,MATCH(ROWS($K$2:K227),$K$2:$K$1001,0),MATCH(COLUMNS($R$1006:T1006),$R$1006:$W$1006,0)), HYPERLINK("#",""), HYPERLINK(CONCATENATE("#Metadata!", ADDRESS(INDEX($M$2:$M$1001,MATCH(ROWS($K$2:K227),$K$2:$K$1001,0),0), INDEX($R$1004:$W$1004,1,MATCH(COLUMNS($R$1006:T1006),$R$1006:$W$1006,0)))),"Fix")))</f>
        <v>0</v>
      </c>
      <c r="E227" s="3">
        <f>IF(OR(INDEX($L$2:$L$1001,MATCH(ROWS($K$2:K227),$K$2:$K$1001,0),1)&gt;=100000,INDEX($R$1005:$W$1005,1,MATCH(COLUMNS($R$1006:U1006),$R$1006:$W$1006,0))&gt;=100000), " ",IF(INDEX($R$2:$W$1001,MATCH(ROWS($K$2:K227),$K$2:$K$1001,0),MATCH(COLUMNS($R$1006:U1006),$R$1006:$W$1006,0)), HYPERLINK("#",""), HYPERLINK(CONCATENATE("#Metadata!", ADDRESS(INDEX($M$2:$M$1001,MATCH(ROWS($K$2:K227),$K$2:$K$1001,0),0), INDEX($R$1004:$W$1004,1,MATCH(COLUMNS($R$1006:U1006),$R$1006:$W$1006,0)))),"Fix")))</f>
        <v>0</v>
      </c>
      <c r="F227" s="3">
        <f>IF(OR(INDEX($L$2:$L$1001,MATCH(ROWS($K$2:K227),$K$2:$K$1001,0),1)&gt;=100000,INDEX($R$1005:$W$1005,1,MATCH(COLUMNS($R$1006:V1006),$R$1006:$W$1006,0))&gt;=100000), " ",IF(INDEX($R$2:$W$1001,MATCH(ROWS($K$2:K227),$K$2:$K$1001,0),MATCH(COLUMNS($R$1006:V1006),$R$1006:$W$1006,0)), HYPERLINK("#",""), HYPERLINK(CONCATENATE("#Metadata!", ADDRESS(INDEX($M$2:$M$1001,MATCH(ROWS($K$2:K227),$K$2:$K$1001,0),0), INDEX($R$1004:$W$1004,1,MATCH(COLUMNS($R$1006:V1006),$R$1006:$W$1006,0)))),"Fix")))</f>
        <v>0</v>
      </c>
      <c r="G227" s="3">
        <f>IF(OR(INDEX($L$2:$L$1001,MATCH(ROWS($K$2:K227),$K$2:$K$1001,0),1)&gt;=100000,INDEX($R$1005:$W$1005,1,MATCH(COLUMNS($R$1006:W1006),$R$1006:$W$1006,0))&gt;=100000), " ",IF(INDEX($R$2:$W$1001,MATCH(ROWS($K$2:K227),$K$2:$K$1001,0),MATCH(COLUMNS($R$1006:W1006),$R$1006:$W$1006,0)), HYPERLINK("#",""), HYPERLINK(CONCATENATE("#Metadata!", ADDRESS(INDEX($M$2:$M$1001,MATCH(ROWS($K$2:K227),$K$2:$K$1001,0),0), INDEX($R$1004:$W$1004,1,MATCH(COLUMNS($R$1006:W1006),$R$1006:$W$1006,0)))),"Fix")))</f>
        <v>0</v>
      </c>
      <c r="K227">
        <v>0</v>
      </c>
      <c r="L227">
        <v>0</v>
      </c>
      <c r="M227">
        <v>0</v>
      </c>
      <c r="N227">
        <f>IF(O227,TRUE,AND(R227:W227))</f>
        <v>0</v>
      </c>
      <c r="O227">
        <f>COUNTBLANK(Metadata!B227:G227)=COLUMNS(Metadata!B227:G227)</f>
        <v>0</v>
      </c>
      <c r="P227">
        <v>0</v>
      </c>
      <c r="R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S227">
        <f>IF(Metadata!C227="",FALSE,TRUE)</f>
        <v>0</v>
      </c>
      <c r="T227">
        <f>IF(Metadata!D227="",FALSE,TRUE)</f>
        <v>0</v>
      </c>
      <c r="U227">
        <f>IF(Metadata!E227="",FALSE,TRUE)</f>
        <v>0</v>
      </c>
      <c r="V227">
        <f>AND(IF(Metadata!F227="",FALSE,TRUE),exact(Metadata!F227,"rat gut metagenome"))</f>
        <v>0</v>
      </c>
      <c r="W227">
        <f>AND(IF(Metadata!G227="",FALSE,TRUE),exact(Metadata!G227,"1436733"))</f>
        <v>0</v>
      </c>
    </row>
    <row r="228" spans="1:23">
      <c r="A228" s="4">
        <f>IF(B228=" "," ",HYPERLINK(CONCATENATE("#metadata!",ADDRESS(INDEX($M$2:$M$1001,MATCH(ROWS($K$2:K228),$K$2:$K$1001,0),0),1)),INDEX($P$2:$P$1001,MATCH(ROWS($K$2:K228),$K$2:$K$1001,0),0)))</f>
        <v>0</v>
      </c>
      <c r="B228" s="3">
        <f>IF(OR(INDEX($L$2:$L$1001,MATCH(ROWS($K$2:K228),$K$2:$K$1001,0),1)&gt;=100000,INDEX($R$1005:$W$1005,1,MATCH(COLUMNS($R$1006:R1006),$R$1006:$W$1006,0))&gt;=100000), " ",IF(INDEX($R$2:$W$1001,MATCH(ROWS($K$2:K228),$K$2:$K$1001,0),MATCH(COLUMNS($R$1006:R1006),$R$1006:$W$1006,0)), HYPERLINK("#",""), HYPERLINK(CONCATENATE("#Metadata!", ADDRESS(INDEX($M$2:$M$1001,MATCH(ROWS($K$2:K228),$K$2:$K$1001,0),0), INDEX($R$1004:$W$1004,1,MATCH(COLUMNS($R$1006:R1006),$R$1006:$W$1006,0)))),"Fix")))</f>
        <v>0</v>
      </c>
      <c r="C228" s="3">
        <f>IF(OR(INDEX($L$2:$L$1001,MATCH(ROWS($K$2:K228),$K$2:$K$1001,0),1)&gt;=100000,INDEX($R$1005:$W$1005,1,MATCH(COLUMNS($R$1006:S1006),$R$1006:$W$1006,0))&gt;=100000), " ",IF(INDEX($R$2:$W$1001,MATCH(ROWS($K$2:K228),$K$2:$K$1001,0),MATCH(COLUMNS($R$1006:S1006),$R$1006:$W$1006,0)), HYPERLINK("#",""), HYPERLINK(CONCATENATE("#Metadata!", ADDRESS(INDEX($M$2:$M$1001,MATCH(ROWS($K$2:K228),$K$2:$K$1001,0),0), INDEX($R$1004:$W$1004,1,MATCH(COLUMNS($R$1006:S1006),$R$1006:$W$1006,0)))),"Fix")))</f>
        <v>0</v>
      </c>
      <c r="D228" s="3">
        <f>IF(OR(INDEX($L$2:$L$1001,MATCH(ROWS($K$2:K228),$K$2:$K$1001,0),1)&gt;=100000,INDEX($R$1005:$W$1005,1,MATCH(COLUMNS($R$1006:T1006),$R$1006:$W$1006,0))&gt;=100000), " ",IF(INDEX($R$2:$W$1001,MATCH(ROWS($K$2:K228),$K$2:$K$1001,0),MATCH(COLUMNS($R$1006:T1006),$R$1006:$W$1006,0)), HYPERLINK("#",""), HYPERLINK(CONCATENATE("#Metadata!", ADDRESS(INDEX($M$2:$M$1001,MATCH(ROWS($K$2:K228),$K$2:$K$1001,0),0), INDEX($R$1004:$W$1004,1,MATCH(COLUMNS($R$1006:T1006),$R$1006:$W$1006,0)))),"Fix")))</f>
        <v>0</v>
      </c>
      <c r="E228" s="3">
        <f>IF(OR(INDEX($L$2:$L$1001,MATCH(ROWS($K$2:K228),$K$2:$K$1001,0),1)&gt;=100000,INDEX($R$1005:$W$1005,1,MATCH(COLUMNS($R$1006:U1006),$R$1006:$W$1006,0))&gt;=100000), " ",IF(INDEX($R$2:$W$1001,MATCH(ROWS($K$2:K228),$K$2:$K$1001,0),MATCH(COLUMNS($R$1006:U1006),$R$1006:$W$1006,0)), HYPERLINK("#",""), HYPERLINK(CONCATENATE("#Metadata!", ADDRESS(INDEX($M$2:$M$1001,MATCH(ROWS($K$2:K228),$K$2:$K$1001,0),0), INDEX($R$1004:$W$1004,1,MATCH(COLUMNS($R$1006:U1006),$R$1006:$W$1006,0)))),"Fix")))</f>
        <v>0</v>
      </c>
      <c r="F228" s="3">
        <f>IF(OR(INDEX($L$2:$L$1001,MATCH(ROWS($K$2:K228),$K$2:$K$1001,0),1)&gt;=100000,INDEX($R$1005:$W$1005,1,MATCH(COLUMNS($R$1006:V1006),$R$1006:$W$1006,0))&gt;=100000), " ",IF(INDEX($R$2:$W$1001,MATCH(ROWS($K$2:K228),$K$2:$K$1001,0),MATCH(COLUMNS($R$1006:V1006),$R$1006:$W$1006,0)), HYPERLINK("#",""), HYPERLINK(CONCATENATE("#Metadata!", ADDRESS(INDEX($M$2:$M$1001,MATCH(ROWS($K$2:K228),$K$2:$K$1001,0),0), INDEX($R$1004:$W$1004,1,MATCH(COLUMNS($R$1006:V1006),$R$1006:$W$1006,0)))),"Fix")))</f>
        <v>0</v>
      </c>
      <c r="G228" s="3">
        <f>IF(OR(INDEX($L$2:$L$1001,MATCH(ROWS($K$2:K228),$K$2:$K$1001,0),1)&gt;=100000,INDEX($R$1005:$W$1005,1,MATCH(COLUMNS($R$1006:W1006),$R$1006:$W$1006,0))&gt;=100000), " ",IF(INDEX($R$2:$W$1001,MATCH(ROWS($K$2:K228),$K$2:$K$1001,0),MATCH(COLUMNS($R$1006:W1006),$R$1006:$W$1006,0)), HYPERLINK("#",""), HYPERLINK(CONCATENATE("#Metadata!", ADDRESS(INDEX($M$2:$M$1001,MATCH(ROWS($K$2:K228),$K$2:$K$1001,0),0), INDEX($R$1004:$W$1004,1,MATCH(COLUMNS($R$1006:W1006),$R$1006:$W$1006,0)))),"Fix")))</f>
        <v>0</v>
      </c>
      <c r="K228">
        <v>0</v>
      </c>
      <c r="L228">
        <v>0</v>
      </c>
      <c r="M228">
        <v>0</v>
      </c>
      <c r="N228">
        <f>IF(O228,TRUE,AND(R228:W228))</f>
        <v>0</v>
      </c>
      <c r="O228">
        <f>COUNTBLANK(Metadata!B228:G228)=COLUMNS(Metadata!B228:G228)</f>
        <v>0</v>
      </c>
      <c r="P228">
        <v>0</v>
      </c>
      <c r="R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S228">
        <f>IF(Metadata!C228="",FALSE,TRUE)</f>
        <v>0</v>
      </c>
      <c r="T228">
        <f>IF(Metadata!D228="",FALSE,TRUE)</f>
        <v>0</v>
      </c>
      <c r="U228">
        <f>IF(Metadata!E228="",FALSE,TRUE)</f>
        <v>0</v>
      </c>
      <c r="V228">
        <f>AND(IF(Metadata!F228="",FALSE,TRUE),exact(Metadata!F228,"rat gut metagenome"))</f>
        <v>0</v>
      </c>
      <c r="W228">
        <f>AND(IF(Metadata!G228="",FALSE,TRUE),exact(Metadata!G228,"1436733"))</f>
        <v>0</v>
      </c>
    </row>
    <row r="229" spans="1:23">
      <c r="A229" s="4">
        <f>IF(B229=" "," ",HYPERLINK(CONCATENATE("#metadata!",ADDRESS(INDEX($M$2:$M$1001,MATCH(ROWS($K$2:K229),$K$2:$K$1001,0),0),1)),INDEX($P$2:$P$1001,MATCH(ROWS($K$2:K229),$K$2:$K$1001,0),0)))</f>
        <v>0</v>
      </c>
      <c r="B229" s="3">
        <f>IF(OR(INDEX($L$2:$L$1001,MATCH(ROWS($K$2:K229),$K$2:$K$1001,0),1)&gt;=100000,INDEX($R$1005:$W$1005,1,MATCH(COLUMNS($R$1006:R1006),$R$1006:$W$1006,0))&gt;=100000), " ",IF(INDEX($R$2:$W$1001,MATCH(ROWS($K$2:K229),$K$2:$K$1001,0),MATCH(COLUMNS($R$1006:R1006),$R$1006:$W$1006,0)), HYPERLINK("#",""), HYPERLINK(CONCATENATE("#Metadata!", ADDRESS(INDEX($M$2:$M$1001,MATCH(ROWS($K$2:K229),$K$2:$K$1001,0),0), INDEX($R$1004:$W$1004,1,MATCH(COLUMNS($R$1006:R1006),$R$1006:$W$1006,0)))),"Fix")))</f>
        <v>0</v>
      </c>
      <c r="C229" s="3">
        <f>IF(OR(INDEX($L$2:$L$1001,MATCH(ROWS($K$2:K229),$K$2:$K$1001,0),1)&gt;=100000,INDEX($R$1005:$W$1005,1,MATCH(COLUMNS($R$1006:S1006),$R$1006:$W$1006,0))&gt;=100000), " ",IF(INDEX($R$2:$W$1001,MATCH(ROWS($K$2:K229),$K$2:$K$1001,0),MATCH(COLUMNS($R$1006:S1006),$R$1006:$W$1006,0)), HYPERLINK("#",""), HYPERLINK(CONCATENATE("#Metadata!", ADDRESS(INDEX($M$2:$M$1001,MATCH(ROWS($K$2:K229),$K$2:$K$1001,0),0), INDEX($R$1004:$W$1004,1,MATCH(COLUMNS($R$1006:S1006),$R$1006:$W$1006,0)))),"Fix")))</f>
        <v>0</v>
      </c>
      <c r="D229" s="3">
        <f>IF(OR(INDEX($L$2:$L$1001,MATCH(ROWS($K$2:K229),$K$2:$K$1001,0),1)&gt;=100000,INDEX($R$1005:$W$1005,1,MATCH(COLUMNS($R$1006:T1006),$R$1006:$W$1006,0))&gt;=100000), " ",IF(INDEX($R$2:$W$1001,MATCH(ROWS($K$2:K229),$K$2:$K$1001,0),MATCH(COLUMNS($R$1006:T1006),$R$1006:$W$1006,0)), HYPERLINK("#",""), HYPERLINK(CONCATENATE("#Metadata!", ADDRESS(INDEX($M$2:$M$1001,MATCH(ROWS($K$2:K229),$K$2:$K$1001,0),0), INDEX($R$1004:$W$1004,1,MATCH(COLUMNS($R$1006:T1006),$R$1006:$W$1006,0)))),"Fix")))</f>
        <v>0</v>
      </c>
      <c r="E229" s="3">
        <f>IF(OR(INDEX($L$2:$L$1001,MATCH(ROWS($K$2:K229),$K$2:$K$1001,0),1)&gt;=100000,INDEX($R$1005:$W$1005,1,MATCH(COLUMNS($R$1006:U1006),$R$1006:$W$1006,0))&gt;=100000), " ",IF(INDEX($R$2:$W$1001,MATCH(ROWS($K$2:K229),$K$2:$K$1001,0),MATCH(COLUMNS($R$1006:U1006),$R$1006:$W$1006,0)), HYPERLINK("#",""), HYPERLINK(CONCATENATE("#Metadata!", ADDRESS(INDEX($M$2:$M$1001,MATCH(ROWS($K$2:K229),$K$2:$K$1001,0),0), INDEX($R$1004:$W$1004,1,MATCH(COLUMNS($R$1006:U1006),$R$1006:$W$1006,0)))),"Fix")))</f>
        <v>0</v>
      </c>
      <c r="F229" s="3">
        <f>IF(OR(INDEX($L$2:$L$1001,MATCH(ROWS($K$2:K229),$K$2:$K$1001,0),1)&gt;=100000,INDEX($R$1005:$W$1005,1,MATCH(COLUMNS($R$1006:V1006),$R$1006:$W$1006,0))&gt;=100000), " ",IF(INDEX($R$2:$W$1001,MATCH(ROWS($K$2:K229),$K$2:$K$1001,0),MATCH(COLUMNS($R$1006:V1006),$R$1006:$W$1006,0)), HYPERLINK("#",""), HYPERLINK(CONCATENATE("#Metadata!", ADDRESS(INDEX($M$2:$M$1001,MATCH(ROWS($K$2:K229),$K$2:$K$1001,0),0), INDEX($R$1004:$W$1004,1,MATCH(COLUMNS($R$1006:V1006),$R$1006:$W$1006,0)))),"Fix")))</f>
        <v>0</v>
      </c>
      <c r="G229" s="3">
        <f>IF(OR(INDEX($L$2:$L$1001,MATCH(ROWS($K$2:K229),$K$2:$K$1001,0),1)&gt;=100000,INDEX($R$1005:$W$1005,1,MATCH(COLUMNS($R$1006:W1006),$R$1006:$W$1006,0))&gt;=100000), " ",IF(INDEX($R$2:$W$1001,MATCH(ROWS($K$2:K229),$K$2:$K$1001,0),MATCH(COLUMNS($R$1006:W1006),$R$1006:$W$1006,0)), HYPERLINK("#",""), HYPERLINK(CONCATENATE("#Metadata!", ADDRESS(INDEX($M$2:$M$1001,MATCH(ROWS($K$2:K229),$K$2:$K$1001,0),0), INDEX($R$1004:$W$1004,1,MATCH(COLUMNS($R$1006:W1006),$R$1006:$W$1006,0)))),"Fix")))</f>
        <v>0</v>
      </c>
      <c r="K229">
        <v>0</v>
      </c>
      <c r="L229">
        <v>0</v>
      </c>
      <c r="M229">
        <v>0</v>
      </c>
      <c r="N229">
        <f>IF(O229,TRUE,AND(R229:W229))</f>
        <v>0</v>
      </c>
      <c r="O229">
        <f>COUNTBLANK(Metadata!B229:G229)=COLUMNS(Metadata!B229:G229)</f>
        <v>0</v>
      </c>
      <c r="P229">
        <v>0</v>
      </c>
      <c r="R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S229">
        <f>IF(Metadata!C229="",FALSE,TRUE)</f>
        <v>0</v>
      </c>
      <c r="T229">
        <f>IF(Metadata!D229="",FALSE,TRUE)</f>
        <v>0</v>
      </c>
      <c r="U229">
        <f>IF(Metadata!E229="",FALSE,TRUE)</f>
        <v>0</v>
      </c>
      <c r="V229">
        <f>AND(IF(Metadata!F229="",FALSE,TRUE),exact(Metadata!F229,"rat gut metagenome"))</f>
        <v>0</v>
      </c>
      <c r="W229">
        <f>AND(IF(Metadata!G229="",FALSE,TRUE),exact(Metadata!G229,"1436733"))</f>
        <v>0</v>
      </c>
    </row>
    <row r="230" spans="1:23">
      <c r="A230" s="4">
        <f>IF(B230=" "," ",HYPERLINK(CONCATENATE("#metadata!",ADDRESS(INDEX($M$2:$M$1001,MATCH(ROWS($K$2:K230),$K$2:$K$1001,0),0),1)),INDEX($P$2:$P$1001,MATCH(ROWS($K$2:K230),$K$2:$K$1001,0),0)))</f>
        <v>0</v>
      </c>
      <c r="B230" s="3">
        <f>IF(OR(INDEX($L$2:$L$1001,MATCH(ROWS($K$2:K230),$K$2:$K$1001,0),1)&gt;=100000,INDEX($R$1005:$W$1005,1,MATCH(COLUMNS($R$1006:R1006),$R$1006:$W$1006,0))&gt;=100000), " ",IF(INDEX($R$2:$W$1001,MATCH(ROWS($K$2:K230),$K$2:$K$1001,0),MATCH(COLUMNS($R$1006:R1006),$R$1006:$W$1006,0)), HYPERLINK("#",""), HYPERLINK(CONCATENATE("#Metadata!", ADDRESS(INDEX($M$2:$M$1001,MATCH(ROWS($K$2:K230),$K$2:$K$1001,0),0), INDEX($R$1004:$W$1004,1,MATCH(COLUMNS($R$1006:R1006),$R$1006:$W$1006,0)))),"Fix")))</f>
        <v>0</v>
      </c>
      <c r="C230" s="3">
        <f>IF(OR(INDEX($L$2:$L$1001,MATCH(ROWS($K$2:K230),$K$2:$K$1001,0),1)&gt;=100000,INDEX($R$1005:$W$1005,1,MATCH(COLUMNS($R$1006:S1006),$R$1006:$W$1006,0))&gt;=100000), " ",IF(INDEX($R$2:$W$1001,MATCH(ROWS($K$2:K230),$K$2:$K$1001,0),MATCH(COLUMNS($R$1006:S1006),$R$1006:$W$1006,0)), HYPERLINK("#",""), HYPERLINK(CONCATENATE("#Metadata!", ADDRESS(INDEX($M$2:$M$1001,MATCH(ROWS($K$2:K230),$K$2:$K$1001,0),0), INDEX($R$1004:$W$1004,1,MATCH(COLUMNS($R$1006:S1006),$R$1006:$W$1006,0)))),"Fix")))</f>
        <v>0</v>
      </c>
      <c r="D230" s="3">
        <f>IF(OR(INDEX($L$2:$L$1001,MATCH(ROWS($K$2:K230),$K$2:$K$1001,0),1)&gt;=100000,INDEX($R$1005:$W$1005,1,MATCH(COLUMNS($R$1006:T1006),$R$1006:$W$1006,0))&gt;=100000), " ",IF(INDEX($R$2:$W$1001,MATCH(ROWS($K$2:K230),$K$2:$K$1001,0),MATCH(COLUMNS($R$1006:T1006),$R$1006:$W$1006,0)), HYPERLINK("#",""), HYPERLINK(CONCATENATE("#Metadata!", ADDRESS(INDEX($M$2:$M$1001,MATCH(ROWS($K$2:K230),$K$2:$K$1001,0),0), INDEX($R$1004:$W$1004,1,MATCH(COLUMNS($R$1006:T1006),$R$1006:$W$1006,0)))),"Fix")))</f>
        <v>0</v>
      </c>
      <c r="E230" s="3">
        <f>IF(OR(INDEX($L$2:$L$1001,MATCH(ROWS($K$2:K230),$K$2:$K$1001,0),1)&gt;=100000,INDEX($R$1005:$W$1005,1,MATCH(COLUMNS($R$1006:U1006),$R$1006:$W$1006,0))&gt;=100000), " ",IF(INDEX($R$2:$W$1001,MATCH(ROWS($K$2:K230),$K$2:$K$1001,0),MATCH(COLUMNS($R$1006:U1006),$R$1006:$W$1006,0)), HYPERLINK("#",""), HYPERLINK(CONCATENATE("#Metadata!", ADDRESS(INDEX($M$2:$M$1001,MATCH(ROWS($K$2:K230),$K$2:$K$1001,0),0), INDEX($R$1004:$W$1004,1,MATCH(COLUMNS($R$1006:U1006),$R$1006:$W$1006,0)))),"Fix")))</f>
        <v>0</v>
      </c>
      <c r="F230" s="3">
        <f>IF(OR(INDEX($L$2:$L$1001,MATCH(ROWS($K$2:K230),$K$2:$K$1001,0),1)&gt;=100000,INDEX($R$1005:$W$1005,1,MATCH(COLUMNS($R$1006:V1006),$R$1006:$W$1006,0))&gt;=100000), " ",IF(INDEX($R$2:$W$1001,MATCH(ROWS($K$2:K230),$K$2:$K$1001,0),MATCH(COLUMNS($R$1006:V1006),$R$1006:$W$1006,0)), HYPERLINK("#",""), HYPERLINK(CONCATENATE("#Metadata!", ADDRESS(INDEX($M$2:$M$1001,MATCH(ROWS($K$2:K230),$K$2:$K$1001,0),0), INDEX($R$1004:$W$1004,1,MATCH(COLUMNS($R$1006:V1006),$R$1006:$W$1006,0)))),"Fix")))</f>
        <v>0</v>
      </c>
      <c r="G230" s="3">
        <f>IF(OR(INDEX($L$2:$L$1001,MATCH(ROWS($K$2:K230),$K$2:$K$1001,0),1)&gt;=100000,INDEX($R$1005:$W$1005,1,MATCH(COLUMNS($R$1006:W1006),$R$1006:$W$1006,0))&gt;=100000), " ",IF(INDEX($R$2:$W$1001,MATCH(ROWS($K$2:K230),$K$2:$K$1001,0),MATCH(COLUMNS($R$1006:W1006),$R$1006:$W$1006,0)), HYPERLINK("#",""), HYPERLINK(CONCATENATE("#Metadata!", ADDRESS(INDEX($M$2:$M$1001,MATCH(ROWS($K$2:K230),$K$2:$K$1001,0),0), INDEX($R$1004:$W$1004,1,MATCH(COLUMNS($R$1006:W1006),$R$1006:$W$1006,0)))),"Fix")))</f>
        <v>0</v>
      </c>
      <c r="K230">
        <v>0</v>
      </c>
      <c r="L230">
        <v>0</v>
      </c>
      <c r="M230">
        <v>0</v>
      </c>
      <c r="N230">
        <f>IF(O230,TRUE,AND(R230:W230))</f>
        <v>0</v>
      </c>
      <c r="O230">
        <f>COUNTBLANK(Metadata!B230:G230)=COLUMNS(Metadata!B230:G230)</f>
        <v>0</v>
      </c>
      <c r="P230">
        <v>0</v>
      </c>
      <c r="R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S230">
        <f>IF(Metadata!C230="",FALSE,TRUE)</f>
        <v>0</v>
      </c>
      <c r="T230">
        <f>IF(Metadata!D230="",FALSE,TRUE)</f>
        <v>0</v>
      </c>
      <c r="U230">
        <f>IF(Metadata!E230="",FALSE,TRUE)</f>
        <v>0</v>
      </c>
      <c r="V230">
        <f>AND(IF(Metadata!F230="",FALSE,TRUE),exact(Metadata!F230,"rat gut metagenome"))</f>
        <v>0</v>
      </c>
      <c r="W230">
        <f>AND(IF(Metadata!G230="",FALSE,TRUE),exact(Metadata!G230,"1436733"))</f>
        <v>0</v>
      </c>
    </row>
    <row r="231" spans="1:23">
      <c r="A231" s="4">
        <f>IF(B231=" "," ",HYPERLINK(CONCATENATE("#metadata!",ADDRESS(INDEX($M$2:$M$1001,MATCH(ROWS($K$2:K231),$K$2:$K$1001,0),0),1)),INDEX($P$2:$P$1001,MATCH(ROWS($K$2:K231),$K$2:$K$1001,0),0)))</f>
        <v>0</v>
      </c>
      <c r="B231" s="3">
        <f>IF(OR(INDEX($L$2:$L$1001,MATCH(ROWS($K$2:K231),$K$2:$K$1001,0),1)&gt;=100000,INDEX($R$1005:$W$1005,1,MATCH(COLUMNS($R$1006:R1006),$R$1006:$W$1006,0))&gt;=100000), " ",IF(INDEX($R$2:$W$1001,MATCH(ROWS($K$2:K231),$K$2:$K$1001,0),MATCH(COLUMNS($R$1006:R1006),$R$1006:$W$1006,0)), HYPERLINK("#",""), HYPERLINK(CONCATENATE("#Metadata!", ADDRESS(INDEX($M$2:$M$1001,MATCH(ROWS($K$2:K231),$K$2:$K$1001,0),0), INDEX($R$1004:$W$1004,1,MATCH(COLUMNS($R$1006:R1006),$R$1006:$W$1006,0)))),"Fix")))</f>
        <v>0</v>
      </c>
      <c r="C231" s="3">
        <f>IF(OR(INDEX($L$2:$L$1001,MATCH(ROWS($K$2:K231),$K$2:$K$1001,0),1)&gt;=100000,INDEX($R$1005:$W$1005,1,MATCH(COLUMNS($R$1006:S1006),$R$1006:$W$1006,0))&gt;=100000), " ",IF(INDEX($R$2:$W$1001,MATCH(ROWS($K$2:K231),$K$2:$K$1001,0),MATCH(COLUMNS($R$1006:S1006),$R$1006:$W$1006,0)), HYPERLINK("#",""), HYPERLINK(CONCATENATE("#Metadata!", ADDRESS(INDEX($M$2:$M$1001,MATCH(ROWS($K$2:K231),$K$2:$K$1001,0),0), INDEX($R$1004:$W$1004,1,MATCH(COLUMNS($R$1006:S1006),$R$1006:$W$1006,0)))),"Fix")))</f>
        <v>0</v>
      </c>
      <c r="D231" s="3">
        <f>IF(OR(INDEX($L$2:$L$1001,MATCH(ROWS($K$2:K231),$K$2:$K$1001,0),1)&gt;=100000,INDEX($R$1005:$W$1005,1,MATCH(COLUMNS($R$1006:T1006),$R$1006:$W$1006,0))&gt;=100000), " ",IF(INDEX($R$2:$W$1001,MATCH(ROWS($K$2:K231),$K$2:$K$1001,0),MATCH(COLUMNS($R$1006:T1006),$R$1006:$W$1006,0)), HYPERLINK("#",""), HYPERLINK(CONCATENATE("#Metadata!", ADDRESS(INDEX($M$2:$M$1001,MATCH(ROWS($K$2:K231),$K$2:$K$1001,0),0), INDEX($R$1004:$W$1004,1,MATCH(COLUMNS($R$1006:T1006),$R$1006:$W$1006,0)))),"Fix")))</f>
        <v>0</v>
      </c>
      <c r="E231" s="3">
        <f>IF(OR(INDEX($L$2:$L$1001,MATCH(ROWS($K$2:K231),$K$2:$K$1001,0),1)&gt;=100000,INDEX($R$1005:$W$1005,1,MATCH(COLUMNS($R$1006:U1006),$R$1006:$W$1006,0))&gt;=100000), " ",IF(INDEX($R$2:$W$1001,MATCH(ROWS($K$2:K231),$K$2:$K$1001,0),MATCH(COLUMNS($R$1006:U1006),$R$1006:$W$1006,0)), HYPERLINK("#",""), HYPERLINK(CONCATENATE("#Metadata!", ADDRESS(INDEX($M$2:$M$1001,MATCH(ROWS($K$2:K231),$K$2:$K$1001,0),0), INDEX($R$1004:$W$1004,1,MATCH(COLUMNS($R$1006:U1006),$R$1006:$W$1006,0)))),"Fix")))</f>
        <v>0</v>
      </c>
      <c r="F231" s="3">
        <f>IF(OR(INDEX($L$2:$L$1001,MATCH(ROWS($K$2:K231),$K$2:$K$1001,0),1)&gt;=100000,INDEX($R$1005:$W$1005,1,MATCH(COLUMNS($R$1006:V1006),$R$1006:$W$1006,0))&gt;=100000), " ",IF(INDEX($R$2:$W$1001,MATCH(ROWS($K$2:K231),$K$2:$K$1001,0),MATCH(COLUMNS($R$1006:V1006),$R$1006:$W$1006,0)), HYPERLINK("#",""), HYPERLINK(CONCATENATE("#Metadata!", ADDRESS(INDEX($M$2:$M$1001,MATCH(ROWS($K$2:K231),$K$2:$K$1001,0),0), INDEX($R$1004:$W$1004,1,MATCH(COLUMNS($R$1006:V1006),$R$1006:$W$1006,0)))),"Fix")))</f>
        <v>0</v>
      </c>
      <c r="G231" s="3">
        <f>IF(OR(INDEX($L$2:$L$1001,MATCH(ROWS($K$2:K231),$K$2:$K$1001,0),1)&gt;=100000,INDEX($R$1005:$W$1005,1,MATCH(COLUMNS($R$1006:W1006),$R$1006:$W$1006,0))&gt;=100000), " ",IF(INDEX($R$2:$W$1001,MATCH(ROWS($K$2:K231),$K$2:$K$1001,0),MATCH(COLUMNS($R$1006:W1006),$R$1006:$W$1006,0)), HYPERLINK("#",""), HYPERLINK(CONCATENATE("#Metadata!", ADDRESS(INDEX($M$2:$M$1001,MATCH(ROWS($K$2:K231),$K$2:$K$1001,0),0), INDEX($R$1004:$W$1004,1,MATCH(COLUMNS($R$1006:W1006),$R$1006:$W$1006,0)))),"Fix")))</f>
        <v>0</v>
      </c>
      <c r="K231">
        <v>0</v>
      </c>
      <c r="L231">
        <v>0</v>
      </c>
      <c r="M231">
        <v>0</v>
      </c>
      <c r="N231">
        <f>IF(O231,TRUE,AND(R231:W231))</f>
        <v>0</v>
      </c>
      <c r="O231">
        <f>COUNTBLANK(Metadata!B231:G231)=COLUMNS(Metadata!B231:G231)</f>
        <v>0</v>
      </c>
      <c r="P231">
        <v>0</v>
      </c>
      <c r="R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S231">
        <f>IF(Metadata!C231="",FALSE,TRUE)</f>
        <v>0</v>
      </c>
      <c r="T231">
        <f>IF(Metadata!D231="",FALSE,TRUE)</f>
        <v>0</v>
      </c>
      <c r="U231">
        <f>IF(Metadata!E231="",FALSE,TRUE)</f>
        <v>0</v>
      </c>
      <c r="V231">
        <f>AND(IF(Metadata!F231="",FALSE,TRUE),exact(Metadata!F231,"rat gut metagenome"))</f>
        <v>0</v>
      </c>
      <c r="W231">
        <f>AND(IF(Metadata!G231="",FALSE,TRUE),exact(Metadata!G231,"1436733"))</f>
        <v>0</v>
      </c>
    </row>
    <row r="232" spans="1:23">
      <c r="A232" s="4">
        <f>IF(B232=" "," ",HYPERLINK(CONCATENATE("#metadata!",ADDRESS(INDEX($M$2:$M$1001,MATCH(ROWS($K$2:K232),$K$2:$K$1001,0),0),1)),INDEX($P$2:$P$1001,MATCH(ROWS($K$2:K232),$K$2:$K$1001,0),0)))</f>
        <v>0</v>
      </c>
      <c r="B232" s="3">
        <f>IF(OR(INDEX($L$2:$L$1001,MATCH(ROWS($K$2:K232),$K$2:$K$1001,0),1)&gt;=100000,INDEX($R$1005:$W$1005,1,MATCH(COLUMNS($R$1006:R1006),$R$1006:$W$1006,0))&gt;=100000), " ",IF(INDEX($R$2:$W$1001,MATCH(ROWS($K$2:K232),$K$2:$K$1001,0),MATCH(COLUMNS($R$1006:R1006),$R$1006:$W$1006,0)), HYPERLINK("#",""), HYPERLINK(CONCATENATE("#Metadata!", ADDRESS(INDEX($M$2:$M$1001,MATCH(ROWS($K$2:K232),$K$2:$K$1001,0),0), INDEX($R$1004:$W$1004,1,MATCH(COLUMNS($R$1006:R1006),$R$1006:$W$1006,0)))),"Fix")))</f>
        <v>0</v>
      </c>
      <c r="C232" s="3">
        <f>IF(OR(INDEX($L$2:$L$1001,MATCH(ROWS($K$2:K232),$K$2:$K$1001,0),1)&gt;=100000,INDEX($R$1005:$W$1005,1,MATCH(COLUMNS($R$1006:S1006),$R$1006:$W$1006,0))&gt;=100000), " ",IF(INDEX($R$2:$W$1001,MATCH(ROWS($K$2:K232),$K$2:$K$1001,0),MATCH(COLUMNS($R$1006:S1006),$R$1006:$W$1006,0)), HYPERLINK("#",""), HYPERLINK(CONCATENATE("#Metadata!", ADDRESS(INDEX($M$2:$M$1001,MATCH(ROWS($K$2:K232),$K$2:$K$1001,0),0), INDEX($R$1004:$W$1004,1,MATCH(COLUMNS($R$1006:S1006),$R$1006:$W$1006,0)))),"Fix")))</f>
        <v>0</v>
      </c>
      <c r="D232" s="3">
        <f>IF(OR(INDEX($L$2:$L$1001,MATCH(ROWS($K$2:K232),$K$2:$K$1001,0),1)&gt;=100000,INDEX($R$1005:$W$1005,1,MATCH(COLUMNS($R$1006:T1006),$R$1006:$W$1006,0))&gt;=100000), " ",IF(INDEX($R$2:$W$1001,MATCH(ROWS($K$2:K232),$K$2:$K$1001,0),MATCH(COLUMNS($R$1006:T1006),$R$1006:$W$1006,0)), HYPERLINK("#",""), HYPERLINK(CONCATENATE("#Metadata!", ADDRESS(INDEX($M$2:$M$1001,MATCH(ROWS($K$2:K232),$K$2:$K$1001,0),0), INDEX($R$1004:$W$1004,1,MATCH(COLUMNS($R$1006:T1006),$R$1006:$W$1006,0)))),"Fix")))</f>
        <v>0</v>
      </c>
      <c r="E232" s="3">
        <f>IF(OR(INDEX($L$2:$L$1001,MATCH(ROWS($K$2:K232),$K$2:$K$1001,0),1)&gt;=100000,INDEX($R$1005:$W$1005,1,MATCH(COLUMNS($R$1006:U1006),$R$1006:$W$1006,0))&gt;=100000), " ",IF(INDEX($R$2:$W$1001,MATCH(ROWS($K$2:K232),$K$2:$K$1001,0),MATCH(COLUMNS($R$1006:U1006),$R$1006:$W$1006,0)), HYPERLINK("#",""), HYPERLINK(CONCATENATE("#Metadata!", ADDRESS(INDEX($M$2:$M$1001,MATCH(ROWS($K$2:K232),$K$2:$K$1001,0),0), INDEX($R$1004:$W$1004,1,MATCH(COLUMNS($R$1006:U1006),$R$1006:$W$1006,0)))),"Fix")))</f>
        <v>0</v>
      </c>
      <c r="F232" s="3">
        <f>IF(OR(INDEX($L$2:$L$1001,MATCH(ROWS($K$2:K232),$K$2:$K$1001,0),1)&gt;=100000,INDEX($R$1005:$W$1005,1,MATCH(COLUMNS($R$1006:V1006),$R$1006:$W$1006,0))&gt;=100000), " ",IF(INDEX($R$2:$W$1001,MATCH(ROWS($K$2:K232),$K$2:$K$1001,0),MATCH(COLUMNS($R$1006:V1006),$R$1006:$W$1006,0)), HYPERLINK("#",""), HYPERLINK(CONCATENATE("#Metadata!", ADDRESS(INDEX($M$2:$M$1001,MATCH(ROWS($K$2:K232),$K$2:$K$1001,0),0), INDEX($R$1004:$W$1004,1,MATCH(COLUMNS($R$1006:V1006),$R$1006:$W$1006,0)))),"Fix")))</f>
        <v>0</v>
      </c>
      <c r="G232" s="3">
        <f>IF(OR(INDEX($L$2:$L$1001,MATCH(ROWS($K$2:K232),$K$2:$K$1001,0),1)&gt;=100000,INDEX($R$1005:$W$1005,1,MATCH(COLUMNS($R$1006:W1006),$R$1006:$W$1006,0))&gt;=100000), " ",IF(INDEX($R$2:$W$1001,MATCH(ROWS($K$2:K232),$K$2:$K$1001,0),MATCH(COLUMNS($R$1006:W1006),$R$1006:$W$1006,0)), HYPERLINK("#",""), HYPERLINK(CONCATENATE("#Metadata!", ADDRESS(INDEX($M$2:$M$1001,MATCH(ROWS($K$2:K232),$K$2:$K$1001,0),0), INDEX($R$1004:$W$1004,1,MATCH(COLUMNS($R$1006:W1006),$R$1006:$W$1006,0)))),"Fix")))</f>
        <v>0</v>
      </c>
      <c r="K232">
        <v>0</v>
      </c>
      <c r="L232">
        <v>0</v>
      </c>
      <c r="M232">
        <v>0</v>
      </c>
      <c r="N232">
        <f>IF(O232,TRUE,AND(R232:W232))</f>
        <v>0</v>
      </c>
      <c r="O232">
        <f>COUNTBLANK(Metadata!B232:G232)=COLUMNS(Metadata!B232:G232)</f>
        <v>0</v>
      </c>
      <c r="P232">
        <v>0</v>
      </c>
      <c r="R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S232">
        <f>IF(Metadata!C232="",FALSE,TRUE)</f>
        <v>0</v>
      </c>
      <c r="T232">
        <f>IF(Metadata!D232="",FALSE,TRUE)</f>
        <v>0</v>
      </c>
      <c r="U232">
        <f>IF(Metadata!E232="",FALSE,TRUE)</f>
        <v>0</v>
      </c>
      <c r="V232">
        <f>AND(IF(Metadata!F232="",FALSE,TRUE),exact(Metadata!F232,"rat gut metagenome"))</f>
        <v>0</v>
      </c>
      <c r="W232">
        <f>AND(IF(Metadata!G232="",FALSE,TRUE),exact(Metadata!G232,"1436733"))</f>
        <v>0</v>
      </c>
    </row>
    <row r="233" spans="1:23">
      <c r="A233" s="4">
        <f>IF(B233=" "," ",HYPERLINK(CONCATENATE("#metadata!",ADDRESS(INDEX($M$2:$M$1001,MATCH(ROWS($K$2:K233),$K$2:$K$1001,0),0),1)),INDEX($P$2:$P$1001,MATCH(ROWS($K$2:K233),$K$2:$K$1001,0),0)))</f>
        <v>0</v>
      </c>
      <c r="B233" s="3">
        <f>IF(OR(INDEX($L$2:$L$1001,MATCH(ROWS($K$2:K233),$K$2:$K$1001,0),1)&gt;=100000,INDEX($R$1005:$W$1005,1,MATCH(COLUMNS($R$1006:R1006),$R$1006:$W$1006,0))&gt;=100000), " ",IF(INDEX($R$2:$W$1001,MATCH(ROWS($K$2:K233),$K$2:$K$1001,0),MATCH(COLUMNS($R$1006:R1006),$R$1006:$W$1006,0)), HYPERLINK("#",""), HYPERLINK(CONCATENATE("#Metadata!", ADDRESS(INDEX($M$2:$M$1001,MATCH(ROWS($K$2:K233),$K$2:$K$1001,0),0), INDEX($R$1004:$W$1004,1,MATCH(COLUMNS($R$1006:R1006),$R$1006:$W$1006,0)))),"Fix")))</f>
        <v>0</v>
      </c>
      <c r="C233" s="3">
        <f>IF(OR(INDEX($L$2:$L$1001,MATCH(ROWS($K$2:K233),$K$2:$K$1001,0),1)&gt;=100000,INDEX($R$1005:$W$1005,1,MATCH(COLUMNS($R$1006:S1006),$R$1006:$W$1006,0))&gt;=100000), " ",IF(INDEX($R$2:$W$1001,MATCH(ROWS($K$2:K233),$K$2:$K$1001,0),MATCH(COLUMNS($R$1006:S1006),$R$1006:$W$1006,0)), HYPERLINK("#",""), HYPERLINK(CONCATENATE("#Metadata!", ADDRESS(INDEX($M$2:$M$1001,MATCH(ROWS($K$2:K233),$K$2:$K$1001,0),0), INDEX($R$1004:$W$1004,1,MATCH(COLUMNS($R$1006:S1006),$R$1006:$W$1006,0)))),"Fix")))</f>
        <v>0</v>
      </c>
      <c r="D233" s="3">
        <f>IF(OR(INDEX($L$2:$L$1001,MATCH(ROWS($K$2:K233),$K$2:$K$1001,0),1)&gt;=100000,INDEX($R$1005:$W$1005,1,MATCH(COLUMNS($R$1006:T1006),$R$1006:$W$1006,0))&gt;=100000), " ",IF(INDEX($R$2:$W$1001,MATCH(ROWS($K$2:K233),$K$2:$K$1001,0),MATCH(COLUMNS($R$1006:T1006),$R$1006:$W$1006,0)), HYPERLINK("#",""), HYPERLINK(CONCATENATE("#Metadata!", ADDRESS(INDEX($M$2:$M$1001,MATCH(ROWS($K$2:K233),$K$2:$K$1001,0),0), INDEX($R$1004:$W$1004,1,MATCH(COLUMNS($R$1006:T1006),$R$1006:$W$1006,0)))),"Fix")))</f>
        <v>0</v>
      </c>
      <c r="E233" s="3">
        <f>IF(OR(INDEX($L$2:$L$1001,MATCH(ROWS($K$2:K233),$K$2:$K$1001,0),1)&gt;=100000,INDEX($R$1005:$W$1005,1,MATCH(COLUMNS($R$1006:U1006),$R$1006:$W$1006,0))&gt;=100000), " ",IF(INDEX($R$2:$W$1001,MATCH(ROWS($K$2:K233),$K$2:$K$1001,0),MATCH(COLUMNS($R$1006:U1006),$R$1006:$W$1006,0)), HYPERLINK("#",""), HYPERLINK(CONCATENATE("#Metadata!", ADDRESS(INDEX($M$2:$M$1001,MATCH(ROWS($K$2:K233),$K$2:$K$1001,0),0), INDEX($R$1004:$W$1004,1,MATCH(COLUMNS($R$1006:U1006),$R$1006:$W$1006,0)))),"Fix")))</f>
        <v>0</v>
      </c>
      <c r="F233" s="3">
        <f>IF(OR(INDEX($L$2:$L$1001,MATCH(ROWS($K$2:K233),$K$2:$K$1001,0),1)&gt;=100000,INDEX($R$1005:$W$1005,1,MATCH(COLUMNS($R$1006:V1006),$R$1006:$W$1006,0))&gt;=100000), " ",IF(INDEX($R$2:$W$1001,MATCH(ROWS($K$2:K233),$K$2:$K$1001,0),MATCH(COLUMNS($R$1006:V1006),$R$1006:$W$1006,0)), HYPERLINK("#",""), HYPERLINK(CONCATENATE("#Metadata!", ADDRESS(INDEX($M$2:$M$1001,MATCH(ROWS($K$2:K233),$K$2:$K$1001,0),0), INDEX($R$1004:$W$1004,1,MATCH(COLUMNS($R$1006:V1006),$R$1006:$W$1006,0)))),"Fix")))</f>
        <v>0</v>
      </c>
      <c r="G233" s="3">
        <f>IF(OR(INDEX($L$2:$L$1001,MATCH(ROWS($K$2:K233),$K$2:$K$1001,0),1)&gt;=100000,INDEX($R$1005:$W$1005,1,MATCH(COLUMNS($R$1006:W1006),$R$1006:$W$1006,0))&gt;=100000), " ",IF(INDEX($R$2:$W$1001,MATCH(ROWS($K$2:K233),$K$2:$K$1001,0),MATCH(COLUMNS($R$1006:W1006),$R$1006:$W$1006,0)), HYPERLINK("#",""), HYPERLINK(CONCATENATE("#Metadata!", ADDRESS(INDEX($M$2:$M$1001,MATCH(ROWS($K$2:K233),$K$2:$K$1001,0),0), INDEX($R$1004:$W$1004,1,MATCH(COLUMNS($R$1006:W1006),$R$1006:$W$1006,0)))),"Fix")))</f>
        <v>0</v>
      </c>
      <c r="K233">
        <v>0</v>
      </c>
      <c r="L233">
        <v>0</v>
      </c>
      <c r="M233">
        <v>0</v>
      </c>
      <c r="N233">
        <f>IF(O233,TRUE,AND(R233:W233))</f>
        <v>0</v>
      </c>
      <c r="O233">
        <f>COUNTBLANK(Metadata!B233:G233)=COLUMNS(Metadata!B233:G233)</f>
        <v>0</v>
      </c>
      <c r="P233">
        <v>0</v>
      </c>
      <c r="R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S233">
        <f>IF(Metadata!C233="",FALSE,TRUE)</f>
        <v>0</v>
      </c>
      <c r="T233">
        <f>IF(Metadata!D233="",FALSE,TRUE)</f>
        <v>0</v>
      </c>
      <c r="U233">
        <f>IF(Metadata!E233="",FALSE,TRUE)</f>
        <v>0</v>
      </c>
      <c r="V233">
        <f>AND(IF(Metadata!F233="",FALSE,TRUE),exact(Metadata!F233,"rat gut metagenome"))</f>
        <v>0</v>
      </c>
      <c r="W233">
        <f>AND(IF(Metadata!G233="",FALSE,TRUE),exact(Metadata!G233,"1436733"))</f>
        <v>0</v>
      </c>
    </row>
    <row r="234" spans="1:23">
      <c r="A234" s="4">
        <f>IF(B234=" "," ",HYPERLINK(CONCATENATE("#metadata!",ADDRESS(INDEX($M$2:$M$1001,MATCH(ROWS($K$2:K234),$K$2:$K$1001,0),0),1)),INDEX($P$2:$P$1001,MATCH(ROWS($K$2:K234),$K$2:$K$1001,0),0)))</f>
        <v>0</v>
      </c>
      <c r="B234" s="3">
        <f>IF(OR(INDEX($L$2:$L$1001,MATCH(ROWS($K$2:K234),$K$2:$K$1001,0),1)&gt;=100000,INDEX($R$1005:$W$1005,1,MATCH(COLUMNS($R$1006:R1006),$R$1006:$W$1006,0))&gt;=100000), " ",IF(INDEX($R$2:$W$1001,MATCH(ROWS($K$2:K234),$K$2:$K$1001,0),MATCH(COLUMNS($R$1006:R1006),$R$1006:$W$1006,0)), HYPERLINK("#",""), HYPERLINK(CONCATENATE("#Metadata!", ADDRESS(INDEX($M$2:$M$1001,MATCH(ROWS($K$2:K234),$K$2:$K$1001,0),0), INDEX($R$1004:$W$1004,1,MATCH(COLUMNS($R$1006:R1006),$R$1006:$W$1006,0)))),"Fix")))</f>
        <v>0</v>
      </c>
      <c r="C234" s="3">
        <f>IF(OR(INDEX($L$2:$L$1001,MATCH(ROWS($K$2:K234),$K$2:$K$1001,0),1)&gt;=100000,INDEX($R$1005:$W$1005,1,MATCH(COLUMNS($R$1006:S1006),$R$1006:$W$1006,0))&gt;=100000), " ",IF(INDEX($R$2:$W$1001,MATCH(ROWS($K$2:K234),$K$2:$K$1001,0),MATCH(COLUMNS($R$1006:S1006),$R$1006:$W$1006,0)), HYPERLINK("#",""), HYPERLINK(CONCATENATE("#Metadata!", ADDRESS(INDEX($M$2:$M$1001,MATCH(ROWS($K$2:K234),$K$2:$K$1001,0),0), INDEX($R$1004:$W$1004,1,MATCH(COLUMNS($R$1006:S1006),$R$1006:$W$1006,0)))),"Fix")))</f>
        <v>0</v>
      </c>
      <c r="D234" s="3">
        <f>IF(OR(INDEX($L$2:$L$1001,MATCH(ROWS($K$2:K234),$K$2:$K$1001,0),1)&gt;=100000,INDEX($R$1005:$W$1005,1,MATCH(COLUMNS($R$1006:T1006),$R$1006:$W$1006,0))&gt;=100000), " ",IF(INDEX($R$2:$W$1001,MATCH(ROWS($K$2:K234),$K$2:$K$1001,0),MATCH(COLUMNS($R$1006:T1006),$R$1006:$W$1006,0)), HYPERLINK("#",""), HYPERLINK(CONCATENATE("#Metadata!", ADDRESS(INDEX($M$2:$M$1001,MATCH(ROWS($K$2:K234),$K$2:$K$1001,0),0), INDEX($R$1004:$W$1004,1,MATCH(COLUMNS($R$1006:T1006),$R$1006:$W$1006,0)))),"Fix")))</f>
        <v>0</v>
      </c>
      <c r="E234" s="3">
        <f>IF(OR(INDEX($L$2:$L$1001,MATCH(ROWS($K$2:K234),$K$2:$K$1001,0),1)&gt;=100000,INDEX($R$1005:$W$1005,1,MATCH(COLUMNS($R$1006:U1006),$R$1006:$W$1006,0))&gt;=100000), " ",IF(INDEX($R$2:$W$1001,MATCH(ROWS($K$2:K234),$K$2:$K$1001,0),MATCH(COLUMNS($R$1006:U1006),$R$1006:$W$1006,0)), HYPERLINK("#",""), HYPERLINK(CONCATENATE("#Metadata!", ADDRESS(INDEX($M$2:$M$1001,MATCH(ROWS($K$2:K234),$K$2:$K$1001,0),0), INDEX($R$1004:$W$1004,1,MATCH(COLUMNS($R$1006:U1006),$R$1006:$W$1006,0)))),"Fix")))</f>
        <v>0</v>
      </c>
      <c r="F234" s="3">
        <f>IF(OR(INDEX($L$2:$L$1001,MATCH(ROWS($K$2:K234),$K$2:$K$1001,0),1)&gt;=100000,INDEX($R$1005:$W$1005,1,MATCH(COLUMNS($R$1006:V1006),$R$1006:$W$1006,0))&gt;=100000), " ",IF(INDEX($R$2:$W$1001,MATCH(ROWS($K$2:K234),$K$2:$K$1001,0),MATCH(COLUMNS($R$1006:V1006),$R$1006:$W$1006,0)), HYPERLINK("#",""), HYPERLINK(CONCATENATE("#Metadata!", ADDRESS(INDEX($M$2:$M$1001,MATCH(ROWS($K$2:K234),$K$2:$K$1001,0),0), INDEX($R$1004:$W$1004,1,MATCH(COLUMNS($R$1006:V1006),$R$1006:$W$1006,0)))),"Fix")))</f>
        <v>0</v>
      </c>
      <c r="G234" s="3">
        <f>IF(OR(INDEX($L$2:$L$1001,MATCH(ROWS($K$2:K234),$K$2:$K$1001,0),1)&gt;=100000,INDEX($R$1005:$W$1005,1,MATCH(COLUMNS($R$1006:W1006),$R$1006:$W$1006,0))&gt;=100000), " ",IF(INDEX($R$2:$W$1001,MATCH(ROWS($K$2:K234),$K$2:$K$1001,0),MATCH(COLUMNS($R$1006:W1006),$R$1006:$W$1006,0)), HYPERLINK("#",""), HYPERLINK(CONCATENATE("#Metadata!", ADDRESS(INDEX($M$2:$M$1001,MATCH(ROWS($K$2:K234),$K$2:$K$1001,0),0), INDEX($R$1004:$W$1004,1,MATCH(COLUMNS($R$1006:W1006),$R$1006:$W$1006,0)))),"Fix")))</f>
        <v>0</v>
      </c>
      <c r="K234">
        <v>0</v>
      </c>
      <c r="L234">
        <v>0</v>
      </c>
      <c r="M234">
        <v>0</v>
      </c>
      <c r="N234">
        <f>IF(O234,TRUE,AND(R234:W234))</f>
        <v>0</v>
      </c>
      <c r="O234">
        <f>COUNTBLANK(Metadata!B234:G234)=COLUMNS(Metadata!B234:G234)</f>
        <v>0</v>
      </c>
      <c r="P234">
        <v>0</v>
      </c>
      <c r="R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S234">
        <f>IF(Metadata!C234="",FALSE,TRUE)</f>
        <v>0</v>
      </c>
      <c r="T234">
        <f>IF(Metadata!D234="",FALSE,TRUE)</f>
        <v>0</v>
      </c>
      <c r="U234">
        <f>IF(Metadata!E234="",FALSE,TRUE)</f>
        <v>0</v>
      </c>
      <c r="V234">
        <f>AND(IF(Metadata!F234="",FALSE,TRUE),exact(Metadata!F234,"rat gut metagenome"))</f>
        <v>0</v>
      </c>
      <c r="W234">
        <f>AND(IF(Metadata!G234="",FALSE,TRUE),exact(Metadata!G234,"1436733"))</f>
        <v>0</v>
      </c>
    </row>
    <row r="235" spans="1:23">
      <c r="A235" s="4">
        <f>IF(B235=" "," ",HYPERLINK(CONCATENATE("#metadata!",ADDRESS(INDEX($M$2:$M$1001,MATCH(ROWS($K$2:K235),$K$2:$K$1001,0),0),1)),INDEX($P$2:$P$1001,MATCH(ROWS($K$2:K235),$K$2:$K$1001,0),0)))</f>
        <v>0</v>
      </c>
      <c r="B235" s="3">
        <f>IF(OR(INDEX($L$2:$L$1001,MATCH(ROWS($K$2:K235),$K$2:$K$1001,0),1)&gt;=100000,INDEX($R$1005:$W$1005,1,MATCH(COLUMNS($R$1006:R1006),$R$1006:$W$1006,0))&gt;=100000), " ",IF(INDEX($R$2:$W$1001,MATCH(ROWS($K$2:K235),$K$2:$K$1001,0),MATCH(COLUMNS($R$1006:R1006),$R$1006:$W$1006,0)), HYPERLINK("#",""), HYPERLINK(CONCATENATE("#Metadata!", ADDRESS(INDEX($M$2:$M$1001,MATCH(ROWS($K$2:K235),$K$2:$K$1001,0),0), INDEX($R$1004:$W$1004,1,MATCH(COLUMNS($R$1006:R1006),$R$1006:$W$1006,0)))),"Fix")))</f>
        <v>0</v>
      </c>
      <c r="C235" s="3">
        <f>IF(OR(INDEX($L$2:$L$1001,MATCH(ROWS($K$2:K235),$K$2:$K$1001,0),1)&gt;=100000,INDEX($R$1005:$W$1005,1,MATCH(COLUMNS($R$1006:S1006),$R$1006:$W$1006,0))&gt;=100000), " ",IF(INDEX($R$2:$W$1001,MATCH(ROWS($K$2:K235),$K$2:$K$1001,0),MATCH(COLUMNS($R$1006:S1006),$R$1006:$W$1006,0)), HYPERLINK("#",""), HYPERLINK(CONCATENATE("#Metadata!", ADDRESS(INDEX($M$2:$M$1001,MATCH(ROWS($K$2:K235),$K$2:$K$1001,0),0), INDEX($R$1004:$W$1004,1,MATCH(COLUMNS($R$1006:S1006),$R$1006:$W$1006,0)))),"Fix")))</f>
        <v>0</v>
      </c>
      <c r="D235" s="3">
        <f>IF(OR(INDEX($L$2:$L$1001,MATCH(ROWS($K$2:K235),$K$2:$K$1001,0),1)&gt;=100000,INDEX($R$1005:$W$1005,1,MATCH(COLUMNS($R$1006:T1006),$R$1006:$W$1006,0))&gt;=100000), " ",IF(INDEX($R$2:$W$1001,MATCH(ROWS($K$2:K235),$K$2:$K$1001,0),MATCH(COLUMNS($R$1006:T1006),$R$1006:$W$1006,0)), HYPERLINK("#",""), HYPERLINK(CONCATENATE("#Metadata!", ADDRESS(INDEX($M$2:$M$1001,MATCH(ROWS($K$2:K235),$K$2:$K$1001,0),0), INDEX($R$1004:$W$1004,1,MATCH(COLUMNS($R$1006:T1006),$R$1006:$W$1006,0)))),"Fix")))</f>
        <v>0</v>
      </c>
      <c r="E235" s="3">
        <f>IF(OR(INDEX($L$2:$L$1001,MATCH(ROWS($K$2:K235),$K$2:$K$1001,0),1)&gt;=100000,INDEX($R$1005:$W$1005,1,MATCH(COLUMNS($R$1006:U1006),$R$1006:$W$1006,0))&gt;=100000), " ",IF(INDEX($R$2:$W$1001,MATCH(ROWS($K$2:K235),$K$2:$K$1001,0),MATCH(COLUMNS($R$1006:U1006),$R$1006:$W$1006,0)), HYPERLINK("#",""), HYPERLINK(CONCATENATE("#Metadata!", ADDRESS(INDEX($M$2:$M$1001,MATCH(ROWS($K$2:K235),$K$2:$K$1001,0),0), INDEX($R$1004:$W$1004,1,MATCH(COLUMNS($R$1006:U1006),$R$1006:$W$1006,0)))),"Fix")))</f>
        <v>0</v>
      </c>
      <c r="F235" s="3">
        <f>IF(OR(INDEX($L$2:$L$1001,MATCH(ROWS($K$2:K235),$K$2:$K$1001,0),1)&gt;=100000,INDEX($R$1005:$W$1005,1,MATCH(COLUMNS($R$1006:V1006),$R$1006:$W$1006,0))&gt;=100000), " ",IF(INDEX($R$2:$W$1001,MATCH(ROWS($K$2:K235),$K$2:$K$1001,0),MATCH(COLUMNS($R$1006:V1006),$R$1006:$W$1006,0)), HYPERLINK("#",""), HYPERLINK(CONCATENATE("#Metadata!", ADDRESS(INDEX($M$2:$M$1001,MATCH(ROWS($K$2:K235),$K$2:$K$1001,0),0), INDEX($R$1004:$W$1004,1,MATCH(COLUMNS($R$1006:V1006),$R$1006:$W$1006,0)))),"Fix")))</f>
        <v>0</v>
      </c>
      <c r="G235" s="3">
        <f>IF(OR(INDEX($L$2:$L$1001,MATCH(ROWS($K$2:K235),$K$2:$K$1001,0),1)&gt;=100000,INDEX($R$1005:$W$1005,1,MATCH(COLUMNS($R$1006:W1006),$R$1006:$W$1006,0))&gt;=100000), " ",IF(INDEX($R$2:$W$1001,MATCH(ROWS($K$2:K235),$K$2:$K$1001,0),MATCH(COLUMNS($R$1006:W1006),$R$1006:$W$1006,0)), HYPERLINK("#",""), HYPERLINK(CONCATENATE("#Metadata!", ADDRESS(INDEX($M$2:$M$1001,MATCH(ROWS($K$2:K235),$K$2:$K$1001,0),0), INDEX($R$1004:$W$1004,1,MATCH(COLUMNS($R$1006:W1006),$R$1006:$W$1006,0)))),"Fix")))</f>
        <v>0</v>
      </c>
      <c r="K235">
        <v>0</v>
      </c>
      <c r="L235">
        <v>0</v>
      </c>
      <c r="M235">
        <v>0</v>
      </c>
      <c r="N235">
        <f>IF(O235,TRUE,AND(R235:W235))</f>
        <v>0</v>
      </c>
      <c r="O235">
        <f>COUNTBLANK(Metadata!B235:G235)=COLUMNS(Metadata!B235:G235)</f>
        <v>0</v>
      </c>
      <c r="P235">
        <v>0</v>
      </c>
      <c r="R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S235">
        <f>IF(Metadata!C235="",FALSE,TRUE)</f>
        <v>0</v>
      </c>
      <c r="T235">
        <f>IF(Metadata!D235="",FALSE,TRUE)</f>
        <v>0</v>
      </c>
      <c r="U235">
        <f>IF(Metadata!E235="",FALSE,TRUE)</f>
        <v>0</v>
      </c>
      <c r="V235">
        <f>AND(IF(Metadata!F235="",FALSE,TRUE),exact(Metadata!F235,"rat gut metagenome"))</f>
        <v>0</v>
      </c>
      <c r="W235">
        <f>AND(IF(Metadata!G235="",FALSE,TRUE),exact(Metadata!G235,"1436733"))</f>
        <v>0</v>
      </c>
    </row>
    <row r="236" spans="1:23">
      <c r="A236" s="4">
        <f>IF(B236=" "," ",HYPERLINK(CONCATENATE("#metadata!",ADDRESS(INDEX($M$2:$M$1001,MATCH(ROWS($K$2:K236),$K$2:$K$1001,0),0),1)),INDEX($P$2:$P$1001,MATCH(ROWS($K$2:K236),$K$2:$K$1001,0),0)))</f>
        <v>0</v>
      </c>
      <c r="B236" s="3">
        <f>IF(OR(INDEX($L$2:$L$1001,MATCH(ROWS($K$2:K236),$K$2:$K$1001,0),1)&gt;=100000,INDEX($R$1005:$W$1005,1,MATCH(COLUMNS($R$1006:R1006),$R$1006:$W$1006,0))&gt;=100000), " ",IF(INDEX($R$2:$W$1001,MATCH(ROWS($K$2:K236),$K$2:$K$1001,0),MATCH(COLUMNS($R$1006:R1006),$R$1006:$W$1006,0)), HYPERLINK("#",""), HYPERLINK(CONCATENATE("#Metadata!", ADDRESS(INDEX($M$2:$M$1001,MATCH(ROWS($K$2:K236),$K$2:$K$1001,0),0), INDEX($R$1004:$W$1004,1,MATCH(COLUMNS($R$1006:R1006),$R$1006:$W$1006,0)))),"Fix")))</f>
        <v>0</v>
      </c>
      <c r="C236" s="3">
        <f>IF(OR(INDEX($L$2:$L$1001,MATCH(ROWS($K$2:K236),$K$2:$K$1001,0),1)&gt;=100000,INDEX($R$1005:$W$1005,1,MATCH(COLUMNS($R$1006:S1006),$R$1006:$W$1006,0))&gt;=100000), " ",IF(INDEX($R$2:$W$1001,MATCH(ROWS($K$2:K236),$K$2:$K$1001,0),MATCH(COLUMNS($R$1006:S1006),$R$1006:$W$1006,0)), HYPERLINK("#",""), HYPERLINK(CONCATENATE("#Metadata!", ADDRESS(INDEX($M$2:$M$1001,MATCH(ROWS($K$2:K236),$K$2:$K$1001,0),0), INDEX($R$1004:$W$1004,1,MATCH(COLUMNS($R$1006:S1006),$R$1006:$W$1006,0)))),"Fix")))</f>
        <v>0</v>
      </c>
      <c r="D236" s="3">
        <f>IF(OR(INDEX($L$2:$L$1001,MATCH(ROWS($K$2:K236),$K$2:$K$1001,0),1)&gt;=100000,INDEX($R$1005:$W$1005,1,MATCH(COLUMNS($R$1006:T1006),$R$1006:$W$1006,0))&gt;=100000), " ",IF(INDEX($R$2:$W$1001,MATCH(ROWS($K$2:K236),$K$2:$K$1001,0),MATCH(COLUMNS($R$1006:T1006),$R$1006:$W$1006,0)), HYPERLINK("#",""), HYPERLINK(CONCATENATE("#Metadata!", ADDRESS(INDEX($M$2:$M$1001,MATCH(ROWS($K$2:K236),$K$2:$K$1001,0),0), INDEX($R$1004:$W$1004,1,MATCH(COLUMNS($R$1006:T1006),$R$1006:$W$1006,0)))),"Fix")))</f>
        <v>0</v>
      </c>
      <c r="E236" s="3">
        <f>IF(OR(INDEX($L$2:$L$1001,MATCH(ROWS($K$2:K236),$K$2:$K$1001,0),1)&gt;=100000,INDEX($R$1005:$W$1005,1,MATCH(COLUMNS($R$1006:U1006),$R$1006:$W$1006,0))&gt;=100000), " ",IF(INDEX($R$2:$W$1001,MATCH(ROWS($K$2:K236),$K$2:$K$1001,0),MATCH(COLUMNS($R$1006:U1006),$R$1006:$W$1006,0)), HYPERLINK("#",""), HYPERLINK(CONCATENATE("#Metadata!", ADDRESS(INDEX($M$2:$M$1001,MATCH(ROWS($K$2:K236),$K$2:$K$1001,0),0), INDEX($R$1004:$W$1004,1,MATCH(COLUMNS($R$1006:U1006),$R$1006:$W$1006,0)))),"Fix")))</f>
        <v>0</v>
      </c>
      <c r="F236" s="3">
        <f>IF(OR(INDEX($L$2:$L$1001,MATCH(ROWS($K$2:K236),$K$2:$K$1001,0),1)&gt;=100000,INDEX($R$1005:$W$1005,1,MATCH(COLUMNS($R$1006:V1006),$R$1006:$W$1006,0))&gt;=100000), " ",IF(INDEX($R$2:$W$1001,MATCH(ROWS($K$2:K236),$K$2:$K$1001,0),MATCH(COLUMNS($R$1006:V1006),$R$1006:$W$1006,0)), HYPERLINK("#",""), HYPERLINK(CONCATENATE("#Metadata!", ADDRESS(INDEX($M$2:$M$1001,MATCH(ROWS($K$2:K236),$K$2:$K$1001,0),0), INDEX($R$1004:$W$1004,1,MATCH(COLUMNS($R$1006:V1006),$R$1006:$W$1006,0)))),"Fix")))</f>
        <v>0</v>
      </c>
      <c r="G236" s="3">
        <f>IF(OR(INDEX($L$2:$L$1001,MATCH(ROWS($K$2:K236),$K$2:$K$1001,0),1)&gt;=100000,INDEX($R$1005:$W$1005,1,MATCH(COLUMNS($R$1006:W1006),$R$1006:$W$1006,0))&gt;=100000), " ",IF(INDEX($R$2:$W$1001,MATCH(ROWS($K$2:K236),$K$2:$K$1001,0),MATCH(COLUMNS($R$1006:W1006),$R$1006:$W$1006,0)), HYPERLINK("#",""), HYPERLINK(CONCATENATE("#Metadata!", ADDRESS(INDEX($M$2:$M$1001,MATCH(ROWS($K$2:K236),$K$2:$K$1001,0),0), INDEX($R$1004:$W$1004,1,MATCH(COLUMNS($R$1006:W1006),$R$1006:$W$1006,0)))),"Fix")))</f>
        <v>0</v>
      </c>
      <c r="K236">
        <v>0</v>
      </c>
      <c r="L236">
        <v>0</v>
      </c>
      <c r="M236">
        <v>0</v>
      </c>
      <c r="N236">
        <f>IF(O236,TRUE,AND(R236:W236))</f>
        <v>0</v>
      </c>
      <c r="O236">
        <f>COUNTBLANK(Metadata!B236:G236)=COLUMNS(Metadata!B236:G236)</f>
        <v>0</v>
      </c>
      <c r="P236">
        <v>0</v>
      </c>
      <c r="R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S236">
        <f>IF(Metadata!C236="",FALSE,TRUE)</f>
        <v>0</v>
      </c>
      <c r="T236">
        <f>IF(Metadata!D236="",FALSE,TRUE)</f>
        <v>0</v>
      </c>
      <c r="U236">
        <f>IF(Metadata!E236="",FALSE,TRUE)</f>
        <v>0</v>
      </c>
      <c r="V236">
        <f>AND(IF(Metadata!F236="",FALSE,TRUE),exact(Metadata!F236,"rat gut metagenome"))</f>
        <v>0</v>
      </c>
      <c r="W236">
        <f>AND(IF(Metadata!G236="",FALSE,TRUE),exact(Metadata!G236,"1436733"))</f>
        <v>0</v>
      </c>
    </row>
    <row r="237" spans="1:23">
      <c r="A237" s="4">
        <f>IF(B237=" "," ",HYPERLINK(CONCATENATE("#metadata!",ADDRESS(INDEX($M$2:$M$1001,MATCH(ROWS($K$2:K237),$K$2:$K$1001,0),0),1)),INDEX($P$2:$P$1001,MATCH(ROWS($K$2:K237),$K$2:$K$1001,0),0)))</f>
        <v>0</v>
      </c>
      <c r="B237" s="3">
        <f>IF(OR(INDEX($L$2:$L$1001,MATCH(ROWS($K$2:K237),$K$2:$K$1001,0),1)&gt;=100000,INDEX($R$1005:$W$1005,1,MATCH(COLUMNS($R$1006:R1006),$R$1006:$W$1006,0))&gt;=100000), " ",IF(INDEX($R$2:$W$1001,MATCH(ROWS($K$2:K237),$K$2:$K$1001,0),MATCH(COLUMNS($R$1006:R1006),$R$1006:$W$1006,0)), HYPERLINK("#",""), HYPERLINK(CONCATENATE("#Metadata!", ADDRESS(INDEX($M$2:$M$1001,MATCH(ROWS($K$2:K237),$K$2:$K$1001,0),0), INDEX($R$1004:$W$1004,1,MATCH(COLUMNS($R$1006:R1006),$R$1006:$W$1006,0)))),"Fix")))</f>
        <v>0</v>
      </c>
      <c r="C237" s="3">
        <f>IF(OR(INDEX($L$2:$L$1001,MATCH(ROWS($K$2:K237),$K$2:$K$1001,0),1)&gt;=100000,INDEX($R$1005:$W$1005,1,MATCH(COLUMNS($R$1006:S1006),$R$1006:$W$1006,0))&gt;=100000), " ",IF(INDEX($R$2:$W$1001,MATCH(ROWS($K$2:K237),$K$2:$K$1001,0),MATCH(COLUMNS($R$1006:S1006),$R$1006:$W$1006,0)), HYPERLINK("#",""), HYPERLINK(CONCATENATE("#Metadata!", ADDRESS(INDEX($M$2:$M$1001,MATCH(ROWS($K$2:K237),$K$2:$K$1001,0),0), INDEX($R$1004:$W$1004,1,MATCH(COLUMNS($R$1006:S1006),$R$1006:$W$1006,0)))),"Fix")))</f>
        <v>0</v>
      </c>
      <c r="D237" s="3">
        <f>IF(OR(INDEX($L$2:$L$1001,MATCH(ROWS($K$2:K237),$K$2:$K$1001,0),1)&gt;=100000,INDEX($R$1005:$W$1005,1,MATCH(COLUMNS($R$1006:T1006),$R$1006:$W$1006,0))&gt;=100000), " ",IF(INDEX($R$2:$W$1001,MATCH(ROWS($K$2:K237),$K$2:$K$1001,0),MATCH(COLUMNS($R$1006:T1006),$R$1006:$W$1006,0)), HYPERLINK("#",""), HYPERLINK(CONCATENATE("#Metadata!", ADDRESS(INDEX($M$2:$M$1001,MATCH(ROWS($K$2:K237),$K$2:$K$1001,0),0), INDEX($R$1004:$W$1004,1,MATCH(COLUMNS($R$1006:T1006),$R$1006:$W$1006,0)))),"Fix")))</f>
        <v>0</v>
      </c>
      <c r="E237" s="3">
        <f>IF(OR(INDEX($L$2:$L$1001,MATCH(ROWS($K$2:K237),$K$2:$K$1001,0),1)&gt;=100000,INDEX($R$1005:$W$1005,1,MATCH(COLUMNS($R$1006:U1006),$R$1006:$W$1006,0))&gt;=100000), " ",IF(INDEX($R$2:$W$1001,MATCH(ROWS($K$2:K237),$K$2:$K$1001,0),MATCH(COLUMNS($R$1006:U1006),$R$1006:$W$1006,0)), HYPERLINK("#",""), HYPERLINK(CONCATENATE("#Metadata!", ADDRESS(INDEX($M$2:$M$1001,MATCH(ROWS($K$2:K237),$K$2:$K$1001,0),0), INDEX($R$1004:$W$1004,1,MATCH(COLUMNS($R$1006:U1006),$R$1006:$W$1006,0)))),"Fix")))</f>
        <v>0</v>
      </c>
      <c r="F237" s="3">
        <f>IF(OR(INDEX($L$2:$L$1001,MATCH(ROWS($K$2:K237),$K$2:$K$1001,0),1)&gt;=100000,INDEX($R$1005:$W$1005,1,MATCH(COLUMNS($R$1006:V1006),$R$1006:$W$1006,0))&gt;=100000), " ",IF(INDEX($R$2:$W$1001,MATCH(ROWS($K$2:K237),$K$2:$K$1001,0),MATCH(COLUMNS($R$1006:V1006),$R$1006:$W$1006,0)), HYPERLINK("#",""), HYPERLINK(CONCATENATE("#Metadata!", ADDRESS(INDEX($M$2:$M$1001,MATCH(ROWS($K$2:K237),$K$2:$K$1001,0),0), INDEX($R$1004:$W$1004,1,MATCH(COLUMNS($R$1006:V1006),$R$1006:$W$1006,0)))),"Fix")))</f>
        <v>0</v>
      </c>
      <c r="G237" s="3">
        <f>IF(OR(INDEX($L$2:$L$1001,MATCH(ROWS($K$2:K237),$K$2:$K$1001,0),1)&gt;=100000,INDEX($R$1005:$W$1005,1,MATCH(COLUMNS($R$1006:W1006),$R$1006:$W$1006,0))&gt;=100000), " ",IF(INDEX($R$2:$W$1001,MATCH(ROWS($K$2:K237),$K$2:$K$1001,0),MATCH(COLUMNS($R$1006:W1006),$R$1006:$W$1006,0)), HYPERLINK("#",""), HYPERLINK(CONCATENATE("#Metadata!", ADDRESS(INDEX($M$2:$M$1001,MATCH(ROWS($K$2:K237),$K$2:$K$1001,0),0), INDEX($R$1004:$W$1004,1,MATCH(COLUMNS($R$1006:W1006),$R$1006:$W$1006,0)))),"Fix")))</f>
        <v>0</v>
      </c>
      <c r="K237">
        <v>0</v>
      </c>
      <c r="L237">
        <v>0</v>
      </c>
      <c r="M237">
        <v>0</v>
      </c>
      <c r="N237">
        <f>IF(O237,TRUE,AND(R237:W237))</f>
        <v>0</v>
      </c>
      <c r="O237">
        <f>COUNTBLANK(Metadata!B237:G237)=COLUMNS(Metadata!B237:G237)</f>
        <v>0</v>
      </c>
      <c r="P237">
        <v>0</v>
      </c>
      <c r="R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S237">
        <f>IF(Metadata!C237="",FALSE,TRUE)</f>
        <v>0</v>
      </c>
      <c r="T237">
        <f>IF(Metadata!D237="",FALSE,TRUE)</f>
        <v>0</v>
      </c>
      <c r="U237">
        <f>IF(Metadata!E237="",FALSE,TRUE)</f>
        <v>0</v>
      </c>
      <c r="V237">
        <f>AND(IF(Metadata!F237="",FALSE,TRUE),exact(Metadata!F237,"rat gut metagenome"))</f>
        <v>0</v>
      </c>
      <c r="W237">
        <f>AND(IF(Metadata!G237="",FALSE,TRUE),exact(Metadata!G237,"1436733"))</f>
        <v>0</v>
      </c>
    </row>
    <row r="238" spans="1:23">
      <c r="A238" s="4">
        <f>IF(B238=" "," ",HYPERLINK(CONCATENATE("#metadata!",ADDRESS(INDEX($M$2:$M$1001,MATCH(ROWS($K$2:K238),$K$2:$K$1001,0),0),1)),INDEX($P$2:$P$1001,MATCH(ROWS($K$2:K238),$K$2:$K$1001,0),0)))</f>
        <v>0</v>
      </c>
      <c r="B238" s="3">
        <f>IF(OR(INDEX($L$2:$L$1001,MATCH(ROWS($K$2:K238),$K$2:$K$1001,0),1)&gt;=100000,INDEX($R$1005:$W$1005,1,MATCH(COLUMNS($R$1006:R1006),$R$1006:$W$1006,0))&gt;=100000), " ",IF(INDEX($R$2:$W$1001,MATCH(ROWS($K$2:K238),$K$2:$K$1001,0),MATCH(COLUMNS($R$1006:R1006),$R$1006:$W$1006,0)), HYPERLINK("#",""), HYPERLINK(CONCATENATE("#Metadata!", ADDRESS(INDEX($M$2:$M$1001,MATCH(ROWS($K$2:K238),$K$2:$K$1001,0),0), INDEX($R$1004:$W$1004,1,MATCH(COLUMNS($R$1006:R1006),$R$1006:$W$1006,0)))),"Fix")))</f>
        <v>0</v>
      </c>
      <c r="C238" s="3">
        <f>IF(OR(INDEX($L$2:$L$1001,MATCH(ROWS($K$2:K238),$K$2:$K$1001,0),1)&gt;=100000,INDEX($R$1005:$W$1005,1,MATCH(COLUMNS($R$1006:S1006),$R$1006:$W$1006,0))&gt;=100000), " ",IF(INDEX($R$2:$W$1001,MATCH(ROWS($K$2:K238),$K$2:$K$1001,0),MATCH(COLUMNS($R$1006:S1006),$R$1006:$W$1006,0)), HYPERLINK("#",""), HYPERLINK(CONCATENATE("#Metadata!", ADDRESS(INDEX($M$2:$M$1001,MATCH(ROWS($K$2:K238),$K$2:$K$1001,0),0), INDEX($R$1004:$W$1004,1,MATCH(COLUMNS($R$1006:S1006),$R$1006:$W$1006,0)))),"Fix")))</f>
        <v>0</v>
      </c>
      <c r="D238" s="3">
        <f>IF(OR(INDEX($L$2:$L$1001,MATCH(ROWS($K$2:K238),$K$2:$K$1001,0),1)&gt;=100000,INDEX($R$1005:$W$1005,1,MATCH(COLUMNS($R$1006:T1006),$R$1006:$W$1006,0))&gt;=100000), " ",IF(INDEX($R$2:$W$1001,MATCH(ROWS($K$2:K238),$K$2:$K$1001,0),MATCH(COLUMNS($R$1006:T1006),$R$1006:$W$1006,0)), HYPERLINK("#",""), HYPERLINK(CONCATENATE("#Metadata!", ADDRESS(INDEX($M$2:$M$1001,MATCH(ROWS($K$2:K238),$K$2:$K$1001,0),0), INDEX($R$1004:$W$1004,1,MATCH(COLUMNS($R$1006:T1006),$R$1006:$W$1006,0)))),"Fix")))</f>
        <v>0</v>
      </c>
      <c r="E238" s="3">
        <f>IF(OR(INDEX($L$2:$L$1001,MATCH(ROWS($K$2:K238),$K$2:$K$1001,0),1)&gt;=100000,INDEX($R$1005:$W$1005,1,MATCH(COLUMNS($R$1006:U1006),$R$1006:$W$1006,0))&gt;=100000), " ",IF(INDEX($R$2:$W$1001,MATCH(ROWS($K$2:K238),$K$2:$K$1001,0),MATCH(COLUMNS($R$1006:U1006),$R$1006:$W$1006,0)), HYPERLINK("#",""), HYPERLINK(CONCATENATE("#Metadata!", ADDRESS(INDEX($M$2:$M$1001,MATCH(ROWS($K$2:K238),$K$2:$K$1001,0),0), INDEX($R$1004:$W$1004,1,MATCH(COLUMNS($R$1006:U1006),$R$1006:$W$1006,0)))),"Fix")))</f>
        <v>0</v>
      </c>
      <c r="F238" s="3">
        <f>IF(OR(INDEX($L$2:$L$1001,MATCH(ROWS($K$2:K238),$K$2:$K$1001,0),1)&gt;=100000,INDEX($R$1005:$W$1005,1,MATCH(COLUMNS($R$1006:V1006),$R$1006:$W$1006,0))&gt;=100000), " ",IF(INDEX($R$2:$W$1001,MATCH(ROWS($K$2:K238),$K$2:$K$1001,0),MATCH(COLUMNS($R$1006:V1006),$R$1006:$W$1006,0)), HYPERLINK("#",""), HYPERLINK(CONCATENATE("#Metadata!", ADDRESS(INDEX($M$2:$M$1001,MATCH(ROWS($K$2:K238),$K$2:$K$1001,0),0), INDEX($R$1004:$W$1004,1,MATCH(COLUMNS($R$1006:V1006),$R$1006:$W$1006,0)))),"Fix")))</f>
        <v>0</v>
      </c>
      <c r="G238" s="3">
        <f>IF(OR(INDEX($L$2:$L$1001,MATCH(ROWS($K$2:K238),$K$2:$K$1001,0),1)&gt;=100000,INDEX($R$1005:$W$1005,1,MATCH(COLUMNS($R$1006:W1006),$R$1006:$W$1006,0))&gt;=100000), " ",IF(INDEX($R$2:$W$1001,MATCH(ROWS($K$2:K238),$K$2:$K$1001,0),MATCH(COLUMNS($R$1006:W1006),$R$1006:$W$1006,0)), HYPERLINK("#",""), HYPERLINK(CONCATENATE("#Metadata!", ADDRESS(INDEX($M$2:$M$1001,MATCH(ROWS($K$2:K238),$K$2:$K$1001,0),0), INDEX($R$1004:$W$1004,1,MATCH(COLUMNS($R$1006:W1006),$R$1006:$W$1006,0)))),"Fix")))</f>
        <v>0</v>
      </c>
      <c r="K238">
        <v>0</v>
      </c>
      <c r="L238">
        <v>0</v>
      </c>
      <c r="M238">
        <v>0</v>
      </c>
      <c r="N238">
        <f>IF(O238,TRUE,AND(R238:W238))</f>
        <v>0</v>
      </c>
      <c r="O238">
        <f>COUNTBLANK(Metadata!B238:G238)=COLUMNS(Metadata!B238:G238)</f>
        <v>0</v>
      </c>
      <c r="P238">
        <v>0</v>
      </c>
      <c r="R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S238">
        <f>IF(Metadata!C238="",FALSE,TRUE)</f>
        <v>0</v>
      </c>
      <c r="T238">
        <f>IF(Metadata!D238="",FALSE,TRUE)</f>
        <v>0</v>
      </c>
      <c r="U238">
        <f>IF(Metadata!E238="",FALSE,TRUE)</f>
        <v>0</v>
      </c>
      <c r="V238">
        <f>AND(IF(Metadata!F238="",FALSE,TRUE),exact(Metadata!F238,"rat gut metagenome"))</f>
        <v>0</v>
      </c>
      <c r="W238">
        <f>AND(IF(Metadata!G238="",FALSE,TRUE),exact(Metadata!G238,"1436733"))</f>
        <v>0</v>
      </c>
    </row>
    <row r="239" spans="1:23">
      <c r="A239" s="4">
        <f>IF(B239=" "," ",HYPERLINK(CONCATENATE("#metadata!",ADDRESS(INDEX($M$2:$M$1001,MATCH(ROWS($K$2:K239),$K$2:$K$1001,0),0),1)),INDEX($P$2:$P$1001,MATCH(ROWS($K$2:K239),$K$2:$K$1001,0),0)))</f>
        <v>0</v>
      </c>
      <c r="B239" s="3">
        <f>IF(OR(INDEX($L$2:$L$1001,MATCH(ROWS($K$2:K239),$K$2:$K$1001,0),1)&gt;=100000,INDEX($R$1005:$W$1005,1,MATCH(COLUMNS($R$1006:R1006),$R$1006:$W$1006,0))&gt;=100000), " ",IF(INDEX($R$2:$W$1001,MATCH(ROWS($K$2:K239),$K$2:$K$1001,0),MATCH(COLUMNS($R$1006:R1006),$R$1006:$W$1006,0)), HYPERLINK("#",""), HYPERLINK(CONCATENATE("#Metadata!", ADDRESS(INDEX($M$2:$M$1001,MATCH(ROWS($K$2:K239),$K$2:$K$1001,0),0), INDEX($R$1004:$W$1004,1,MATCH(COLUMNS($R$1006:R1006),$R$1006:$W$1006,0)))),"Fix")))</f>
        <v>0</v>
      </c>
      <c r="C239" s="3">
        <f>IF(OR(INDEX($L$2:$L$1001,MATCH(ROWS($K$2:K239),$K$2:$K$1001,0),1)&gt;=100000,INDEX($R$1005:$W$1005,1,MATCH(COLUMNS($R$1006:S1006),$R$1006:$W$1006,0))&gt;=100000), " ",IF(INDEX($R$2:$W$1001,MATCH(ROWS($K$2:K239),$K$2:$K$1001,0),MATCH(COLUMNS($R$1006:S1006),$R$1006:$W$1006,0)), HYPERLINK("#",""), HYPERLINK(CONCATENATE("#Metadata!", ADDRESS(INDEX($M$2:$M$1001,MATCH(ROWS($K$2:K239),$K$2:$K$1001,0),0), INDEX($R$1004:$W$1004,1,MATCH(COLUMNS($R$1006:S1006),$R$1006:$W$1006,0)))),"Fix")))</f>
        <v>0</v>
      </c>
      <c r="D239" s="3">
        <f>IF(OR(INDEX($L$2:$L$1001,MATCH(ROWS($K$2:K239),$K$2:$K$1001,0),1)&gt;=100000,INDEX($R$1005:$W$1005,1,MATCH(COLUMNS($R$1006:T1006),$R$1006:$W$1006,0))&gt;=100000), " ",IF(INDEX($R$2:$W$1001,MATCH(ROWS($K$2:K239),$K$2:$K$1001,0),MATCH(COLUMNS($R$1006:T1006),$R$1006:$W$1006,0)), HYPERLINK("#",""), HYPERLINK(CONCATENATE("#Metadata!", ADDRESS(INDEX($M$2:$M$1001,MATCH(ROWS($K$2:K239),$K$2:$K$1001,0),0), INDEX($R$1004:$W$1004,1,MATCH(COLUMNS($R$1006:T1006),$R$1006:$W$1006,0)))),"Fix")))</f>
        <v>0</v>
      </c>
      <c r="E239" s="3">
        <f>IF(OR(INDEX($L$2:$L$1001,MATCH(ROWS($K$2:K239),$K$2:$K$1001,0),1)&gt;=100000,INDEX($R$1005:$W$1005,1,MATCH(COLUMNS($R$1006:U1006),$R$1006:$W$1006,0))&gt;=100000), " ",IF(INDEX($R$2:$W$1001,MATCH(ROWS($K$2:K239),$K$2:$K$1001,0),MATCH(COLUMNS($R$1006:U1006),$R$1006:$W$1006,0)), HYPERLINK("#",""), HYPERLINK(CONCATENATE("#Metadata!", ADDRESS(INDEX($M$2:$M$1001,MATCH(ROWS($K$2:K239),$K$2:$K$1001,0),0), INDEX($R$1004:$W$1004,1,MATCH(COLUMNS($R$1006:U1006),$R$1006:$W$1006,0)))),"Fix")))</f>
        <v>0</v>
      </c>
      <c r="F239" s="3">
        <f>IF(OR(INDEX($L$2:$L$1001,MATCH(ROWS($K$2:K239),$K$2:$K$1001,0),1)&gt;=100000,INDEX($R$1005:$W$1005,1,MATCH(COLUMNS($R$1006:V1006),$R$1006:$W$1006,0))&gt;=100000), " ",IF(INDEX($R$2:$W$1001,MATCH(ROWS($K$2:K239),$K$2:$K$1001,0),MATCH(COLUMNS($R$1006:V1006),$R$1006:$W$1006,0)), HYPERLINK("#",""), HYPERLINK(CONCATENATE("#Metadata!", ADDRESS(INDEX($M$2:$M$1001,MATCH(ROWS($K$2:K239),$K$2:$K$1001,0),0), INDEX($R$1004:$W$1004,1,MATCH(COLUMNS($R$1006:V1006),$R$1006:$W$1006,0)))),"Fix")))</f>
        <v>0</v>
      </c>
      <c r="G239" s="3">
        <f>IF(OR(INDEX($L$2:$L$1001,MATCH(ROWS($K$2:K239),$K$2:$K$1001,0),1)&gt;=100000,INDEX($R$1005:$W$1005,1,MATCH(COLUMNS($R$1006:W1006),$R$1006:$W$1006,0))&gt;=100000), " ",IF(INDEX($R$2:$W$1001,MATCH(ROWS($K$2:K239),$K$2:$K$1001,0),MATCH(COLUMNS($R$1006:W1006),$R$1006:$W$1006,0)), HYPERLINK("#",""), HYPERLINK(CONCATENATE("#Metadata!", ADDRESS(INDEX($M$2:$M$1001,MATCH(ROWS($K$2:K239),$K$2:$K$1001,0),0), INDEX($R$1004:$W$1004,1,MATCH(COLUMNS($R$1006:W1006),$R$1006:$W$1006,0)))),"Fix")))</f>
        <v>0</v>
      </c>
      <c r="K239">
        <v>0</v>
      </c>
      <c r="L239">
        <v>0</v>
      </c>
      <c r="M239">
        <v>0</v>
      </c>
      <c r="N239">
        <f>IF(O239,TRUE,AND(R239:W239))</f>
        <v>0</v>
      </c>
      <c r="O239">
        <f>COUNTBLANK(Metadata!B239:G239)=COLUMNS(Metadata!B239:G239)</f>
        <v>0</v>
      </c>
      <c r="P239">
        <v>0</v>
      </c>
      <c r="R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S239">
        <f>IF(Metadata!C239="",FALSE,TRUE)</f>
        <v>0</v>
      </c>
      <c r="T239">
        <f>IF(Metadata!D239="",FALSE,TRUE)</f>
        <v>0</v>
      </c>
      <c r="U239">
        <f>IF(Metadata!E239="",FALSE,TRUE)</f>
        <v>0</v>
      </c>
      <c r="V239">
        <f>AND(IF(Metadata!F239="",FALSE,TRUE),exact(Metadata!F239,"rat gut metagenome"))</f>
        <v>0</v>
      </c>
      <c r="W239">
        <f>AND(IF(Metadata!G239="",FALSE,TRUE),exact(Metadata!G239,"1436733"))</f>
        <v>0</v>
      </c>
    </row>
    <row r="240" spans="1:23">
      <c r="A240" s="4">
        <f>IF(B240=" "," ",HYPERLINK(CONCATENATE("#metadata!",ADDRESS(INDEX($M$2:$M$1001,MATCH(ROWS($K$2:K240),$K$2:$K$1001,0),0),1)),INDEX($P$2:$P$1001,MATCH(ROWS($K$2:K240),$K$2:$K$1001,0),0)))</f>
        <v>0</v>
      </c>
      <c r="B240" s="3">
        <f>IF(OR(INDEX($L$2:$L$1001,MATCH(ROWS($K$2:K240),$K$2:$K$1001,0),1)&gt;=100000,INDEX($R$1005:$W$1005,1,MATCH(COLUMNS($R$1006:R1006),$R$1006:$W$1006,0))&gt;=100000), " ",IF(INDEX($R$2:$W$1001,MATCH(ROWS($K$2:K240),$K$2:$K$1001,0),MATCH(COLUMNS($R$1006:R1006),$R$1006:$W$1006,0)), HYPERLINK("#",""), HYPERLINK(CONCATENATE("#Metadata!", ADDRESS(INDEX($M$2:$M$1001,MATCH(ROWS($K$2:K240),$K$2:$K$1001,0),0), INDEX($R$1004:$W$1004,1,MATCH(COLUMNS($R$1006:R1006),$R$1006:$W$1006,0)))),"Fix")))</f>
        <v>0</v>
      </c>
      <c r="C240" s="3">
        <f>IF(OR(INDEX($L$2:$L$1001,MATCH(ROWS($K$2:K240),$K$2:$K$1001,0),1)&gt;=100000,INDEX($R$1005:$W$1005,1,MATCH(COLUMNS($R$1006:S1006),$R$1006:$W$1006,0))&gt;=100000), " ",IF(INDEX($R$2:$W$1001,MATCH(ROWS($K$2:K240),$K$2:$K$1001,0),MATCH(COLUMNS($R$1006:S1006),$R$1006:$W$1006,0)), HYPERLINK("#",""), HYPERLINK(CONCATENATE("#Metadata!", ADDRESS(INDEX($M$2:$M$1001,MATCH(ROWS($K$2:K240),$K$2:$K$1001,0),0), INDEX($R$1004:$W$1004,1,MATCH(COLUMNS($R$1006:S1006),$R$1006:$W$1006,0)))),"Fix")))</f>
        <v>0</v>
      </c>
      <c r="D240" s="3">
        <f>IF(OR(INDEX($L$2:$L$1001,MATCH(ROWS($K$2:K240),$K$2:$K$1001,0),1)&gt;=100000,INDEX($R$1005:$W$1005,1,MATCH(COLUMNS($R$1006:T1006),$R$1006:$W$1006,0))&gt;=100000), " ",IF(INDEX($R$2:$W$1001,MATCH(ROWS($K$2:K240),$K$2:$K$1001,0),MATCH(COLUMNS($R$1006:T1006),$R$1006:$W$1006,0)), HYPERLINK("#",""), HYPERLINK(CONCATENATE("#Metadata!", ADDRESS(INDEX($M$2:$M$1001,MATCH(ROWS($K$2:K240),$K$2:$K$1001,0),0), INDEX($R$1004:$W$1004,1,MATCH(COLUMNS($R$1006:T1006),$R$1006:$W$1006,0)))),"Fix")))</f>
        <v>0</v>
      </c>
      <c r="E240" s="3">
        <f>IF(OR(INDEX($L$2:$L$1001,MATCH(ROWS($K$2:K240),$K$2:$K$1001,0),1)&gt;=100000,INDEX($R$1005:$W$1005,1,MATCH(COLUMNS($R$1006:U1006),$R$1006:$W$1006,0))&gt;=100000), " ",IF(INDEX($R$2:$W$1001,MATCH(ROWS($K$2:K240),$K$2:$K$1001,0),MATCH(COLUMNS($R$1006:U1006),$R$1006:$W$1006,0)), HYPERLINK("#",""), HYPERLINK(CONCATENATE("#Metadata!", ADDRESS(INDEX($M$2:$M$1001,MATCH(ROWS($K$2:K240),$K$2:$K$1001,0),0), INDEX($R$1004:$W$1004,1,MATCH(COLUMNS($R$1006:U1006),$R$1006:$W$1006,0)))),"Fix")))</f>
        <v>0</v>
      </c>
      <c r="F240" s="3">
        <f>IF(OR(INDEX($L$2:$L$1001,MATCH(ROWS($K$2:K240),$K$2:$K$1001,0),1)&gt;=100000,INDEX($R$1005:$W$1005,1,MATCH(COLUMNS($R$1006:V1006),$R$1006:$W$1006,0))&gt;=100000), " ",IF(INDEX($R$2:$W$1001,MATCH(ROWS($K$2:K240),$K$2:$K$1001,0),MATCH(COLUMNS($R$1006:V1006),$R$1006:$W$1006,0)), HYPERLINK("#",""), HYPERLINK(CONCATENATE("#Metadata!", ADDRESS(INDEX($M$2:$M$1001,MATCH(ROWS($K$2:K240),$K$2:$K$1001,0),0), INDEX($R$1004:$W$1004,1,MATCH(COLUMNS($R$1006:V1006),$R$1006:$W$1006,0)))),"Fix")))</f>
        <v>0</v>
      </c>
      <c r="G240" s="3">
        <f>IF(OR(INDEX($L$2:$L$1001,MATCH(ROWS($K$2:K240),$K$2:$K$1001,0),1)&gt;=100000,INDEX($R$1005:$W$1005,1,MATCH(COLUMNS($R$1006:W1006),$R$1006:$W$1006,0))&gt;=100000), " ",IF(INDEX($R$2:$W$1001,MATCH(ROWS($K$2:K240),$K$2:$K$1001,0),MATCH(COLUMNS($R$1006:W1006),$R$1006:$W$1006,0)), HYPERLINK("#",""), HYPERLINK(CONCATENATE("#Metadata!", ADDRESS(INDEX($M$2:$M$1001,MATCH(ROWS($K$2:K240),$K$2:$K$1001,0),0), INDEX($R$1004:$W$1004,1,MATCH(COLUMNS($R$1006:W1006),$R$1006:$W$1006,0)))),"Fix")))</f>
        <v>0</v>
      </c>
      <c r="K240">
        <v>0</v>
      </c>
      <c r="L240">
        <v>0</v>
      </c>
      <c r="M240">
        <v>0</v>
      </c>
      <c r="N240">
        <f>IF(O240,TRUE,AND(R240:W240))</f>
        <v>0</v>
      </c>
      <c r="O240">
        <f>COUNTBLANK(Metadata!B240:G240)=COLUMNS(Metadata!B240:G240)</f>
        <v>0</v>
      </c>
      <c r="P240">
        <v>0</v>
      </c>
      <c r="R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S240">
        <f>IF(Metadata!C240="",FALSE,TRUE)</f>
        <v>0</v>
      </c>
      <c r="T240">
        <f>IF(Metadata!D240="",FALSE,TRUE)</f>
        <v>0</v>
      </c>
      <c r="U240">
        <f>IF(Metadata!E240="",FALSE,TRUE)</f>
        <v>0</v>
      </c>
      <c r="V240">
        <f>AND(IF(Metadata!F240="",FALSE,TRUE),exact(Metadata!F240,"rat gut metagenome"))</f>
        <v>0</v>
      </c>
      <c r="W240">
        <f>AND(IF(Metadata!G240="",FALSE,TRUE),exact(Metadata!G240,"1436733"))</f>
        <v>0</v>
      </c>
    </row>
    <row r="241" spans="1:23">
      <c r="A241" s="4">
        <f>IF(B241=" "," ",HYPERLINK(CONCATENATE("#metadata!",ADDRESS(INDEX($M$2:$M$1001,MATCH(ROWS($K$2:K241),$K$2:$K$1001,0),0),1)),INDEX($P$2:$P$1001,MATCH(ROWS($K$2:K241),$K$2:$K$1001,0),0)))</f>
        <v>0</v>
      </c>
      <c r="B241" s="3">
        <f>IF(OR(INDEX($L$2:$L$1001,MATCH(ROWS($K$2:K241),$K$2:$K$1001,0),1)&gt;=100000,INDEX($R$1005:$W$1005,1,MATCH(COLUMNS($R$1006:R1006),$R$1006:$W$1006,0))&gt;=100000), " ",IF(INDEX($R$2:$W$1001,MATCH(ROWS($K$2:K241),$K$2:$K$1001,0),MATCH(COLUMNS($R$1006:R1006),$R$1006:$W$1006,0)), HYPERLINK("#",""), HYPERLINK(CONCATENATE("#Metadata!", ADDRESS(INDEX($M$2:$M$1001,MATCH(ROWS($K$2:K241),$K$2:$K$1001,0),0), INDEX($R$1004:$W$1004,1,MATCH(COLUMNS($R$1006:R1006),$R$1006:$W$1006,0)))),"Fix")))</f>
        <v>0</v>
      </c>
      <c r="C241" s="3">
        <f>IF(OR(INDEX($L$2:$L$1001,MATCH(ROWS($K$2:K241),$K$2:$K$1001,0),1)&gt;=100000,INDEX($R$1005:$W$1005,1,MATCH(COLUMNS($R$1006:S1006),$R$1006:$W$1006,0))&gt;=100000), " ",IF(INDEX($R$2:$W$1001,MATCH(ROWS($K$2:K241),$K$2:$K$1001,0),MATCH(COLUMNS($R$1006:S1006),$R$1006:$W$1006,0)), HYPERLINK("#",""), HYPERLINK(CONCATENATE("#Metadata!", ADDRESS(INDEX($M$2:$M$1001,MATCH(ROWS($K$2:K241),$K$2:$K$1001,0),0), INDEX($R$1004:$W$1004,1,MATCH(COLUMNS($R$1006:S1006),$R$1006:$W$1006,0)))),"Fix")))</f>
        <v>0</v>
      </c>
      <c r="D241" s="3">
        <f>IF(OR(INDEX($L$2:$L$1001,MATCH(ROWS($K$2:K241),$K$2:$K$1001,0),1)&gt;=100000,INDEX($R$1005:$W$1005,1,MATCH(COLUMNS($R$1006:T1006),$R$1006:$W$1006,0))&gt;=100000), " ",IF(INDEX($R$2:$W$1001,MATCH(ROWS($K$2:K241),$K$2:$K$1001,0),MATCH(COLUMNS($R$1006:T1006),$R$1006:$W$1006,0)), HYPERLINK("#",""), HYPERLINK(CONCATENATE("#Metadata!", ADDRESS(INDEX($M$2:$M$1001,MATCH(ROWS($K$2:K241),$K$2:$K$1001,0),0), INDEX($R$1004:$W$1004,1,MATCH(COLUMNS($R$1006:T1006),$R$1006:$W$1006,0)))),"Fix")))</f>
        <v>0</v>
      </c>
      <c r="E241" s="3">
        <f>IF(OR(INDEX($L$2:$L$1001,MATCH(ROWS($K$2:K241),$K$2:$K$1001,0),1)&gt;=100000,INDEX($R$1005:$W$1005,1,MATCH(COLUMNS($R$1006:U1006),$R$1006:$W$1006,0))&gt;=100000), " ",IF(INDEX($R$2:$W$1001,MATCH(ROWS($K$2:K241),$K$2:$K$1001,0),MATCH(COLUMNS($R$1006:U1006),$R$1006:$W$1006,0)), HYPERLINK("#",""), HYPERLINK(CONCATENATE("#Metadata!", ADDRESS(INDEX($M$2:$M$1001,MATCH(ROWS($K$2:K241),$K$2:$K$1001,0),0), INDEX($R$1004:$W$1004,1,MATCH(COLUMNS($R$1006:U1006),$R$1006:$W$1006,0)))),"Fix")))</f>
        <v>0</v>
      </c>
      <c r="F241" s="3">
        <f>IF(OR(INDEX($L$2:$L$1001,MATCH(ROWS($K$2:K241),$K$2:$K$1001,0),1)&gt;=100000,INDEX($R$1005:$W$1005,1,MATCH(COLUMNS($R$1006:V1006),$R$1006:$W$1006,0))&gt;=100000), " ",IF(INDEX($R$2:$W$1001,MATCH(ROWS($K$2:K241),$K$2:$K$1001,0),MATCH(COLUMNS($R$1006:V1006),$R$1006:$W$1006,0)), HYPERLINK("#",""), HYPERLINK(CONCATENATE("#Metadata!", ADDRESS(INDEX($M$2:$M$1001,MATCH(ROWS($K$2:K241),$K$2:$K$1001,0),0), INDEX($R$1004:$W$1004,1,MATCH(COLUMNS($R$1006:V1006),$R$1006:$W$1006,0)))),"Fix")))</f>
        <v>0</v>
      </c>
      <c r="G241" s="3">
        <f>IF(OR(INDEX($L$2:$L$1001,MATCH(ROWS($K$2:K241),$K$2:$K$1001,0),1)&gt;=100000,INDEX($R$1005:$W$1005,1,MATCH(COLUMNS($R$1006:W1006),$R$1006:$W$1006,0))&gt;=100000), " ",IF(INDEX($R$2:$W$1001,MATCH(ROWS($K$2:K241),$K$2:$K$1001,0),MATCH(COLUMNS($R$1006:W1006),$R$1006:$W$1006,0)), HYPERLINK("#",""), HYPERLINK(CONCATENATE("#Metadata!", ADDRESS(INDEX($M$2:$M$1001,MATCH(ROWS($K$2:K241),$K$2:$K$1001,0),0), INDEX($R$1004:$W$1004,1,MATCH(COLUMNS($R$1006:W1006),$R$1006:$W$1006,0)))),"Fix")))</f>
        <v>0</v>
      </c>
      <c r="K241">
        <v>0</v>
      </c>
      <c r="L241">
        <v>0</v>
      </c>
      <c r="M241">
        <v>0</v>
      </c>
      <c r="N241">
        <f>IF(O241,TRUE,AND(R241:W241))</f>
        <v>0</v>
      </c>
      <c r="O241">
        <f>COUNTBLANK(Metadata!B241:G241)=COLUMNS(Metadata!B241:G241)</f>
        <v>0</v>
      </c>
      <c r="P241">
        <v>0</v>
      </c>
      <c r="R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S241">
        <f>IF(Metadata!C241="",FALSE,TRUE)</f>
        <v>0</v>
      </c>
      <c r="T241">
        <f>IF(Metadata!D241="",FALSE,TRUE)</f>
        <v>0</v>
      </c>
      <c r="U241">
        <f>IF(Metadata!E241="",FALSE,TRUE)</f>
        <v>0</v>
      </c>
      <c r="V241">
        <f>AND(IF(Metadata!F241="",FALSE,TRUE),exact(Metadata!F241,"rat gut metagenome"))</f>
        <v>0</v>
      </c>
      <c r="W241">
        <f>AND(IF(Metadata!G241="",FALSE,TRUE),exact(Metadata!G241,"1436733"))</f>
        <v>0</v>
      </c>
    </row>
    <row r="242" spans="1:23">
      <c r="A242" s="4">
        <f>IF(B242=" "," ",HYPERLINK(CONCATENATE("#metadata!",ADDRESS(INDEX($M$2:$M$1001,MATCH(ROWS($K$2:K242),$K$2:$K$1001,0),0),1)),INDEX($P$2:$P$1001,MATCH(ROWS($K$2:K242),$K$2:$K$1001,0),0)))</f>
        <v>0</v>
      </c>
      <c r="B242" s="3">
        <f>IF(OR(INDEX($L$2:$L$1001,MATCH(ROWS($K$2:K242),$K$2:$K$1001,0),1)&gt;=100000,INDEX($R$1005:$W$1005,1,MATCH(COLUMNS($R$1006:R1006),$R$1006:$W$1006,0))&gt;=100000), " ",IF(INDEX($R$2:$W$1001,MATCH(ROWS($K$2:K242),$K$2:$K$1001,0),MATCH(COLUMNS($R$1006:R1006),$R$1006:$W$1006,0)), HYPERLINK("#",""), HYPERLINK(CONCATENATE("#Metadata!", ADDRESS(INDEX($M$2:$M$1001,MATCH(ROWS($K$2:K242),$K$2:$K$1001,0),0), INDEX($R$1004:$W$1004,1,MATCH(COLUMNS($R$1006:R1006),$R$1006:$W$1006,0)))),"Fix")))</f>
        <v>0</v>
      </c>
      <c r="C242" s="3">
        <f>IF(OR(INDEX($L$2:$L$1001,MATCH(ROWS($K$2:K242),$K$2:$K$1001,0),1)&gt;=100000,INDEX($R$1005:$W$1005,1,MATCH(COLUMNS($R$1006:S1006),$R$1006:$W$1006,0))&gt;=100000), " ",IF(INDEX($R$2:$W$1001,MATCH(ROWS($K$2:K242),$K$2:$K$1001,0),MATCH(COLUMNS($R$1006:S1006),$R$1006:$W$1006,0)), HYPERLINK("#",""), HYPERLINK(CONCATENATE("#Metadata!", ADDRESS(INDEX($M$2:$M$1001,MATCH(ROWS($K$2:K242),$K$2:$K$1001,0),0), INDEX($R$1004:$W$1004,1,MATCH(COLUMNS($R$1006:S1006),$R$1006:$W$1006,0)))),"Fix")))</f>
        <v>0</v>
      </c>
      <c r="D242" s="3">
        <f>IF(OR(INDEX($L$2:$L$1001,MATCH(ROWS($K$2:K242),$K$2:$K$1001,0),1)&gt;=100000,INDEX($R$1005:$W$1005,1,MATCH(COLUMNS($R$1006:T1006),$R$1006:$W$1006,0))&gt;=100000), " ",IF(INDEX($R$2:$W$1001,MATCH(ROWS($K$2:K242),$K$2:$K$1001,0),MATCH(COLUMNS($R$1006:T1006),$R$1006:$W$1006,0)), HYPERLINK("#",""), HYPERLINK(CONCATENATE("#Metadata!", ADDRESS(INDEX($M$2:$M$1001,MATCH(ROWS($K$2:K242),$K$2:$K$1001,0),0), INDEX($R$1004:$W$1004,1,MATCH(COLUMNS($R$1006:T1006),$R$1006:$W$1006,0)))),"Fix")))</f>
        <v>0</v>
      </c>
      <c r="E242" s="3">
        <f>IF(OR(INDEX($L$2:$L$1001,MATCH(ROWS($K$2:K242),$K$2:$K$1001,0),1)&gt;=100000,INDEX($R$1005:$W$1005,1,MATCH(COLUMNS($R$1006:U1006),$R$1006:$W$1006,0))&gt;=100000), " ",IF(INDEX($R$2:$W$1001,MATCH(ROWS($K$2:K242),$K$2:$K$1001,0),MATCH(COLUMNS($R$1006:U1006),$R$1006:$W$1006,0)), HYPERLINK("#",""), HYPERLINK(CONCATENATE("#Metadata!", ADDRESS(INDEX($M$2:$M$1001,MATCH(ROWS($K$2:K242),$K$2:$K$1001,0),0), INDEX($R$1004:$W$1004,1,MATCH(COLUMNS($R$1006:U1006),$R$1006:$W$1006,0)))),"Fix")))</f>
        <v>0</v>
      </c>
      <c r="F242" s="3">
        <f>IF(OR(INDEX($L$2:$L$1001,MATCH(ROWS($K$2:K242),$K$2:$K$1001,0),1)&gt;=100000,INDEX($R$1005:$W$1005,1,MATCH(COLUMNS($R$1006:V1006),$R$1006:$W$1006,0))&gt;=100000), " ",IF(INDEX($R$2:$W$1001,MATCH(ROWS($K$2:K242),$K$2:$K$1001,0),MATCH(COLUMNS($R$1006:V1006),$R$1006:$W$1006,0)), HYPERLINK("#",""), HYPERLINK(CONCATENATE("#Metadata!", ADDRESS(INDEX($M$2:$M$1001,MATCH(ROWS($K$2:K242),$K$2:$K$1001,0),0), INDEX($R$1004:$W$1004,1,MATCH(COLUMNS($R$1006:V1006),$R$1006:$W$1006,0)))),"Fix")))</f>
        <v>0</v>
      </c>
      <c r="G242" s="3">
        <f>IF(OR(INDEX($L$2:$L$1001,MATCH(ROWS($K$2:K242),$K$2:$K$1001,0),1)&gt;=100000,INDEX($R$1005:$W$1005,1,MATCH(COLUMNS($R$1006:W1006),$R$1006:$W$1006,0))&gt;=100000), " ",IF(INDEX($R$2:$W$1001,MATCH(ROWS($K$2:K242),$K$2:$K$1001,0),MATCH(COLUMNS($R$1006:W1006),$R$1006:$W$1006,0)), HYPERLINK("#",""), HYPERLINK(CONCATENATE("#Metadata!", ADDRESS(INDEX($M$2:$M$1001,MATCH(ROWS($K$2:K242),$K$2:$K$1001,0),0), INDEX($R$1004:$W$1004,1,MATCH(COLUMNS($R$1006:W1006),$R$1006:$W$1006,0)))),"Fix")))</f>
        <v>0</v>
      </c>
      <c r="K242">
        <v>0</v>
      </c>
      <c r="L242">
        <v>0</v>
      </c>
      <c r="M242">
        <v>0</v>
      </c>
      <c r="N242">
        <f>IF(O242,TRUE,AND(R242:W242))</f>
        <v>0</v>
      </c>
      <c r="O242">
        <f>COUNTBLANK(Metadata!B242:G242)=COLUMNS(Metadata!B242:G242)</f>
        <v>0</v>
      </c>
      <c r="P242">
        <v>0</v>
      </c>
      <c r="R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S242">
        <f>IF(Metadata!C242="",FALSE,TRUE)</f>
        <v>0</v>
      </c>
      <c r="T242">
        <f>IF(Metadata!D242="",FALSE,TRUE)</f>
        <v>0</v>
      </c>
      <c r="U242">
        <f>IF(Metadata!E242="",FALSE,TRUE)</f>
        <v>0</v>
      </c>
      <c r="V242">
        <f>AND(IF(Metadata!F242="",FALSE,TRUE),exact(Metadata!F242,"rat gut metagenome"))</f>
        <v>0</v>
      </c>
      <c r="W242">
        <f>AND(IF(Metadata!G242="",FALSE,TRUE),exact(Metadata!G242,"1436733"))</f>
        <v>0</v>
      </c>
    </row>
    <row r="243" spans="1:23">
      <c r="A243" s="4">
        <f>IF(B243=" "," ",HYPERLINK(CONCATENATE("#metadata!",ADDRESS(INDEX($M$2:$M$1001,MATCH(ROWS($K$2:K243),$K$2:$K$1001,0),0),1)),INDEX($P$2:$P$1001,MATCH(ROWS($K$2:K243),$K$2:$K$1001,0),0)))</f>
        <v>0</v>
      </c>
      <c r="B243" s="3">
        <f>IF(OR(INDEX($L$2:$L$1001,MATCH(ROWS($K$2:K243),$K$2:$K$1001,0),1)&gt;=100000,INDEX($R$1005:$W$1005,1,MATCH(COLUMNS($R$1006:R1006),$R$1006:$W$1006,0))&gt;=100000), " ",IF(INDEX($R$2:$W$1001,MATCH(ROWS($K$2:K243),$K$2:$K$1001,0),MATCH(COLUMNS($R$1006:R1006),$R$1006:$W$1006,0)), HYPERLINK("#",""), HYPERLINK(CONCATENATE("#Metadata!", ADDRESS(INDEX($M$2:$M$1001,MATCH(ROWS($K$2:K243),$K$2:$K$1001,0),0), INDEX($R$1004:$W$1004,1,MATCH(COLUMNS($R$1006:R1006),$R$1006:$W$1006,0)))),"Fix")))</f>
        <v>0</v>
      </c>
      <c r="C243" s="3">
        <f>IF(OR(INDEX($L$2:$L$1001,MATCH(ROWS($K$2:K243),$K$2:$K$1001,0),1)&gt;=100000,INDEX($R$1005:$W$1005,1,MATCH(COLUMNS($R$1006:S1006),$R$1006:$W$1006,0))&gt;=100000), " ",IF(INDEX($R$2:$W$1001,MATCH(ROWS($K$2:K243),$K$2:$K$1001,0),MATCH(COLUMNS($R$1006:S1006),$R$1006:$W$1006,0)), HYPERLINK("#",""), HYPERLINK(CONCATENATE("#Metadata!", ADDRESS(INDEX($M$2:$M$1001,MATCH(ROWS($K$2:K243),$K$2:$K$1001,0),0), INDEX($R$1004:$W$1004,1,MATCH(COLUMNS($R$1006:S1006),$R$1006:$W$1006,0)))),"Fix")))</f>
        <v>0</v>
      </c>
      <c r="D243" s="3">
        <f>IF(OR(INDEX($L$2:$L$1001,MATCH(ROWS($K$2:K243),$K$2:$K$1001,0),1)&gt;=100000,INDEX($R$1005:$W$1005,1,MATCH(COLUMNS($R$1006:T1006),$R$1006:$W$1006,0))&gt;=100000), " ",IF(INDEX($R$2:$W$1001,MATCH(ROWS($K$2:K243),$K$2:$K$1001,0),MATCH(COLUMNS($R$1006:T1006),$R$1006:$W$1006,0)), HYPERLINK("#",""), HYPERLINK(CONCATENATE("#Metadata!", ADDRESS(INDEX($M$2:$M$1001,MATCH(ROWS($K$2:K243),$K$2:$K$1001,0),0), INDEX($R$1004:$W$1004,1,MATCH(COLUMNS($R$1006:T1006),$R$1006:$W$1006,0)))),"Fix")))</f>
        <v>0</v>
      </c>
      <c r="E243" s="3">
        <f>IF(OR(INDEX($L$2:$L$1001,MATCH(ROWS($K$2:K243),$K$2:$K$1001,0),1)&gt;=100000,INDEX($R$1005:$W$1005,1,MATCH(COLUMNS($R$1006:U1006),$R$1006:$W$1006,0))&gt;=100000), " ",IF(INDEX($R$2:$W$1001,MATCH(ROWS($K$2:K243),$K$2:$K$1001,0),MATCH(COLUMNS($R$1006:U1006),$R$1006:$W$1006,0)), HYPERLINK("#",""), HYPERLINK(CONCATENATE("#Metadata!", ADDRESS(INDEX($M$2:$M$1001,MATCH(ROWS($K$2:K243),$K$2:$K$1001,0),0), INDEX($R$1004:$W$1004,1,MATCH(COLUMNS($R$1006:U1006),$R$1006:$W$1006,0)))),"Fix")))</f>
        <v>0</v>
      </c>
      <c r="F243" s="3">
        <f>IF(OR(INDEX($L$2:$L$1001,MATCH(ROWS($K$2:K243),$K$2:$K$1001,0),1)&gt;=100000,INDEX($R$1005:$W$1005,1,MATCH(COLUMNS($R$1006:V1006),$R$1006:$W$1006,0))&gt;=100000), " ",IF(INDEX($R$2:$W$1001,MATCH(ROWS($K$2:K243),$K$2:$K$1001,0),MATCH(COLUMNS($R$1006:V1006),$R$1006:$W$1006,0)), HYPERLINK("#",""), HYPERLINK(CONCATENATE("#Metadata!", ADDRESS(INDEX($M$2:$M$1001,MATCH(ROWS($K$2:K243),$K$2:$K$1001,0),0), INDEX($R$1004:$W$1004,1,MATCH(COLUMNS($R$1006:V1006),$R$1006:$W$1006,0)))),"Fix")))</f>
        <v>0</v>
      </c>
      <c r="G243" s="3">
        <f>IF(OR(INDEX($L$2:$L$1001,MATCH(ROWS($K$2:K243),$K$2:$K$1001,0),1)&gt;=100000,INDEX($R$1005:$W$1005,1,MATCH(COLUMNS($R$1006:W1006),$R$1006:$W$1006,0))&gt;=100000), " ",IF(INDEX($R$2:$W$1001,MATCH(ROWS($K$2:K243),$K$2:$K$1001,0),MATCH(COLUMNS($R$1006:W1006),$R$1006:$W$1006,0)), HYPERLINK("#",""), HYPERLINK(CONCATENATE("#Metadata!", ADDRESS(INDEX($M$2:$M$1001,MATCH(ROWS($K$2:K243),$K$2:$K$1001,0),0), INDEX($R$1004:$W$1004,1,MATCH(COLUMNS($R$1006:W1006),$R$1006:$W$1006,0)))),"Fix")))</f>
        <v>0</v>
      </c>
      <c r="K243">
        <v>0</v>
      </c>
      <c r="L243">
        <v>0</v>
      </c>
      <c r="M243">
        <v>0</v>
      </c>
      <c r="N243">
        <f>IF(O243,TRUE,AND(R243:W243))</f>
        <v>0</v>
      </c>
      <c r="O243">
        <f>COUNTBLANK(Metadata!B243:G243)=COLUMNS(Metadata!B243:G243)</f>
        <v>0</v>
      </c>
      <c r="P243">
        <v>0</v>
      </c>
      <c r="R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S243">
        <f>IF(Metadata!C243="",FALSE,TRUE)</f>
        <v>0</v>
      </c>
      <c r="T243">
        <f>IF(Metadata!D243="",FALSE,TRUE)</f>
        <v>0</v>
      </c>
      <c r="U243">
        <f>IF(Metadata!E243="",FALSE,TRUE)</f>
        <v>0</v>
      </c>
      <c r="V243">
        <f>AND(IF(Metadata!F243="",FALSE,TRUE),exact(Metadata!F243,"rat gut metagenome"))</f>
        <v>0</v>
      </c>
      <c r="W243">
        <f>AND(IF(Metadata!G243="",FALSE,TRUE),exact(Metadata!G243,"1436733"))</f>
        <v>0</v>
      </c>
    </row>
    <row r="244" spans="1:23">
      <c r="A244" s="4">
        <f>IF(B244=" "," ",HYPERLINK(CONCATENATE("#metadata!",ADDRESS(INDEX($M$2:$M$1001,MATCH(ROWS($K$2:K244),$K$2:$K$1001,0),0),1)),INDEX($P$2:$P$1001,MATCH(ROWS($K$2:K244),$K$2:$K$1001,0),0)))</f>
        <v>0</v>
      </c>
      <c r="B244" s="3">
        <f>IF(OR(INDEX($L$2:$L$1001,MATCH(ROWS($K$2:K244),$K$2:$K$1001,0),1)&gt;=100000,INDEX($R$1005:$W$1005,1,MATCH(COLUMNS($R$1006:R1006),$R$1006:$W$1006,0))&gt;=100000), " ",IF(INDEX($R$2:$W$1001,MATCH(ROWS($K$2:K244),$K$2:$K$1001,0),MATCH(COLUMNS($R$1006:R1006),$R$1006:$W$1006,0)), HYPERLINK("#",""), HYPERLINK(CONCATENATE("#Metadata!", ADDRESS(INDEX($M$2:$M$1001,MATCH(ROWS($K$2:K244),$K$2:$K$1001,0),0), INDEX($R$1004:$W$1004,1,MATCH(COLUMNS($R$1006:R1006),$R$1006:$W$1006,0)))),"Fix")))</f>
        <v>0</v>
      </c>
      <c r="C244" s="3">
        <f>IF(OR(INDEX($L$2:$L$1001,MATCH(ROWS($K$2:K244),$K$2:$K$1001,0),1)&gt;=100000,INDEX($R$1005:$W$1005,1,MATCH(COLUMNS($R$1006:S1006),$R$1006:$W$1006,0))&gt;=100000), " ",IF(INDEX($R$2:$W$1001,MATCH(ROWS($K$2:K244),$K$2:$K$1001,0),MATCH(COLUMNS($R$1006:S1006),$R$1006:$W$1006,0)), HYPERLINK("#",""), HYPERLINK(CONCATENATE("#Metadata!", ADDRESS(INDEX($M$2:$M$1001,MATCH(ROWS($K$2:K244),$K$2:$K$1001,0),0), INDEX($R$1004:$W$1004,1,MATCH(COLUMNS($R$1006:S1006),$R$1006:$W$1006,0)))),"Fix")))</f>
        <v>0</v>
      </c>
      <c r="D244" s="3">
        <f>IF(OR(INDEX($L$2:$L$1001,MATCH(ROWS($K$2:K244),$K$2:$K$1001,0),1)&gt;=100000,INDEX($R$1005:$W$1005,1,MATCH(COLUMNS($R$1006:T1006),$R$1006:$W$1006,0))&gt;=100000), " ",IF(INDEX($R$2:$W$1001,MATCH(ROWS($K$2:K244),$K$2:$K$1001,0),MATCH(COLUMNS($R$1006:T1006),$R$1006:$W$1006,0)), HYPERLINK("#",""), HYPERLINK(CONCATENATE("#Metadata!", ADDRESS(INDEX($M$2:$M$1001,MATCH(ROWS($K$2:K244),$K$2:$K$1001,0),0), INDEX($R$1004:$W$1004,1,MATCH(COLUMNS($R$1006:T1006),$R$1006:$W$1006,0)))),"Fix")))</f>
        <v>0</v>
      </c>
      <c r="E244" s="3">
        <f>IF(OR(INDEX($L$2:$L$1001,MATCH(ROWS($K$2:K244),$K$2:$K$1001,0),1)&gt;=100000,INDEX($R$1005:$W$1005,1,MATCH(COLUMNS($R$1006:U1006),$R$1006:$W$1006,0))&gt;=100000), " ",IF(INDEX($R$2:$W$1001,MATCH(ROWS($K$2:K244),$K$2:$K$1001,0),MATCH(COLUMNS($R$1006:U1006),$R$1006:$W$1006,0)), HYPERLINK("#",""), HYPERLINK(CONCATENATE("#Metadata!", ADDRESS(INDEX($M$2:$M$1001,MATCH(ROWS($K$2:K244),$K$2:$K$1001,0),0), INDEX($R$1004:$W$1004,1,MATCH(COLUMNS($R$1006:U1006),$R$1006:$W$1006,0)))),"Fix")))</f>
        <v>0</v>
      </c>
      <c r="F244" s="3">
        <f>IF(OR(INDEX($L$2:$L$1001,MATCH(ROWS($K$2:K244),$K$2:$K$1001,0),1)&gt;=100000,INDEX($R$1005:$W$1005,1,MATCH(COLUMNS($R$1006:V1006),$R$1006:$W$1006,0))&gt;=100000), " ",IF(INDEX($R$2:$W$1001,MATCH(ROWS($K$2:K244),$K$2:$K$1001,0),MATCH(COLUMNS($R$1006:V1006),$R$1006:$W$1006,0)), HYPERLINK("#",""), HYPERLINK(CONCATENATE("#Metadata!", ADDRESS(INDEX($M$2:$M$1001,MATCH(ROWS($K$2:K244),$K$2:$K$1001,0),0), INDEX($R$1004:$W$1004,1,MATCH(COLUMNS($R$1006:V1006),$R$1006:$W$1006,0)))),"Fix")))</f>
        <v>0</v>
      </c>
      <c r="G244" s="3">
        <f>IF(OR(INDEX($L$2:$L$1001,MATCH(ROWS($K$2:K244),$K$2:$K$1001,0),1)&gt;=100000,INDEX($R$1005:$W$1005,1,MATCH(COLUMNS($R$1006:W1006),$R$1006:$W$1006,0))&gt;=100000), " ",IF(INDEX($R$2:$W$1001,MATCH(ROWS($K$2:K244),$K$2:$K$1001,0),MATCH(COLUMNS($R$1006:W1006),$R$1006:$W$1006,0)), HYPERLINK("#",""), HYPERLINK(CONCATENATE("#Metadata!", ADDRESS(INDEX($M$2:$M$1001,MATCH(ROWS($K$2:K244),$K$2:$K$1001,0),0), INDEX($R$1004:$W$1004,1,MATCH(COLUMNS($R$1006:W1006),$R$1006:$W$1006,0)))),"Fix")))</f>
        <v>0</v>
      </c>
      <c r="K244">
        <v>0</v>
      </c>
      <c r="L244">
        <v>0</v>
      </c>
      <c r="M244">
        <v>0</v>
      </c>
      <c r="N244">
        <f>IF(O244,TRUE,AND(R244:W244))</f>
        <v>0</v>
      </c>
      <c r="O244">
        <f>COUNTBLANK(Metadata!B244:G244)=COLUMNS(Metadata!B244:G244)</f>
        <v>0</v>
      </c>
      <c r="P244">
        <v>0</v>
      </c>
      <c r="R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S244">
        <f>IF(Metadata!C244="",FALSE,TRUE)</f>
        <v>0</v>
      </c>
      <c r="T244">
        <f>IF(Metadata!D244="",FALSE,TRUE)</f>
        <v>0</v>
      </c>
      <c r="U244">
        <f>IF(Metadata!E244="",FALSE,TRUE)</f>
        <v>0</v>
      </c>
      <c r="V244">
        <f>AND(IF(Metadata!F244="",FALSE,TRUE),exact(Metadata!F244,"rat gut metagenome"))</f>
        <v>0</v>
      </c>
      <c r="W244">
        <f>AND(IF(Metadata!G244="",FALSE,TRUE),exact(Metadata!G244,"1436733"))</f>
        <v>0</v>
      </c>
    </row>
    <row r="245" spans="1:23">
      <c r="A245" s="4">
        <f>IF(B245=" "," ",HYPERLINK(CONCATENATE("#metadata!",ADDRESS(INDEX($M$2:$M$1001,MATCH(ROWS($K$2:K245),$K$2:$K$1001,0),0),1)),INDEX($P$2:$P$1001,MATCH(ROWS($K$2:K245),$K$2:$K$1001,0),0)))</f>
        <v>0</v>
      </c>
      <c r="B245" s="3">
        <f>IF(OR(INDEX($L$2:$L$1001,MATCH(ROWS($K$2:K245),$K$2:$K$1001,0),1)&gt;=100000,INDEX($R$1005:$W$1005,1,MATCH(COLUMNS($R$1006:R1006),$R$1006:$W$1006,0))&gt;=100000), " ",IF(INDEX($R$2:$W$1001,MATCH(ROWS($K$2:K245),$K$2:$K$1001,0),MATCH(COLUMNS($R$1006:R1006),$R$1006:$W$1006,0)), HYPERLINK("#",""), HYPERLINK(CONCATENATE("#Metadata!", ADDRESS(INDEX($M$2:$M$1001,MATCH(ROWS($K$2:K245),$K$2:$K$1001,0),0), INDEX($R$1004:$W$1004,1,MATCH(COLUMNS($R$1006:R1006),$R$1006:$W$1006,0)))),"Fix")))</f>
        <v>0</v>
      </c>
      <c r="C245" s="3">
        <f>IF(OR(INDEX($L$2:$L$1001,MATCH(ROWS($K$2:K245),$K$2:$K$1001,0),1)&gt;=100000,INDEX($R$1005:$W$1005,1,MATCH(COLUMNS($R$1006:S1006),$R$1006:$W$1006,0))&gt;=100000), " ",IF(INDEX($R$2:$W$1001,MATCH(ROWS($K$2:K245),$K$2:$K$1001,0),MATCH(COLUMNS($R$1006:S1006),$R$1006:$W$1006,0)), HYPERLINK("#",""), HYPERLINK(CONCATENATE("#Metadata!", ADDRESS(INDEX($M$2:$M$1001,MATCH(ROWS($K$2:K245),$K$2:$K$1001,0),0), INDEX($R$1004:$W$1004,1,MATCH(COLUMNS($R$1006:S1006),$R$1006:$W$1006,0)))),"Fix")))</f>
        <v>0</v>
      </c>
      <c r="D245" s="3">
        <f>IF(OR(INDEX($L$2:$L$1001,MATCH(ROWS($K$2:K245),$K$2:$K$1001,0),1)&gt;=100000,INDEX($R$1005:$W$1005,1,MATCH(COLUMNS($R$1006:T1006),$R$1006:$W$1006,0))&gt;=100000), " ",IF(INDEX($R$2:$W$1001,MATCH(ROWS($K$2:K245),$K$2:$K$1001,0),MATCH(COLUMNS($R$1006:T1006),$R$1006:$W$1006,0)), HYPERLINK("#",""), HYPERLINK(CONCATENATE("#Metadata!", ADDRESS(INDEX($M$2:$M$1001,MATCH(ROWS($K$2:K245),$K$2:$K$1001,0),0), INDEX($R$1004:$W$1004,1,MATCH(COLUMNS($R$1006:T1006),$R$1006:$W$1006,0)))),"Fix")))</f>
        <v>0</v>
      </c>
      <c r="E245" s="3">
        <f>IF(OR(INDEX($L$2:$L$1001,MATCH(ROWS($K$2:K245),$K$2:$K$1001,0),1)&gt;=100000,INDEX($R$1005:$W$1005,1,MATCH(COLUMNS($R$1006:U1006),$R$1006:$W$1006,0))&gt;=100000), " ",IF(INDEX($R$2:$W$1001,MATCH(ROWS($K$2:K245),$K$2:$K$1001,0),MATCH(COLUMNS($R$1006:U1006),$R$1006:$W$1006,0)), HYPERLINK("#",""), HYPERLINK(CONCATENATE("#Metadata!", ADDRESS(INDEX($M$2:$M$1001,MATCH(ROWS($K$2:K245),$K$2:$K$1001,0),0), INDEX($R$1004:$W$1004,1,MATCH(COLUMNS($R$1006:U1006),$R$1006:$W$1006,0)))),"Fix")))</f>
        <v>0</v>
      </c>
      <c r="F245" s="3">
        <f>IF(OR(INDEX($L$2:$L$1001,MATCH(ROWS($K$2:K245),$K$2:$K$1001,0),1)&gt;=100000,INDEX($R$1005:$W$1005,1,MATCH(COLUMNS($R$1006:V1006),$R$1006:$W$1006,0))&gt;=100000), " ",IF(INDEX($R$2:$W$1001,MATCH(ROWS($K$2:K245),$K$2:$K$1001,0),MATCH(COLUMNS($R$1006:V1006),$R$1006:$W$1006,0)), HYPERLINK("#",""), HYPERLINK(CONCATENATE("#Metadata!", ADDRESS(INDEX($M$2:$M$1001,MATCH(ROWS($K$2:K245),$K$2:$K$1001,0),0), INDEX($R$1004:$W$1004,1,MATCH(COLUMNS($R$1006:V1006),$R$1006:$W$1006,0)))),"Fix")))</f>
        <v>0</v>
      </c>
      <c r="G245" s="3">
        <f>IF(OR(INDEX($L$2:$L$1001,MATCH(ROWS($K$2:K245),$K$2:$K$1001,0),1)&gt;=100000,INDEX($R$1005:$W$1005,1,MATCH(COLUMNS($R$1006:W1006),$R$1006:$W$1006,0))&gt;=100000), " ",IF(INDEX($R$2:$W$1001,MATCH(ROWS($K$2:K245),$K$2:$K$1001,0),MATCH(COLUMNS($R$1006:W1006),$R$1006:$W$1006,0)), HYPERLINK("#",""), HYPERLINK(CONCATENATE("#Metadata!", ADDRESS(INDEX($M$2:$M$1001,MATCH(ROWS($K$2:K245),$K$2:$K$1001,0),0), INDEX($R$1004:$W$1004,1,MATCH(COLUMNS($R$1006:W1006),$R$1006:$W$1006,0)))),"Fix")))</f>
        <v>0</v>
      </c>
      <c r="K245">
        <v>0</v>
      </c>
      <c r="L245">
        <v>0</v>
      </c>
      <c r="M245">
        <v>0</v>
      </c>
      <c r="N245">
        <f>IF(O245,TRUE,AND(R245:W245))</f>
        <v>0</v>
      </c>
      <c r="O245">
        <f>COUNTBLANK(Metadata!B245:G245)=COLUMNS(Metadata!B245:G245)</f>
        <v>0</v>
      </c>
      <c r="P245">
        <v>0</v>
      </c>
      <c r="R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S245">
        <f>IF(Metadata!C245="",FALSE,TRUE)</f>
        <v>0</v>
      </c>
      <c r="T245">
        <f>IF(Metadata!D245="",FALSE,TRUE)</f>
        <v>0</v>
      </c>
      <c r="U245">
        <f>IF(Metadata!E245="",FALSE,TRUE)</f>
        <v>0</v>
      </c>
      <c r="V245">
        <f>AND(IF(Metadata!F245="",FALSE,TRUE),exact(Metadata!F245,"rat gut metagenome"))</f>
        <v>0</v>
      </c>
      <c r="W245">
        <f>AND(IF(Metadata!G245="",FALSE,TRUE),exact(Metadata!G245,"1436733"))</f>
        <v>0</v>
      </c>
    </row>
    <row r="246" spans="1:23">
      <c r="A246" s="4">
        <f>IF(B246=" "," ",HYPERLINK(CONCATENATE("#metadata!",ADDRESS(INDEX($M$2:$M$1001,MATCH(ROWS($K$2:K246),$K$2:$K$1001,0),0),1)),INDEX($P$2:$P$1001,MATCH(ROWS($K$2:K246),$K$2:$K$1001,0),0)))</f>
        <v>0</v>
      </c>
      <c r="B246" s="3">
        <f>IF(OR(INDEX($L$2:$L$1001,MATCH(ROWS($K$2:K246),$K$2:$K$1001,0),1)&gt;=100000,INDEX($R$1005:$W$1005,1,MATCH(COLUMNS($R$1006:R1006),$R$1006:$W$1006,0))&gt;=100000), " ",IF(INDEX($R$2:$W$1001,MATCH(ROWS($K$2:K246),$K$2:$K$1001,0),MATCH(COLUMNS($R$1006:R1006),$R$1006:$W$1006,0)), HYPERLINK("#",""), HYPERLINK(CONCATENATE("#Metadata!", ADDRESS(INDEX($M$2:$M$1001,MATCH(ROWS($K$2:K246),$K$2:$K$1001,0),0), INDEX($R$1004:$W$1004,1,MATCH(COLUMNS($R$1006:R1006),$R$1006:$W$1006,0)))),"Fix")))</f>
        <v>0</v>
      </c>
      <c r="C246" s="3">
        <f>IF(OR(INDEX($L$2:$L$1001,MATCH(ROWS($K$2:K246),$K$2:$K$1001,0),1)&gt;=100000,INDEX($R$1005:$W$1005,1,MATCH(COLUMNS($R$1006:S1006),$R$1006:$W$1006,0))&gt;=100000), " ",IF(INDEX($R$2:$W$1001,MATCH(ROWS($K$2:K246),$K$2:$K$1001,0),MATCH(COLUMNS($R$1006:S1006),$R$1006:$W$1006,0)), HYPERLINK("#",""), HYPERLINK(CONCATENATE("#Metadata!", ADDRESS(INDEX($M$2:$M$1001,MATCH(ROWS($K$2:K246),$K$2:$K$1001,0),0), INDEX($R$1004:$W$1004,1,MATCH(COLUMNS($R$1006:S1006),$R$1006:$W$1006,0)))),"Fix")))</f>
        <v>0</v>
      </c>
      <c r="D246" s="3">
        <f>IF(OR(INDEX($L$2:$L$1001,MATCH(ROWS($K$2:K246),$K$2:$K$1001,0),1)&gt;=100000,INDEX($R$1005:$W$1005,1,MATCH(COLUMNS($R$1006:T1006),$R$1006:$W$1006,0))&gt;=100000), " ",IF(INDEX($R$2:$W$1001,MATCH(ROWS($K$2:K246),$K$2:$K$1001,0),MATCH(COLUMNS($R$1006:T1006),$R$1006:$W$1006,0)), HYPERLINK("#",""), HYPERLINK(CONCATENATE("#Metadata!", ADDRESS(INDEX($M$2:$M$1001,MATCH(ROWS($K$2:K246),$K$2:$K$1001,0),0), INDEX($R$1004:$W$1004,1,MATCH(COLUMNS($R$1006:T1006),$R$1006:$W$1006,0)))),"Fix")))</f>
        <v>0</v>
      </c>
      <c r="E246" s="3">
        <f>IF(OR(INDEX($L$2:$L$1001,MATCH(ROWS($K$2:K246),$K$2:$K$1001,0),1)&gt;=100000,INDEX($R$1005:$W$1005,1,MATCH(COLUMNS($R$1006:U1006),$R$1006:$W$1006,0))&gt;=100000), " ",IF(INDEX($R$2:$W$1001,MATCH(ROWS($K$2:K246),$K$2:$K$1001,0),MATCH(COLUMNS($R$1006:U1006),$R$1006:$W$1006,0)), HYPERLINK("#",""), HYPERLINK(CONCATENATE("#Metadata!", ADDRESS(INDEX($M$2:$M$1001,MATCH(ROWS($K$2:K246),$K$2:$K$1001,0),0), INDEX($R$1004:$W$1004,1,MATCH(COLUMNS($R$1006:U1006),$R$1006:$W$1006,0)))),"Fix")))</f>
        <v>0</v>
      </c>
      <c r="F246" s="3">
        <f>IF(OR(INDEX($L$2:$L$1001,MATCH(ROWS($K$2:K246),$K$2:$K$1001,0),1)&gt;=100000,INDEX($R$1005:$W$1005,1,MATCH(COLUMNS($R$1006:V1006),$R$1006:$W$1006,0))&gt;=100000), " ",IF(INDEX($R$2:$W$1001,MATCH(ROWS($K$2:K246),$K$2:$K$1001,0),MATCH(COLUMNS($R$1006:V1006),$R$1006:$W$1006,0)), HYPERLINK("#",""), HYPERLINK(CONCATENATE("#Metadata!", ADDRESS(INDEX($M$2:$M$1001,MATCH(ROWS($K$2:K246),$K$2:$K$1001,0),0), INDEX($R$1004:$W$1004,1,MATCH(COLUMNS($R$1006:V1006),$R$1006:$W$1006,0)))),"Fix")))</f>
        <v>0</v>
      </c>
      <c r="G246" s="3">
        <f>IF(OR(INDEX($L$2:$L$1001,MATCH(ROWS($K$2:K246),$K$2:$K$1001,0),1)&gt;=100000,INDEX($R$1005:$W$1005,1,MATCH(COLUMNS($R$1006:W1006),$R$1006:$W$1006,0))&gt;=100000), " ",IF(INDEX($R$2:$W$1001,MATCH(ROWS($K$2:K246),$K$2:$K$1001,0),MATCH(COLUMNS($R$1006:W1006),$R$1006:$W$1006,0)), HYPERLINK("#",""), HYPERLINK(CONCATENATE("#Metadata!", ADDRESS(INDEX($M$2:$M$1001,MATCH(ROWS($K$2:K246),$K$2:$K$1001,0),0), INDEX($R$1004:$W$1004,1,MATCH(COLUMNS($R$1006:W1006),$R$1006:$W$1006,0)))),"Fix")))</f>
        <v>0</v>
      </c>
      <c r="K246">
        <v>0</v>
      </c>
      <c r="L246">
        <v>0</v>
      </c>
      <c r="M246">
        <v>0</v>
      </c>
      <c r="N246">
        <f>IF(O246,TRUE,AND(R246:W246))</f>
        <v>0</v>
      </c>
      <c r="O246">
        <f>COUNTBLANK(Metadata!B246:G246)=COLUMNS(Metadata!B246:G246)</f>
        <v>0</v>
      </c>
      <c r="P246">
        <v>0</v>
      </c>
      <c r="R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S246">
        <f>IF(Metadata!C246="",FALSE,TRUE)</f>
        <v>0</v>
      </c>
      <c r="T246">
        <f>IF(Metadata!D246="",FALSE,TRUE)</f>
        <v>0</v>
      </c>
      <c r="U246">
        <f>IF(Metadata!E246="",FALSE,TRUE)</f>
        <v>0</v>
      </c>
      <c r="V246">
        <f>AND(IF(Metadata!F246="",FALSE,TRUE),exact(Metadata!F246,"rat gut metagenome"))</f>
        <v>0</v>
      </c>
      <c r="W246">
        <f>AND(IF(Metadata!G246="",FALSE,TRUE),exact(Metadata!G246,"1436733"))</f>
        <v>0</v>
      </c>
    </row>
    <row r="247" spans="1:23">
      <c r="A247" s="4">
        <f>IF(B247=" "," ",HYPERLINK(CONCATENATE("#metadata!",ADDRESS(INDEX($M$2:$M$1001,MATCH(ROWS($K$2:K247),$K$2:$K$1001,0),0),1)),INDEX($P$2:$P$1001,MATCH(ROWS($K$2:K247),$K$2:$K$1001,0),0)))</f>
        <v>0</v>
      </c>
      <c r="B247" s="3">
        <f>IF(OR(INDEX($L$2:$L$1001,MATCH(ROWS($K$2:K247),$K$2:$K$1001,0),1)&gt;=100000,INDEX($R$1005:$W$1005,1,MATCH(COLUMNS($R$1006:R1006),$R$1006:$W$1006,0))&gt;=100000), " ",IF(INDEX($R$2:$W$1001,MATCH(ROWS($K$2:K247),$K$2:$K$1001,0),MATCH(COLUMNS($R$1006:R1006),$R$1006:$W$1006,0)), HYPERLINK("#",""), HYPERLINK(CONCATENATE("#Metadata!", ADDRESS(INDEX($M$2:$M$1001,MATCH(ROWS($K$2:K247),$K$2:$K$1001,0),0), INDEX($R$1004:$W$1004,1,MATCH(COLUMNS($R$1006:R1006),$R$1006:$W$1006,0)))),"Fix")))</f>
        <v>0</v>
      </c>
      <c r="C247" s="3">
        <f>IF(OR(INDEX($L$2:$L$1001,MATCH(ROWS($K$2:K247),$K$2:$K$1001,0),1)&gt;=100000,INDEX($R$1005:$W$1005,1,MATCH(COLUMNS($R$1006:S1006),$R$1006:$W$1006,0))&gt;=100000), " ",IF(INDEX($R$2:$W$1001,MATCH(ROWS($K$2:K247),$K$2:$K$1001,0),MATCH(COLUMNS($R$1006:S1006),$R$1006:$W$1006,0)), HYPERLINK("#",""), HYPERLINK(CONCATENATE("#Metadata!", ADDRESS(INDEX($M$2:$M$1001,MATCH(ROWS($K$2:K247),$K$2:$K$1001,0),0), INDEX($R$1004:$W$1004,1,MATCH(COLUMNS($R$1006:S1006),$R$1006:$W$1006,0)))),"Fix")))</f>
        <v>0</v>
      </c>
      <c r="D247" s="3">
        <f>IF(OR(INDEX($L$2:$L$1001,MATCH(ROWS($K$2:K247),$K$2:$K$1001,0),1)&gt;=100000,INDEX($R$1005:$W$1005,1,MATCH(COLUMNS($R$1006:T1006),$R$1006:$W$1006,0))&gt;=100000), " ",IF(INDEX($R$2:$W$1001,MATCH(ROWS($K$2:K247),$K$2:$K$1001,0),MATCH(COLUMNS($R$1006:T1006),$R$1006:$W$1006,0)), HYPERLINK("#",""), HYPERLINK(CONCATENATE("#Metadata!", ADDRESS(INDEX($M$2:$M$1001,MATCH(ROWS($K$2:K247),$K$2:$K$1001,0),0), INDEX($R$1004:$W$1004,1,MATCH(COLUMNS($R$1006:T1006),$R$1006:$W$1006,0)))),"Fix")))</f>
        <v>0</v>
      </c>
      <c r="E247" s="3">
        <f>IF(OR(INDEX($L$2:$L$1001,MATCH(ROWS($K$2:K247),$K$2:$K$1001,0),1)&gt;=100000,INDEX($R$1005:$W$1005,1,MATCH(COLUMNS($R$1006:U1006),$R$1006:$W$1006,0))&gt;=100000), " ",IF(INDEX($R$2:$W$1001,MATCH(ROWS($K$2:K247),$K$2:$K$1001,0),MATCH(COLUMNS($R$1006:U1006),$R$1006:$W$1006,0)), HYPERLINK("#",""), HYPERLINK(CONCATENATE("#Metadata!", ADDRESS(INDEX($M$2:$M$1001,MATCH(ROWS($K$2:K247),$K$2:$K$1001,0),0), INDEX($R$1004:$W$1004,1,MATCH(COLUMNS($R$1006:U1006),$R$1006:$W$1006,0)))),"Fix")))</f>
        <v>0</v>
      </c>
      <c r="F247" s="3">
        <f>IF(OR(INDEX($L$2:$L$1001,MATCH(ROWS($K$2:K247),$K$2:$K$1001,0),1)&gt;=100000,INDEX($R$1005:$W$1005,1,MATCH(COLUMNS($R$1006:V1006),$R$1006:$W$1006,0))&gt;=100000), " ",IF(INDEX($R$2:$W$1001,MATCH(ROWS($K$2:K247),$K$2:$K$1001,0),MATCH(COLUMNS($R$1006:V1006),$R$1006:$W$1006,0)), HYPERLINK("#",""), HYPERLINK(CONCATENATE("#Metadata!", ADDRESS(INDEX($M$2:$M$1001,MATCH(ROWS($K$2:K247),$K$2:$K$1001,0),0), INDEX($R$1004:$W$1004,1,MATCH(COLUMNS($R$1006:V1006),$R$1006:$W$1006,0)))),"Fix")))</f>
        <v>0</v>
      </c>
      <c r="G247" s="3">
        <f>IF(OR(INDEX($L$2:$L$1001,MATCH(ROWS($K$2:K247),$K$2:$K$1001,0),1)&gt;=100000,INDEX($R$1005:$W$1005,1,MATCH(COLUMNS($R$1006:W1006),$R$1006:$W$1006,0))&gt;=100000), " ",IF(INDEX($R$2:$W$1001,MATCH(ROWS($K$2:K247),$K$2:$K$1001,0),MATCH(COLUMNS($R$1006:W1006),$R$1006:$W$1006,0)), HYPERLINK("#",""), HYPERLINK(CONCATENATE("#Metadata!", ADDRESS(INDEX($M$2:$M$1001,MATCH(ROWS($K$2:K247),$K$2:$K$1001,0),0), INDEX($R$1004:$W$1004,1,MATCH(COLUMNS($R$1006:W1006),$R$1006:$W$1006,0)))),"Fix")))</f>
        <v>0</v>
      </c>
      <c r="K247">
        <v>0</v>
      </c>
      <c r="L247">
        <v>0</v>
      </c>
      <c r="M247">
        <v>0</v>
      </c>
      <c r="N247">
        <f>IF(O247,TRUE,AND(R247:W247))</f>
        <v>0</v>
      </c>
      <c r="O247">
        <f>COUNTBLANK(Metadata!B247:G247)=COLUMNS(Metadata!B247:G247)</f>
        <v>0</v>
      </c>
      <c r="P247">
        <v>0</v>
      </c>
      <c r="R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S247">
        <f>IF(Metadata!C247="",FALSE,TRUE)</f>
        <v>0</v>
      </c>
      <c r="T247">
        <f>IF(Metadata!D247="",FALSE,TRUE)</f>
        <v>0</v>
      </c>
      <c r="U247">
        <f>IF(Metadata!E247="",FALSE,TRUE)</f>
        <v>0</v>
      </c>
      <c r="V247">
        <f>AND(IF(Metadata!F247="",FALSE,TRUE),exact(Metadata!F247,"rat gut metagenome"))</f>
        <v>0</v>
      </c>
      <c r="W247">
        <f>AND(IF(Metadata!G247="",FALSE,TRUE),exact(Metadata!G247,"1436733"))</f>
        <v>0</v>
      </c>
    </row>
    <row r="248" spans="1:23">
      <c r="A248" s="4">
        <f>IF(B248=" "," ",HYPERLINK(CONCATENATE("#metadata!",ADDRESS(INDEX($M$2:$M$1001,MATCH(ROWS($K$2:K248),$K$2:$K$1001,0),0),1)),INDEX($P$2:$P$1001,MATCH(ROWS($K$2:K248),$K$2:$K$1001,0),0)))</f>
        <v>0</v>
      </c>
      <c r="B248" s="3">
        <f>IF(OR(INDEX($L$2:$L$1001,MATCH(ROWS($K$2:K248),$K$2:$K$1001,0),1)&gt;=100000,INDEX($R$1005:$W$1005,1,MATCH(COLUMNS($R$1006:R1006),$R$1006:$W$1006,0))&gt;=100000), " ",IF(INDEX($R$2:$W$1001,MATCH(ROWS($K$2:K248),$K$2:$K$1001,0),MATCH(COLUMNS($R$1006:R1006),$R$1006:$W$1006,0)), HYPERLINK("#",""), HYPERLINK(CONCATENATE("#Metadata!", ADDRESS(INDEX($M$2:$M$1001,MATCH(ROWS($K$2:K248),$K$2:$K$1001,0),0), INDEX($R$1004:$W$1004,1,MATCH(COLUMNS($R$1006:R1006),$R$1006:$W$1006,0)))),"Fix")))</f>
        <v>0</v>
      </c>
      <c r="C248" s="3">
        <f>IF(OR(INDEX($L$2:$L$1001,MATCH(ROWS($K$2:K248),$K$2:$K$1001,0),1)&gt;=100000,INDEX($R$1005:$W$1005,1,MATCH(COLUMNS($R$1006:S1006),$R$1006:$W$1006,0))&gt;=100000), " ",IF(INDEX($R$2:$W$1001,MATCH(ROWS($K$2:K248),$K$2:$K$1001,0),MATCH(COLUMNS($R$1006:S1006),$R$1006:$W$1006,0)), HYPERLINK("#",""), HYPERLINK(CONCATENATE("#Metadata!", ADDRESS(INDEX($M$2:$M$1001,MATCH(ROWS($K$2:K248),$K$2:$K$1001,0),0), INDEX($R$1004:$W$1004,1,MATCH(COLUMNS($R$1006:S1006),$R$1006:$W$1006,0)))),"Fix")))</f>
        <v>0</v>
      </c>
      <c r="D248" s="3">
        <f>IF(OR(INDEX($L$2:$L$1001,MATCH(ROWS($K$2:K248),$K$2:$K$1001,0),1)&gt;=100000,INDEX($R$1005:$W$1005,1,MATCH(COLUMNS($R$1006:T1006),$R$1006:$W$1006,0))&gt;=100000), " ",IF(INDEX($R$2:$W$1001,MATCH(ROWS($K$2:K248),$K$2:$K$1001,0),MATCH(COLUMNS($R$1006:T1006),$R$1006:$W$1006,0)), HYPERLINK("#",""), HYPERLINK(CONCATENATE("#Metadata!", ADDRESS(INDEX($M$2:$M$1001,MATCH(ROWS($K$2:K248),$K$2:$K$1001,0),0), INDEX($R$1004:$W$1004,1,MATCH(COLUMNS($R$1006:T1006),$R$1006:$W$1006,0)))),"Fix")))</f>
        <v>0</v>
      </c>
      <c r="E248" s="3">
        <f>IF(OR(INDEX($L$2:$L$1001,MATCH(ROWS($K$2:K248),$K$2:$K$1001,0),1)&gt;=100000,INDEX($R$1005:$W$1005,1,MATCH(COLUMNS($R$1006:U1006),$R$1006:$W$1006,0))&gt;=100000), " ",IF(INDEX($R$2:$W$1001,MATCH(ROWS($K$2:K248),$K$2:$K$1001,0),MATCH(COLUMNS($R$1006:U1006),$R$1006:$W$1006,0)), HYPERLINK("#",""), HYPERLINK(CONCATENATE("#Metadata!", ADDRESS(INDEX($M$2:$M$1001,MATCH(ROWS($K$2:K248),$K$2:$K$1001,0),0), INDEX($R$1004:$W$1004,1,MATCH(COLUMNS($R$1006:U1006),$R$1006:$W$1006,0)))),"Fix")))</f>
        <v>0</v>
      </c>
      <c r="F248" s="3">
        <f>IF(OR(INDEX($L$2:$L$1001,MATCH(ROWS($K$2:K248),$K$2:$K$1001,0),1)&gt;=100000,INDEX($R$1005:$W$1005,1,MATCH(COLUMNS($R$1006:V1006),$R$1006:$W$1006,0))&gt;=100000), " ",IF(INDEX($R$2:$W$1001,MATCH(ROWS($K$2:K248),$K$2:$K$1001,0),MATCH(COLUMNS($R$1006:V1006),$R$1006:$W$1006,0)), HYPERLINK("#",""), HYPERLINK(CONCATENATE("#Metadata!", ADDRESS(INDEX($M$2:$M$1001,MATCH(ROWS($K$2:K248),$K$2:$K$1001,0),0), INDEX($R$1004:$W$1004,1,MATCH(COLUMNS($R$1006:V1006),$R$1006:$W$1006,0)))),"Fix")))</f>
        <v>0</v>
      </c>
      <c r="G248" s="3">
        <f>IF(OR(INDEX($L$2:$L$1001,MATCH(ROWS($K$2:K248),$K$2:$K$1001,0),1)&gt;=100000,INDEX($R$1005:$W$1005,1,MATCH(COLUMNS($R$1006:W1006),$R$1006:$W$1006,0))&gt;=100000), " ",IF(INDEX($R$2:$W$1001,MATCH(ROWS($K$2:K248),$K$2:$K$1001,0),MATCH(COLUMNS($R$1006:W1006),$R$1006:$W$1006,0)), HYPERLINK("#",""), HYPERLINK(CONCATENATE("#Metadata!", ADDRESS(INDEX($M$2:$M$1001,MATCH(ROWS($K$2:K248),$K$2:$K$1001,0),0), INDEX($R$1004:$W$1004,1,MATCH(COLUMNS($R$1006:W1006),$R$1006:$W$1006,0)))),"Fix")))</f>
        <v>0</v>
      </c>
      <c r="K248">
        <v>0</v>
      </c>
      <c r="L248">
        <v>0</v>
      </c>
      <c r="M248">
        <v>0</v>
      </c>
      <c r="N248">
        <f>IF(O248,TRUE,AND(R248:W248))</f>
        <v>0</v>
      </c>
      <c r="O248">
        <f>COUNTBLANK(Metadata!B248:G248)=COLUMNS(Metadata!B248:G248)</f>
        <v>0</v>
      </c>
      <c r="P248">
        <v>0</v>
      </c>
      <c r="R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S248">
        <f>IF(Metadata!C248="",FALSE,TRUE)</f>
        <v>0</v>
      </c>
      <c r="T248">
        <f>IF(Metadata!D248="",FALSE,TRUE)</f>
        <v>0</v>
      </c>
      <c r="U248">
        <f>IF(Metadata!E248="",FALSE,TRUE)</f>
        <v>0</v>
      </c>
      <c r="V248">
        <f>AND(IF(Metadata!F248="",FALSE,TRUE),exact(Metadata!F248,"rat gut metagenome"))</f>
        <v>0</v>
      </c>
      <c r="W248">
        <f>AND(IF(Metadata!G248="",FALSE,TRUE),exact(Metadata!G248,"1436733"))</f>
        <v>0</v>
      </c>
    </row>
    <row r="249" spans="1:23">
      <c r="A249" s="4">
        <f>IF(B249=" "," ",HYPERLINK(CONCATENATE("#metadata!",ADDRESS(INDEX($M$2:$M$1001,MATCH(ROWS($K$2:K249),$K$2:$K$1001,0),0),1)),INDEX($P$2:$P$1001,MATCH(ROWS($K$2:K249),$K$2:$K$1001,0),0)))</f>
        <v>0</v>
      </c>
      <c r="B249" s="3">
        <f>IF(OR(INDEX($L$2:$L$1001,MATCH(ROWS($K$2:K249),$K$2:$K$1001,0),1)&gt;=100000,INDEX($R$1005:$W$1005,1,MATCH(COLUMNS($R$1006:R1006),$R$1006:$W$1006,0))&gt;=100000), " ",IF(INDEX($R$2:$W$1001,MATCH(ROWS($K$2:K249),$K$2:$K$1001,0),MATCH(COLUMNS($R$1006:R1006),$R$1006:$W$1006,0)), HYPERLINK("#",""), HYPERLINK(CONCATENATE("#Metadata!", ADDRESS(INDEX($M$2:$M$1001,MATCH(ROWS($K$2:K249),$K$2:$K$1001,0),0), INDEX($R$1004:$W$1004,1,MATCH(COLUMNS($R$1006:R1006),$R$1006:$W$1006,0)))),"Fix")))</f>
        <v>0</v>
      </c>
      <c r="C249" s="3">
        <f>IF(OR(INDEX($L$2:$L$1001,MATCH(ROWS($K$2:K249),$K$2:$K$1001,0),1)&gt;=100000,INDEX($R$1005:$W$1005,1,MATCH(COLUMNS($R$1006:S1006),$R$1006:$W$1006,0))&gt;=100000), " ",IF(INDEX($R$2:$W$1001,MATCH(ROWS($K$2:K249),$K$2:$K$1001,0),MATCH(COLUMNS($R$1006:S1006),$R$1006:$W$1006,0)), HYPERLINK("#",""), HYPERLINK(CONCATENATE("#Metadata!", ADDRESS(INDEX($M$2:$M$1001,MATCH(ROWS($K$2:K249),$K$2:$K$1001,0),0), INDEX($R$1004:$W$1004,1,MATCH(COLUMNS($R$1006:S1006),$R$1006:$W$1006,0)))),"Fix")))</f>
        <v>0</v>
      </c>
      <c r="D249" s="3">
        <f>IF(OR(INDEX($L$2:$L$1001,MATCH(ROWS($K$2:K249),$K$2:$K$1001,0),1)&gt;=100000,INDEX($R$1005:$W$1005,1,MATCH(COLUMNS($R$1006:T1006),$R$1006:$W$1006,0))&gt;=100000), " ",IF(INDEX($R$2:$W$1001,MATCH(ROWS($K$2:K249),$K$2:$K$1001,0),MATCH(COLUMNS($R$1006:T1006),$R$1006:$W$1006,0)), HYPERLINK("#",""), HYPERLINK(CONCATENATE("#Metadata!", ADDRESS(INDEX($M$2:$M$1001,MATCH(ROWS($K$2:K249),$K$2:$K$1001,0),0), INDEX($R$1004:$W$1004,1,MATCH(COLUMNS($R$1006:T1006),$R$1006:$W$1006,0)))),"Fix")))</f>
        <v>0</v>
      </c>
      <c r="E249" s="3">
        <f>IF(OR(INDEX($L$2:$L$1001,MATCH(ROWS($K$2:K249),$K$2:$K$1001,0),1)&gt;=100000,INDEX($R$1005:$W$1005,1,MATCH(COLUMNS($R$1006:U1006),$R$1006:$W$1006,0))&gt;=100000), " ",IF(INDEX($R$2:$W$1001,MATCH(ROWS($K$2:K249),$K$2:$K$1001,0),MATCH(COLUMNS($R$1006:U1006),$R$1006:$W$1006,0)), HYPERLINK("#",""), HYPERLINK(CONCATENATE("#Metadata!", ADDRESS(INDEX($M$2:$M$1001,MATCH(ROWS($K$2:K249),$K$2:$K$1001,0),0), INDEX($R$1004:$W$1004,1,MATCH(COLUMNS($R$1006:U1006),$R$1006:$W$1006,0)))),"Fix")))</f>
        <v>0</v>
      </c>
      <c r="F249" s="3">
        <f>IF(OR(INDEX($L$2:$L$1001,MATCH(ROWS($K$2:K249),$K$2:$K$1001,0),1)&gt;=100000,INDEX($R$1005:$W$1005,1,MATCH(COLUMNS($R$1006:V1006),$R$1006:$W$1006,0))&gt;=100000), " ",IF(INDEX($R$2:$W$1001,MATCH(ROWS($K$2:K249),$K$2:$K$1001,0),MATCH(COLUMNS($R$1006:V1006),$R$1006:$W$1006,0)), HYPERLINK("#",""), HYPERLINK(CONCATENATE("#Metadata!", ADDRESS(INDEX($M$2:$M$1001,MATCH(ROWS($K$2:K249),$K$2:$K$1001,0),0), INDEX($R$1004:$W$1004,1,MATCH(COLUMNS($R$1006:V1006),$R$1006:$W$1006,0)))),"Fix")))</f>
        <v>0</v>
      </c>
      <c r="G249" s="3">
        <f>IF(OR(INDEX($L$2:$L$1001,MATCH(ROWS($K$2:K249),$K$2:$K$1001,0),1)&gt;=100000,INDEX($R$1005:$W$1005,1,MATCH(COLUMNS($R$1006:W1006),$R$1006:$W$1006,0))&gt;=100000), " ",IF(INDEX($R$2:$W$1001,MATCH(ROWS($K$2:K249),$K$2:$K$1001,0),MATCH(COLUMNS($R$1006:W1006),$R$1006:$W$1006,0)), HYPERLINK("#",""), HYPERLINK(CONCATENATE("#Metadata!", ADDRESS(INDEX($M$2:$M$1001,MATCH(ROWS($K$2:K249),$K$2:$K$1001,0),0), INDEX($R$1004:$W$1004,1,MATCH(COLUMNS($R$1006:W1006),$R$1006:$W$1006,0)))),"Fix")))</f>
        <v>0</v>
      </c>
      <c r="K249">
        <v>0</v>
      </c>
      <c r="L249">
        <v>0</v>
      </c>
      <c r="M249">
        <v>0</v>
      </c>
      <c r="N249">
        <f>IF(O249,TRUE,AND(R249:W249))</f>
        <v>0</v>
      </c>
      <c r="O249">
        <f>COUNTBLANK(Metadata!B249:G249)=COLUMNS(Metadata!B249:G249)</f>
        <v>0</v>
      </c>
      <c r="P249">
        <v>0</v>
      </c>
      <c r="R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S249">
        <f>IF(Metadata!C249="",FALSE,TRUE)</f>
        <v>0</v>
      </c>
      <c r="T249">
        <f>IF(Metadata!D249="",FALSE,TRUE)</f>
        <v>0</v>
      </c>
      <c r="U249">
        <f>IF(Metadata!E249="",FALSE,TRUE)</f>
        <v>0</v>
      </c>
      <c r="V249">
        <f>AND(IF(Metadata!F249="",FALSE,TRUE),exact(Metadata!F249,"rat gut metagenome"))</f>
        <v>0</v>
      </c>
      <c r="W249">
        <f>AND(IF(Metadata!G249="",FALSE,TRUE),exact(Metadata!G249,"1436733"))</f>
        <v>0</v>
      </c>
    </row>
    <row r="250" spans="1:23">
      <c r="A250" s="4">
        <f>IF(B250=" "," ",HYPERLINK(CONCATENATE("#metadata!",ADDRESS(INDEX($M$2:$M$1001,MATCH(ROWS($K$2:K250),$K$2:$K$1001,0),0),1)),INDEX($P$2:$P$1001,MATCH(ROWS($K$2:K250),$K$2:$K$1001,0),0)))</f>
        <v>0</v>
      </c>
      <c r="B250" s="3">
        <f>IF(OR(INDEX($L$2:$L$1001,MATCH(ROWS($K$2:K250),$K$2:$K$1001,0),1)&gt;=100000,INDEX($R$1005:$W$1005,1,MATCH(COLUMNS($R$1006:R1006),$R$1006:$W$1006,0))&gt;=100000), " ",IF(INDEX($R$2:$W$1001,MATCH(ROWS($K$2:K250),$K$2:$K$1001,0),MATCH(COLUMNS($R$1006:R1006),$R$1006:$W$1006,0)), HYPERLINK("#",""), HYPERLINK(CONCATENATE("#Metadata!", ADDRESS(INDEX($M$2:$M$1001,MATCH(ROWS($K$2:K250),$K$2:$K$1001,0),0), INDEX($R$1004:$W$1004,1,MATCH(COLUMNS($R$1006:R1006),$R$1006:$W$1006,0)))),"Fix")))</f>
        <v>0</v>
      </c>
      <c r="C250" s="3">
        <f>IF(OR(INDEX($L$2:$L$1001,MATCH(ROWS($K$2:K250),$K$2:$K$1001,0),1)&gt;=100000,INDEX($R$1005:$W$1005,1,MATCH(COLUMNS($R$1006:S1006),$R$1006:$W$1006,0))&gt;=100000), " ",IF(INDEX($R$2:$W$1001,MATCH(ROWS($K$2:K250),$K$2:$K$1001,0),MATCH(COLUMNS($R$1006:S1006),$R$1006:$W$1006,0)), HYPERLINK("#",""), HYPERLINK(CONCATENATE("#Metadata!", ADDRESS(INDEX($M$2:$M$1001,MATCH(ROWS($K$2:K250),$K$2:$K$1001,0),0), INDEX($R$1004:$W$1004,1,MATCH(COLUMNS($R$1006:S1006),$R$1006:$W$1006,0)))),"Fix")))</f>
        <v>0</v>
      </c>
      <c r="D250" s="3">
        <f>IF(OR(INDEX($L$2:$L$1001,MATCH(ROWS($K$2:K250),$K$2:$K$1001,0),1)&gt;=100000,INDEX($R$1005:$W$1005,1,MATCH(COLUMNS($R$1006:T1006),$R$1006:$W$1006,0))&gt;=100000), " ",IF(INDEX($R$2:$W$1001,MATCH(ROWS($K$2:K250),$K$2:$K$1001,0),MATCH(COLUMNS($R$1006:T1006),$R$1006:$W$1006,0)), HYPERLINK("#",""), HYPERLINK(CONCATENATE("#Metadata!", ADDRESS(INDEX($M$2:$M$1001,MATCH(ROWS($K$2:K250),$K$2:$K$1001,0),0), INDEX($R$1004:$W$1004,1,MATCH(COLUMNS($R$1006:T1006),$R$1006:$W$1006,0)))),"Fix")))</f>
        <v>0</v>
      </c>
      <c r="E250" s="3">
        <f>IF(OR(INDEX($L$2:$L$1001,MATCH(ROWS($K$2:K250),$K$2:$K$1001,0),1)&gt;=100000,INDEX($R$1005:$W$1005,1,MATCH(COLUMNS($R$1006:U1006),$R$1006:$W$1006,0))&gt;=100000), " ",IF(INDEX($R$2:$W$1001,MATCH(ROWS($K$2:K250),$K$2:$K$1001,0),MATCH(COLUMNS($R$1006:U1006),$R$1006:$W$1006,0)), HYPERLINK("#",""), HYPERLINK(CONCATENATE("#Metadata!", ADDRESS(INDEX($M$2:$M$1001,MATCH(ROWS($K$2:K250),$K$2:$K$1001,0),0), INDEX($R$1004:$W$1004,1,MATCH(COLUMNS($R$1006:U1006),$R$1006:$W$1006,0)))),"Fix")))</f>
        <v>0</v>
      </c>
      <c r="F250" s="3">
        <f>IF(OR(INDEX($L$2:$L$1001,MATCH(ROWS($K$2:K250),$K$2:$K$1001,0),1)&gt;=100000,INDEX($R$1005:$W$1005,1,MATCH(COLUMNS($R$1006:V1006),$R$1006:$W$1006,0))&gt;=100000), " ",IF(INDEX($R$2:$W$1001,MATCH(ROWS($K$2:K250),$K$2:$K$1001,0),MATCH(COLUMNS($R$1006:V1006),$R$1006:$W$1006,0)), HYPERLINK("#",""), HYPERLINK(CONCATENATE("#Metadata!", ADDRESS(INDEX($M$2:$M$1001,MATCH(ROWS($K$2:K250),$K$2:$K$1001,0),0), INDEX($R$1004:$W$1004,1,MATCH(COLUMNS($R$1006:V1006),$R$1006:$W$1006,0)))),"Fix")))</f>
        <v>0</v>
      </c>
      <c r="G250" s="3">
        <f>IF(OR(INDEX($L$2:$L$1001,MATCH(ROWS($K$2:K250),$K$2:$K$1001,0),1)&gt;=100000,INDEX($R$1005:$W$1005,1,MATCH(COLUMNS($R$1006:W1006),$R$1006:$W$1006,0))&gt;=100000), " ",IF(INDEX($R$2:$W$1001,MATCH(ROWS($K$2:K250),$K$2:$K$1001,0),MATCH(COLUMNS($R$1006:W1006),$R$1006:$W$1006,0)), HYPERLINK("#",""), HYPERLINK(CONCATENATE("#Metadata!", ADDRESS(INDEX($M$2:$M$1001,MATCH(ROWS($K$2:K250),$K$2:$K$1001,0),0), INDEX($R$1004:$W$1004,1,MATCH(COLUMNS($R$1006:W1006),$R$1006:$W$1006,0)))),"Fix")))</f>
        <v>0</v>
      </c>
      <c r="K250">
        <v>0</v>
      </c>
      <c r="L250">
        <v>0</v>
      </c>
      <c r="M250">
        <v>0</v>
      </c>
      <c r="N250">
        <f>IF(O250,TRUE,AND(R250:W250))</f>
        <v>0</v>
      </c>
      <c r="O250">
        <f>COUNTBLANK(Metadata!B250:G250)=COLUMNS(Metadata!B250:G250)</f>
        <v>0</v>
      </c>
      <c r="P250">
        <v>0</v>
      </c>
      <c r="R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S250">
        <f>IF(Metadata!C250="",FALSE,TRUE)</f>
        <v>0</v>
      </c>
      <c r="T250">
        <f>IF(Metadata!D250="",FALSE,TRUE)</f>
        <v>0</v>
      </c>
      <c r="U250">
        <f>IF(Metadata!E250="",FALSE,TRUE)</f>
        <v>0</v>
      </c>
      <c r="V250">
        <f>AND(IF(Metadata!F250="",FALSE,TRUE),exact(Metadata!F250,"rat gut metagenome"))</f>
        <v>0</v>
      </c>
      <c r="W250">
        <f>AND(IF(Metadata!G250="",FALSE,TRUE),exact(Metadata!G250,"1436733"))</f>
        <v>0</v>
      </c>
    </row>
    <row r="251" spans="1:23">
      <c r="A251" s="4">
        <f>IF(B251=" "," ",HYPERLINK(CONCATENATE("#metadata!",ADDRESS(INDEX($M$2:$M$1001,MATCH(ROWS($K$2:K251),$K$2:$K$1001,0),0),1)),INDEX($P$2:$P$1001,MATCH(ROWS($K$2:K251),$K$2:$K$1001,0),0)))</f>
        <v>0</v>
      </c>
      <c r="B251" s="3">
        <f>IF(OR(INDEX($L$2:$L$1001,MATCH(ROWS($K$2:K251),$K$2:$K$1001,0),1)&gt;=100000,INDEX($R$1005:$W$1005,1,MATCH(COLUMNS($R$1006:R1006),$R$1006:$W$1006,0))&gt;=100000), " ",IF(INDEX($R$2:$W$1001,MATCH(ROWS($K$2:K251),$K$2:$K$1001,0),MATCH(COLUMNS($R$1006:R1006),$R$1006:$W$1006,0)), HYPERLINK("#",""), HYPERLINK(CONCATENATE("#Metadata!", ADDRESS(INDEX($M$2:$M$1001,MATCH(ROWS($K$2:K251),$K$2:$K$1001,0),0), INDEX($R$1004:$W$1004,1,MATCH(COLUMNS($R$1006:R1006),$R$1006:$W$1006,0)))),"Fix")))</f>
        <v>0</v>
      </c>
      <c r="C251" s="3">
        <f>IF(OR(INDEX($L$2:$L$1001,MATCH(ROWS($K$2:K251),$K$2:$K$1001,0),1)&gt;=100000,INDEX($R$1005:$W$1005,1,MATCH(COLUMNS($R$1006:S1006),$R$1006:$W$1006,0))&gt;=100000), " ",IF(INDEX($R$2:$W$1001,MATCH(ROWS($K$2:K251),$K$2:$K$1001,0),MATCH(COLUMNS($R$1006:S1006),$R$1006:$W$1006,0)), HYPERLINK("#",""), HYPERLINK(CONCATENATE("#Metadata!", ADDRESS(INDEX($M$2:$M$1001,MATCH(ROWS($K$2:K251),$K$2:$K$1001,0),0), INDEX($R$1004:$W$1004,1,MATCH(COLUMNS($R$1006:S1006),$R$1006:$W$1006,0)))),"Fix")))</f>
        <v>0</v>
      </c>
      <c r="D251" s="3">
        <f>IF(OR(INDEX($L$2:$L$1001,MATCH(ROWS($K$2:K251),$K$2:$K$1001,0),1)&gt;=100000,INDEX($R$1005:$W$1005,1,MATCH(COLUMNS($R$1006:T1006),$R$1006:$W$1006,0))&gt;=100000), " ",IF(INDEX($R$2:$W$1001,MATCH(ROWS($K$2:K251),$K$2:$K$1001,0),MATCH(COLUMNS($R$1006:T1006),$R$1006:$W$1006,0)), HYPERLINK("#",""), HYPERLINK(CONCATENATE("#Metadata!", ADDRESS(INDEX($M$2:$M$1001,MATCH(ROWS($K$2:K251),$K$2:$K$1001,0),0), INDEX($R$1004:$W$1004,1,MATCH(COLUMNS($R$1006:T1006),$R$1006:$W$1006,0)))),"Fix")))</f>
        <v>0</v>
      </c>
      <c r="E251" s="3">
        <f>IF(OR(INDEX($L$2:$L$1001,MATCH(ROWS($K$2:K251),$K$2:$K$1001,0),1)&gt;=100000,INDEX($R$1005:$W$1005,1,MATCH(COLUMNS($R$1006:U1006),$R$1006:$W$1006,0))&gt;=100000), " ",IF(INDEX($R$2:$W$1001,MATCH(ROWS($K$2:K251),$K$2:$K$1001,0),MATCH(COLUMNS($R$1006:U1006),$R$1006:$W$1006,0)), HYPERLINK("#",""), HYPERLINK(CONCATENATE("#Metadata!", ADDRESS(INDEX($M$2:$M$1001,MATCH(ROWS($K$2:K251),$K$2:$K$1001,0),0), INDEX($R$1004:$W$1004,1,MATCH(COLUMNS($R$1006:U1006),$R$1006:$W$1006,0)))),"Fix")))</f>
        <v>0</v>
      </c>
      <c r="F251" s="3">
        <f>IF(OR(INDEX($L$2:$L$1001,MATCH(ROWS($K$2:K251),$K$2:$K$1001,0),1)&gt;=100000,INDEX($R$1005:$W$1005,1,MATCH(COLUMNS($R$1006:V1006),$R$1006:$W$1006,0))&gt;=100000), " ",IF(INDEX($R$2:$W$1001,MATCH(ROWS($K$2:K251),$K$2:$K$1001,0),MATCH(COLUMNS($R$1006:V1006),$R$1006:$W$1006,0)), HYPERLINK("#",""), HYPERLINK(CONCATENATE("#Metadata!", ADDRESS(INDEX($M$2:$M$1001,MATCH(ROWS($K$2:K251),$K$2:$K$1001,0),0), INDEX($R$1004:$W$1004,1,MATCH(COLUMNS($R$1006:V1006),$R$1006:$W$1006,0)))),"Fix")))</f>
        <v>0</v>
      </c>
      <c r="G251" s="3">
        <f>IF(OR(INDEX($L$2:$L$1001,MATCH(ROWS($K$2:K251),$K$2:$K$1001,0),1)&gt;=100000,INDEX($R$1005:$W$1005,1,MATCH(COLUMNS($R$1006:W1006),$R$1006:$W$1006,0))&gt;=100000), " ",IF(INDEX($R$2:$W$1001,MATCH(ROWS($K$2:K251),$K$2:$K$1001,0),MATCH(COLUMNS($R$1006:W1006),$R$1006:$W$1006,0)), HYPERLINK("#",""), HYPERLINK(CONCATENATE("#Metadata!", ADDRESS(INDEX($M$2:$M$1001,MATCH(ROWS($K$2:K251),$K$2:$K$1001,0),0), INDEX($R$1004:$W$1004,1,MATCH(COLUMNS($R$1006:W1006),$R$1006:$W$1006,0)))),"Fix")))</f>
        <v>0</v>
      </c>
      <c r="K251">
        <v>0</v>
      </c>
      <c r="L251">
        <v>0</v>
      </c>
      <c r="M251">
        <v>0</v>
      </c>
      <c r="N251">
        <f>IF(O251,TRUE,AND(R251:W251))</f>
        <v>0</v>
      </c>
      <c r="O251">
        <f>COUNTBLANK(Metadata!B251:G251)=COLUMNS(Metadata!B251:G251)</f>
        <v>0</v>
      </c>
      <c r="P251">
        <v>0</v>
      </c>
      <c r="R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S251">
        <f>IF(Metadata!C251="",FALSE,TRUE)</f>
        <v>0</v>
      </c>
      <c r="T251">
        <f>IF(Metadata!D251="",FALSE,TRUE)</f>
        <v>0</v>
      </c>
      <c r="U251">
        <f>IF(Metadata!E251="",FALSE,TRUE)</f>
        <v>0</v>
      </c>
      <c r="V251">
        <f>AND(IF(Metadata!F251="",FALSE,TRUE),exact(Metadata!F251,"rat gut metagenome"))</f>
        <v>0</v>
      </c>
      <c r="W251">
        <f>AND(IF(Metadata!G251="",FALSE,TRUE),exact(Metadata!G251,"1436733"))</f>
        <v>0</v>
      </c>
    </row>
    <row r="252" spans="1:23">
      <c r="A252" s="4">
        <f>IF(B252=" "," ",HYPERLINK(CONCATENATE("#metadata!",ADDRESS(INDEX($M$2:$M$1001,MATCH(ROWS($K$2:K252),$K$2:$K$1001,0),0),1)),INDEX($P$2:$P$1001,MATCH(ROWS($K$2:K252),$K$2:$K$1001,0),0)))</f>
        <v>0</v>
      </c>
      <c r="B252" s="3">
        <f>IF(OR(INDEX($L$2:$L$1001,MATCH(ROWS($K$2:K252),$K$2:$K$1001,0),1)&gt;=100000,INDEX($R$1005:$W$1005,1,MATCH(COLUMNS($R$1006:R1006),$R$1006:$W$1006,0))&gt;=100000), " ",IF(INDEX($R$2:$W$1001,MATCH(ROWS($K$2:K252),$K$2:$K$1001,0),MATCH(COLUMNS($R$1006:R1006),$R$1006:$W$1006,0)), HYPERLINK("#",""), HYPERLINK(CONCATENATE("#Metadata!", ADDRESS(INDEX($M$2:$M$1001,MATCH(ROWS($K$2:K252),$K$2:$K$1001,0),0), INDEX($R$1004:$W$1004,1,MATCH(COLUMNS($R$1006:R1006),$R$1006:$W$1006,0)))),"Fix")))</f>
        <v>0</v>
      </c>
      <c r="C252" s="3">
        <f>IF(OR(INDEX($L$2:$L$1001,MATCH(ROWS($K$2:K252),$K$2:$K$1001,0),1)&gt;=100000,INDEX($R$1005:$W$1005,1,MATCH(COLUMNS($R$1006:S1006),$R$1006:$W$1006,0))&gt;=100000), " ",IF(INDEX($R$2:$W$1001,MATCH(ROWS($K$2:K252),$K$2:$K$1001,0),MATCH(COLUMNS($R$1006:S1006),$R$1006:$W$1006,0)), HYPERLINK("#",""), HYPERLINK(CONCATENATE("#Metadata!", ADDRESS(INDEX($M$2:$M$1001,MATCH(ROWS($K$2:K252),$K$2:$K$1001,0),0), INDEX($R$1004:$W$1004,1,MATCH(COLUMNS($R$1006:S1006),$R$1006:$W$1006,0)))),"Fix")))</f>
        <v>0</v>
      </c>
      <c r="D252" s="3">
        <f>IF(OR(INDEX($L$2:$L$1001,MATCH(ROWS($K$2:K252),$K$2:$K$1001,0),1)&gt;=100000,INDEX($R$1005:$W$1005,1,MATCH(COLUMNS($R$1006:T1006),$R$1006:$W$1006,0))&gt;=100000), " ",IF(INDEX($R$2:$W$1001,MATCH(ROWS($K$2:K252),$K$2:$K$1001,0),MATCH(COLUMNS($R$1006:T1006),$R$1006:$W$1006,0)), HYPERLINK("#",""), HYPERLINK(CONCATENATE("#Metadata!", ADDRESS(INDEX($M$2:$M$1001,MATCH(ROWS($K$2:K252),$K$2:$K$1001,0),0), INDEX($R$1004:$W$1004,1,MATCH(COLUMNS($R$1006:T1006),$R$1006:$W$1006,0)))),"Fix")))</f>
        <v>0</v>
      </c>
      <c r="E252" s="3">
        <f>IF(OR(INDEX($L$2:$L$1001,MATCH(ROWS($K$2:K252),$K$2:$K$1001,0),1)&gt;=100000,INDEX($R$1005:$W$1005,1,MATCH(COLUMNS($R$1006:U1006),$R$1006:$W$1006,0))&gt;=100000), " ",IF(INDEX($R$2:$W$1001,MATCH(ROWS($K$2:K252),$K$2:$K$1001,0),MATCH(COLUMNS($R$1006:U1006),$R$1006:$W$1006,0)), HYPERLINK("#",""), HYPERLINK(CONCATENATE("#Metadata!", ADDRESS(INDEX($M$2:$M$1001,MATCH(ROWS($K$2:K252),$K$2:$K$1001,0),0), INDEX($R$1004:$W$1004,1,MATCH(COLUMNS($R$1006:U1006),$R$1006:$W$1006,0)))),"Fix")))</f>
        <v>0</v>
      </c>
      <c r="F252" s="3">
        <f>IF(OR(INDEX($L$2:$L$1001,MATCH(ROWS($K$2:K252),$K$2:$K$1001,0),1)&gt;=100000,INDEX($R$1005:$W$1005,1,MATCH(COLUMNS($R$1006:V1006),$R$1006:$W$1006,0))&gt;=100000), " ",IF(INDEX($R$2:$W$1001,MATCH(ROWS($K$2:K252),$K$2:$K$1001,0),MATCH(COLUMNS($R$1006:V1006),$R$1006:$W$1006,0)), HYPERLINK("#",""), HYPERLINK(CONCATENATE("#Metadata!", ADDRESS(INDEX($M$2:$M$1001,MATCH(ROWS($K$2:K252),$K$2:$K$1001,0),0), INDEX($R$1004:$W$1004,1,MATCH(COLUMNS($R$1006:V1006),$R$1006:$W$1006,0)))),"Fix")))</f>
        <v>0</v>
      </c>
      <c r="G252" s="3">
        <f>IF(OR(INDEX($L$2:$L$1001,MATCH(ROWS($K$2:K252),$K$2:$K$1001,0),1)&gt;=100000,INDEX($R$1005:$W$1005,1,MATCH(COLUMNS($R$1006:W1006),$R$1006:$W$1006,0))&gt;=100000), " ",IF(INDEX($R$2:$W$1001,MATCH(ROWS($K$2:K252),$K$2:$K$1001,0),MATCH(COLUMNS($R$1006:W1006),$R$1006:$W$1006,0)), HYPERLINK("#",""), HYPERLINK(CONCATENATE("#Metadata!", ADDRESS(INDEX($M$2:$M$1001,MATCH(ROWS($K$2:K252),$K$2:$K$1001,0),0), INDEX($R$1004:$W$1004,1,MATCH(COLUMNS($R$1006:W1006),$R$1006:$W$1006,0)))),"Fix")))</f>
        <v>0</v>
      </c>
      <c r="K252">
        <v>0</v>
      </c>
      <c r="L252">
        <v>0</v>
      </c>
      <c r="M252">
        <v>0</v>
      </c>
      <c r="N252">
        <f>IF(O252,TRUE,AND(R252:W252))</f>
        <v>0</v>
      </c>
      <c r="O252">
        <f>COUNTBLANK(Metadata!B252:G252)=COLUMNS(Metadata!B252:G252)</f>
        <v>0</v>
      </c>
      <c r="P252">
        <v>0</v>
      </c>
      <c r="R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S252">
        <f>IF(Metadata!C252="",FALSE,TRUE)</f>
        <v>0</v>
      </c>
      <c r="T252">
        <f>IF(Metadata!D252="",FALSE,TRUE)</f>
        <v>0</v>
      </c>
      <c r="U252">
        <f>IF(Metadata!E252="",FALSE,TRUE)</f>
        <v>0</v>
      </c>
      <c r="V252">
        <f>AND(IF(Metadata!F252="",FALSE,TRUE),exact(Metadata!F252,"rat gut metagenome"))</f>
        <v>0</v>
      </c>
      <c r="W252">
        <f>AND(IF(Metadata!G252="",FALSE,TRUE),exact(Metadata!G252,"1436733"))</f>
        <v>0</v>
      </c>
    </row>
    <row r="253" spans="1:23">
      <c r="A253" s="4">
        <f>IF(B253=" "," ",HYPERLINK(CONCATENATE("#metadata!",ADDRESS(INDEX($M$2:$M$1001,MATCH(ROWS($K$2:K253),$K$2:$K$1001,0),0),1)),INDEX($P$2:$P$1001,MATCH(ROWS($K$2:K253),$K$2:$K$1001,0),0)))</f>
        <v>0</v>
      </c>
      <c r="B253" s="3">
        <f>IF(OR(INDEX($L$2:$L$1001,MATCH(ROWS($K$2:K253),$K$2:$K$1001,0),1)&gt;=100000,INDEX($R$1005:$W$1005,1,MATCH(COLUMNS($R$1006:R1006),$R$1006:$W$1006,0))&gt;=100000), " ",IF(INDEX($R$2:$W$1001,MATCH(ROWS($K$2:K253),$K$2:$K$1001,0),MATCH(COLUMNS($R$1006:R1006),$R$1006:$W$1006,0)), HYPERLINK("#",""), HYPERLINK(CONCATENATE("#Metadata!", ADDRESS(INDEX($M$2:$M$1001,MATCH(ROWS($K$2:K253),$K$2:$K$1001,0),0), INDEX($R$1004:$W$1004,1,MATCH(COLUMNS($R$1006:R1006),$R$1006:$W$1006,0)))),"Fix")))</f>
        <v>0</v>
      </c>
      <c r="C253" s="3">
        <f>IF(OR(INDEX($L$2:$L$1001,MATCH(ROWS($K$2:K253),$K$2:$K$1001,0),1)&gt;=100000,INDEX($R$1005:$W$1005,1,MATCH(COLUMNS($R$1006:S1006),$R$1006:$W$1006,0))&gt;=100000), " ",IF(INDEX($R$2:$W$1001,MATCH(ROWS($K$2:K253),$K$2:$K$1001,0),MATCH(COLUMNS($R$1006:S1006),$R$1006:$W$1006,0)), HYPERLINK("#",""), HYPERLINK(CONCATENATE("#Metadata!", ADDRESS(INDEX($M$2:$M$1001,MATCH(ROWS($K$2:K253),$K$2:$K$1001,0),0), INDEX($R$1004:$W$1004,1,MATCH(COLUMNS($R$1006:S1006),$R$1006:$W$1006,0)))),"Fix")))</f>
        <v>0</v>
      </c>
      <c r="D253" s="3">
        <f>IF(OR(INDEX($L$2:$L$1001,MATCH(ROWS($K$2:K253),$K$2:$K$1001,0),1)&gt;=100000,INDEX($R$1005:$W$1005,1,MATCH(COLUMNS($R$1006:T1006),$R$1006:$W$1006,0))&gt;=100000), " ",IF(INDEX($R$2:$W$1001,MATCH(ROWS($K$2:K253),$K$2:$K$1001,0),MATCH(COLUMNS($R$1006:T1006),$R$1006:$W$1006,0)), HYPERLINK("#",""), HYPERLINK(CONCATENATE("#Metadata!", ADDRESS(INDEX($M$2:$M$1001,MATCH(ROWS($K$2:K253),$K$2:$K$1001,0),0), INDEX($R$1004:$W$1004,1,MATCH(COLUMNS($R$1006:T1006),$R$1006:$W$1006,0)))),"Fix")))</f>
        <v>0</v>
      </c>
      <c r="E253" s="3">
        <f>IF(OR(INDEX($L$2:$L$1001,MATCH(ROWS($K$2:K253),$K$2:$K$1001,0),1)&gt;=100000,INDEX($R$1005:$W$1005,1,MATCH(COLUMNS($R$1006:U1006),$R$1006:$W$1006,0))&gt;=100000), " ",IF(INDEX($R$2:$W$1001,MATCH(ROWS($K$2:K253),$K$2:$K$1001,0),MATCH(COLUMNS($R$1006:U1006),$R$1006:$W$1006,0)), HYPERLINK("#",""), HYPERLINK(CONCATENATE("#Metadata!", ADDRESS(INDEX($M$2:$M$1001,MATCH(ROWS($K$2:K253),$K$2:$K$1001,0),0), INDEX($R$1004:$W$1004,1,MATCH(COLUMNS($R$1006:U1006),$R$1006:$W$1006,0)))),"Fix")))</f>
        <v>0</v>
      </c>
      <c r="F253" s="3">
        <f>IF(OR(INDEX($L$2:$L$1001,MATCH(ROWS($K$2:K253),$K$2:$K$1001,0),1)&gt;=100000,INDEX($R$1005:$W$1005,1,MATCH(COLUMNS($R$1006:V1006),$R$1006:$W$1006,0))&gt;=100000), " ",IF(INDEX($R$2:$W$1001,MATCH(ROWS($K$2:K253),$K$2:$K$1001,0),MATCH(COLUMNS($R$1006:V1006),$R$1006:$W$1006,0)), HYPERLINK("#",""), HYPERLINK(CONCATENATE("#Metadata!", ADDRESS(INDEX($M$2:$M$1001,MATCH(ROWS($K$2:K253),$K$2:$K$1001,0),0), INDEX($R$1004:$W$1004,1,MATCH(COLUMNS($R$1006:V1006),$R$1006:$W$1006,0)))),"Fix")))</f>
        <v>0</v>
      </c>
      <c r="G253" s="3">
        <f>IF(OR(INDEX($L$2:$L$1001,MATCH(ROWS($K$2:K253),$K$2:$K$1001,0),1)&gt;=100000,INDEX($R$1005:$W$1005,1,MATCH(COLUMNS($R$1006:W1006),$R$1006:$W$1006,0))&gt;=100000), " ",IF(INDEX($R$2:$W$1001,MATCH(ROWS($K$2:K253),$K$2:$K$1001,0),MATCH(COLUMNS($R$1006:W1006),$R$1006:$W$1006,0)), HYPERLINK("#",""), HYPERLINK(CONCATENATE("#Metadata!", ADDRESS(INDEX($M$2:$M$1001,MATCH(ROWS($K$2:K253),$K$2:$K$1001,0),0), INDEX($R$1004:$W$1004,1,MATCH(COLUMNS($R$1006:W1006),$R$1006:$W$1006,0)))),"Fix")))</f>
        <v>0</v>
      </c>
      <c r="K253">
        <v>0</v>
      </c>
      <c r="L253">
        <v>0</v>
      </c>
      <c r="M253">
        <v>0</v>
      </c>
      <c r="N253">
        <f>IF(O253,TRUE,AND(R253:W253))</f>
        <v>0</v>
      </c>
      <c r="O253">
        <f>COUNTBLANK(Metadata!B253:G253)=COLUMNS(Metadata!B253:G253)</f>
        <v>0</v>
      </c>
      <c r="P253">
        <v>0</v>
      </c>
      <c r="R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S253">
        <f>IF(Metadata!C253="",FALSE,TRUE)</f>
        <v>0</v>
      </c>
      <c r="T253">
        <f>IF(Metadata!D253="",FALSE,TRUE)</f>
        <v>0</v>
      </c>
      <c r="U253">
        <f>IF(Metadata!E253="",FALSE,TRUE)</f>
        <v>0</v>
      </c>
      <c r="V253">
        <f>AND(IF(Metadata!F253="",FALSE,TRUE),exact(Metadata!F253,"rat gut metagenome"))</f>
        <v>0</v>
      </c>
      <c r="W253">
        <f>AND(IF(Metadata!G253="",FALSE,TRUE),exact(Metadata!G253,"1436733"))</f>
        <v>0</v>
      </c>
    </row>
    <row r="254" spans="1:23">
      <c r="A254" s="4">
        <f>IF(B254=" "," ",HYPERLINK(CONCATENATE("#metadata!",ADDRESS(INDEX($M$2:$M$1001,MATCH(ROWS($K$2:K254),$K$2:$K$1001,0),0),1)),INDEX($P$2:$P$1001,MATCH(ROWS($K$2:K254),$K$2:$K$1001,0),0)))</f>
        <v>0</v>
      </c>
      <c r="B254" s="3">
        <f>IF(OR(INDEX($L$2:$L$1001,MATCH(ROWS($K$2:K254),$K$2:$K$1001,0),1)&gt;=100000,INDEX($R$1005:$W$1005,1,MATCH(COLUMNS($R$1006:R1006),$R$1006:$W$1006,0))&gt;=100000), " ",IF(INDEX($R$2:$W$1001,MATCH(ROWS($K$2:K254),$K$2:$K$1001,0),MATCH(COLUMNS($R$1006:R1006),$R$1006:$W$1006,0)), HYPERLINK("#",""), HYPERLINK(CONCATENATE("#Metadata!", ADDRESS(INDEX($M$2:$M$1001,MATCH(ROWS($K$2:K254),$K$2:$K$1001,0),0), INDEX($R$1004:$W$1004,1,MATCH(COLUMNS($R$1006:R1006),$R$1006:$W$1006,0)))),"Fix")))</f>
        <v>0</v>
      </c>
      <c r="C254" s="3">
        <f>IF(OR(INDEX($L$2:$L$1001,MATCH(ROWS($K$2:K254),$K$2:$K$1001,0),1)&gt;=100000,INDEX($R$1005:$W$1005,1,MATCH(COLUMNS($R$1006:S1006),$R$1006:$W$1006,0))&gt;=100000), " ",IF(INDEX($R$2:$W$1001,MATCH(ROWS($K$2:K254),$K$2:$K$1001,0),MATCH(COLUMNS($R$1006:S1006),$R$1006:$W$1006,0)), HYPERLINK("#",""), HYPERLINK(CONCATENATE("#Metadata!", ADDRESS(INDEX($M$2:$M$1001,MATCH(ROWS($K$2:K254),$K$2:$K$1001,0),0), INDEX($R$1004:$W$1004,1,MATCH(COLUMNS($R$1006:S1006),$R$1006:$W$1006,0)))),"Fix")))</f>
        <v>0</v>
      </c>
      <c r="D254" s="3">
        <f>IF(OR(INDEX($L$2:$L$1001,MATCH(ROWS($K$2:K254),$K$2:$K$1001,0),1)&gt;=100000,INDEX($R$1005:$W$1005,1,MATCH(COLUMNS($R$1006:T1006),$R$1006:$W$1006,0))&gt;=100000), " ",IF(INDEX($R$2:$W$1001,MATCH(ROWS($K$2:K254),$K$2:$K$1001,0),MATCH(COLUMNS($R$1006:T1006),$R$1006:$W$1006,0)), HYPERLINK("#",""), HYPERLINK(CONCATENATE("#Metadata!", ADDRESS(INDEX($M$2:$M$1001,MATCH(ROWS($K$2:K254),$K$2:$K$1001,0),0), INDEX($R$1004:$W$1004,1,MATCH(COLUMNS($R$1006:T1006),$R$1006:$W$1006,0)))),"Fix")))</f>
        <v>0</v>
      </c>
      <c r="E254" s="3">
        <f>IF(OR(INDEX($L$2:$L$1001,MATCH(ROWS($K$2:K254),$K$2:$K$1001,0),1)&gt;=100000,INDEX($R$1005:$W$1005,1,MATCH(COLUMNS($R$1006:U1006),$R$1006:$W$1006,0))&gt;=100000), " ",IF(INDEX($R$2:$W$1001,MATCH(ROWS($K$2:K254),$K$2:$K$1001,0),MATCH(COLUMNS($R$1006:U1006),$R$1006:$W$1006,0)), HYPERLINK("#",""), HYPERLINK(CONCATENATE("#Metadata!", ADDRESS(INDEX($M$2:$M$1001,MATCH(ROWS($K$2:K254),$K$2:$K$1001,0),0), INDEX($R$1004:$W$1004,1,MATCH(COLUMNS($R$1006:U1006),$R$1006:$W$1006,0)))),"Fix")))</f>
        <v>0</v>
      </c>
      <c r="F254" s="3">
        <f>IF(OR(INDEX($L$2:$L$1001,MATCH(ROWS($K$2:K254),$K$2:$K$1001,0),1)&gt;=100000,INDEX($R$1005:$W$1005,1,MATCH(COLUMNS($R$1006:V1006),$R$1006:$W$1006,0))&gt;=100000), " ",IF(INDEX($R$2:$W$1001,MATCH(ROWS($K$2:K254),$K$2:$K$1001,0),MATCH(COLUMNS($R$1006:V1006),$R$1006:$W$1006,0)), HYPERLINK("#",""), HYPERLINK(CONCATENATE("#Metadata!", ADDRESS(INDEX($M$2:$M$1001,MATCH(ROWS($K$2:K254),$K$2:$K$1001,0),0), INDEX($R$1004:$W$1004,1,MATCH(COLUMNS($R$1006:V1006),$R$1006:$W$1006,0)))),"Fix")))</f>
        <v>0</v>
      </c>
      <c r="G254" s="3">
        <f>IF(OR(INDEX($L$2:$L$1001,MATCH(ROWS($K$2:K254),$K$2:$K$1001,0),1)&gt;=100000,INDEX($R$1005:$W$1005,1,MATCH(COLUMNS($R$1006:W1006),$R$1006:$W$1006,0))&gt;=100000), " ",IF(INDEX($R$2:$W$1001,MATCH(ROWS($K$2:K254),$K$2:$K$1001,0),MATCH(COLUMNS($R$1006:W1006),$R$1006:$W$1006,0)), HYPERLINK("#",""), HYPERLINK(CONCATENATE("#Metadata!", ADDRESS(INDEX($M$2:$M$1001,MATCH(ROWS($K$2:K254),$K$2:$K$1001,0),0), INDEX($R$1004:$W$1004,1,MATCH(COLUMNS($R$1006:W1006),$R$1006:$W$1006,0)))),"Fix")))</f>
        <v>0</v>
      </c>
      <c r="K254">
        <v>0</v>
      </c>
      <c r="L254">
        <v>0</v>
      </c>
      <c r="M254">
        <v>0</v>
      </c>
      <c r="N254">
        <f>IF(O254,TRUE,AND(R254:W254))</f>
        <v>0</v>
      </c>
      <c r="O254">
        <f>COUNTBLANK(Metadata!B254:G254)=COLUMNS(Metadata!B254:G254)</f>
        <v>0</v>
      </c>
      <c r="P254">
        <v>0</v>
      </c>
      <c r="R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S254">
        <f>IF(Metadata!C254="",FALSE,TRUE)</f>
        <v>0</v>
      </c>
      <c r="T254">
        <f>IF(Metadata!D254="",FALSE,TRUE)</f>
        <v>0</v>
      </c>
      <c r="U254">
        <f>IF(Metadata!E254="",FALSE,TRUE)</f>
        <v>0</v>
      </c>
      <c r="V254">
        <f>AND(IF(Metadata!F254="",FALSE,TRUE),exact(Metadata!F254,"rat gut metagenome"))</f>
        <v>0</v>
      </c>
      <c r="W254">
        <f>AND(IF(Metadata!G254="",FALSE,TRUE),exact(Metadata!G254,"1436733"))</f>
        <v>0</v>
      </c>
    </row>
    <row r="255" spans="1:23">
      <c r="A255" s="4">
        <f>IF(B255=" "," ",HYPERLINK(CONCATENATE("#metadata!",ADDRESS(INDEX($M$2:$M$1001,MATCH(ROWS($K$2:K255),$K$2:$K$1001,0),0),1)),INDEX($P$2:$P$1001,MATCH(ROWS($K$2:K255),$K$2:$K$1001,0),0)))</f>
        <v>0</v>
      </c>
      <c r="B255" s="3">
        <f>IF(OR(INDEX($L$2:$L$1001,MATCH(ROWS($K$2:K255),$K$2:$K$1001,0),1)&gt;=100000,INDEX($R$1005:$W$1005,1,MATCH(COLUMNS($R$1006:R1006),$R$1006:$W$1006,0))&gt;=100000), " ",IF(INDEX($R$2:$W$1001,MATCH(ROWS($K$2:K255),$K$2:$K$1001,0),MATCH(COLUMNS($R$1006:R1006),$R$1006:$W$1006,0)), HYPERLINK("#",""), HYPERLINK(CONCATENATE("#Metadata!", ADDRESS(INDEX($M$2:$M$1001,MATCH(ROWS($K$2:K255),$K$2:$K$1001,0),0), INDEX($R$1004:$W$1004,1,MATCH(COLUMNS($R$1006:R1006),$R$1006:$W$1006,0)))),"Fix")))</f>
        <v>0</v>
      </c>
      <c r="C255" s="3">
        <f>IF(OR(INDEX($L$2:$L$1001,MATCH(ROWS($K$2:K255),$K$2:$K$1001,0),1)&gt;=100000,INDEX($R$1005:$W$1005,1,MATCH(COLUMNS($R$1006:S1006),$R$1006:$W$1006,0))&gt;=100000), " ",IF(INDEX($R$2:$W$1001,MATCH(ROWS($K$2:K255),$K$2:$K$1001,0),MATCH(COLUMNS($R$1006:S1006),$R$1006:$W$1006,0)), HYPERLINK("#",""), HYPERLINK(CONCATENATE("#Metadata!", ADDRESS(INDEX($M$2:$M$1001,MATCH(ROWS($K$2:K255),$K$2:$K$1001,0),0), INDEX($R$1004:$W$1004,1,MATCH(COLUMNS($R$1006:S1006),$R$1006:$W$1006,0)))),"Fix")))</f>
        <v>0</v>
      </c>
      <c r="D255" s="3">
        <f>IF(OR(INDEX($L$2:$L$1001,MATCH(ROWS($K$2:K255),$K$2:$K$1001,0),1)&gt;=100000,INDEX($R$1005:$W$1005,1,MATCH(COLUMNS($R$1006:T1006),$R$1006:$W$1006,0))&gt;=100000), " ",IF(INDEX($R$2:$W$1001,MATCH(ROWS($K$2:K255),$K$2:$K$1001,0),MATCH(COLUMNS($R$1006:T1006),$R$1006:$W$1006,0)), HYPERLINK("#",""), HYPERLINK(CONCATENATE("#Metadata!", ADDRESS(INDEX($M$2:$M$1001,MATCH(ROWS($K$2:K255),$K$2:$K$1001,0),0), INDEX($R$1004:$W$1004,1,MATCH(COLUMNS($R$1006:T1006),$R$1006:$W$1006,0)))),"Fix")))</f>
        <v>0</v>
      </c>
      <c r="E255" s="3">
        <f>IF(OR(INDEX($L$2:$L$1001,MATCH(ROWS($K$2:K255),$K$2:$K$1001,0),1)&gt;=100000,INDEX($R$1005:$W$1005,1,MATCH(COLUMNS($R$1006:U1006),$R$1006:$W$1006,0))&gt;=100000), " ",IF(INDEX($R$2:$W$1001,MATCH(ROWS($K$2:K255),$K$2:$K$1001,0),MATCH(COLUMNS($R$1006:U1006),$R$1006:$W$1006,0)), HYPERLINK("#",""), HYPERLINK(CONCATENATE("#Metadata!", ADDRESS(INDEX($M$2:$M$1001,MATCH(ROWS($K$2:K255),$K$2:$K$1001,0),0), INDEX($R$1004:$W$1004,1,MATCH(COLUMNS($R$1006:U1006),$R$1006:$W$1006,0)))),"Fix")))</f>
        <v>0</v>
      </c>
      <c r="F255" s="3">
        <f>IF(OR(INDEX($L$2:$L$1001,MATCH(ROWS($K$2:K255),$K$2:$K$1001,0),1)&gt;=100000,INDEX($R$1005:$W$1005,1,MATCH(COLUMNS($R$1006:V1006),$R$1006:$W$1006,0))&gt;=100000), " ",IF(INDEX($R$2:$W$1001,MATCH(ROWS($K$2:K255),$K$2:$K$1001,0),MATCH(COLUMNS($R$1006:V1006),$R$1006:$W$1006,0)), HYPERLINK("#",""), HYPERLINK(CONCATENATE("#Metadata!", ADDRESS(INDEX($M$2:$M$1001,MATCH(ROWS($K$2:K255),$K$2:$K$1001,0),0), INDEX($R$1004:$W$1004,1,MATCH(COLUMNS($R$1006:V1006),$R$1006:$W$1006,0)))),"Fix")))</f>
        <v>0</v>
      </c>
      <c r="G255" s="3">
        <f>IF(OR(INDEX($L$2:$L$1001,MATCH(ROWS($K$2:K255),$K$2:$K$1001,0),1)&gt;=100000,INDEX($R$1005:$W$1005,1,MATCH(COLUMNS($R$1006:W1006),$R$1006:$W$1006,0))&gt;=100000), " ",IF(INDEX($R$2:$W$1001,MATCH(ROWS($K$2:K255),$K$2:$K$1001,0),MATCH(COLUMNS($R$1006:W1006),$R$1006:$W$1006,0)), HYPERLINK("#",""), HYPERLINK(CONCATENATE("#Metadata!", ADDRESS(INDEX($M$2:$M$1001,MATCH(ROWS($K$2:K255),$K$2:$K$1001,0),0), INDEX($R$1004:$W$1004,1,MATCH(COLUMNS($R$1006:W1006),$R$1006:$W$1006,0)))),"Fix")))</f>
        <v>0</v>
      </c>
      <c r="K255">
        <v>0</v>
      </c>
      <c r="L255">
        <v>0</v>
      </c>
      <c r="M255">
        <v>0</v>
      </c>
      <c r="N255">
        <f>IF(O255,TRUE,AND(R255:W255))</f>
        <v>0</v>
      </c>
      <c r="O255">
        <f>COUNTBLANK(Metadata!B255:G255)=COLUMNS(Metadata!B255:G255)</f>
        <v>0</v>
      </c>
      <c r="P255">
        <v>0</v>
      </c>
      <c r="R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S255">
        <f>IF(Metadata!C255="",FALSE,TRUE)</f>
        <v>0</v>
      </c>
      <c r="T255">
        <f>IF(Metadata!D255="",FALSE,TRUE)</f>
        <v>0</v>
      </c>
      <c r="U255">
        <f>IF(Metadata!E255="",FALSE,TRUE)</f>
        <v>0</v>
      </c>
      <c r="V255">
        <f>AND(IF(Metadata!F255="",FALSE,TRUE),exact(Metadata!F255,"rat gut metagenome"))</f>
        <v>0</v>
      </c>
      <c r="W255">
        <f>AND(IF(Metadata!G255="",FALSE,TRUE),exact(Metadata!G255,"1436733"))</f>
        <v>0</v>
      </c>
    </row>
    <row r="256" spans="1:23">
      <c r="A256" s="4">
        <f>IF(B256=" "," ",HYPERLINK(CONCATENATE("#metadata!",ADDRESS(INDEX($M$2:$M$1001,MATCH(ROWS($K$2:K256),$K$2:$K$1001,0),0),1)),INDEX($P$2:$P$1001,MATCH(ROWS($K$2:K256),$K$2:$K$1001,0),0)))</f>
        <v>0</v>
      </c>
      <c r="B256" s="3">
        <f>IF(OR(INDEX($L$2:$L$1001,MATCH(ROWS($K$2:K256),$K$2:$K$1001,0),1)&gt;=100000,INDEX($R$1005:$W$1005,1,MATCH(COLUMNS($R$1006:R1006),$R$1006:$W$1006,0))&gt;=100000), " ",IF(INDEX($R$2:$W$1001,MATCH(ROWS($K$2:K256),$K$2:$K$1001,0),MATCH(COLUMNS($R$1006:R1006),$R$1006:$W$1006,0)), HYPERLINK("#",""), HYPERLINK(CONCATENATE("#Metadata!", ADDRESS(INDEX($M$2:$M$1001,MATCH(ROWS($K$2:K256),$K$2:$K$1001,0),0), INDEX($R$1004:$W$1004,1,MATCH(COLUMNS($R$1006:R1006),$R$1006:$W$1006,0)))),"Fix")))</f>
        <v>0</v>
      </c>
      <c r="C256" s="3">
        <f>IF(OR(INDEX($L$2:$L$1001,MATCH(ROWS($K$2:K256),$K$2:$K$1001,0),1)&gt;=100000,INDEX($R$1005:$W$1005,1,MATCH(COLUMNS($R$1006:S1006),$R$1006:$W$1006,0))&gt;=100000), " ",IF(INDEX($R$2:$W$1001,MATCH(ROWS($K$2:K256),$K$2:$K$1001,0),MATCH(COLUMNS($R$1006:S1006),$R$1006:$W$1006,0)), HYPERLINK("#",""), HYPERLINK(CONCATENATE("#Metadata!", ADDRESS(INDEX($M$2:$M$1001,MATCH(ROWS($K$2:K256),$K$2:$K$1001,0),0), INDEX($R$1004:$W$1004,1,MATCH(COLUMNS($R$1006:S1006),$R$1006:$W$1006,0)))),"Fix")))</f>
        <v>0</v>
      </c>
      <c r="D256" s="3">
        <f>IF(OR(INDEX($L$2:$L$1001,MATCH(ROWS($K$2:K256),$K$2:$K$1001,0),1)&gt;=100000,INDEX($R$1005:$W$1005,1,MATCH(COLUMNS($R$1006:T1006),$R$1006:$W$1006,0))&gt;=100000), " ",IF(INDEX($R$2:$W$1001,MATCH(ROWS($K$2:K256),$K$2:$K$1001,0),MATCH(COLUMNS($R$1006:T1006),$R$1006:$W$1006,0)), HYPERLINK("#",""), HYPERLINK(CONCATENATE("#Metadata!", ADDRESS(INDEX($M$2:$M$1001,MATCH(ROWS($K$2:K256),$K$2:$K$1001,0),0), INDEX($R$1004:$W$1004,1,MATCH(COLUMNS($R$1006:T1006),$R$1006:$W$1006,0)))),"Fix")))</f>
        <v>0</v>
      </c>
      <c r="E256" s="3">
        <f>IF(OR(INDEX($L$2:$L$1001,MATCH(ROWS($K$2:K256),$K$2:$K$1001,0),1)&gt;=100000,INDEX($R$1005:$W$1005,1,MATCH(COLUMNS($R$1006:U1006),$R$1006:$W$1006,0))&gt;=100000), " ",IF(INDEX($R$2:$W$1001,MATCH(ROWS($K$2:K256),$K$2:$K$1001,0),MATCH(COLUMNS($R$1006:U1006),$R$1006:$W$1006,0)), HYPERLINK("#",""), HYPERLINK(CONCATENATE("#Metadata!", ADDRESS(INDEX($M$2:$M$1001,MATCH(ROWS($K$2:K256),$K$2:$K$1001,0),0), INDEX($R$1004:$W$1004,1,MATCH(COLUMNS($R$1006:U1006),$R$1006:$W$1006,0)))),"Fix")))</f>
        <v>0</v>
      </c>
      <c r="F256" s="3">
        <f>IF(OR(INDEX($L$2:$L$1001,MATCH(ROWS($K$2:K256),$K$2:$K$1001,0),1)&gt;=100000,INDEX($R$1005:$W$1005,1,MATCH(COLUMNS($R$1006:V1006),$R$1006:$W$1006,0))&gt;=100000), " ",IF(INDEX($R$2:$W$1001,MATCH(ROWS($K$2:K256),$K$2:$K$1001,0),MATCH(COLUMNS($R$1006:V1006),$R$1006:$W$1006,0)), HYPERLINK("#",""), HYPERLINK(CONCATENATE("#Metadata!", ADDRESS(INDEX($M$2:$M$1001,MATCH(ROWS($K$2:K256),$K$2:$K$1001,0),0), INDEX($R$1004:$W$1004,1,MATCH(COLUMNS($R$1006:V1006),$R$1006:$W$1006,0)))),"Fix")))</f>
        <v>0</v>
      </c>
      <c r="G256" s="3">
        <f>IF(OR(INDEX($L$2:$L$1001,MATCH(ROWS($K$2:K256),$K$2:$K$1001,0),1)&gt;=100000,INDEX($R$1005:$W$1005,1,MATCH(COLUMNS($R$1006:W1006),$R$1006:$W$1006,0))&gt;=100000), " ",IF(INDEX($R$2:$W$1001,MATCH(ROWS($K$2:K256),$K$2:$K$1001,0),MATCH(COLUMNS($R$1006:W1006),$R$1006:$W$1006,0)), HYPERLINK("#",""), HYPERLINK(CONCATENATE("#Metadata!", ADDRESS(INDEX($M$2:$M$1001,MATCH(ROWS($K$2:K256),$K$2:$K$1001,0),0), INDEX($R$1004:$W$1004,1,MATCH(COLUMNS($R$1006:W1006),$R$1006:$W$1006,0)))),"Fix")))</f>
        <v>0</v>
      </c>
      <c r="K256">
        <v>0</v>
      </c>
      <c r="L256">
        <v>0</v>
      </c>
      <c r="M256">
        <v>0</v>
      </c>
      <c r="N256">
        <f>IF(O256,TRUE,AND(R256:W256))</f>
        <v>0</v>
      </c>
      <c r="O256">
        <f>COUNTBLANK(Metadata!B256:G256)=COLUMNS(Metadata!B256:G256)</f>
        <v>0</v>
      </c>
      <c r="P256">
        <v>0</v>
      </c>
      <c r="R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S256">
        <f>IF(Metadata!C256="",FALSE,TRUE)</f>
        <v>0</v>
      </c>
      <c r="T256">
        <f>IF(Metadata!D256="",FALSE,TRUE)</f>
        <v>0</v>
      </c>
      <c r="U256">
        <f>IF(Metadata!E256="",FALSE,TRUE)</f>
        <v>0</v>
      </c>
      <c r="V256">
        <f>AND(IF(Metadata!F256="",FALSE,TRUE),exact(Metadata!F256,"rat gut metagenome"))</f>
        <v>0</v>
      </c>
      <c r="W256">
        <f>AND(IF(Metadata!G256="",FALSE,TRUE),exact(Metadata!G256,"1436733"))</f>
        <v>0</v>
      </c>
    </row>
    <row r="257" spans="1:23">
      <c r="A257" s="4">
        <f>IF(B257=" "," ",HYPERLINK(CONCATENATE("#metadata!",ADDRESS(INDEX($M$2:$M$1001,MATCH(ROWS($K$2:K257),$K$2:$K$1001,0),0),1)),INDEX($P$2:$P$1001,MATCH(ROWS($K$2:K257),$K$2:$K$1001,0),0)))</f>
        <v>0</v>
      </c>
      <c r="B257" s="3">
        <f>IF(OR(INDEX($L$2:$L$1001,MATCH(ROWS($K$2:K257),$K$2:$K$1001,0),1)&gt;=100000,INDEX($R$1005:$W$1005,1,MATCH(COLUMNS($R$1006:R1006),$R$1006:$W$1006,0))&gt;=100000), " ",IF(INDEX($R$2:$W$1001,MATCH(ROWS($K$2:K257),$K$2:$K$1001,0),MATCH(COLUMNS($R$1006:R1006),$R$1006:$W$1006,0)), HYPERLINK("#",""), HYPERLINK(CONCATENATE("#Metadata!", ADDRESS(INDEX($M$2:$M$1001,MATCH(ROWS($K$2:K257),$K$2:$K$1001,0),0), INDEX($R$1004:$W$1004,1,MATCH(COLUMNS($R$1006:R1006),$R$1006:$W$1006,0)))),"Fix")))</f>
        <v>0</v>
      </c>
      <c r="C257" s="3">
        <f>IF(OR(INDEX($L$2:$L$1001,MATCH(ROWS($K$2:K257),$K$2:$K$1001,0),1)&gt;=100000,INDEX($R$1005:$W$1005,1,MATCH(COLUMNS($R$1006:S1006),$R$1006:$W$1006,0))&gt;=100000), " ",IF(INDEX($R$2:$W$1001,MATCH(ROWS($K$2:K257),$K$2:$K$1001,0),MATCH(COLUMNS($R$1006:S1006),$R$1006:$W$1006,0)), HYPERLINK("#",""), HYPERLINK(CONCATENATE("#Metadata!", ADDRESS(INDEX($M$2:$M$1001,MATCH(ROWS($K$2:K257),$K$2:$K$1001,0),0), INDEX($R$1004:$W$1004,1,MATCH(COLUMNS($R$1006:S1006),$R$1006:$W$1006,0)))),"Fix")))</f>
        <v>0</v>
      </c>
      <c r="D257" s="3">
        <f>IF(OR(INDEX($L$2:$L$1001,MATCH(ROWS($K$2:K257),$K$2:$K$1001,0),1)&gt;=100000,INDEX($R$1005:$W$1005,1,MATCH(COLUMNS($R$1006:T1006),$R$1006:$W$1006,0))&gt;=100000), " ",IF(INDEX($R$2:$W$1001,MATCH(ROWS($K$2:K257),$K$2:$K$1001,0),MATCH(COLUMNS($R$1006:T1006),$R$1006:$W$1006,0)), HYPERLINK("#",""), HYPERLINK(CONCATENATE("#Metadata!", ADDRESS(INDEX($M$2:$M$1001,MATCH(ROWS($K$2:K257),$K$2:$K$1001,0),0), INDEX($R$1004:$W$1004,1,MATCH(COLUMNS($R$1006:T1006),$R$1006:$W$1006,0)))),"Fix")))</f>
        <v>0</v>
      </c>
      <c r="E257" s="3">
        <f>IF(OR(INDEX($L$2:$L$1001,MATCH(ROWS($K$2:K257),$K$2:$K$1001,0),1)&gt;=100000,INDEX($R$1005:$W$1005,1,MATCH(COLUMNS($R$1006:U1006),$R$1006:$W$1006,0))&gt;=100000), " ",IF(INDEX($R$2:$W$1001,MATCH(ROWS($K$2:K257),$K$2:$K$1001,0),MATCH(COLUMNS($R$1006:U1006),$R$1006:$W$1006,0)), HYPERLINK("#",""), HYPERLINK(CONCATENATE("#Metadata!", ADDRESS(INDEX($M$2:$M$1001,MATCH(ROWS($K$2:K257),$K$2:$K$1001,0),0), INDEX($R$1004:$W$1004,1,MATCH(COLUMNS($R$1006:U1006),$R$1006:$W$1006,0)))),"Fix")))</f>
        <v>0</v>
      </c>
      <c r="F257" s="3">
        <f>IF(OR(INDEX($L$2:$L$1001,MATCH(ROWS($K$2:K257),$K$2:$K$1001,0),1)&gt;=100000,INDEX($R$1005:$W$1005,1,MATCH(COLUMNS($R$1006:V1006),$R$1006:$W$1006,0))&gt;=100000), " ",IF(INDEX($R$2:$W$1001,MATCH(ROWS($K$2:K257),$K$2:$K$1001,0),MATCH(COLUMNS($R$1006:V1006),$R$1006:$W$1006,0)), HYPERLINK("#",""), HYPERLINK(CONCATENATE("#Metadata!", ADDRESS(INDEX($M$2:$M$1001,MATCH(ROWS($K$2:K257),$K$2:$K$1001,0),0), INDEX($R$1004:$W$1004,1,MATCH(COLUMNS($R$1006:V1006),$R$1006:$W$1006,0)))),"Fix")))</f>
        <v>0</v>
      </c>
      <c r="G257" s="3">
        <f>IF(OR(INDEX($L$2:$L$1001,MATCH(ROWS($K$2:K257),$K$2:$K$1001,0),1)&gt;=100000,INDEX($R$1005:$W$1005,1,MATCH(COLUMNS($R$1006:W1006),$R$1006:$W$1006,0))&gt;=100000), " ",IF(INDEX($R$2:$W$1001,MATCH(ROWS($K$2:K257),$K$2:$K$1001,0),MATCH(COLUMNS($R$1006:W1006),$R$1006:$W$1006,0)), HYPERLINK("#",""), HYPERLINK(CONCATENATE("#Metadata!", ADDRESS(INDEX($M$2:$M$1001,MATCH(ROWS($K$2:K257),$K$2:$K$1001,0),0), INDEX($R$1004:$W$1004,1,MATCH(COLUMNS($R$1006:W1006),$R$1006:$W$1006,0)))),"Fix")))</f>
        <v>0</v>
      </c>
      <c r="K257">
        <v>0</v>
      </c>
      <c r="L257">
        <v>0</v>
      </c>
      <c r="M257">
        <v>0</v>
      </c>
      <c r="N257">
        <f>IF(O257,TRUE,AND(R257:W257))</f>
        <v>0</v>
      </c>
      <c r="O257">
        <f>COUNTBLANK(Metadata!B257:G257)=COLUMNS(Metadata!B257:G257)</f>
        <v>0</v>
      </c>
      <c r="P257">
        <v>0</v>
      </c>
      <c r="R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S257">
        <f>IF(Metadata!C257="",FALSE,TRUE)</f>
        <v>0</v>
      </c>
      <c r="T257">
        <f>IF(Metadata!D257="",FALSE,TRUE)</f>
        <v>0</v>
      </c>
      <c r="U257">
        <f>IF(Metadata!E257="",FALSE,TRUE)</f>
        <v>0</v>
      </c>
      <c r="V257">
        <f>AND(IF(Metadata!F257="",FALSE,TRUE),exact(Metadata!F257,"rat gut metagenome"))</f>
        <v>0</v>
      </c>
      <c r="W257">
        <f>AND(IF(Metadata!G257="",FALSE,TRUE),exact(Metadata!G257,"1436733"))</f>
        <v>0</v>
      </c>
    </row>
    <row r="258" spans="1:23">
      <c r="A258" s="4">
        <f>IF(B258=" "," ",HYPERLINK(CONCATENATE("#metadata!",ADDRESS(INDEX($M$2:$M$1001,MATCH(ROWS($K$2:K258),$K$2:$K$1001,0),0),1)),INDEX($P$2:$P$1001,MATCH(ROWS($K$2:K258),$K$2:$K$1001,0),0)))</f>
        <v>0</v>
      </c>
      <c r="B258" s="3">
        <f>IF(OR(INDEX($L$2:$L$1001,MATCH(ROWS($K$2:K258),$K$2:$K$1001,0),1)&gt;=100000,INDEX($R$1005:$W$1005,1,MATCH(COLUMNS($R$1006:R1006),$R$1006:$W$1006,0))&gt;=100000), " ",IF(INDEX($R$2:$W$1001,MATCH(ROWS($K$2:K258),$K$2:$K$1001,0),MATCH(COLUMNS($R$1006:R1006),$R$1006:$W$1006,0)), HYPERLINK("#",""), HYPERLINK(CONCATENATE("#Metadata!", ADDRESS(INDEX($M$2:$M$1001,MATCH(ROWS($K$2:K258),$K$2:$K$1001,0),0), INDEX($R$1004:$W$1004,1,MATCH(COLUMNS($R$1006:R1006),$R$1006:$W$1006,0)))),"Fix")))</f>
        <v>0</v>
      </c>
      <c r="C258" s="3">
        <f>IF(OR(INDEX($L$2:$L$1001,MATCH(ROWS($K$2:K258),$K$2:$K$1001,0),1)&gt;=100000,INDEX($R$1005:$W$1005,1,MATCH(COLUMNS($R$1006:S1006),$R$1006:$W$1006,0))&gt;=100000), " ",IF(INDEX($R$2:$W$1001,MATCH(ROWS($K$2:K258),$K$2:$K$1001,0),MATCH(COLUMNS($R$1006:S1006),$R$1006:$W$1006,0)), HYPERLINK("#",""), HYPERLINK(CONCATENATE("#Metadata!", ADDRESS(INDEX($M$2:$M$1001,MATCH(ROWS($K$2:K258),$K$2:$K$1001,0),0), INDEX($R$1004:$W$1004,1,MATCH(COLUMNS($R$1006:S1006),$R$1006:$W$1006,0)))),"Fix")))</f>
        <v>0</v>
      </c>
      <c r="D258" s="3">
        <f>IF(OR(INDEX($L$2:$L$1001,MATCH(ROWS($K$2:K258),$K$2:$K$1001,0),1)&gt;=100000,INDEX($R$1005:$W$1005,1,MATCH(COLUMNS($R$1006:T1006),$R$1006:$W$1006,0))&gt;=100000), " ",IF(INDEX($R$2:$W$1001,MATCH(ROWS($K$2:K258),$K$2:$K$1001,0),MATCH(COLUMNS($R$1006:T1006),$R$1006:$W$1006,0)), HYPERLINK("#",""), HYPERLINK(CONCATENATE("#Metadata!", ADDRESS(INDEX($M$2:$M$1001,MATCH(ROWS($K$2:K258),$K$2:$K$1001,0),0), INDEX($R$1004:$W$1004,1,MATCH(COLUMNS($R$1006:T1006),$R$1006:$W$1006,0)))),"Fix")))</f>
        <v>0</v>
      </c>
      <c r="E258" s="3">
        <f>IF(OR(INDEX($L$2:$L$1001,MATCH(ROWS($K$2:K258),$K$2:$K$1001,0),1)&gt;=100000,INDEX($R$1005:$W$1005,1,MATCH(COLUMNS($R$1006:U1006),$R$1006:$W$1006,0))&gt;=100000), " ",IF(INDEX($R$2:$W$1001,MATCH(ROWS($K$2:K258),$K$2:$K$1001,0),MATCH(COLUMNS($R$1006:U1006),$R$1006:$W$1006,0)), HYPERLINK("#",""), HYPERLINK(CONCATENATE("#Metadata!", ADDRESS(INDEX($M$2:$M$1001,MATCH(ROWS($K$2:K258),$K$2:$K$1001,0),0), INDEX($R$1004:$W$1004,1,MATCH(COLUMNS($R$1006:U1006),$R$1006:$W$1006,0)))),"Fix")))</f>
        <v>0</v>
      </c>
      <c r="F258" s="3">
        <f>IF(OR(INDEX($L$2:$L$1001,MATCH(ROWS($K$2:K258),$K$2:$K$1001,0),1)&gt;=100000,INDEX($R$1005:$W$1005,1,MATCH(COLUMNS($R$1006:V1006),$R$1006:$W$1006,0))&gt;=100000), " ",IF(INDEX($R$2:$W$1001,MATCH(ROWS($K$2:K258),$K$2:$K$1001,0),MATCH(COLUMNS($R$1006:V1006),$R$1006:$W$1006,0)), HYPERLINK("#",""), HYPERLINK(CONCATENATE("#Metadata!", ADDRESS(INDEX($M$2:$M$1001,MATCH(ROWS($K$2:K258),$K$2:$K$1001,0),0), INDEX($R$1004:$W$1004,1,MATCH(COLUMNS($R$1006:V1006),$R$1006:$W$1006,0)))),"Fix")))</f>
        <v>0</v>
      </c>
      <c r="G258" s="3">
        <f>IF(OR(INDEX($L$2:$L$1001,MATCH(ROWS($K$2:K258),$K$2:$K$1001,0),1)&gt;=100000,INDEX($R$1005:$W$1005,1,MATCH(COLUMNS($R$1006:W1006),$R$1006:$W$1006,0))&gt;=100000), " ",IF(INDEX($R$2:$W$1001,MATCH(ROWS($K$2:K258),$K$2:$K$1001,0),MATCH(COLUMNS($R$1006:W1006),$R$1006:$W$1006,0)), HYPERLINK("#",""), HYPERLINK(CONCATENATE("#Metadata!", ADDRESS(INDEX($M$2:$M$1001,MATCH(ROWS($K$2:K258),$K$2:$K$1001,0),0), INDEX($R$1004:$W$1004,1,MATCH(COLUMNS($R$1006:W1006),$R$1006:$W$1006,0)))),"Fix")))</f>
        <v>0</v>
      </c>
      <c r="K258">
        <v>0</v>
      </c>
      <c r="L258">
        <v>0</v>
      </c>
      <c r="M258">
        <v>0</v>
      </c>
      <c r="N258">
        <f>IF(O258,TRUE,AND(R258:W258))</f>
        <v>0</v>
      </c>
      <c r="O258">
        <f>COUNTBLANK(Metadata!B258:G258)=COLUMNS(Metadata!B258:G258)</f>
        <v>0</v>
      </c>
      <c r="P258">
        <v>0</v>
      </c>
      <c r="R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S258">
        <f>IF(Metadata!C258="",FALSE,TRUE)</f>
        <v>0</v>
      </c>
      <c r="T258">
        <f>IF(Metadata!D258="",FALSE,TRUE)</f>
        <v>0</v>
      </c>
      <c r="U258">
        <f>IF(Metadata!E258="",FALSE,TRUE)</f>
        <v>0</v>
      </c>
      <c r="V258">
        <f>AND(IF(Metadata!F258="",FALSE,TRUE),exact(Metadata!F258,"rat gut metagenome"))</f>
        <v>0</v>
      </c>
      <c r="W258">
        <f>AND(IF(Metadata!G258="",FALSE,TRUE),exact(Metadata!G258,"1436733"))</f>
        <v>0</v>
      </c>
    </row>
    <row r="259" spans="1:23">
      <c r="A259" s="4">
        <f>IF(B259=" "," ",HYPERLINK(CONCATENATE("#metadata!",ADDRESS(INDEX($M$2:$M$1001,MATCH(ROWS($K$2:K259),$K$2:$K$1001,0),0),1)),INDEX($P$2:$P$1001,MATCH(ROWS($K$2:K259),$K$2:$K$1001,0),0)))</f>
        <v>0</v>
      </c>
      <c r="B259" s="3">
        <f>IF(OR(INDEX($L$2:$L$1001,MATCH(ROWS($K$2:K259),$K$2:$K$1001,0),1)&gt;=100000,INDEX($R$1005:$W$1005,1,MATCH(COLUMNS($R$1006:R1006),$R$1006:$W$1006,0))&gt;=100000), " ",IF(INDEX($R$2:$W$1001,MATCH(ROWS($K$2:K259),$K$2:$K$1001,0),MATCH(COLUMNS($R$1006:R1006),$R$1006:$W$1006,0)), HYPERLINK("#",""), HYPERLINK(CONCATENATE("#Metadata!", ADDRESS(INDEX($M$2:$M$1001,MATCH(ROWS($K$2:K259),$K$2:$K$1001,0),0), INDEX($R$1004:$W$1004,1,MATCH(COLUMNS($R$1006:R1006),$R$1006:$W$1006,0)))),"Fix")))</f>
        <v>0</v>
      </c>
      <c r="C259" s="3">
        <f>IF(OR(INDEX($L$2:$L$1001,MATCH(ROWS($K$2:K259),$K$2:$K$1001,0),1)&gt;=100000,INDEX($R$1005:$W$1005,1,MATCH(COLUMNS($R$1006:S1006),$R$1006:$W$1006,0))&gt;=100000), " ",IF(INDEX($R$2:$W$1001,MATCH(ROWS($K$2:K259),$K$2:$K$1001,0),MATCH(COLUMNS($R$1006:S1006),$R$1006:$W$1006,0)), HYPERLINK("#",""), HYPERLINK(CONCATENATE("#Metadata!", ADDRESS(INDEX($M$2:$M$1001,MATCH(ROWS($K$2:K259),$K$2:$K$1001,0),0), INDEX($R$1004:$W$1004,1,MATCH(COLUMNS($R$1006:S1006),$R$1006:$W$1006,0)))),"Fix")))</f>
        <v>0</v>
      </c>
      <c r="D259" s="3">
        <f>IF(OR(INDEX($L$2:$L$1001,MATCH(ROWS($K$2:K259),$K$2:$K$1001,0),1)&gt;=100000,INDEX($R$1005:$W$1005,1,MATCH(COLUMNS($R$1006:T1006),$R$1006:$W$1006,0))&gt;=100000), " ",IF(INDEX($R$2:$W$1001,MATCH(ROWS($K$2:K259),$K$2:$K$1001,0),MATCH(COLUMNS($R$1006:T1006),$R$1006:$W$1006,0)), HYPERLINK("#",""), HYPERLINK(CONCATENATE("#Metadata!", ADDRESS(INDEX($M$2:$M$1001,MATCH(ROWS($K$2:K259),$K$2:$K$1001,0),0), INDEX($R$1004:$W$1004,1,MATCH(COLUMNS($R$1006:T1006),$R$1006:$W$1006,0)))),"Fix")))</f>
        <v>0</v>
      </c>
      <c r="E259" s="3">
        <f>IF(OR(INDEX($L$2:$L$1001,MATCH(ROWS($K$2:K259),$K$2:$K$1001,0),1)&gt;=100000,INDEX($R$1005:$W$1005,1,MATCH(COLUMNS($R$1006:U1006),$R$1006:$W$1006,0))&gt;=100000), " ",IF(INDEX($R$2:$W$1001,MATCH(ROWS($K$2:K259),$K$2:$K$1001,0),MATCH(COLUMNS($R$1006:U1006),$R$1006:$W$1006,0)), HYPERLINK("#",""), HYPERLINK(CONCATENATE("#Metadata!", ADDRESS(INDEX($M$2:$M$1001,MATCH(ROWS($K$2:K259),$K$2:$K$1001,0),0), INDEX($R$1004:$W$1004,1,MATCH(COLUMNS($R$1006:U1006),$R$1006:$W$1006,0)))),"Fix")))</f>
        <v>0</v>
      </c>
      <c r="F259" s="3">
        <f>IF(OR(INDEX($L$2:$L$1001,MATCH(ROWS($K$2:K259),$K$2:$K$1001,0),1)&gt;=100000,INDEX($R$1005:$W$1005,1,MATCH(COLUMNS($R$1006:V1006),$R$1006:$W$1006,0))&gt;=100000), " ",IF(INDEX($R$2:$W$1001,MATCH(ROWS($K$2:K259),$K$2:$K$1001,0),MATCH(COLUMNS($R$1006:V1006),$R$1006:$W$1006,0)), HYPERLINK("#",""), HYPERLINK(CONCATENATE("#Metadata!", ADDRESS(INDEX($M$2:$M$1001,MATCH(ROWS($K$2:K259),$K$2:$K$1001,0),0), INDEX($R$1004:$W$1004,1,MATCH(COLUMNS($R$1006:V1006),$R$1006:$W$1006,0)))),"Fix")))</f>
        <v>0</v>
      </c>
      <c r="G259" s="3">
        <f>IF(OR(INDEX($L$2:$L$1001,MATCH(ROWS($K$2:K259),$K$2:$K$1001,0),1)&gt;=100000,INDEX($R$1005:$W$1005,1,MATCH(COLUMNS($R$1006:W1006),$R$1006:$W$1006,0))&gt;=100000), " ",IF(INDEX($R$2:$W$1001,MATCH(ROWS($K$2:K259),$K$2:$K$1001,0),MATCH(COLUMNS($R$1006:W1006),$R$1006:$W$1006,0)), HYPERLINK("#",""), HYPERLINK(CONCATENATE("#Metadata!", ADDRESS(INDEX($M$2:$M$1001,MATCH(ROWS($K$2:K259),$K$2:$K$1001,0),0), INDEX($R$1004:$W$1004,1,MATCH(COLUMNS($R$1006:W1006),$R$1006:$W$1006,0)))),"Fix")))</f>
        <v>0</v>
      </c>
      <c r="K259">
        <v>0</v>
      </c>
      <c r="L259">
        <v>0</v>
      </c>
      <c r="M259">
        <v>0</v>
      </c>
      <c r="N259">
        <f>IF(O259,TRUE,AND(R259:W259))</f>
        <v>0</v>
      </c>
      <c r="O259">
        <f>COUNTBLANK(Metadata!B259:G259)=COLUMNS(Metadata!B259:G259)</f>
        <v>0</v>
      </c>
      <c r="P259">
        <v>0</v>
      </c>
      <c r="R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S259">
        <f>IF(Metadata!C259="",FALSE,TRUE)</f>
        <v>0</v>
      </c>
      <c r="T259">
        <f>IF(Metadata!D259="",FALSE,TRUE)</f>
        <v>0</v>
      </c>
      <c r="U259">
        <f>IF(Metadata!E259="",FALSE,TRUE)</f>
        <v>0</v>
      </c>
      <c r="V259">
        <f>AND(IF(Metadata!F259="",FALSE,TRUE),exact(Metadata!F259,"rat gut metagenome"))</f>
        <v>0</v>
      </c>
      <c r="W259">
        <f>AND(IF(Metadata!G259="",FALSE,TRUE),exact(Metadata!G259,"1436733"))</f>
        <v>0</v>
      </c>
    </row>
    <row r="260" spans="1:23">
      <c r="A260" s="4">
        <f>IF(B260=" "," ",HYPERLINK(CONCATENATE("#metadata!",ADDRESS(INDEX($M$2:$M$1001,MATCH(ROWS($K$2:K260),$K$2:$K$1001,0),0),1)),INDEX($P$2:$P$1001,MATCH(ROWS($K$2:K260),$K$2:$K$1001,0),0)))</f>
        <v>0</v>
      </c>
      <c r="B260" s="3">
        <f>IF(OR(INDEX($L$2:$L$1001,MATCH(ROWS($K$2:K260),$K$2:$K$1001,0),1)&gt;=100000,INDEX($R$1005:$W$1005,1,MATCH(COLUMNS($R$1006:R1006),$R$1006:$W$1006,0))&gt;=100000), " ",IF(INDEX($R$2:$W$1001,MATCH(ROWS($K$2:K260),$K$2:$K$1001,0),MATCH(COLUMNS($R$1006:R1006),$R$1006:$W$1006,0)), HYPERLINK("#",""), HYPERLINK(CONCATENATE("#Metadata!", ADDRESS(INDEX($M$2:$M$1001,MATCH(ROWS($K$2:K260),$K$2:$K$1001,0),0), INDEX($R$1004:$W$1004,1,MATCH(COLUMNS($R$1006:R1006),$R$1006:$W$1006,0)))),"Fix")))</f>
        <v>0</v>
      </c>
      <c r="C260" s="3">
        <f>IF(OR(INDEX($L$2:$L$1001,MATCH(ROWS($K$2:K260),$K$2:$K$1001,0),1)&gt;=100000,INDEX($R$1005:$W$1005,1,MATCH(COLUMNS($R$1006:S1006),$R$1006:$W$1006,0))&gt;=100000), " ",IF(INDEX($R$2:$W$1001,MATCH(ROWS($K$2:K260),$K$2:$K$1001,0),MATCH(COLUMNS($R$1006:S1006),$R$1006:$W$1006,0)), HYPERLINK("#",""), HYPERLINK(CONCATENATE("#Metadata!", ADDRESS(INDEX($M$2:$M$1001,MATCH(ROWS($K$2:K260),$K$2:$K$1001,0),0), INDEX($R$1004:$W$1004,1,MATCH(COLUMNS($R$1006:S1006),$R$1006:$W$1006,0)))),"Fix")))</f>
        <v>0</v>
      </c>
      <c r="D260" s="3">
        <f>IF(OR(INDEX($L$2:$L$1001,MATCH(ROWS($K$2:K260),$K$2:$K$1001,0),1)&gt;=100000,INDEX($R$1005:$W$1005,1,MATCH(COLUMNS($R$1006:T1006),$R$1006:$W$1006,0))&gt;=100000), " ",IF(INDEX($R$2:$W$1001,MATCH(ROWS($K$2:K260),$K$2:$K$1001,0),MATCH(COLUMNS($R$1006:T1006),$R$1006:$W$1006,0)), HYPERLINK("#",""), HYPERLINK(CONCATENATE("#Metadata!", ADDRESS(INDEX($M$2:$M$1001,MATCH(ROWS($K$2:K260),$K$2:$K$1001,0),0), INDEX($R$1004:$W$1004,1,MATCH(COLUMNS($R$1006:T1006),$R$1006:$W$1006,0)))),"Fix")))</f>
        <v>0</v>
      </c>
      <c r="E260" s="3">
        <f>IF(OR(INDEX($L$2:$L$1001,MATCH(ROWS($K$2:K260),$K$2:$K$1001,0),1)&gt;=100000,INDEX($R$1005:$W$1005,1,MATCH(COLUMNS($R$1006:U1006),$R$1006:$W$1006,0))&gt;=100000), " ",IF(INDEX($R$2:$W$1001,MATCH(ROWS($K$2:K260),$K$2:$K$1001,0),MATCH(COLUMNS($R$1006:U1006),$R$1006:$W$1006,0)), HYPERLINK("#",""), HYPERLINK(CONCATENATE("#Metadata!", ADDRESS(INDEX($M$2:$M$1001,MATCH(ROWS($K$2:K260),$K$2:$K$1001,0),0), INDEX($R$1004:$W$1004,1,MATCH(COLUMNS($R$1006:U1006),$R$1006:$W$1006,0)))),"Fix")))</f>
        <v>0</v>
      </c>
      <c r="F260" s="3">
        <f>IF(OR(INDEX($L$2:$L$1001,MATCH(ROWS($K$2:K260),$K$2:$K$1001,0),1)&gt;=100000,INDEX($R$1005:$W$1005,1,MATCH(COLUMNS($R$1006:V1006),$R$1006:$W$1006,0))&gt;=100000), " ",IF(INDEX($R$2:$W$1001,MATCH(ROWS($K$2:K260),$K$2:$K$1001,0),MATCH(COLUMNS($R$1006:V1006),$R$1006:$W$1006,0)), HYPERLINK("#",""), HYPERLINK(CONCATENATE("#Metadata!", ADDRESS(INDEX($M$2:$M$1001,MATCH(ROWS($K$2:K260),$K$2:$K$1001,0),0), INDEX($R$1004:$W$1004,1,MATCH(COLUMNS($R$1006:V1006),$R$1006:$W$1006,0)))),"Fix")))</f>
        <v>0</v>
      </c>
      <c r="G260" s="3">
        <f>IF(OR(INDEX($L$2:$L$1001,MATCH(ROWS($K$2:K260),$K$2:$K$1001,0),1)&gt;=100000,INDEX($R$1005:$W$1005,1,MATCH(COLUMNS($R$1006:W1006),$R$1006:$W$1006,0))&gt;=100000), " ",IF(INDEX($R$2:$W$1001,MATCH(ROWS($K$2:K260),$K$2:$K$1001,0),MATCH(COLUMNS($R$1006:W1006),$R$1006:$W$1006,0)), HYPERLINK("#",""), HYPERLINK(CONCATENATE("#Metadata!", ADDRESS(INDEX($M$2:$M$1001,MATCH(ROWS($K$2:K260),$K$2:$K$1001,0),0), INDEX($R$1004:$W$1004,1,MATCH(COLUMNS($R$1006:W1006),$R$1006:$W$1006,0)))),"Fix")))</f>
        <v>0</v>
      </c>
      <c r="K260">
        <v>0</v>
      </c>
      <c r="L260">
        <v>0</v>
      </c>
      <c r="M260">
        <v>0</v>
      </c>
      <c r="N260">
        <f>IF(O260,TRUE,AND(R260:W260))</f>
        <v>0</v>
      </c>
      <c r="O260">
        <f>COUNTBLANK(Metadata!B260:G260)=COLUMNS(Metadata!B260:G260)</f>
        <v>0</v>
      </c>
      <c r="P260">
        <v>0</v>
      </c>
      <c r="R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S260">
        <f>IF(Metadata!C260="",FALSE,TRUE)</f>
        <v>0</v>
      </c>
      <c r="T260">
        <f>IF(Metadata!D260="",FALSE,TRUE)</f>
        <v>0</v>
      </c>
      <c r="U260">
        <f>IF(Metadata!E260="",FALSE,TRUE)</f>
        <v>0</v>
      </c>
      <c r="V260">
        <f>AND(IF(Metadata!F260="",FALSE,TRUE),exact(Metadata!F260,"rat gut metagenome"))</f>
        <v>0</v>
      </c>
      <c r="W260">
        <f>AND(IF(Metadata!G260="",FALSE,TRUE),exact(Metadata!G260,"1436733"))</f>
        <v>0</v>
      </c>
    </row>
    <row r="261" spans="1:23">
      <c r="A261" s="4">
        <f>IF(B261=" "," ",HYPERLINK(CONCATENATE("#metadata!",ADDRESS(INDEX($M$2:$M$1001,MATCH(ROWS($K$2:K261),$K$2:$K$1001,0),0),1)),INDEX($P$2:$P$1001,MATCH(ROWS($K$2:K261),$K$2:$K$1001,0),0)))</f>
        <v>0</v>
      </c>
      <c r="B261" s="3">
        <f>IF(OR(INDEX($L$2:$L$1001,MATCH(ROWS($K$2:K261),$K$2:$K$1001,0),1)&gt;=100000,INDEX($R$1005:$W$1005,1,MATCH(COLUMNS($R$1006:R1006),$R$1006:$W$1006,0))&gt;=100000), " ",IF(INDEX($R$2:$W$1001,MATCH(ROWS($K$2:K261),$K$2:$K$1001,0),MATCH(COLUMNS($R$1006:R1006),$R$1006:$W$1006,0)), HYPERLINK("#",""), HYPERLINK(CONCATENATE("#Metadata!", ADDRESS(INDEX($M$2:$M$1001,MATCH(ROWS($K$2:K261),$K$2:$K$1001,0),0), INDEX($R$1004:$W$1004,1,MATCH(COLUMNS($R$1006:R1006),$R$1006:$W$1006,0)))),"Fix")))</f>
        <v>0</v>
      </c>
      <c r="C261" s="3">
        <f>IF(OR(INDEX($L$2:$L$1001,MATCH(ROWS($K$2:K261),$K$2:$K$1001,0),1)&gt;=100000,INDEX($R$1005:$W$1005,1,MATCH(COLUMNS($R$1006:S1006),$R$1006:$W$1006,0))&gt;=100000), " ",IF(INDEX($R$2:$W$1001,MATCH(ROWS($K$2:K261),$K$2:$K$1001,0),MATCH(COLUMNS($R$1006:S1006),$R$1006:$W$1006,0)), HYPERLINK("#",""), HYPERLINK(CONCATENATE("#Metadata!", ADDRESS(INDEX($M$2:$M$1001,MATCH(ROWS($K$2:K261),$K$2:$K$1001,0),0), INDEX($R$1004:$W$1004,1,MATCH(COLUMNS($R$1006:S1006),$R$1006:$W$1006,0)))),"Fix")))</f>
        <v>0</v>
      </c>
      <c r="D261" s="3">
        <f>IF(OR(INDEX($L$2:$L$1001,MATCH(ROWS($K$2:K261),$K$2:$K$1001,0),1)&gt;=100000,INDEX($R$1005:$W$1005,1,MATCH(COLUMNS($R$1006:T1006),$R$1006:$W$1006,0))&gt;=100000), " ",IF(INDEX($R$2:$W$1001,MATCH(ROWS($K$2:K261),$K$2:$K$1001,0),MATCH(COLUMNS($R$1006:T1006),$R$1006:$W$1006,0)), HYPERLINK("#",""), HYPERLINK(CONCATENATE("#Metadata!", ADDRESS(INDEX($M$2:$M$1001,MATCH(ROWS($K$2:K261),$K$2:$K$1001,0),0), INDEX($R$1004:$W$1004,1,MATCH(COLUMNS($R$1006:T1006),$R$1006:$W$1006,0)))),"Fix")))</f>
        <v>0</v>
      </c>
      <c r="E261" s="3">
        <f>IF(OR(INDEX($L$2:$L$1001,MATCH(ROWS($K$2:K261),$K$2:$K$1001,0),1)&gt;=100000,INDEX($R$1005:$W$1005,1,MATCH(COLUMNS($R$1006:U1006),$R$1006:$W$1006,0))&gt;=100000), " ",IF(INDEX($R$2:$W$1001,MATCH(ROWS($K$2:K261),$K$2:$K$1001,0),MATCH(COLUMNS($R$1006:U1006),$R$1006:$W$1006,0)), HYPERLINK("#",""), HYPERLINK(CONCATENATE("#Metadata!", ADDRESS(INDEX($M$2:$M$1001,MATCH(ROWS($K$2:K261),$K$2:$K$1001,0),0), INDEX($R$1004:$W$1004,1,MATCH(COLUMNS($R$1006:U1006),$R$1006:$W$1006,0)))),"Fix")))</f>
        <v>0</v>
      </c>
      <c r="F261" s="3">
        <f>IF(OR(INDEX($L$2:$L$1001,MATCH(ROWS($K$2:K261),$K$2:$K$1001,0),1)&gt;=100000,INDEX($R$1005:$W$1005,1,MATCH(COLUMNS($R$1006:V1006),$R$1006:$W$1006,0))&gt;=100000), " ",IF(INDEX($R$2:$W$1001,MATCH(ROWS($K$2:K261),$K$2:$K$1001,0),MATCH(COLUMNS($R$1006:V1006),$R$1006:$W$1006,0)), HYPERLINK("#",""), HYPERLINK(CONCATENATE("#Metadata!", ADDRESS(INDEX($M$2:$M$1001,MATCH(ROWS($K$2:K261),$K$2:$K$1001,0),0), INDEX($R$1004:$W$1004,1,MATCH(COLUMNS($R$1006:V1006),$R$1006:$W$1006,0)))),"Fix")))</f>
        <v>0</v>
      </c>
      <c r="G261" s="3">
        <f>IF(OR(INDEX($L$2:$L$1001,MATCH(ROWS($K$2:K261),$K$2:$K$1001,0),1)&gt;=100000,INDEX($R$1005:$W$1005,1,MATCH(COLUMNS($R$1006:W1006),$R$1006:$W$1006,0))&gt;=100000), " ",IF(INDEX($R$2:$W$1001,MATCH(ROWS($K$2:K261),$K$2:$K$1001,0),MATCH(COLUMNS($R$1006:W1006),$R$1006:$W$1006,0)), HYPERLINK("#",""), HYPERLINK(CONCATENATE("#Metadata!", ADDRESS(INDEX($M$2:$M$1001,MATCH(ROWS($K$2:K261),$K$2:$K$1001,0),0), INDEX($R$1004:$W$1004,1,MATCH(COLUMNS($R$1006:W1006),$R$1006:$W$1006,0)))),"Fix")))</f>
        <v>0</v>
      </c>
      <c r="K261">
        <v>0</v>
      </c>
      <c r="L261">
        <v>0</v>
      </c>
      <c r="M261">
        <v>0</v>
      </c>
      <c r="N261">
        <f>IF(O261,TRUE,AND(R261:W261))</f>
        <v>0</v>
      </c>
      <c r="O261">
        <f>COUNTBLANK(Metadata!B261:G261)=COLUMNS(Metadata!B261:G261)</f>
        <v>0</v>
      </c>
      <c r="P261">
        <v>0</v>
      </c>
      <c r="R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S261">
        <f>IF(Metadata!C261="",FALSE,TRUE)</f>
        <v>0</v>
      </c>
      <c r="T261">
        <f>IF(Metadata!D261="",FALSE,TRUE)</f>
        <v>0</v>
      </c>
      <c r="U261">
        <f>IF(Metadata!E261="",FALSE,TRUE)</f>
        <v>0</v>
      </c>
      <c r="V261">
        <f>AND(IF(Metadata!F261="",FALSE,TRUE),exact(Metadata!F261,"rat gut metagenome"))</f>
        <v>0</v>
      </c>
      <c r="W261">
        <f>AND(IF(Metadata!G261="",FALSE,TRUE),exact(Metadata!G261,"1436733"))</f>
        <v>0</v>
      </c>
    </row>
    <row r="262" spans="1:23">
      <c r="A262" s="4">
        <f>IF(B262=" "," ",HYPERLINK(CONCATENATE("#metadata!",ADDRESS(INDEX($M$2:$M$1001,MATCH(ROWS($K$2:K262),$K$2:$K$1001,0),0),1)),INDEX($P$2:$P$1001,MATCH(ROWS($K$2:K262),$K$2:$K$1001,0),0)))</f>
        <v>0</v>
      </c>
      <c r="B262" s="3">
        <f>IF(OR(INDEX($L$2:$L$1001,MATCH(ROWS($K$2:K262),$K$2:$K$1001,0),1)&gt;=100000,INDEX($R$1005:$W$1005,1,MATCH(COLUMNS($R$1006:R1006),$R$1006:$W$1006,0))&gt;=100000), " ",IF(INDEX($R$2:$W$1001,MATCH(ROWS($K$2:K262),$K$2:$K$1001,0),MATCH(COLUMNS($R$1006:R1006),$R$1006:$W$1006,0)), HYPERLINK("#",""), HYPERLINK(CONCATENATE("#Metadata!", ADDRESS(INDEX($M$2:$M$1001,MATCH(ROWS($K$2:K262),$K$2:$K$1001,0),0), INDEX($R$1004:$W$1004,1,MATCH(COLUMNS($R$1006:R1006),$R$1006:$W$1006,0)))),"Fix")))</f>
        <v>0</v>
      </c>
      <c r="C262" s="3">
        <f>IF(OR(INDEX($L$2:$L$1001,MATCH(ROWS($K$2:K262),$K$2:$K$1001,0),1)&gt;=100000,INDEX($R$1005:$W$1005,1,MATCH(COLUMNS($R$1006:S1006),$R$1006:$W$1006,0))&gt;=100000), " ",IF(INDEX($R$2:$W$1001,MATCH(ROWS($K$2:K262),$K$2:$K$1001,0),MATCH(COLUMNS($R$1006:S1006),$R$1006:$W$1006,0)), HYPERLINK("#",""), HYPERLINK(CONCATENATE("#Metadata!", ADDRESS(INDEX($M$2:$M$1001,MATCH(ROWS($K$2:K262),$K$2:$K$1001,0),0), INDEX($R$1004:$W$1004,1,MATCH(COLUMNS($R$1006:S1006),$R$1006:$W$1006,0)))),"Fix")))</f>
        <v>0</v>
      </c>
      <c r="D262" s="3">
        <f>IF(OR(INDEX($L$2:$L$1001,MATCH(ROWS($K$2:K262),$K$2:$K$1001,0),1)&gt;=100000,INDEX($R$1005:$W$1005,1,MATCH(COLUMNS($R$1006:T1006),$R$1006:$W$1006,0))&gt;=100000), " ",IF(INDEX($R$2:$W$1001,MATCH(ROWS($K$2:K262),$K$2:$K$1001,0),MATCH(COLUMNS($R$1006:T1006),$R$1006:$W$1006,0)), HYPERLINK("#",""), HYPERLINK(CONCATENATE("#Metadata!", ADDRESS(INDEX($M$2:$M$1001,MATCH(ROWS($K$2:K262),$K$2:$K$1001,0),0), INDEX($R$1004:$W$1004,1,MATCH(COLUMNS($R$1006:T1006),$R$1006:$W$1006,0)))),"Fix")))</f>
        <v>0</v>
      </c>
      <c r="E262" s="3">
        <f>IF(OR(INDEX($L$2:$L$1001,MATCH(ROWS($K$2:K262),$K$2:$K$1001,0),1)&gt;=100000,INDEX($R$1005:$W$1005,1,MATCH(COLUMNS($R$1006:U1006),$R$1006:$W$1006,0))&gt;=100000), " ",IF(INDEX($R$2:$W$1001,MATCH(ROWS($K$2:K262),$K$2:$K$1001,0),MATCH(COLUMNS($R$1006:U1006),$R$1006:$W$1006,0)), HYPERLINK("#",""), HYPERLINK(CONCATENATE("#Metadata!", ADDRESS(INDEX($M$2:$M$1001,MATCH(ROWS($K$2:K262),$K$2:$K$1001,0),0), INDEX($R$1004:$W$1004,1,MATCH(COLUMNS($R$1006:U1006),$R$1006:$W$1006,0)))),"Fix")))</f>
        <v>0</v>
      </c>
      <c r="F262" s="3">
        <f>IF(OR(INDEX($L$2:$L$1001,MATCH(ROWS($K$2:K262),$K$2:$K$1001,0),1)&gt;=100000,INDEX($R$1005:$W$1005,1,MATCH(COLUMNS($R$1006:V1006),$R$1006:$W$1006,0))&gt;=100000), " ",IF(INDEX($R$2:$W$1001,MATCH(ROWS($K$2:K262),$K$2:$K$1001,0),MATCH(COLUMNS($R$1006:V1006),$R$1006:$W$1006,0)), HYPERLINK("#",""), HYPERLINK(CONCATENATE("#Metadata!", ADDRESS(INDEX($M$2:$M$1001,MATCH(ROWS($K$2:K262),$K$2:$K$1001,0),0), INDEX($R$1004:$W$1004,1,MATCH(COLUMNS($R$1006:V1006),$R$1006:$W$1006,0)))),"Fix")))</f>
        <v>0</v>
      </c>
      <c r="G262" s="3">
        <f>IF(OR(INDEX($L$2:$L$1001,MATCH(ROWS($K$2:K262),$K$2:$K$1001,0),1)&gt;=100000,INDEX($R$1005:$W$1005,1,MATCH(COLUMNS($R$1006:W1006),$R$1006:$W$1006,0))&gt;=100000), " ",IF(INDEX($R$2:$W$1001,MATCH(ROWS($K$2:K262),$K$2:$K$1001,0),MATCH(COLUMNS($R$1006:W1006),$R$1006:$W$1006,0)), HYPERLINK("#",""), HYPERLINK(CONCATENATE("#Metadata!", ADDRESS(INDEX($M$2:$M$1001,MATCH(ROWS($K$2:K262),$K$2:$K$1001,0),0), INDEX($R$1004:$W$1004,1,MATCH(COLUMNS($R$1006:W1006),$R$1006:$W$1006,0)))),"Fix")))</f>
        <v>0</v>
      </c>
      <c r="K262">
        <v>0</v>
      </c>
      <c r="L262">
        <v>0</v>
      </c>
      <c r="M262">
        <v>0</v>
      </c>
      <c r="N262">
        <f>IF(O262,TRUE,AND(R262:W262))</f>
        <v>0</v>
      </c>
      <c r="O262">
        <f>COUNTBLANK(Metadata!B262:G262)=COLUMNS(Metadata!B262:G262)</f>
        <v>0</v>
      </c>
      <c r="P262">
        <v>0</v>
      </c>
      <c r="R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S262">
        <f>IF(Metadata!C262="",FALSE,TRUE)</f>
        <v>0</v>
      </c>
      <c r="T262">
        <f>IF(Metadata!D262="",FALSE,TRUE)</f>
        <v>0</v>
      </c>
      <c r="U262">
        <f>IF(Metadata!E262="",FALSE,TRUE)</f>
        <v>0</v>
      </c>
      <c r="V262">
        <f>AND(IF(Metadata!F262="",FALSE,TRUE),exact(Metadata!F262,"rat gut metagenome"))</f>
        <v>0</v>
      </c>
      <c r="W262">
        <f>AND(IF(Metadata!G262="",FALSE,TRUE),exact(Metadata!G262,"1436733"))</f>
        <v>0</v>
      </c>
    </row>
    <row r="263" spans="1:23">
      <c r="A263" s="4">
        <f>IF(B263=" "," ",HYPERLINK(CONCATENATE("#metadata!",ADDRESS(INDEX($M$2:$M$1001,MATCH(ROWS($K$2:K263),$K$2:$K$1001,0),0),1)),INDEX($P$2:$P$1001,MATCH(ROWS($K$2:K263),$K$2:$K$1001,0),0)))</f>
        <v>0</v>
      </c>
      <c r="B263" s="3">
        <f>IF(OR(INDEX($L$2:$L$1001,MATCH(ROWS($K$2:K263),$K$2:$K$1001,0),1)&gt;=100000,INDEX($R$1005:$W$1005,1,MATCH(COLUMNS($R$1006:R1006),$R$1006:$W$1006,0))&gt;=100000), " ",IF(INDEX($R$2:$W$1001,MATCH(ROWS($K$2:K263),$K$2:$K$1001,0),MATCH(COLUMNS($R$1006:R1006),$R$1006:$W$1006,0)), HYPERLINK("#",""), HYPERLINK(CONCATENATE("#Metadata!", ADDRESS(INDEX($M$2:$M$1001,MATCH(ROWS($K$2:K263),$K$2:$K$1001,0),0), INDEX($R$1004:$W$1004,1,MATCH(COLUMNS($R$1006:R1006),$R$1006:$W$1006,0)))),"Fix")))</f>
        <v>0</v>
      </c>
      <c r="C263" s="3">
        <f>IF(OR(INDEX($L$2:$L$1001,MATCH(ROWS($K$2:K263),$K$2:$K$1001,0),1)&gt;=100000,INDEX($R$1005:$W$1005,1,MATCH(COLUMNS($R$1006:S1006),$R$1006:$W$1006,0))&gt;=100000), " ",IF(INDEX($R$2:$W$1001,MATCH(ROWS($K$2:K263),$K$2:$K$1001,0),MATCH(COLUMNS($R$1006:S1006),$R$1006:$W$1006,0)), HYPERLINK("#",""), HYPERLINK(CONCATENATE("#Metadata!", ADDRESS(INDEX($M$2:$M$1001,MATCH(ROWS($K$2:K263),$K$2:$K$1001,0),0), INDEX($R$1004:$W$1004,1,MATCH(COLUMNS($R$1006:S1006),$R$1006:$W$1006,0)))),"Fix")))</f>
        <v>0</v>
      </c>
      <c r="D263" s="3">
        <f>IF(OR(INDEX($L$2:$L$1001,MATCH(ROWS($K$2:K263),$K$2:$K$1001,0),1)&gt;=100000,INDEX($R$1005:$W$1005,1,MATCH(COLUMNS($R$1006:T1006),$R$1006:$W$1006,0))&gt;=100000), " ",IF(INDEX($R$2:$W$1001,MATCH(ROWS($K$2:K263),$K$2:$K$1001,0),MATCH(COLUMNS($R$1006:T1006),$R$1006:$W$1006,0)), HYPERLINK("#",""), HYPERLINK(CONCATENATE("#Metadata!", ADDRESS(INDEX($M$2:$M$1001,MATCH(ROWS($K$2:K263),$K$2:$K$1001,0),0), INDEX($R$1004:$W$1004,1,MATCH(COLUMNS($R$1006:T1006),$R$1006:$W$1006,0)))),"Fix")))</f>
        <v>0</v>
      </c>
      <c r="E263" s="3">
        <f>IF(OR(INDEX($L$2:$L$1001,MATCH(ROWS($K$2:K263),$K$2:$K$1001,0),1)&gt;=100000,INDEX($R$1005:$W$1005,1,MATCH(COLUMNS($R$1006:U1006),$R$1006:$W$1006,0))&gt;=100000), " ",IF(INDEX($R$2:$W$1001,MATCH(ROWS($K$2:K263),$K$2:$K$1001,0),MATCH(COLUMNS($R$1006:U1006),$R$1006:$W$1006,0)), HYPERLINK("#",""), HYPERLINK(CONCATENATE("#Metadata!", ADDRESS(INDEX($M$2:$M$1001,MATCH(ROWS($K$2:K263),$K$2:$K$1001,0),0), INDEX($R$1004:$W$1004,1,MATCH(COLUMNS($R$1006:U1006),$R$1006:$W$1006,0)))),"Fix")))</f>
        <v>0</v>
      </c>
      <c r="F263" s="3">
        <f>IF(OR(INDEX($L$2:$L$1001,MATCH(ROWS($K$2:K263),$K$2:$K$1001,0),1)&gt;=100000,INDEX($R$1005:$W$1005,1,MATCH(COLUMNS($R$1006:V1006),$R$1006:$W$1006,0))&gt;=100000), " ",IF(INDEX($R$2:$W$1001,MATCH(ROWS($K$2:K263),$K$2:$K$1001,0),MATCH(COLUMNS($R$1006:V1006),$R$1006:$W$1006,0)), HYPERLINK("#",""), HYPERLINK(CONCATENATE("#Metadata!", ADDRESS(INDEX($M$2:$M$1001,MATCH(ROWS($K$2:K263),$K$2:$K$1001,0),0), INDEX($R$1004:$W$1004,1,MATCH(COLUMNS($R$1006:V1006),$R$1006:$W$1006,0)))),"Fix")))</f>
        <v>0</v>
      </c>
      <c r="G263" s="3">
        <f>IF(OR(INDEX($L$2:$L$1001,MATCH(ROWS($K$2:K263),$K$2:$K$1001,0),1)&gt;=100000,INDEX($R$1005:$W$1005,1,MATCH(COLUMNS($R$1006:W1006),$R$1006:$W$1006,0))&gt;=100000), " ",IF(INDEX($R$2:$W$1001,MATCH(ROWS($K$2:K263),$K$2:$K$1001,0),MATCH(COLUMNS($R$1006:W1006),$R$1006:$W$1006,0)), HYPERLINK("#",""), HYPERLINK(CONCATENATE("#Metadata!", ADDRESS(INDEX($M$2:$M$1001,MATCH(ROWS($K$2:K263),$K$2:$K$1001,0),0), INDEX($R$1004:$W$1004,1,MATCH(COLUMNS($R$1006:W1006),$R$1006:$W$1006,0)))),"Fix")))</f>
        <v>0</v>
      </c>
      <c r="K263">
        <v>0</v>
      </c>
      <c r="L263">
        <v>0</v>
      </c>
      <c r="M263">
        <v>0</v>
      </c>
      <c r="N263">
        <f>IF(O263,TRUE,AND(R263:W263))</f>
        <v>0</v>
      </c>
      <c r="O263">
        <f>COUNTBLANK(Metadata!B263:G263)=COLUMNS(Metadata!B263:G263)</f>
        <v>0</v>
      </c>
      <c r="P263">
        <v>0</v>
      </c>
      <c r="R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S263">
        <f>IF(Metadata!C263="",FALSE,TRUE)</f>
        <v>0</v>
      </c>
      <c r="T263">
        <f>IF(Metadata!D263="",FALSE,TRUE)</f>
        <v>0</v>
      </c>
      <c r="U263">
        <f>IF(Metadata!E263="",FALSE,TRUE)</f>
        <v>0</v>
      </c>
      <c r="V263">
        <f>AND(IF(Metadata!F263="",FALSE,TRUE),exact(Metadata!F263,"rat gut metagenome"))</f>
        <v>0</v>
      </c>
      <c r="W263">
        <f>AND(IF(Metadata!G263="",FALSE,TRUE),exact(Metadata!G263,"1436733"))</f>
        <v>0</v>
      </c>
    </row>
    <row r="264" spans="1:23">
      <c r="A264" s="4">
        <f>IF(B264=" "," ",HYPERLINK(CONCATENATE("#metadata!",ADDRESS(INDEX($M$2:$M$1001,MATCH(ROWS($K$2:K264),$K$2:$K$1001,0),0),1)),INDEX($P$2:$P$1001,MATCH(ROWS($K$2:K264),$K$2:$K$1001,0),0)))</f>
        <v>0</v>
      </c>
      <c r="B264" s="3">
        <f>IF(OR(INDEX($L$2:$L$1001,MATCH(ROWS($K$2:K264),$K$2:$K$1001,0),1)&gt;=100000,INDEX($R$1005:$W$1005,1,MATCH(COLUMNS($R$1006:R1006),$R$1006:$W$1006,0))&gt;=100000), " ",IF(INDEX($R$2:$W$1001,MATCH(ROWS($K$2:K264),$K$2:$K$1001,0),MATCH(COLUMNS($R$1006:R1006),$R$1006:$W$1006,0)), HYPERLINK("#",""), HYPERLINK(CONCATENATE("#Metadata!", ADDRESS(INDEX($M$2:$M$1001,MATCH(ROWS($K$2:K264),$K$2:$K$1001,0),0), INDEX($R$1004:$W$1004,1,MATCH(COLUMNS($R$1006:R1006),$R$1006:$W$1006,0)))),"Fix")))</f>
        <v>0</v>
      </c>
      <c r="C264" s="3">
        <f>IF(OR(INDEX($L$2:$L$1001,MATCH(ROWS($K$2:K264),$K$2:$K$1001,0),1)&gt;=100000,INDEX($R$1005:$W$1005,1,MATCH(COLUMNS($R$1006:S1006),$R$1006:$W$1006,0))&gt;=100000), " ",IF(INDEX($R$2:$W$1001,MATCH(ROWS($K$2:K264),$K$2:$K$1001,0),MATCH(COLUMNS($R$1006:S1006),$R$1006:$W$1006,0)), HYPERLINK("#",""), HYPERLINK(CONCATENATE("#Metadata!", ADDRESS(INDEX($M$2:$M$1001,MATCH(ROWS($K$2:K264),$K$2:$K$1001,0),0), INDEX($R$1004:$W$1004,1,MATCH(COLUMNS($R$1006:S1006),$R$1006:$W$1006,0)))),"Fix")))</f>
        <v>0</v>
      </c>
      <c r="D264" s="3">
        <f>IF(OR(INDEX($L$2:$L$1001,MATCH(ROWS($K$2:K264),$K$2:$K$1001,0),1)&gt;=100000,INDEX($R$1005:$W$1005,1,MATCH(COLUMNS($R$1006:T1006),$R$1006:$W$1006,0))&gt;=100000), " ",IF(INDEX($R$2:$W$1001,MATCH(ROWS($K$2:K264),$K$2:$K$1001,0),MATCH(COLUMNS($R$1006:T1006),$R$1006:$W$1006,0)), HYPERLINK("#",""), HYPERLINK(CONCATENATE("#Metadata!", ADDRESS(INDEX($M$2:$M$1001,MATCH(ROWS($K$2:K264),$K$2:$K$1001,0),0), INDEX($R$1004:$W$1004,1,MATCH(COLUMNS($R$1006:T1006),$R$1006:$W$1006,0)))),"Fix")))</f>
        <v>0</v>
      </c>
      <c r="E264" s="3">
        <f>IF(OR(INDEX($L$2:$L$1001,MATCH(ROWS($K$2:K264),$K$2:$K$1001,0),1)&gt;=100000,INDEX($R$1005:$W$1005,1,MATCH(COLUMNS($R$1006:U1006),$R$1006:$W$1006,0))&gt;=100000), " ",IF(INDEX($R$2:$W$1001,MATCH(ROWS($K$2:K264),$K$2:$K$1001,0),MATCH(COLUMNS($R$1006:U1006),$R$1006:$W$1006,0)), HYPERLINK("#",""), HYPERLINK(CONCATENATE("#Metadata!", ADDRESS(INDEX($M$2:$M$1001,MATCH(ROWS($K$2:K264),$K$2:$K$1001,0),0), INDEX($R$1004:$W$1004,1,MATCH(COLUMNS($R$1006:U1006),$R$1006:$W$1006,0)))),"Fix")))</f>
        <v>0</v>
      </c>
      <c r="F264" s="3">
        <f>IF(OR(INDEX($L$2:$L$1001,MATCH(ROWS($K$2:K264),$K$2:$K$1001,0),1)&gt;=100000,INDEX($R$1005:$W$1005,1,MATCH(COLUMNS($R$1006:V1006),$R$1006:$W$1006,0))&gt;=100000), " ",IF(INDEX($R$2:$W$1001,MATCH(ROWS($K$2:K264),$K$2:$K$1001,0),MATCH(COLUMNS($R$1006:V1006),$R$1006:$W$1006,0)), HYPERLINK("#",""), HYPERLINK(CONCATENATE("#Metadata!", ADDRESS(INDEX($M$2:$M$1001,MATCH(ROWS($K$2:K264),$K$2:$K$1001,0),0), INDEX($R$1004:$W$1004,1,MATCH(COLUMNS($R$1006:V1006),$R$1006:$W$1006,0)))),"Fix")))</f>
        <v>0</v>
      </c>
      <c r="G264" s="3">
        <f>IF(OR(INDEX($L$2:$L$1001,MATCH(ROWS($K$2:K264),$K$2:$K$1001,0),1)&gt;=100000,INDEX($R$1005:$W$1005,1,MATCH(COLUMNS($R$1006:W1006),$R$1006:$W$1006,0))&gt;=100000), " ",IF(INDEX($R$2:$W$1001,MATCH(ROWS($K$2:K264),$K$2:$K$1001,0),MATCH(COLUMNS($R$1006:W1006),$R$1006:$W$1006,0)), HYPERLINK("#",""), HYPERLINK(CONCATENATE("#Metadata!", ADDRESS(INDEX($M$2:$M$1001,MATCH(ROWS($K$2:K264),$K$2:$K$1001,0),0), INDEX($R$1004:$W$1004,1,MATCH(COLUMNS($R$1006:W1006),$R$1006:$W$1006,0)))),"Fix")))</f>
        <v>0</v>
      </c>
      <c r="K264">
        <v>0</v>
      </c>
      <c r="L264">
        <v>0</v>
      </c>
      <c r="M264">
        <v>0</v>
      </c>
      <c r="N264">
        <f>IF(O264,TRUE,AND(R264:W264))</f>
        <v>0</v>
      </c>
      <c r="O264">
        <f>COUNTBLANK(Metadata!B264:G264)=COLUMNS(Metadata!B264:G264)</f>
        <v>0</v>
      </c>
      <c r="P264">
        <v>0</v>
      </c>
      <c r="R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S264">
        <f>IF(Metadata!C264="",FALSE,TRUE)</f>
        <v>0</v>
      </c>
      <c r="T264">
        <f>IF(Metadata!D264="",FALSE,TRUE)</f>
        <v>0</v>
      </c>
      <c r="U264">
        <f>IF(Metadata!E264="",FALSE,TRUE)</f>
        <v>0</v>
      </c>
      <c r="V264">
        <f>AND(IF(Metadata!F264="",FALSE,TRUE),exact(Metadata!F264,"rat gut metagenome"))</f>
        <v>0</v>
      </c>
      <c r="W264">
        <f>AND(IF(Metadata!G264="",FALSE,TRUE),exact(Metadata!G264,"1436733"))</f>
        <v>0</v>
      </c>
    </row>
    <row r="265" spans="1:23">
      <c r="A265" s="4">
        <f>IF(B265=" "," ",HYPERLINK(CONCATENATE("#metadata!",ADDRESS(INDEX($M$2:$M$1001,MATCH(ROWS($K$2:K265),$K$2:$K$1001,0),0),1)),INDEX($P$2:$P$1001,MATCH(ROWS($K$2:K265),$K$2:$K$1001,0),0)))</f>
        <v>0</v>
      </c>
      <c r="B265" s="3">
        <f>IF(OR(INDEX($L$2:$L$1001,MATCH(ROWS($K$2:K265),$K$2:$K$1001,0),1)&gt;=100000,INDEX($R$1005:$W$1005,1,MATCH(COLUMNS($R$1006:R1006),$R$1006:$W$1006,0))&gt;=100000), " ",IF(INDEX($R$2:$W$1001,MATCH(ROWS($K$2:K265),$K$2:$K$1001,0),MATCH(COLUMNS($R$1006:R1006),$R$1006:$W$1006,0)), HYPERLINK("#",""), HYPERLINK(CONCATENATE("#Metadata!", ADDRESS(INDEX($M$2:$M$1001,MATCH(ROWS($K$2:K265),$K$2:$K$1001,0),0), INDEX($R$1004:$W$1004,1,MATCH(COLUMNS($R$1006:R1006),$R$1006:$W$1006,0)))),"Fix")))</f>
        <v>0</v>
      </c>
      <c r="C265" s="3">
        <f>IF(OR(INDEX($L$2:$L$1001,MATCH(ROWS($K$2:K265),$K$2:$K$1001,0),1)&gt;=100000,INDEX($R$1005:$W$1005,1,MATCH(COLUMNS($R$1006:S1006),$R$1006:$W$1006,0))&gt;=100000), " ",IF(INDEX($R$2:$W$1001,MATCH(ROWS($K$2:K265),$K$2:$K$1001,0),MATCH(COLUMNS($R$1006:S1006),$R$1006:$W$1006,0)), HYPERLINK("#",""), HYPERLINK(CONCATENATE("#Metadata!", ADDRESS(INDEX($M$2:$M$1001,MATCH(ROWS($K$2:K265),$K$2:$K$1001,0),0), INDEX($R$1004:$W$1004,1,MATCH(COLUMNS($R$1006:S1006),$R$1006:$W$1006,0)))),"Fix")))</f>
        <v>0</v>
      </c>
      <c r="D265" s="3">
        <f>IF(OR(INDEX($L$2:$L$1001,MATCH(ROWS($K$2:K265),$K$2:$K$1001,0),1)&gt;=100000,INDEX($R$1005:$W$1005,1,MATCH(COLUMNS($R$1006:T1006),$R$1006:$W$1006,0))&gt;=100000), " ",IF(INDEX($R$2:$W$1001,MATCH(ROWS($K$2:K265),$K$2:$K$1001,0),MATCH(COLUMNS($R$1006:T1006),$R$1006:$W$1006,0)), HYPERLINK("#",""), HYPERLINK(CONCATENATE("#Metadata!", ADDRESS(INDEX($M$2:$M$1001,MATCH(ROWS($K$2:K265),$K$2:$K$1001,0),0), INDEX($R$1004:$W$1004,1,MATCH(COLUMNS($R$1006:T1006),$R$1006:$W$1006,0)))),"Fix")))</f>
        <v>0</v>
      </c>
      <c r="E265" s="3">
        <f>IF(OR(INDEX($L$2:$L$1001,MATCH(ROWS($K$2:K265),$K$2:$K$1001,0),1)&gt;=100000,INDEX($R$1005:$W$1005,1,MATCH(COLUMNS($R$1006:U1006),$R$1006:$W$1006,0))&gt;=100000), " ",IF(INDEX($R$2:$W$1001,MATCH(ROWS($K$2:K265),$K$2:$K$1001,0),MATCH(COLUMNS($R$1006:U1006),$R$1006:$W$1006,0)), HYPERLINK("#",""), HYPERLINK(CONCATENATE("#Metadata!", ADDRESS(INDEX($M$2:$M$1001,MATCH(ROWS($K$2:K265),$K$2:$K$1001,0),0), INDEX($R$1004:$W$1004,1,MATCH(COLUMNS($R$1006:U1006),$R$1006:$W$1006,0)))),"Fix")))</f>
        <v>0</v>
      </c>
      <c r="F265" s="3">
        <f>IF(OR(INDEX($L$2:$L$1001,MATCH(ROWS($K$2:K265),$K$2:$K$1001,0),1)&gt;=100000,INDEX($R$1005:$W$1005,1,MATCH(COLUMNS($R$1006:V1006),$R$1006:$W$1006,0))&gt;=100000), " ",IF(INDEX($R$2:$W$1001,MATCH(ROWS($K$2:K265),$K$2:$K$1001,0),MATCH(COLUMNS($R$1006:V1006),$R$1006:$W$1006,0)), HYPERLINK("#",""), HYPERLINK(CONCATENATE("#Metadata!", ADDRESS(INDEX($M$2:$M$1001,MATCH(ROWS($K$2:K265),$K$2:$K$1001,0),0), INDEX($R$1004:$W$1004,1,MATCH(COLUMNS($R$1006:V1006),$R$1006:$W$1006,0)))),"Fix")))</f>
        <v>0</v>
      </c>
      <c r="G265" s="3">
        <f>IF(OR(INDEX($L$2:$L$1001,MATCH(ROWS($K$2:K265),$K$2:$K$1001,0),1)&gt;=100000,INDEX($R$1005:$W$1005,1,MATCH(COLUMNS($R$1006:W1006),$R$1006:$W$1006,0))&gt;=100000), " ",IF(INDEX($R$2:$W$1001,MATCH(ROWS($K$2:K265),$K$2:$K$1001,0),MATCH(COLUMNS($R$1006:W1006),$R$1006:$W$1006,0)), HYPERLINK("#",""), HYPERLINK(CONCATENATE("#Metadata!", ADDRESS(INDEX($M$2:$M$1001,MATCH(ROWS($K$2:K265),$K$2:$K$1001,0),0), INDEX($R$1004:$W$1004,1,MATCH(COLUMNS($R$1006:W1006),$R$1006:$W$1006,0)))),"Fix")))</f>
        <v>0</v>
      </c>
      <c r="K265">
        <v>0</v>
      </c>
      <c r="L265">
        <v>0</v>
      </c>
      <c r="M265">
        <v>0</v>
      </c>
      <c r="N265">
        <f>IF(O265,TRUE,AND(R265:W265))</f>
        <v>0</v>
      </c>
      <c r="O265">
        <f>COUNTBLANK(Metadata!B265:G265)=COLUMNS(Metadata!B265:G265)</f>
        <v>0</v>
      </c>
      <c r="P265">
        <v>0</v>
      </c>
      <c r="R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S265">
        <f>IF(Metadata!C265="",FALSE,TRUE)</f>
        <v>0</v>
      </c>
      <c r="T265">
        <f>IF(Metadata!D265="",FALSE,TRUE)</f>
        <v>0</v>
      </c>
      <c r="U265">
        <f>IF(Metadata!E265="",FALSE,TRUE)</f>
        <v>0</v>
      </c>
      <c r="V265">
        <f>AND(IF(Metadata!F265="",FALSE,TRUE),exact(Metadata!F265,"rat gut metagenome"))</f>
        <v>0</v>
      </c>
      <c r="W265">
        <f>AND(IF(Metadata!G265="",FALSE,TRUE),exact(Metadata!G265,"1436733"))</f>
        <v>0</v>
      </c>
    </row>
    <row r="266" spans="1:23">
      <c r="A266" s="4">
        <f>IF(B266=" "," ",HYPERLINK(CONCATENATE("#metadata!",ADDRESS(INDEX($M$2:$M$1001,MATCH(ROWS($K$2:K266),$K$2:$K$1001,0),0),1)),INDEX($P$2:$P$1001,MATCH(ROWS($K$2:K266),$K$2:$K$1001,0),0)))</f>
        <v>0</v>
      </c>
      <c r="B266" s="3">
        <f>IF(OR(INDEX($L$2:$L$1001,MATCH(ROWS($K$2:K266),$K$2:$K$1001,0),1)&gt;=100000,INDEX($R$1005:$W$1005,1,MATCH(COLUMNS($R$1006:R1006),$R$1006:$W$1006,0))&gt;=100000), " ",IF(INDEX($R$2:$W$1001,MATCH(ROWS($K$2:K266),$K$2:$K$1001,0),MATCH(COLUMNS($R$1006:R1006),$R$1006:$W$1006,0)), HYPERLINK("#",""), HYPERLINK(CONCATENATE("#Metadata!", ADDRESS(INDEX($M$2:$M$1001,MATCH(ROWS($K$2:K266),$K$2:$K$1001,0),0), INDEX($R$1004:$W$1004,1,MATCH(COLUMNS($R$1006:R1006),$R$1006:$W$1006,0)))),"Fix")))</f>
        <v>0</v>
      </c>
      <c r="C266" s="3">
        <f>IF(OR(INDEX($L$2:$L$1001,MATCH(ROWS($K$2:K266),$K$2:$K$1001,0),1)&gt;=100000,INDEX($R$1005:$W$1005,1,MATCH(COLUMNS($R$1006:S1006),$R$1006:$W$1006,0))&gt;=100000), " ",IF(INDEX($R$2:$W$1001,MATCH(ROWS($K$2:K266),$K$2:$K$1001,0),MATCH(COLUMNS($R$1006:S1006),$R$1006:$W$1006,0)), HYPERLINK("#",""), HYPERLINK(CONCATENATE("#Metadata!", ADDRESS(INDEX($M$2:$M$1001,MATCH(ROWS($K$2:K266),$K$2:$K$1001,0),0), INDEX($R$1004:$W$1004,1,MATCH(COLUMNS($R$1006:S1006),$R$1006:$W$1006,0)))),"Fix")))</f>
        <v>0</v>
      </c>
      <c r="D266" s="3">
        <f>IF(OR(INDEX($L$2:$L$1001,MATCH(ROWS($K$2:K266),$K$2:$K$1001,0),1)&gt;=100000,INDEX($R$1005:$W$1005,1,MATCH(COLUMNS($R$1006:T1006),$R$1006:$W$1006,0))&gt;=100000), " ",IF(INDEX($R$2:$W$1001,MATCH(ROWS($K$2:K266),$K$2:$K$1001,0),MATCH(COLUMNS($R$1006:T1006),$R$1006:$W$1006,0)), HYPERLINK("#",""), HYPERLINK(CONCATENATE("#Metadata!", ADDRESS(INDEX($M$2:$M$1001,MATCH(ROWS($K$2:K266),$K$2:$K$1001,0),0), INDEX($R$1004:$W$1004,1,MATCH(COLUMNS($R$1006:T1006),$R$1006:$W$1006,0)))),"Fix")))</f>
        <v>0</v>
      </c>
      <c r="E266" s="3">
        <f>IF(OR(INDEX($L$2:$L$1001,MATCH(ROWS($K$2:K266),$K$2:$K$1001,0),1)&gt;=100000,INDEX($R$1005:$W$1005,1,MATCH(COLUMNS($R$1006:U1006),$R$1006:$W$1006,0))&gt;=100000), " ",IF(INDEX($R$2:$W$1001,MATCH(ROWS($K$2:K266),$K$2:$K$1001,0),MATCH(COLUMNS($R$1006:U1006),$R$1006:$W$1006,0)), HYPERLINK("#",""), HYPERLINK(CONCATENATE("#Metadata!", ADDRESS(INDEX($M$2:$M$1001,MATCH(ROWS($K$2:K266),$K$2:$K$1001,0),0), INDEX($R$1004:$W$1004,1,MATCH(COLUMNS($R$1006:U1006),$R$1006:$W$1006,0)))),"Fix")))</f>
        <v>0</v>
      </c>
      <c r="F266" s="3">
        <f>IF(OR(INDEX($L$2:$L$1001,MATCH(ROWS($K$2:K266),$K$2:$K$1001,0),1)&gt;=100000,INDEX($R$1005:$W$1005,1,MATCH(COLUMNS($R$1006:V1006),$R$1006:$W$1006,0))&gt;=100000), " ",IF(INDEX($R$2:$W$1001,MATCH(ROWS($K$2:K266),$K$2:$K$1001,0),MATCH(COLUMNS($R$1006:V1006),$R$1006:$W$1006,0)), HYPERLINK("#",""), HYPERLINK(CONCATENATE("#Metadata!", ADDRESS(INDEX($M$2:$M$1001,MATCH(ROWS($K$2:K266),$K$2:$K$1001,0),0), INDEX($R$1004:$W$1004,1,MATCH(COLUMNS($R$1006:V1006),$R$1006:$W$1006,0)))),"Fix")))</f>
        <v>0</v>
      </c>
      <c r="G266" s="3">
        <f>IF(OR(INDEX($L$2:$L$1001,MATCH(ROWS($K$2:K266),$K$2:$K$1001,0),1)&gt;=100000,INDEX($R$1005:$W$1005,1,MATCH(COLUMNS($R$1006:W1006),$R$1006:$W$1006,0))&gt;=100000), " ",IF(INDEX($R$2:$W$1001,MATCH(ROWS($K$2:K266),$K$2:$K$1001,0),MATCH(COLUMNS($R$1006:W1006),$R$1006:$W$1006,0)), HYPERLINK("#",""), HYPERLINK(CONCATENATE("#Metadata!", ADDRESS(INDEX($M$2:$M$1001,MATCH(ROWS($K$2:K266),$K$2:$K$1001,0),0), INDEX($R$1004:$W$1004,1,MATCH(COLUMNS($R$1006:W1006),$R$1006:$W$1006,0)))),"Fix")))</f>
        <v>0</v>
      </c>
      <c r="K266">
        <v>0</v>
      </c>
      <c r="L266">
        <v>0</v>
      </c>
      <c r="M266">
        <v>0</v>
      </c>
      <c r="N266">
        <f>IF(O266,TRUE,AND(R266:W266))</f>
        <v>0</v>
      </c>
      <c r="O266">
        <f>COUNTBLANK(Metadata!B266:G266)=COLUMNS(Metadata!B266:G266)</f>
        <v>0</v>
      </c>
      <c r="P266">
        <v>0</v>
      </c>
      <c r="R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S266">
        <f>IF(Metadata!C266="",FALSE,TRUE)</f>
        <v>0</v>
      </c>
      <c r="T266">
        <f>IF(Metadata!D266="",FALSE,TRUE)</f>
        <v>0</v>
      </c>
      <c r="U266">
        <f>IF(Metadata!E266="",FALSE,TRUE)</f>
        <v>0</v>
      </c>
      <c r="V266">
        <f>AND(IF(Metadata!F266="",FALSE,TRUE),exact(Metadata!F266,"rat gut metagenome"))</f>
        <v>0</v>
      </c>
      <c r="W266">
        <f>AND(IF(Metadata!G266="",FALSE,TRUE),exact(Metadata!G266,"1436733"))</f>
        <v>0</v>
      </c>
    </row>
    <row r="267" spans="1:23">
      <c r="A267" s="4">
        <f>IF(B267=" "," ",HYPERLINK(CONCATENATE("#metadata!",ADDRESS(INDEX($M$2:$M$1001,MATCH(ROWS($K$2:K267),$K$2:$K$1001,0),0),1)),INDEX($P$2:$P$1001,MATCH(ROWS($K$2:K267),$K$2:$K$1001,0),0)))</f>
        <v>0</v>
      </c>
      <c r="B267" s="3">
        <f>IF(OR(INDEX($L$2:$L$1001,MATCH(ROWS($K$2:K267),$K$2:$K$1001,0),1)&gt;=100000,INDEX($R$1005:$W$1005,1,MATCH(COLUMNS($R$1006:R1006),$R$1006:$W$1006,0))&gt;=100000), " ",IF(INDEX($R$2:$W$1001,MATCH(ROWS($K$2:K267),$K$2:$K$1001,0),MATCH(COLUMNS($R$1006:R1006),$R$1006:$W$1006,0)), HYPERLINK("#",""), HYPERLINK(CONCATENATE("#Metadata!", ADDRESS(INDEX($M$2:$M$1001,MATCH(ROWS($K$2:K267),$K$2:$K$1001,0),0), INDEX($R$1004:$W$1004,1,MATCH(COLUMNS($R$1006:R1006),$R$1006:$W$1006,0)))),"Fix")))</f>
        <v>0</v>
      </c>
      <c r="C267" s="3">
        <f>IF(OR(INDEX($L$2:$L$1001,MATCH(ROWS($K$2:K267),$K$2:$K$1001,0),1)&gt;=100000,INDEX($R$1005:$W$1005,1,MATCH(COLUMNS($R$1006:S1006),$R$1006:$W$1006,0))&gt;=100000), " ",IF(INDEX($R$2:$W$1001,MATCH(ROWS($K$2:K267),$K$2:$K$1001,0),MATCH(COLUMNS($R$1006:S1006),$R$1006:$W$1006,0)), HYPERLINK("#",""), HYPERLINK(CONCATENATE("#Metadata!", ADDRESS(INDEX($M$2:$M$1001,MATCH(ROWS($K$2:K267),$K$2:$K$1001,0),0), INDEX($R$1004:$W$1004,1,MATCH(COLUMNS($R$1006:S1006),$R$1006:$W$1006,0)))),"Fix")))</f>
        <v>0</v>
      </c>
      <c r="D267" s="3">
        <f>IF(OR(INDEX($L$2:$L$1001,MATCH(ROWS($K$2:K267),$K$2:$K$1001,0),1)&gt;=100000,INDEX($R$1005:$W$1005,1,MATCH(COLUMNS($R$1006:T1006),$R$1006:$W$1006,0))&gt;=100000), " ",IF(INDEX($R$2:$W$1001,MATCH(ROWS($K$2:K267),$K$2:$K$1001,0),MATCH(COLUMNS($R$1006:T1006),$R$1006:$W$1006,0)), HYPERLINK("#",""), HYPERLINK(CONCATENATE("#Metadata!", ADDRESS(INDEX($M$2:$M$1001,MATCH(ROWS($K$2:K267),$K$2:$K$1001,0),0), INDEX($R$1004:$W$1004,1,MATCH(COLUMNS($R$1006:T1006),$R$1006:$W$1006,0)))),"Fix")))</f>
        <v>0</v>
      </c>
      <c r="E267" s="3">
        <f>IF(OR(INDEX($L$2:$L$1001,MATCH(ROWS($K$2:K267),$K$2:$K$1001,0),1)&gt;=100000,INDEX($R$1005:$W$1005,1,MATCH(COLUMNS($R$1006:U1006),$R$1006:$W$1006,0))&gt;=100000), " ",IF(INDEX($R$2:$W$1001,MATCH(ROWS($K$2:K267),$K$2:$K$1001,0),MATCH(COLUMNS($R$1006:U1006),$R$1006:$W$1006,0)), HYPERLINK("#",""), HYPERLINK(CONCATENATE("#Metadata!", ADDRESS(INDEX($M$2:$M$1001,MATCH(ROWS($K$2:K267),$K$2:$K$1001,0),0), INDEX($R$1004:$W$1004,1,MATCH(COLUMNS($R$1006:U1006),$R$1006:$W$1006,0)))),"Fix")))</f>
        <v>0</v>
      </c>
      <c r="F267" s="3">
        <f>IF(OR(INDEX($L$2:$L$1001,MATCH(ROWS($K$2:K267),$K$2:$K$1001,0),1)&gt;=100000,INDEX($R$1005:$W$1005,1,MATCH(COLUMNS($R$1006:V1006),$R$1006:$W$1006,0))&gt;=100000), " ",IF(INDEX($R$2:$W$1001,MATCH(ROWS($K$2:K267),$K$2:$K$1001,0),MATCH(COLUMNS($R$1006:V1006),$R$1006:$W$1006,0)), HYPERLINK("#",""), HYPERLINK(CONCATENATE("#Metadata!", ADDRESS(INDEX($M$2:$M$1001,MATCH(ROWS($K$2:K267),$K$2:$K$1001,0),0), INDEX($R$1004:$W$1004,1,MATCH(COLUMNS($R$1006:V1006),$R$1006:$W$1006,0)))),"Fix")))</f>
        <v>0</v>
      </c>
      <c r="G267" s="3">
        <f>IF(OR(INDEX($L$2:$L$1001,MATCH(ROWS($K$2:K267),$K$2:$K$1001,0),1)&gt;=100000,INDEX($R$1005:$W$1005,1,MATCH(COLUMNS($R$1006:W1006),$R$1006:$W$1006,0))&gt;=100000), " ",IF(INDEX($R$2:$W$1001,MATCH(ROWS($K$2:K267),$K$2:$K$1001,0),MATCH(COLUMNS($R$1006:W1006),$R$1006:$W$1006,0)), HYPERLINK("#",""), HYPERLINK(CONCATENATE("#Metadata!", ADDRESS(INDEX($M$2:$M$1001,MATCH(ROWS($K$2:K267),$K$2:$K$1001,0),0), INDEX($R$1004:$W$1004,1,MATCH(COLUMNS($R$1006:W1006),$R$1006:$W$1006,0)))),"Fix")))</f>
        <v>0</v>
      </c>
      <c r="K267">
        <v>0</v>
      </c>
      <c r="L267">
        <v>0</v>
      </c>
      <c r="M267">
        <v>0</v>
      </c>
      <c r="N267">
        <f>IF(O267,TRUE,AND(R267:W267))</f>
        <v>0</v>
      </c>
      <c r="O267">
        <f>COUNTBLANK(Metadata!B267:G267)=COLUMNS(Metadata!B267:G267)</f>
        <v>0</v>
      </c>
      <c r="P267">
        <v>0</v>
      </c>
      <c r="R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S267">
        <f>IF(Metadata!C267="",FALSE,TRUE)</f>
        <v>0</v>
      </c>
      <c r="T267">
        <f>IF(Metadata!D267="",FALSE,TRUE)</f>
        <v>0</v>
      </c>
      <c r="U267">
        <f>IF(Metadata!E267="",FALSE,TRUE)</f>
        <v>0</v>
      </c>
      <c r="V267">
        <f>AND(IF(Metadata!F267="",FALSE,TRUE),exact(Metadata!F267,"rat gut metagenome"))</f>
        <v>0</v>
      </c>
      <c r="W267">
        <f>AND(IF(Metadata!G267="",FALSE,TRUE),exact(Metadata!G267,"1436733"))</f>
        <v>0</v>
      </c>
    </row>
    <row r="268" spans="1:23">
      <c r="A268" s="4">
        <f>IF(B268=" "," ",HYPERLINK(CONCATENATE("#metadata!",ADDRESS(INDEX($M$2:$M$1001,MATCH(ROWS($K$2:K268),$K$2:$K$1001,0),0),1)),INDEX($P$2:$P$1001,MATCH(ROWS($K$2:K268),$K$2:$K$1001,0),0)))</f>
        <v>0</v>
      </c>
      <c r="B268" s="3">
        <f>IF(OR(INDEX($L$2:$L$1001,MATCH(ROWS($K$2:K268),$K$2:$K$1001,0),1)&gt;=100000,INDEX($R$1005:$W$1005,1,MATCH(COLUMNS($R$1006:R1006),$R$1006:$W$1006,0))&gt;=100000), " ",IF(INDEX($R$2:$W$1001,MATCH(ROWS($K$2:K268),$K$2:$K$1001,0),MATCH(COLUMNS($R$1006:R1006),$R$1006:$W$1006,0)), HYPERLINK("#",""), HYPERLINK(CONCATENATE("#Metadata!", ADDRESS(INDEX($M$2:$M$1001,MATCH(ROWS($K$2:K268),$K$2:$K$1001,0),0), INDEX($R$1004:$W$1004,1,MATCH(COLUMNS($R$1006:R1006),$R$1006:$W$1006,0)))),"Fix")))</f>
        <v>0</v>
      </c>
      <c r="C268" s="3">
        <f>IF(OR(INDEX($L$2:$L$1001,MATCH(ROWS($K$2:K268),$K$2:$K$1001,0),1)&gt;=100000,INDEX($R$1005:$W$1005,1,MATCH(COLUMNS($R$1006:S1006),$R$1006:$W$1006,0))&gt;=100000), " ",IF(INDEX($R$2:$W$1001,MATCH(ROWS($K$2:K268),$K$2:$K$1001,0),MATCH(COLUMNS($R$1006:S1006),$R$1006:$W$1006,0)), HYPERLINK("#",""), HYPERLINK(CONCATENATE("#Metadata!", ADDRESS(INDEX($M$2:$M$1001,MATCH(ROWS($K$2:K268),$K$2:$K$1001,0),0), INDEX($R$1004:$W$1004,1,MATCH(COLUMNS($R$1006:S1006),$R$1006:$W$1006,0)))),"Fix")))</f>
        <v>0</v>
      </c>
      <c r="D268" s="3">
        <f>IF(OR(INDEX($L$2:$L$1001,MATCH(ROWS($K$2:K268),$K$2:$K$1001,0),1)&gt;=100000,INDEX($R$1005:$W$1005,1,MATCH(COLUMNS($R$1006:T1006),$R$1006:$W$1006,0))&gt;=100000), " ",IF(INDEX($R$2:$W$1001,MATCH(ROWS($K$2:K268),$K$2:$K$1001,0),MATCH(COLUMNS($R$1006:T1006),$R$1006:$W$1006,0)), HYPERLINK("#",""), HYPERLINK(CONCATENATE("#Metadata!", ADDRESS(INDEX($M$2:$M$1001,MATCH(ROWS($K$2:K268),$K$2:$K$1001,0),0), INDEX($R$1004:$W$1004,1,MATCH(COLUMNS($R$1006:T1006),$R$1006:$W$1006,0)))),"Fix")))</f>
        <v>0</v>
      </c>
      <c r="E268" s="3">
        <f>IF(OR(INDEX($L$2:$L$1001,MATCH(ROWS($K$2:K268),$K$2:$K$1001,0),1)&gt;=100000,INDEX($R$1005:$W$1005,1,MATCH(COLUMNS($R$1006:U1006),$R$1006:$W$1006,0))&gt;=100000), " ",IF(INDEX($R$2:$W$1001,MATCH(ROWS($K$2:K268),$K$2:$K$1001,0),MATCH(COLUMNS($R$1006:U1006),$R$1006:$W$1006,0)), HYPERLINK("#",""), HYPERLINK(CONCATENATE("#Metadata!", ADDRESS(INDEX($M$2:$M$1001,MATCH(ROWS($K$2:K268),$K$2:$K$1001,0),0), INDEX($R$1004:$W$1004,1,MATCH(COLUMNS($R$1006:U1006),$R$1006:$W$1006,0)))),"Fix")))</f>
        <v>0</v>
      </c>
      <c r="F268" s="3">
        <f>IF(OR(INDEX($L$2:$L$1001,MATCH(ROWS($K$2:K268),$K$2:$K$1001,0),1)&gt;=100000,INDEX($R$1005:$W$1005,1,MATCH(COLUMNS($R$1006:V1006),$R$1006:$W$1006,0))&gt;=100000), " ",IF(INDEX($R$2:$W$1001,MATCH(ROWS($K$2:K268),$K$2:$K$1001,0),MATCH(COLUMNS($R$1006:V1006),$R$1006:$W$1006,0)), HYPERLINK("#",""), HYPERLINK(CONCATENATE("#Metadata!", ADDRESS(INDEX($M$2:$M$1001,MATCH(ROWS($K$2:K268),$K$2:$K$1001,0),0), INDEX($R$1004:$W$1004,1,MATCH(COLUMNS($R$1006:V1006),$R$1006:$W$1006,0)))),"Fix")))</f>
        <v>0</v>
      </c>
      <c r="G268" s="3">
        <f>IF(OR(INDEX($L$2:$L$1001,MATCH(ROWS($K$2:K268),$K$2:$K$1001,0),1)&gt;=100000,INDEX($R$1005:$W$1005,1,MATCH(COLUMNS($R$1006:W1006),$R$1006:$W$1006,0))&gt;=100000), " ",IF(INDEX($R$2:$W$1001,MATCH(ROWS($K$2:K268),$K$2:$K$1001,0),MATCH(COLUMNS($R$1006:W1006),$R$1006:$W$1006,0)), HYPERLINK("#",""), HYPERLINK(CONCATENATE("#Metadata!", ADDRESS(INDEX($M$2:$M$1001,MATCH(ROWS($K$2:K268),$K$2:$K$1001,0),0), INDEX($R$1004:$W$1004,1,MATCH(COLUMNS($R$1006:W1006),$R$1006:$W$1006,0)))),"Fix")))</f>
        <v>0</v>
      </c>
      <c r="K268">
        <v>0</v>
      </c>
      <c r="L268">
        <v>0</v>
      </c>
      <c r="M268">
        <v>0</v>
      </c>
      <c r="N268">
        <f>IF(O268,TRUE,AND(R268:W268))</f>
        <v>0</v>
      </c>
      <c r="O268">
        <f>COUNTBLANK(Metadata!B268:G268)=COLUMNS(Metadata!B268:G268)</f>
        <v>0</v>
      </c>
      <c r="P268">
        <v>0</v>
      </c>
      <c r="R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S268">
        <f>IF(Metadata!C268="",FALSE,TRUE)</f>
        <v>0</v>
      </c>
      <c r="T268">
        <f>IF(Metadata!D268="",FALSE,TRUE)</f>
        <v>0</v>
      </c>
      <c r="U268">
        <f>IF(Metadata!E268="",FALSE,TRUE)</f>
        <v>0</v>
      </c>
      <c r="V268">
        <f>AND(IF(Metadata!F268="",FALSE,TRUE),exact(Metadata!F268,"rat gut metagenome"))</f>
        <v>0</v>
      </c>
      <c r="W268">
        <f>AND(IF(Metadata!G268="",FALSE,TRUE),exact(Metadata!G268,"1436733"))</f>
        <v>0</v>
      </c>
    </row>
    <row r="269" spans="1:23">
      <c r="A269" s="4">
        <f>IF(B269=" "," ",HYPERLINK(CONCATENATE("#metadata!",ADDRESS(INDEX($M$2:$M$1001,MATCH(ROWS($K$2:K269),$K$2:$K$1001,0),0),1)),INDEX($P$2:$P$1001,MATCH(ROWS($K$2:K269),$K$2:$K$1001,0),0)))</f>
        <v>0</v>
      </c>
      <c r="B269" s="3">
        <f>IF(OR(INDEX($L$2:$L$1001,MATCH(ROWS($K$2:K269),$K$2:$K$1001,0),1)&gt;=100000,INDEX($R$1005:$W$1005,1,MATCH(COLUMNS($R$1006:R1006),$R$1006:$W$1006,0))&gt;=100000), " ",IF(INDEX($R$2:$W$1001,MATCH(ROWS($K$2:K269),$K$2:$K$1001,0),MATCH(COLUMNS($R$1006:R1006),$R$1006:$W$1006,0)), HYPERLINK("#",""), HYPERLINK(CONCATENATE("#Metadata!", ADDRESS(INDEX($M$2:$M$1001,MATCH(ROWS($K$2:K269),$K$2:$K$1001,0),0), INDEX($R$1004:$W$1004,1,MATCH(COLUMNS($R$1006:R1006),$R$1006:$W$1006,0)))),"Fix")))</f>
        <v>0</v>
      </c>
      <c r="C269" s="3">
        <f>IF(OR(INDEX($L$2:$L$1001,MATCH(ROWS($K$2:K269),$K$2:$K$1001,0),1)&gt;=100000,INDEX($R$1005:$W$1005,1,MATCH(COLUMNS($R$1006:S1006),$R$1006:$W$1006,0))&gt;=100000), " ",IF(INDEX($R$2:$W$1001,MATCH(ROWS($K$2:K269),$K$2:$K$1001,0),MATCH(COLUMNS($R$1006:S1006),$R$1006:$W$1006,0)), HYPERLINK("#",""), HYPERLINK(CONCATENATE("#Metadata!", ADDRESS(INDEX($M$2:$M$1001,MATCH(ROWS($K$2:K269),$K$2:$K$1001,0),0), INDEX($R$1004:$W$1004,1,MATCH(COLUMNS($R$1006:S1006),$R$1006:$W$1006,0)))),"Fix")))</f>
        <v>0</v>
      </c>
      <c r="D269" s="3">
        <f>IF(OR(INDEX($L$2:$L$1001,MATCH(ROWS($K$2:K269),$K$2:$K$1001,0),1)&gt;=100000,INDEX($R$1005:$W$1005,1,MATCH(COLUMNS($R$1006:T1006),$R$1006:$W$1006,0))&gt;=100000), " ",IF(INDEX($R$2:$W$1001,MATCH(ROWS($K$2:K269),$K$2:$K$1001,0),MATCH(COLUMNS($R$1006:T1006),$R$1006:$W$1006,0)), HYPERLINK("#",""), HYPERLINK(CONCATENATE("#Metadata!", ADDRESS(INDEX($M$2:$M$1001,MATCH(ROWS($K$2:K269),$K$2:$K$1001,0),0), INDEX($R$1004:$W$1004,1,MATCH(COLUMNS($R$1006:T1006),$R$1006:$W$1006,0)))),"Fix")))</f>
        <v>0</v>
      </c>
      <c r="E269" s="3">
        <f>IF(OR(INDEX($L$2:$L$1001,MATCH(ROWS($K$2:K269),$K$2:$K$1001,0),1)&gt;=100000,INDEX($R$1005:$W$1005,1,MATCH(COLUMNS($R$1006:U1006),$R$1006:$W$1006,0))&gt;=100000), " ",IF(INDEX($R$2:$W$1001,MATCH(ROWS($K$2:K269),$K$2:$K$1001,0),MATCH(COLUMNS($R$1006:U1006),$R$1006:$W$1006,0)), HYPERLINK("#",""), HYPERLINK(CONCATENATE("#Metadata!", ADDRESS(INDEX($M$2:$M$1001,MATCH(ROWS($K$2:K269),$K$2:$K$1001,0),0), INDEX($R$1004:$W$1004,1,MATCH(COLUMNS($R$1006:U1006),$R$1006:$W$1006,0)))),"Fix")))</f>
        <v>0</v>
      </c>
      <c r="F269" s="3">
        <f>IF(OR(INDEX($L$2:$L$1001,MATCH(ROWS($K$2:K269),$K$2:$K$1001,0),1)&gt;=100000,INDEX($R$1005:$W$1005,1,MATCH(COLUMNS($R$1006:V1006),$R$1006:$W$1006,0))&gt;=100000), " ",IF(INDEX($R$2:$W$1001,MATCH(ROWS($K$2:K269),$K$2:$K$1001,0),MATCH(COLUMNS($R$1006:V1006),$R$1006:$W$1006,0)), HYPERLINK("#",""), HYPERLINK(CONCATENATE("#Metadata!", ADDRESS(INDEX($M$2:$M$1001,MATCH(ROWS($K$2:K269),$K$2:$K$1001,0),0), INDEX($R$1004:$W$1004,1,MATCH(COLUMNS($R$1006:V1006),$R$1006:$W$1006,0)))),"Fix")))</f>
        <v>0</v>
      </c>
      <c r="G269" s="3">
        <f>IF(OR(INDEX($L$2:$L$1001,MATCH(ROWS($K$2:K269),$K$2:$K$1001,0),1)&gt;=100000,INDEX($R$1005:$W$1005,1,MATCH(COLUMNS($R$1006:W1006),$R$1006:$W$1006,0))&gt;=100000), " ",IF(INDEX($R$2:$W$1001,MATCH(ROWS($K$2:K269),$K$2:$K$1001,0),MATCH(COLUMNS($R$1006:W1006),$R$1006:$W$1006,0)), HYPERLINK("#",""), HYPERLINK(CONCATENATE("#Metadata!", ADDRESS(INDEX($M$2:$M$1001,MATCH(ROWS($K$2:K269),$K$2:$K$1001,0),0), INDEX($R$1004:$W$1004,1,MATCH(COLUMNS($R$1006:W1006),$R$1006:$W$1006,0)))),"Fix")))</f>
        <v>0</v>
      </c>
      <c r="K269">
        <v>0</v>
      </c>
      <c r="L269">
        <v>0</v>
      </c>
      <c r="M269">
        <v>0</v>
      </c>
      <c r="N269">
        <f>IF(O269,TRUE,AND(R269:W269))</f>
        <v>0</v>
      </c>
      <c r="O269">
        <f>COUNTBLANK(Metadata!B269:G269)=COLUMNS(Metadata!B269:G269)</f>
        <v>0</v>
      </c>
      <c r="P269">
        <v>0</v>
      </c>
      <c r="R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S269">
        <f>IF(Metadata!C269="",FALSE,TRUE)</f>
        <v>0</v>
      </c>
      <c r="T269">
        <f>IF(Metadata!D269="",FALSE,TRUE)</f>
        <v>0</v>
      </c>
      <c r="U269">
        <f>IF(Metadata!E269="",FALSE,TRUE)</f>
        <v>0</v>
      </c>
      <c r="V269">
        <f>AND(IF(Metadata!F269="",FALSE,TRUE),exact(Metadata!F269,"rat gut metagenome"))</f>
        <v>0</v>
      </c>
      <c r="W269">
        <f>AND(IF(Metadata!G269="",FALSE,TRUE),exact(Metadata!G269,"1436733"))</f>
        <v>0</v>
      </c>
    </row>
    <row r="270" spans="1:23">
      <c r="A270" s="4">
        <f>IF(B270=" "," ",HYPERLINK(CONCATENATE("#metadata!",ADDRESS(INDEX($M$2:$M$1001,MATCH(ROWS($K$2:K270),$K$2:$K$1001,0),0),1)),INDEX($P$2:$P$1001,MATCH(ROWS($K$2:K270),$K$2:$K$1001,0),0)))</f>
        <v>0</v>
      </c>
      <c r="B270" s="3">
        <f>IF(OR(INDEX($L$2:$L$1001,MATCH(ROWS($K$2:K270),$K$2:$K$1001,0),1)&gt;=100000,INDEX($R$1005:$W$1005,1,MATCH(COLUMNS($R$1006:R1006),$R$1006:$W$1006,0))&gt;=100000), " ",IF(INDEX($R$2:$W$1001,MATCH(ROWS($K$2:K270),$K$2:$K$1001,0),MATCH(COLUMNS($R$1006:R1006),$R$1006:$W$1006,0)), HYPERLINK("#",""), HYPERLINK(CONCATENATE("#Metadata!", ADDRESS(INDEX($M$2:$M$1001,MATCH(ROWS($K$2:K270),$K$2:$K$1001,0),0), INDEX($R$1004:$W$1004,1,MATCH(COLUMNS($R$1006:R1006),$R$1006:$W$1006,0)))),"Fix")))</f>
        <v>0</v>
      </c>
      <c r="C270" s="3">
        <f>IF(OR(INDEX($L$2:$L$1001,MATCH(ROWS($K$2:K270),$K$2:$K$1001,0),1)&gt;=100000,INDEX($R$1005:$W$1005,1,MATCH(COLUMNS($R$1006:S1006),$R$1006:$W$1006,0))&gt;=100000), " ",IF(INDEX($R$2:$W$1001,MATCH(ROWS($K$2:K270),$K$2:$K$1001,0),MATCH(COLUMNS($R$1006:S1006),$R$1006:$W$1006,0)), HYPERLINK("#",""), HYPERLINK(CONCATENATE("#Metadata!", ADDRESS(INDEX($M$2:$M$1001,MATCH(ROWS($K$2:K270),$K$2:$K$1001,0),0), INDEX($R$1004:$W$1004,1,MATCH(COLUMNS($R$1006:S1006),$R$1006:$W$1006,0)))),"Fix")))</f>
        <v>0</v>
      </c>
      <c r="D270" s="3">
        <f>IF(OR(INDEX($L$2:$L$1001,MATCH(ROWS($K$2:K270),$K$2:$K$1001,0),1)&gt;=100000,INDEX($R$1005:$W$1005,1,MATCH(COLUMNS($R$1006:T1006),$R$1006:$W$1006,0))&gt;=100000), " ",IF(INDEX($R$2:$W$1001,MATCH(ROWS($K$2:K270),$K$2:$K$1001,0),MATCH(COLUMNS($R$1006:T1006),$R$1006:$W$1006,0)), HYPERLINK("#",""), HYPERLINK(CONCATENATE("#Metadata!", ADDRESS(INDEX($M$2:$M$1001,MATCH(ROWS($K$2:K270),$K$2:$K$1001,0),0), INDEX($R$1004:$W$1004,1,MATCH(COLUMNS($R$1006:T1006),$R$1006:$W$1006,0)))),"Fix")))</f>
        <v>0</v>
      </c>
      <c r="E270" s="3">
        <f>IF(OR(INDEX($L$2:$L$1001,MATCH(ROWS($K$2:K270),$K$2:$K$1001,0),1)&gt;=100000,INDEX($R$1005:$W$1005,1,MATCH(COLUMNS($R$1006:U1006),$R$1006:$W$1006,0))&gt;=100000), " ",IF(INDEX($R$2:$W$1001,MATCH(ROWS($K$2:K270),$K$2:$K$1001,0),MATCH(COLUMNS($R$1006:U1006),$R$1006:$W$1006,0)), HYPERLINK("#",""), HYPERLINK(CONCATENATE("#Metadata!", ADDRESS(INDEX($M$2:$M$1001,MATCH(ROWS($K$2:K270),$K$2:$K$1001,0),0), INDEX($R$1004:$W$1004,1,MATCH(COLUMNS($R$1006:U1006),$R$1006:$W$1006,0)))),"Fix")))</f>
        <v>0</v>
      </c>
      <c r="F270" s="3">
        <f>IF(OR(INDEX($L$2:$L$1001,MATCH(ROWS($K$2:K270),$K$2:$K$1001,0),1)&gt;=100000,INDEX($R$1005:$W$1005,1,MATCH(COLUMNS($R$1006:V1006),$R$1006:$W$1006,0))&gt;=100000), " ",IF(INDEX($R$2:$W$1001,MATCH(ROWS($K$2:K270),$K$2:$K$1001,0),MATCH(COLUMNS($R$1006:V1006),$R$1006:$W$1006,0)), HYPERLINK("#",""), HYPERLINK(CONCATENATE("#Metadata!", ADDRESS(INDEX($M$2:$M$1001,MATCH(ROWS($K$2:K270),$K$2:$K$1001,0),0), INDEX($R$1004:$W$1004,1,MATCH(COLUMNS($R$1006:V1006),$R$1006:$W$1006,0)))),"Fix")))</f>
        <v>0</v>
      </c>
      <c r="G270" s="3">
        <f>IF(OR(INDEX($L$2:$L$1001,MATCH(ROWS($K$2:K270),$K$2:$K$1001,0),1)&gt;=100000,INDEX($R$1005:$W$1005,1,MATCH(COLUMNS($R$1006:W1006),$R$1006:$W$1006,0))&gt;=100000), " ",IF(INDEX($R$2:$W$1001,MATCH(ROWS($K$2:K270),$K$2:$K$1001,0),MATCH(COLUMNS($R$1006:W1006),$R$1006:$W$1006,0)), HYPERLINK("#",""), HYPERLINK(CONCATENATE("#Metadata!", ADDRESS(INDEX($M$2:$M$1001,MATCH(ROWS($K$2:K270),$K$2:$K$1001,0),0), INDEX($R$1004:$W$1004,1,MATCH(COLUMNS($R$1006:W1006),$R$1006:$W$1006,0)))),"Fix")))</f>
        <v>0</v>
      </c>
      <c r="K270">
        <v>0</v>
      </c>
      <c r="L270">
        <v>0</v>
      </c>
      <c r="M270">
        <v>0</v>
      </c>
      <c r="N270">
        <f>IF(O270,TRUE,AND(R270:W270))</f>
        <v>0</v>
      </c>
      <c r="O270">
        <f>COUNTBLANK(Metadata!B270:G270)=COLUMNS(Metadata!B270:G270)</f>
        <v>0</v>
      </c>
      <c r="P270">
        <v>0</v>
      </c>
      <c r="R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S270">
        <f>IF(Metadata!C270="",FALSE,TRUE)</f>
        <v>0</v>
      </c>
      <c r="T270">
        <f>IF(Metadata!D270="",FALSE,TRUE)</f>
        <v>0</v>
      </c>
      <c r="U270">
        <f>IF(Metadata!E270="",FALSE,TRUE)</f>
        <v>0</v>
      </c>
      <c r="V270">
        <f>AND(IF(Metadata!F270="",FALSE,TRUE),exact(Metadata!F270,"rat gut metagenome"))</f>
        <v>0</v>
      </c>
      <c r="W270">
        <f>AND(IF(Metadata!G270="",FALSE,TRUE),exact(Metadata!G270,"1436733"))</f>
        <v>0</v>
      </c>
    </row>
    <row r="271" spans="1:23">
      <c r="A271" s="4">
        <f>IF(B271=" "," ",HYPERLINK(CONCATENATE("#metadata!",ADDRESS(INDEX($M$2:$M$1001,MATCH(ROWS($K$2:K271),$K$2:$K$1001,0),0),1)),INDEX($P$2:$P$1001,MATCH(ROWS($K$2:K271),$K$2:$K$1001,0),0)))</f>
        <v>0</v>
      </c>
      <c r="B271" s="3">
        <f>IF(OR(INDEX($L$2:$L$1001,MATCH(ROWS($K$2:K271),$K$2:$K$1001,0),1)&gt;=100000,INDEX($R$1005:$W$1005,1,MATCH(COLUMNS($R$1006:R1006),$R$1006:$W$1006,0))&gt;=100000), " ",IF(INDEX($R$2:$W$1001,MATCH(ROWS($K$2:K271),$K$2:$K$1001,0),MATCH(COLUMNS($R$1006:R1006),$R$1006:$W$1006,0)), HYPERLINK("#",""), HYPERLINK(CONCATENATE("#Metadata!", ADDRESS(INDEX($M$2:$M$1001,MATCH(ROWS($K$2:K271),$K$2:$K$1001,0),0), INDEX($R$1004:$W$1004,1,MATCH(COLUMNS($R$1006:R1006),$R$1006:$W$1006,0)))),"Fix")))</f>
        <v>0</v>
      </c>
      <c r="C271" s="3">
        <f>IF(OR(INDEX($L$2:$L$1001,MATCH(ROWS($K$2:K271),$K$2:$K$1001,0),1)&gt;=100000,INDEX($R$1005:$W$1005,1,MATCH(COLUMNS($R$1006:S1006),$R$1006:$W$1006,0))&gt;=100000), " ",IF(INDEX($R$2:$W$1001,MATCH(ROWS($K$2:K271),$K$2:$K$1001,0),MATCH(COLUMNS($R$1006:S1006),$R$1006:$W$1006,0)), HYPERLINK("#",""), HYPERLINK(CONCATENATE("#Metadata!", ADDRESS(INDEX($M$2:$M$1001,MATCH(ROWS($K$2:K271),$K$2:$K$1001,0),0), INDEX($R$1004:$W$1004,1,MATCH(COLUMNS($R$1006:S1006),$R$1006:$W$1006,0)))),"Fix")))</f>
        <v>0</v>
      </c>
      <c r="D271" s="3">
        <f>IF(OR(INDEX($L$2:$L$1001,MATCH(ROWS($K$2:K271),$K$2:$K$1001,0),1)&gt;=100000,INDEX($R$1005:$W$1005,1,MATCH(COLUMNS($R$1006:T1006),$R$1006:$W$1006,0))&gt;=100000), " ",IF(INDEX($R$2:$W$1001,MATCH(ROWS($K$2:K271),$K$2:$K$1001,0),MATCH(COLUMNS($R$1006:T1006),$R$1006:$W$1006,0)), HYPERLINK("#",""), HYPERLINK(CONCATENATE("#Metadata!", ADDRESS(INDEX($M$2:$M$1001,MATCH(ROWS($K$2:K271),$K$2:$K$1001,0),0), INDEX($R$1004:$W$1004,1,MATCH(COLUMNS($R$1006:T1006),$R$1006:$W$1006,0)))),"Fix")))</f>
        <v>0</v>
      </c>
      <c r="E271" s="3">
        <f>IF(OR(INDEX($L$2:$L$1001,MATCH(ROWS($K$2:K271),$K$2:$K$1001,0),1)&gt;=100000,INDEX($R$1005:$W$1005,1,MATCH(COLUMNS($R$1006:U1006),$R$1006:$W$1006,0))&gt;=100000), " ",IF(INDEX($R$2:$W$1001,MATCH(ROWS($K$2:K271),$K$2:$K$1001,0),MATCH(COLUMNS($R$1006:U1006),$R$1006:$W$1006,0)), HYPERLINK("#",""), HYPERLINK(CONCATENATE("#Metadata!", ADDRESS(INDEX($M$2:$M$1001,MATCH(ROWS($K$2:K271),$K$2:$K$1001,0),0), INDEX($R$1004:$W$1004,1,MATCH(COLUMNS($R$1006:U1006),$R$1006:$W$1006,0)))),"Fix")))</f>
        <v>0</v>
      </c>
      <c r="F271" s="3">
        <f>IF(OR(INDEX($L$2:$L$1001,MATCH(ROWS($K$2:K271),$K$2:$K$1001,0),1)&gt;=100000,INDEX($R$1005:$W$1005,1,MATCH(COLUMNS($R$1006:V1006),$R$1006:$W$1006,0))&gt;=100000), " ",IF(INDEX($R$2:$W$1001,MATCH(ROWS($K$2:K271),$K$2:$K$1001,0),MATCH(COLUMNS($R$1006:V1006),$R$1006:$W$1006,0)), HYPERLINK("#",""), HYPERLINK(CONCATENATE("#Metadata!", ADDRESS(INDEX($M$2:$M$1001,MATCH(ROWS($K$2:K271),$K$2:$K$1001,0),0), INDEX($R$1004:$W$1004,1,MATCH(COLUMNS($R$1006:V1006),$R$1006:$W$1006,0)))),"Fix")))</f>
        <v>0</v>
      </c>
      <c r="G271" s="3">
        <f>IF(OR(INDEX($L$2:$L$1001,MATCH(ROWS($K$2:K271),$K$2:$K$1001,0),1)&gt;=100000,INDEX($R$1005:$W$1005,1,MATCH(COLUMNS($R$1006:W1006),$R$1006:$W$1006,0))&gt;=100000), " ",IF(INDEX($R$2:$W$1001,MATCH(ROWS($K$2:K271),$K$2:$K$1001,0),MATCH(COLUMNS($R$1006:W1006),$R$1006:$W$1006,0)), HYPERLINK("#",""), HYPERLINK(CONCATENATE("#Metadata!", ADDRESS(INDEX($M$2:$M$1001,MATCH(ROWS($K$2:K271),$K$2:$K$1001,0),0), INDEX($R$1004:$W$1004,1,MATCH(COLUMNS($R$1006:W1006),$R$1006:$W$1006,0)))),"Fix")))</f>
        <v>0</v>
      </c>
      <c r="K271">
        <v>0</v>
      </c>
      <c r="L271">
        <v>0</v>
      </c>
      <c r="M271">
        <v>0</v>
      </c>
      <c r="N271">
        <f>IF(O271,TRUE,AND(R271:W271))</f>
        <v>0</v>
      </c>
      <c r="O271">
        <f>COUNTBLANK(Metadata!B271:G271)=COLUMNS(Metadata!B271:G271)</f>
        <v>0</v>
      </c>
      <c r="P271">
        <v>0</v>
      </c>
      <c r="R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S271">
        <f>IF(Metadata!C271="",FALSE,TRUE)</f>
        <v>0</v>
      </c>
      <c r="T271">
        <f>IF(Metadata!D271="",FALSE,TRUE)</f>
        <v>0</v>
      </c>
      <c r="U271">
        <f>IF(Metadata!E271="",FALSE,TRUE)</f>
        <v>0</v>
      </c>
      <c r="V271">
        <f>AND(IF(Metadata!F271="",FALSE,TRUE),exact(Metadata!F271,"rat gut metagenome"))</f>
        <v>0</v>
      </c>
      <c r="W271">
        <f>AND(IF(Metadata!G271="",FALSE,TRUE),exact(Metadata!G271,"1436733"))</f>
        <v>0</v>
      </c>
    </row>
    <row r="272" spans="1:23">
      <c r="A272" s="4">
        <f>IF(B272=" "," ",HYPERLINK(CONCATENATE("#metadata!",ADDRESS(INDEX($M$2:$M$1001,MATCH(ROWS($K$2:K272),$K$2:$K$1001,0),0),1)),INDEX($P$2:$P$1001,MATCH(ROWS($K$2:K272),$K$2:$K$1001,0),0)))</f>
        <v>0</v>
      </c>
      <c r="B272" s="3">
        <f>IF(OR(INDEX($L$2:$L$1001,MATCH(ROWS($K$2:K272),$K$2:$K$1001,0),1)&gt;=100000,INDEX($R$1005:$W$1005,1,MATCH(COLUMNS($R$1006:R1006),$R$1006:$W$1006,0))&gt;=100000), " ",IF(INDEX($R$2:$W$1001,MATCH(ROWS($K$2:K272),$K$2:$K$1001,0),MATCH(COLUMNS($R$1006:R1006),$R$1006:$W$1006,0)), HYPERLINK("#",""), HYPERLINK(CONCATENATE("#Metadata!", ADDRESS(INDEX($M$2:$M$1001,MATCH(ROWS($K$2:K272),$K$2:$K$1001,0),0), INDEX($R$1004:$W$1004,1,MATCH(COLUMNS($R$1006:R1006),$R$1006:$W$1006,0)))),"Fix")))</f>
        <v>0</v>
      </c>
      <c r="C272" s="3">
        <f>IF(OR(INDEX($L$2:$L$1001,MATCH(ROWS($K$2:K272),$K$2:$K$1001,0),1)&gt;=100000,INDEX($R$1005:$W$1005,1,MATCH(COLUMNS($R$1006:S1006),$R$1006:$W$1006,0))&gt;=100000), " ",IF(INDEX($R$2:$W$1001,MATCH(ROWS($K$2:K272),$K$2:$K$1001,0),MATCH(COLUMNS($R$1006:S1006),$R$1006:$W$1006,0)), HYPERLINK("#",""), HYPERLINK(CONCATENATE("#Metadata!", ADDRESS(INDEX($M$2:$M$1001,MATCH(ROWS($K$2:K272),$K$2:$K$1001,0),0), INDEX($R$1004:$W$1004,1,MATCH(COLUMNS($R$1006:S1006),$R$1006:$W$1006,0)))),"Fix")))</f>
        <v>0</v>
      </c>
      <c r="D272" s="3">
        <f>IF(OR(INDEX($L$2:$L$1001,MATCH(ROWS($K$2:K272),$K$2:$K$1001,0),1)&gt;=100000,INDEX($R$1005:$W$1005,1,MATCH(COLUMNS($R$1006:T1006),$R$1006:$W$1006,0))&gt;=100000), " ",IF(INDEX($R$2:$W$1001,MATCH(ROWS($K$2:K272),$K$2:$K$1001,0),MATCH(COLUMNS($R$1006:T1006),$R$1006:$W$1006,0)), HYPERLINK("#",""), HYPERLINK(CONCATENATE("#Metadata!", ADDRESS(INDEX($M$2:$M$1001,MATCH(ROWS($K$2:K272),$K$2:$K$1001,0),0), INDEX($R$1004:$W$1004,1,MATCH(COLUMNS($R$1006:T1006),$R$1006:$W$1006,0)))),"Fix")))</f>
        <v>0</v>
      </c>
      <c r="E272" s="3">
        <f>IF(OR(INDEX($L$2:$L$1001,MATCH(ROWS($K$2:K272),$K$2:$K$1001,0),1)&gt;=100000,INDEX($R$1005:$W$1005,1,MATCH(COLUMNS($R$1006:U1006),$R$1006:$W$1006,0))&gt;=100000), " ",IF(INDEX($R$2:$W$1001,MATCH(ROWS($K$2:K272),$K$2:$K$1001,0),MATCH(COLUMNS($R$1006:U1006),$R$1006:$W$1006,0)), HYPERLINK("#",""), HYPERLINK(CONCATENATE("#Metadata!", ADDRESS(INDEX($M$2:$M$1001,MATCH(ROWS($K$2:K272),$K$2:$K$1001,0),0), INDEX($R$1004:$W$1004,1,MATCH(COLUMNS($R$1006:U1006),$R$1006:$W$1006,0)))),"Fix")))</f>
        <v>0</v>
      </c>
      <c r="F272" s="3">
        <f>IF(OR(INDEX($L$2:$L$1001,MATCH(ROWS($K$2:K272),$K$2:$K$1001,0),1)&gt;=100000,INDEX($R$1005:$W$1005,1,MATCH(COLUMNS($R$1006:V1006),$R$1006:$W$1006,0))&gt;=100000), " ",IF(INDEX($R$2:$W$1001,MATCH(ROWS($K$2:K272),$K$2:$K$1001,0),MATCH(COLUMNS($R$1006:V1006),$R$1006:$W$1006,0)), HYPERLINK("#",""), HYPERLINK(CONCATENATE("#Metadata!", ADDRESS(INDEX($M$2:$M$1001,MATCH(ROWS($K$2:K272),$K$2:$K$1001,0),0), INDEX($R$1004:$W$1004,1,MATCH(COLUMNS($R$1006:V1006),$R$1006:$W$1006,0)))),"Fix")))</f>
        <v>0</v>
      </c>
      <c r="G272" s="3">
        <f>IF(OR(INDEX($L$2:$L$1001,MATCH(ROWS($K$2:K272),$K$2:$K$1001,0),1)&gt;=100000,INDEX($R$1005:$W$1005,1,MATCH(COLUMNS($R$1006:W1006),$R$1006:$W$1006,0))&gt;=100000), " ",IF(INDEX($R$2:$W$1001,MATCH(ROWS($K$2:K272),$K$2:$K$1001,0),MATCH(COLUMNS($R$1006:W1006),$R$1006:$W$1006,0)), HYPERLINK("#",""), HYPERLINK(CONCATENATE("#Metadata!", ADDRESS(INDEX($M$2:$M$1001,MATCH(ROWS($K$2:K272),$K$2:$K$1001,0),0), INDEX($R$1004:$W$1004,1,MATCH(COLUMNS($R$1006:W1006),$R$1006:$W$1006,0)))),"Fix")))</f>
        <v>0</v>
      </c>
      <c r="K272">
        <v>0</v>
      </c>
      <c r="L272">
        <v>0</v>
      </c>
      <c r="M272">
        <v>0</v>
      </c>
      <c r="N272">
        <f>IF(O272,TRUE,AND(R272:W272))</f>
        <v>0</v>
      </c>
      <c r="O272">
        <f>COUNTBLANK(Metadata!B272:G272)=COLUMNS(Metadata!B272:G272)</f>
        <v>0</v>
      </c>
      <c r="P272">
        <v>0</v>
      </c>
      <c r="R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S272">
        <f>IF(Metadata!C272="",FALSE,TRUE)</f>
        <v>0</v>
      </c>
      <c r="T272">
        <f>IF(Metadata!D272="",FALSE,TRUE)</f>
        <v>0</v>
      </c>
      <c r="U272">
        <f>IF(Metadata!E272="",FALSE,TRUE)</f>
        <v>0</v>
      </c>
      <c r="V272">
        <f>AND(IF(Metadata!F272="",FALSE,TRUE),exact(Metadata!F272,"rat gut metagenome"))</f>
        <v>0</v>
      </c>
      <c r="W272">
        <f>AND(IF(Metadata!G272="",FALSE,TRUE),exact(Metadata!G272,"1436733"))</f>
        <v>0</v>
      </c>
    </row>
    <row r="273" spans="1:23">
      <c r="A273" s="4">
        <f>IF(B273=" "," ",HYPERLINK(CONCATENATE("#metadata!",ADDRESS(INDEX($M$2:$M$1001,MATCH(ROWS($K$2:K273),$K$2:$K$1001,0),0),1)),INDEX($P$2:$P$1001,MATCH(ROWS($K$2:K273),$K$2:$K$1001,0),0)))</f>
        <v>0</v>
      </c>
      <c r="B273" s="3">
        <f>IF(OR(INDEX($L$2:$L$1001,MATCH(ROWS($K$2:K273),$K$2:$K$1001,0),1)&gt;=100000,INDEX($R$1005:$W$1005,1,MATCH(COLUMNS($R$1006:R1006),$R$1006:$W$1006,0))&gt;=100000), " ",IF(INDEX($R$2:$W$1001,MATCH(ROWS($K$2:K273),$K$2:$K$1001,0),MATCH(COLUMNS($R$1006:R1006),$R$1006:$W$1006,0)), HYPERLINK("#",""), HYPERLINK(CONCATENATE("#Metadata!", ADDRESS(INDEX($M$2:$M$1001,MATCH(ROWS($K$2:K273),$K$2:$K$1001,0),0), INDEX($R$1004:$W$1004,1,MATCH(COLUMNS($R$1006:R1006),$R$1006:$W$1006,0)))),"Fix")))</f>
        <v>0</v>
      </c>
      <c r="C273" s="3">
        <f>IF(OR(INDEX($L$2:$L$1001,MATCH(ROWS($K$2:K273),$K$2:$K$1001,0),1)&gt;=100000,INDEX($R$1005:$W$1005,1,MATCH(COLUMNS($R$1006:S1006),$R$1006:$W$1006,0))&gt;=100000), " ",IF(INDEX($R$2:$W$1001,MATCH(ROWS($K$2:K273),$K$2:$K$1001,0),MATCH(COLUMNS($R$1006:S1006),$R$1006:$W$1006,0)), HYPERLINK("#",""), HYPERLINK(CONCATENATE("#Metadata!", ADDRESS(INDEX($M$2:$M$1001,MATCH(ROWS($K$2:K273),$K$2:$K$1001,0),0), INDEX($R$1004:$W$1004,1,MATCH(COLUMNS($R$1006:S1006),$R$1006:$W$1006,0)))),"Fix")))</f>
        <v>0</v>
      </c>
      <c r="D273" s="3">
        <f>IF(OR(INDEX($L$2:$L$1001,MATCH(ROWS($K$2:K273),$K$2:$K$1001,0),1)&gt;=100000,INDEX($R$1005:$W$1005,1,MATCH(COLUMNS($R$1006:T1006),$R$1006:$W$1006,0))&gt;=100000), " ",IF(INDEX($R$2:$W$1001,MATCH(ROWS($K$2:K273),$K$2:$K$1001,0),MATCH(COLUMNS($R$1006:T1006),$R$1006:$W$1006,0)), HYPERLINK("#",""), HYPERLINK(CONCATENATE("#Metadata!", ADDRESS(INDEX($M$2:$M$1001,MATCH(ROWS($K$2:K273),$K$2:$K$1001,0),0), INDEX($R$1004:$W$1004,1,MATCH(COLUMNS($R$1006:T1006),$R$1006:$W$1006,0)))),"Fix")))</f>
        <v>0</v>
      </c>
      <c r="E273" s="3">
        <f>IF(OR(INDEX($L$2:$L$1001,MATCH(ROWS($K$2:K273),$K$2:$K$1001,0),1)&gt;=100000,INDEX($R$1005:$W$1005,1,MATCH(COLUMNS($R$1006:U1006),$R$1006:$W$1006,0))&gt;=100000), " ",IF(INDEX($R$2:$W$1001,MATCH(ROWS($K$2:K273),$K$2:$K$1001,0),MATCH(COLUMNS($R$1006:U1006),$R$1006:$W$1006,0)), HYPERLINK("#",""), HYPERLINK(CONCATENATE("#Metadata!", ADDRESS(INDEX($M$2:$M$1001,MATCH(ROWS($K$2:K273),$K$2:$K$1001,0),0), INDEX($R$1004:$W$1004,1,MATCH(COLUMNS($R$1006:U1006),$R$1006:$W$1006,0)))),"Fix")))</f>
        <v>0</v>
      </c>
      <c r="F273" s="3">
        <f>IF(OR(INDEX($L$2:$L$1001,MATCH(ROWS($K$2:K273),$K$2:$K$1001,0),1)&gt;=100000,INDEX($R$1005:$W$1005,1,MATCH(COLUMNS($R$1006:V1006),$R$1006:$W$1006,0))&gt;=100000), " ",IF(INDEX($R$2:$W$1001,MATCH(ROWS($K$2:K273),$K$2:$K$1001,0),MATCH(COLUMNS($R$1006:V1006),$R$1006:$W$1006,0)), HYPERLINK("#",""), HYPERLINK(CONCATENATE("#Metadata!", ADDRESS(INDEX($M$2:$M$1001,MATCH(ROWS($K$2:K273),$K$2:$K$1001,0),0), INDEX($R$1004:$W$1004,1,MATCH(COLUMNS($R$1006:V1006),$R$1006:$W$1006,0)))),"Fix")))</f>
        <v>0</v>
      </c>
      <c r="G273" s="3">
        <f>IF(OR(INDEX($L$2:$L$1001,MATCH(ROWS($K$2:K273),$K$2:$K$1001,0),1)&gt;=100000,INDEX($R$1005:$W$1005,1,MATCH(COLUMNS($R$1006:W1006),$R$1006:$W$1006,0))&gt;=100000), " ",IF(INDEX($R$2:$W$1001,MATCH(ROWS($K$2:K273),$K$2:$K$1001,0),MATCH(COLUMNS($R$1006:W1006),$R$1006:$W$1006,0)), HYPERLINK("#",""), HYPERLINK(CONCATENATE("#Metadata!", ADDRESS(INDEX($M$2:$M$1001,MATCH(ROWS($K$2:K273),$K$2:$K$1001,0),0), INDEX($R$1004:$W$1004,1,MATCH(COLUMNS($R$1006:W1006),$R$1006:$W$1006,0)))),"Fix")))</f>
        <v>0</v>
      </c>
      <c r="K273">
        <v>0</v>
      </c>
      <c r="L273">
        <v>0</v>
      </c>
      <c r="M273">
        <v>0</v>
      </c>
      <c r="N273">
        <f>IF(O273,TRUE,AND(R273:W273))</f>
        <v>0</v>
      </c>
      <c r="O273">
        <f>COUNTBLANK(Metadata!B273:G273)=COLUMNS(Metadata!B273:G273)</f>
        <v>0</v>
      </c>
      <c r="P273">
        <v>0</v>
      </c>
      <c r="R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S273">
        <f>IF(Metadata!C273="",FALSE,TRUE)</f>
        <v>0</v>
      </c>
      <c r="T273">
        <f>IF(Metadata!D273="",FALSE,TRUE)</f>
        <v>0</v>
      </c>
      <c r="U273">
        <f>IF(Metadata!E273="",FALSE,TRUE)</f>
        <v>0</v>
      </c>
      <c r="V273">
        <f>AND(IF(Metadata!F273="",FALSE,TRUE),exact(Metadata!F273,"rat gut metagenome"))</f>
        <v>0</v>
      </c>
      <c r="W273">
        <f>AND(IF(Metadata!G273="",FALSE,TRUE),exact(Metadata!G273,"1436733"))</f>
        <v>0</v>
      </c>
    </row>
    <row r="274" spans="1:23">
      <c r="A274" s="4">
        <f>IF(B274=" "," ",HYPERLINK(CONCATENATE("#metadata!",ADDRESS(INDEX($M$2:$M$1001,MATCH(ROWS($K$2:K274),$K$2:$K$1001,0),0),1)),INDEX($P$2:$P$1001,MATCH(ROWS($K$2:K274),$K$2:$K$1001,0),0)))</f>
        <v>0</v>
      </c>
      <c r="B274" s="3">
        <f>IF(OR(INDEX($L$2:$L$1001,MATCH(ROWS($K$2:K274),$K$2:$K$1001,0),1)&gt;=100000,INDEX($R$1005:$W$1005,1,MATCH(COLUMNS($R$1006:R1006),$R$1006:$W$1006,0))&gt;=100000), " ",IF(INDEX($R$2:$W$1001,MATCH(ROWS($K$2:K274),$K$2:$K$1001,0),MATCH(COLUMNS($R$1006:R1006),$R$1006:$W$1006,0)), HYPERLINK("#",""), HYPERLINK(CONCATENATE("#Metadata!", ADDRESS(INDEX($M$2:$M$1001,MATCH(ROWS($K$2:K274),$K$2:$K$1001,0),0), INDEX($R$1004:$W$1004,1,MATCH(COLUMNS($R$1006:R1006),$R$1006:$W$1006,0)))),"Fix")))</f>
        <v>0</v>
      </c>
      <c r="C274" s="3">
        <f>IF(OR(INDEX($L$2:$L$1001,MATCH(ROWS($K$2:K274),$K$2:$K$1001,0),1)&gt;=100000,INDEX($R$1005:$W$1005,1,MATCH(COLUMNS($R$1006:S1006),$R$1006:$W$1006,0))&gt;=100000), " ",IF(INDEX($R$2:$W$1001,MATCH(ROWS($K$2:K274),$K$2:$K$1001,0),MATCH(COLUMNS($R$1006:S1006),$R$1006:$W$1006,0)), HYPERLINK("#",""), HYPERLINK(CONCATENATE("#Metadata!", ADDRESS(INDEX($M$2:$M$1001,MATCH(ROWS($K$2:K274),$K$2:$K$1001,0),0), INDEX($R$1004:$W$1004,1,MATCH(COLUMNS($R$1006:S1006),$R$1006:$W$1006,0)))),"Fix")))</f>
        <v>0</v>
      </c>
      <c r="D274" s="3">
        <f>IF(OR(INDEX($L$2:$L$1001,MATCH(ROWS($K$2:K274),$K$2:$K$1001,0),1)&gt;=100000,INDEX($R$1005:$W$1005,1,MATCH(COLUMNS($R$1006:T1006),$R$1006:$W$1006,0))&gt;=100000), " ",IF(INDEX($R$2:$W$1001,MATCH(ROWS($K$2:K274),$K$2:$K$1001,0),MATCH(COLUMNS($R$1006:T1006),$R$1006:$W$1006,0)), HYPERLINK("#",""), HYPERLINK(CONCATENATE("#Metadata!", ADDRESS(INDEX($M$2:$M$1001,MATCH(ROWS($K$2:K274),$K$2:$K$1001,0),0), INDEX($R$1004:$W$1004,1,MATCH(COLUMNS($R$1006:T1006),$R$1006:$W$1006,0)))),"Fix")))</f>
        <v>0</v>
      </c>
      <c r="E274" s="3">
        <f>IF(OR(INDEX($L$2:$L$1001,MATCH(ROWS($K$2:K274),$K$2:$K$1001,0),1)&gt;=100000,INDEX($R$1005:$W$1005,1,MATCH(COLUMNS($R$1006:U1006),$R$1006:$W$1006,0))&gt;=100000), " ",IF(INDEX($R$2:$W$1001,MATCH(ROWS($K$2:K274),$K$2:$K$1001,0),MATCH(COLUMNS($R$1006:U1006),$R$1006:$W$1006,0)), HYPERLINK("#",""), HYPERLINK(CONCATENATE("#Metadata!", ADDRESS(INDEX($M$2:$M$1001,MATCH(ROWS($K$2:K274),$K$2:$K$1001,0),0), INDEX($R$1004:$W$1004,1,MATCH(COLUMNS($R$1006:U1006),$R$1006:$W$1006,0)))),"Fix")))</f>
        <v>0</v>
      </c>
      <c r="F274" s="3">
        <f>IF(OR(INDEX($L$2:$L$1001,MATCH(ROWS($K$2:K274),$K$2:$K$1001,0),1)&gt;=100000,INDEX($R$1005:$W$1005,1,MATCH(COLUMNS($R$1006:V1006),$R$1006:$W$1006,0))&gt;=100000), " ",IF(INDEX($R$2:$W$1001,MATCH(ROWS($K$2:K274),$K$2:$K$1001,0),MATCH(COLUMNS($R$1006:V1006),$R$1006:$W$1006,0)), HYPERLINK("#",""), HYPERLINK(CONCATENATE("#Metadata!", ADDRESS(INDEX($M$2:$M$1001,MATCH(ROWS($K$2:K274),$K$2:$K$1001,0),0), INDEX($R$1004:$W$1004,1,MATCH(COLUMNS($R$1006:V1006),$R$1006:$W$1006,0)))),"Fix")))</f>
        <v>0</v>
      </c>
      <c r="G274" s="3">
        <f>IF(OR(INDEX($L$2:$L$1001,MATCH(ROWS($K$2:K274),$K$2:$K$1001,0),1)&gt;=100000,INDEX($R$1005:$W$1005,1,MATCH(COLUMNS($R$1006:W1006),$R$1006:$W$1006,0))&gt;=100000), " ",IF(INDEX($R$2:$W$1001,MATCH(ROWS($K$2:K274),$K$2:$K$1001,0),MATCH(COLUMNS($R$1006:W1006),$R$1006:$W$1006,0)), HYPERLINK("#",""), HYPERLINK(CONCATENATE("#Metadata!", ADDRESS(INDEX($M$2:$M$1001,MATCH(ROWS($K$2:K274),$K$2:$K$1001,0),0), INDEX($R$1004:$W$1004,1,MATCH(COLUMNS($R$1006:W1006),$R$1006:$W$1006,0)))),"Fix")))</f>
        <v>0</v>
      </c>
      <c r="K274">
        <v>0</v>
      </c>
      <c r="L274">
        <v>0</v>
      </c>
      <c r="M274">
        <v>0</v>
      </c>
      <c r="N274">
        <f>IF(O274,TRUE,AND(R274:W274))</f>
        <v>0</v>
      </c>
      <c r="O274">
        <f>COUNTBLANK(Metadata!B274:G274)=COLUMNS(Metadata!B274:G274)</f>
        <v>0</v>
      </c>
      <c r="P274">
        <v>0</v>
      </c>
      <c r="R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S274">
        <f>IF(Metadata!C274="",FALSE,TRUE)</f>
        <v>0</v>
      </c>
      <c r="T274">
        <f>IF(Metadata!D274="",FALSE,TRUE)</f>
        <v>0</v>
      </c>
      <c r="U274">
        <f>IF(Metadata!E274="",FALSE,TRUE)</f>
        <v>0</v>
      </c>
      <c r="V274">
        <f>AND(IF(Metadata!F274="",FALSE,TRUE),exact(Metadata!F274,"rat gut metagenome"))</f>
        <v>0</v>
      </c>
      <c r="W274">
        <f>AND(IF(Metadata!G274="",FALSE,TRUE),exact(Metadata!G274,"1436733"))</f>
        <v>0</v>
      </c>
    </row>
    <row r="275" spans="1:23">
      <c r="A275" s="4">
        <f>IF(B275=" "," ",HYPERLINK(CONCATENATE("#metadata!",ADDRESS(INDEX($M$2:$M$1001,MATCH(ROWS($K$2:K275),$K$2:$K$1001,0),0),1)),INDEX($P$2:$P$1001,MATCH(ROWS($K$2:K275),$K$2:$K$1001,0),0)))</f>
        <v>0</v>
      </c>
      <c r="B275" s="3">
        <f>IF(OR(INDEX($L$2:$L$1001,MATCH(ROWS($K$2:K275),$K$2:$K$1001,0),1)&gt;=100000,INDEX($R$1005:$W$1005,1,MATCH(COLUMNS($R$1006:R1006),$R$1006:$W$1006,0))&gt;=100000), " ",IF(INDEX($R$2:$W$1001,MATCH(ROWS($K$2:K275),$K$2:$K$1001,0),MATCH(COLUMNS($R$1006:R1006),$R$1006:$W$1006,0)), HYPERLINK("#",""), HYPERLINK(CONCATENATE("#Metadata!", ADDRESS(INDEX($M$2:$M$1001,MATCH(ROWS($K$2:K275),$K$2:$K$1001,0),0), INDEX($R$1004:$W$1004,1,MATCH(COLUMNS($R$1006:R1006),$R$1006:$W$1006,0)))),"Fix")))</f>
        <v>0</v>
      </c>
      <c r="C275" s="3">
        <f>IF(OR(INDEX($L$2:$L$1001,MATCH(ROWS($K$2:K275),$K$2:$K$1001,0),1)&gt;=100000,INDEX($R$1005:$W$1005,1,MATCH(COLUMNS($R$1006:S1006),$R$1006:$W$1006,0))&gt;=100000), " ",IF(INDEX($R$2:$W$1001,MATCH(ROWS($K$2:K275),$K$2:$K$1001,0),MATCH(COLUMNS($R$1006:S1006),$R$1006:$W$1006,0)), HYPERLINK("#",""), HYPERLINK(CONCATENATE("#Metadata!", ADDRESS(INDEX($M$2:$M$1001,MATCH(ROWS($K$2:K275),$K$2:$K$1001,0),0), INDEX($R$1004:$W$1004,1,MATCH(COLUMNS($R$1006:S1006),$R$1006:$W$1006,0)))),"Fix")))</f>
        <v>0</v>
      </c>
      <c r="D275" s="3">
        <f>IF(OR(INDEX($L$2:$L$1001,MATCH(ROWS($K$2:K275),$K$2:$K$1001,0),1)&gt;=100000,INDEX($R$1005:$W$1005,1,MATCH(COLUMNS($R$1006:T1006),$R$1006:$W$1006,0))&gt;=100000), " ",IF(INDEX($R$2:$W$1001,MATCH(ROWS($K$2:K275),$K$2:$K$1001,0),MATCH(COLUMNS($R$1006:T1006),$R$1006:$W$1006,0)), HYPERLINK("#",""), HYPERLINK(CONCATENATE("#Metadata!", ADDRESS(INDEX($M$2:$M$1001,MATCH(ROWS($K$2:K275),$K$2:$K$1001,0),0), INDEX($R$1004:$W$1004,1,MATCH(COLUMNS($R$1006:T1006),$R$1006:$W$1006,0)))),"Fix")))</f>
        <v>0</v>
      </c>
      <c r="E275" s="3">
        <f>IF(OR(INDEX($L$2:$L$1001,MATCH(ROWS($K$2:K275),$K$2:$K$1001,0),1)&gt;=100000,INDEX($R$1005:$W$1005,1,MATCH(COLUMNS($R$1006:U1006),$R$1006:$W$1006,0))&gt;=100000), " ",IF(INDEX($R$2:$W$1001,MATCH(ROWS($K$2:K275),$K$2:$K$1001,0),MATCH(COLUMNS($R$1006:U1006),$R$1006:$W$1006,0)), HYPERLINK("#",""), HYPERLINK(CONCATENATE("#Metadata!", ADDRESS(INDEX($M$2:$M$1001,MATCH(ROWS($K$2:K275),$K$2:$K$1001,0),0), INDEX($R$1004:$W$1004,1,MATCH(COLUMNS($R$1006:U1006),$R$1006:$W$1006,0)))),"Fix")))</f>
        <v>0</v>
      </c>
      <c r="F275" s="3">
        <f>IF(OR(INDEX($L$2:$L$1001,MATCH(ROWS($K$2:K275),$K$2:$K$1001,0),1)&gt;=100000,INDEX($R$1005:$W$1005,1,MATCH(COLUMNS($R$1006:V1006),$R$1006:$W$1006,0))&gt;=100000), " ",IF(INDEX($R$2:$W$1001,MATCH(ROWS($K$2:K275),$K$2:$K$1001,0),MATCH(COLUMNS($R$1006:V1006),$R$1006:$W$1006,0)), HYPERLINK("#",""), HYPERLINK(CONCATENATE("#Metadata!", ADDRESS(INDEX($M$2:$M$1001,MATCH(ROWS($K$2:K275),$K$2:$K$1001,0),0), INDEX($R$1004:$W$1004,1,MATCH(COLUMNS($R$1006:V1006),$R$1006:$W$1006,0)))),"Fix")))</f>
        <v>0</v>
      </c>
      <c r="G275" s="3">
        <f>IF(OR(INDEX($L$2:$L$1001,MATCH(ROWS($K$2:K275),$K$2:$K$1001,0),1)&gt;=100000,INDEX($R$1005:$W$1005,1,MATCH(COLUMNS($R$1006:W1006),$R$1006:$W$1006,0))&gt;=100000), " ",IF(INDEX($R$2:$W$1001,MATCH(ROWS($K$2:K275),$K$2:$K$1001,0),MATCH(COLUMNS($R$1006:W1006),$R$1006:$W$1006,0)), HYPERLINK("#",""), HYPERLINK(CONCATENATE("#Metadata!", ADDRESS(INDEX($M$2:$M$1001,MATCH(ROWS($K$2:K275),$K$2:$K$1001,0),0), INDEX($R$1004:$W$1004,1,MATCH(COLUMNS($R$1006:W1006),$R$1006:$W$1006,0)))),"Fix")))</f>
        <v>0</v>
      </c>
      <c r="K275">
        <v>0</v>
      </c>
      <c r="L275">
        <v>0</v>
      </c>
      <c r="M275">
        <v>0</v>
      </c>
      <c r="N275">
        <f>IF(O275,TRUE,AND(R275:W275))</f>
        <v>0</v>
      </c>
      <c r="O275">
        <f>COUNTBLANK(Metadata!B275:G275)=COLUMNS(Metadata!B275:G275)</f>
        <v>0</v>
      </c>
      <c r="P275">
        <v>0</v>
      </c>
      <c r="R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S275">
        <f>IF(Metadata!C275="",FALSE,TRUE)</f>
        <v>0</v>
      </c>
      <c r="T275">
        <f>IF(Metadata!D275="",FALSE,TRUE)</f>
        <v>0</v>
      </c>
      <c r="U275">
        <f>IF(Metadata!E275="",FALSE,TRUE)</f>
        <v>0</v>
      </c>
      <c r="V275">
        <f>AND(IF(Metadata!F275="",FALSE,TRUE),exact(Metadata!F275,"rat gut metagenome"))</f>
        <v>0</v>
      </c>
      <c r="W275">
        <f>AND(IF(Metadata!G275="",FALSE,TRUE),exact(Metadata!G275,"1436733"))</f>
        <v>0</v>
      </c>
    </row>
    <row r="276" spans="1:23">
      <c r="A276" s="4">
        <f>IF(B276=" "," ",HYPERLINK(CONCATENATE("#metadata!",ADDRESS(INDEX($M$2:$M$1001,MATCH(ROWS($K$2:K276),$K$2:$K$1001,0),0),1)),INDEX($P$2:$P$1001,MATCH(ROWS($K$2:K276),$K$2:$K$1001,0),0)))</f>
        <v>0</v>
      </c>
      <c r="B276" s="3">
        <f>IF(OR(INDEX($L$2:$L$1001,MATCH(ROWS($K$2:K276),$K$2:$K$1001,0),1)&gt;=100000,INDEX($R$1005:$W$1005,1,MATCH(COLUMNS($R$1006:R1006),$R$1006:$W$1006,0))&gt;=100000), " ",IF(INDEX($R$2:$W$1001,MATCH(ROWS($K$2:K276),$K$2:$K$1001,0),MATCH(COLUMNS($R$1006:R1006),$R$1006:$W$1006,0)), HYPERLINK("#",""), HYPERLINK(CONCATENATE("#Metadata!", ADDRESS(INDEX($M$2:$M$1001,MATCH(ROWS($K$2:K276),$K$2:$K$1001,0),0), INDEX($R$1004:$W$1004,1,MATCH(COLUMNS($R$1006:R1006),$R$1006:$W$1006,0)))),"Fix")))</f>
        <v>0</v>
      </c>
      <c r="C276" s="3">
        <f>IF(OR(INDEX($L$2:$L$1001,MATCH(ROWS($K$2:K276),$K$2:$K$1001,0),1)&gt;=100000,INDEX($R$1005:$W$1005,1,MATCH(COLUMNS($R$1006:S1006),$R$1006:$W$1006,0))&gt;=100000), " ",IF(INDEX($R$2:$W$1001,MATCH(ROWS($K$2:K276),$K$2:$K$1001,0),MATCH(COLUMNS($R$1006:S1006),$R$1006:$W$1006,0)), HYPERLINK("#",""), HYPERLINK(CONCATENATE("#Metadata!", ADDRESS(INDEX($M$2:$M$1001,MATCH(ROWS($K$2:K276),$K$2:$K$1001,0),0), INDEX($R$1004:$W$1004,1,MATCH(COLUMNS($R$1006:S1006),$R$1006:$W$1006,0)))),"Fix")))</f>
        <v>0</v>
      </c>
      <c r="D276" s="3">
        <f>IF(OR(INDEX($L$2:$L$1001,MATCH(ROWS($K$2:K276),$K$2:$K$1001,0),1)&gt;=100000,INDEX($R$1005:$W$1005,1,MATCH(COLUMNS($R$1006:T1006),$R$1006:$W$1006,0))&gt;=100000), " ",IF(INDEX($R$2:$W$1001,MATCH(ROWS($K$2:K276),$K$2:$K$1001,0),MATCH(COLUMNS($R$1006:T1006),$R$1006:$W$1006,0)), HYPERLINK("#",""), HYPERLINK(CONCATENATE("#Metadata!", ADDRESS(INDEX($M$2:$M$1001,MATCH(ROWS($K$2:K276),$K$2:$K$1001,0),0), INDEX($R$1004:$W$1004,1,MATCH(COLUMNS($R$1006:T1006),$R$1006:$W$1006,0)))),"Fix")))</f>
        <v>0</v>
      </c>
      <c r="E276" s="3">
        <f>IF(OR(INDEX($L$2:$L$1001,MATCH(ROWS($K$2:K276),$K$2:$K$1001,0),1)&gt;=100000,INDEX($R$1005:$W$1005,1,MATCH(COLUMNS($R$1006:U1006),$R$1006:$W$1006,0))&gt;=100000), " ",IF(INDEX($R$2:$W$1001,MATCH(ROWS($K$2:K276),$K$2:$K$1001,0),MATCH(COLUMNS($R$1006:U1006),$R$1006:$W$1006,0)), HYPERLINK("#",""), HYPERLINK(CONCATENATE("#Metadata!", ADDRESS(INDEX($M$2:$M$1001,MATCH(ROWS($K$2:K276),$K$2:$K$1001,0),0), INDEX($R$1004:$W$1004,1,MATCH(COLUMNS($R$1006:U1006),$R$1006:$W$1006,0)))),"Fix")))</f>
        <v>0</v>
      </c>
      <c r="F276" s="3">
        <f>IF(OR(INDEX($L$2:$L$1001,MATCH(ROWS($K$2:K276),$K$2:$K$1001,0),1)&gt;=100000,INDEX($R$1005:$W$1005,1,MATCH(COLUMNS($R$1006:V1006),$R$1006:$W$1006,0))&gt;=100000), " ",IF(INDEX($R$2:$W$1001,MATCH(ROWS($K$2:K276),$K$2:$K$1001,0),MATCH(COLUMNS($R$1006:V1006),$R$1006:$W$1006,0)), HYPERLINK("#",""), HYPERLINK(CONCATENATE("#Metadata!", ADDRESS(INDEX($M$2:$M$1001,MATCH(ROWS($K$2:K276),$K$2:$K$1001,0),0), INDEX($R$1004:$W$1004,1,MATCH(COLUMNS($R$1006:V1006),$R$1006:$W$1006,0)))),"Fix")))</f>
        <v>0</v>
      </c>
      <c r="G276" s="3">
        <f>IF(OR(INDEX($L$2:$L$1001,MATCH(ROWS($K$2:K276),$K$2:$K$1001,0),1)&gt;=100000,INDEX($R$1005:$W$1005,1,MATCH(COLUMNS($R$1006:W1006),$R$1006:$W$1006,0))&gt;=100000), " ",IF(INDEX($R$2:$W$1001,MATCH(ROWS($K$2:K276),$K$2:$K$1001,0),MATCH(COLUMNS($R$1006:W1006),$R$1006:$W$1006,0)), HYPERLINK("#",""), HYPERLINK(CONCATENATE("#Metadata!", ADDRESS(INDEX($M$2:$M$1001,MATCH(ROWS($K$2:K276),$K$2:$K$1001,0),0), INDEX($R$1004:$W$1004,1,MATCH(COLUMNS($R$1006:W1006),$R$1006:$W$1006,0)))),"Fix")))</f>
        <v>0</v>
      </c>
      <c r="K276">
        <v>0</v>
      </c>
      <c r="L276">
        <v>0</v>
      </c>
      <c r="M276">
        <v>0</v>
      </c>
      <c r="N276">
        <f>IF(O276,TRUE,AND(R276:W276))</f>
        <v>0</v>
      </c>
      <c r="O276">
        <f>COUNTBLANK(Metadata!B276:G276)=COLUMNS(Metadata!B276:G276)</f>
        <v>0</v>
      </c>
      <c r="P276">
        <v>0</v>
      </c>
      <c r="R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S276">
        <f>IF(Metadata!C276="",FALSE,TRUE)</f>
        <v>0</v>
      </c>
      <c r="T276">
        <f>IF(Metadata!D276="",FALSE,TRUE)</f>
        <v>0</v>
      </c>
      <c r="U276">
        <f>IF(Metadata!E276="",FALSE,TRUE)</f>
        <v>0</v>
      </c>
      <c r="V276">
        <f>AND(IF(Metadata!F276="",FALSE,TRUE),exact(Metadata!F276,"rat gut metagenome"))</f>
        <v>0</v>
      </c>
      <c r="W276">
        <f>AND(IF(Metadata!G276="",FALSE,TRUE),exact(Metadata!G276,"1436733"))</f>
        <v>0</v>
      </c>
    </row>
    <row r="277" spans="1:23">
      <c r="A277" s="4">
        <f>IF(B277=" "," ",HYPERLINK(CONCATENATE("#metadata!",ADDRESS(INDEX($M$2:$M$1001,MATCH(ROWS($K$2:K277),$K$2:$K$1001,0),0),1)),INDEX($P$2:$P$1001,MATCH(ROWS($K$2:K277),$K$2:$K$1001,0),0)))</f>
        <v>0</v>
      </c>
      <c r="B277" s="3">
        <f>IF(OR(INDEX($L$2:$L$1001,MATCH(ROWS($K$2:K277),$K$2:$K$1001,0),1)&gt;=100000,INDEX($R$1005:$W$1005,1,MATCH(COLUMNS($R$1006:R1006),$R$1006:$W$1006,0))&gt;=100000), " ",IF(INDEX($R$2:$W$1001,MATCH(ROWS($K$2:K277),$K$2:$K$1001,0),MATCH(COLUMNS($R$1006:R1006),$R$1006:$W$1006,0)), HYPERLINK("#",""), HYPERLINK(CONCATENATE("#Metadata!", ADDRESS(INDEX($M$2:$M$1001,MATCH(ROWS($K$2:K277),$K$2:$K$1001,0),0), INDEX($R$1004:$W$1004,1,MATCH(COLUMNS($R$1006:R1006),$R$1006:$W$1006,0)))),"Fix")))</f>
        <v>0</v>
      </c>
      <c r="C277" s="3">
        <f>IF(OR(INDEX($L$2:$L$1001,MATCH(ROWS($K$2:K277),$K$2:$K$1001,0),1)&gt;=100000,INDEX($R$1005:$W$1005,1,MATCH(COLUMNS($R$1006:S1006),$R$1006:$W$1006,0))&gt;=100000), " ",IF(INDEX($R$2:$W$1001,MATCH(ROWS($K$2:K277),$K$2:$K$1001,0),MATCH(COLUMNS($R$1006:S1006),$R$1006:$W$1006,0)), HYPERLINK("#",""), HYPERLINK(CONCATENATE("#Metadata!", ADDRESS(INDEX($M$2:$M$1001,MATCH(ROWS($K$2:K277),$K$2:$K$1001,0),0), INDEX($R$1004:$W$1004,1,MATCH(COLUMNS($R$1006:S1006),$R$1006:$W$1006,0)))),"Fix")))</f>
        <v>0</v>
      </c>
      <c r="D277" s="3">
        <f>IF(OR(INDEX($L$2:$L$1001,MATCH(ROWS($K$2:K277),$K$2:$K$1001,0),1)&gt;=100000,INDEX($R$1005:$W$1005,1,MATCH(COLUMNS($R$1006:T1006),$R$1006:$W$1006,0))&gt;=100000), " ",IF(INDEX($R$2:$W$1001,MATCH(ROWS($K$2:K277),$K$2:$K$1001,0),MATCH(COLUMNS($R$1006:T1006),$R$1006:$W$1006,0)), HYPERLINK("#",""), HYPERLINK(CONCATENATE("#Metadata!", ADDRESS(INDEX($M$2:$M$1001,MATCH(ROWS($K$2:K277),$K$2:$K$1001,0),0), INDEX($R$1004:$W$1004,1,MATCH(COLUMNS($R$1006:T1006),$R$1006:$W$1006,0)))),"Fix")))</f>
        <v>0</v>
      </c>
      <c r="E277" s="3">
        <f>IF(OR(INDEX($L$2:$L$1001,MATCH(ROWS($K$2:K277),$K$2:$K$1001,0),1)&gt;=100000,INDEX($R$1005:$W$1005,1,MATCH(COLUMNS($R$1006:U1006),$R$1006:$W$1006,0))&gt;=100000), " ",IF(INDEX($R$2:$W$1001,MATCH(ROWS($K$2:K277),$K$2:$K$1001,0),MATCH(COLUMNS($R$1006:U1006),$R$1006:$W$1006,0)), HYPERLINK("#",""), HYPERLINK(CONCATENATE("#Metadata!", ADDRESS(INDEX($M$2:$M$1001,MATCH(ROWS($K$2:K277),$K$2:$K$1001,0),0), INDEX($R$1004:$W$1004,1,MATCH(COLUMNS($R$1006:U1006),$R$1006:$W$1006,0)))),"Fix")))</f>
        <v>0</v>
      </c>
      <c r="F277" s="3">
        <f>IF(OR(INDEX($L$2:$L$1001,MATCH(ROWS($K$2:K277),$K$2:$K$1001,0),1)&gt;=100000,INDEX($R$1005:$W$1005,1,MATCH(COLUMNS($R$1006:V1006),$R$1006:$W$1006,0))&gt;=100000), " ",IF(INDEX($R$2:$W$1001,MATCH(ROWS($K$2:K277),$K$2:$K$1001,0),MATCH(COLUMNS($R$1006:V1006),$R$1006:$W$1006,0)), HYPERLINK("#",""), HYPERLINK(CONCATENATE("#Metadata!", ADDRESS(INDEX($M$2:$M$1001,MATCH(ROWS($K$2:K277),$K$2:$K$1001,0),0), INDEX($R$1004:$W$1004,1,MATCH(COLUMNS($R$1006:V1006),$R$1006:$W$1006,0)))),"Fix")))</f>
        <v>0</v>
      </c>
      <c r="G277" s="3">
        <f>IF(OR(INDEX($L$2:$L$1001,MATCH(ROWS($K$2:K277),$K$2:$K$1001,0),1)&gt;=100000,INDEX($R$1005:$W$1005,1,MATCH(COLUMNS($R$1006:W1006),$R$1006:$W$1006,0))&gt;=100000), " ",IF(INDEX($R$2:$W$1001,MATCH(ROWS($K$2:K277),$K$2:$K$1001,0),MATCH(COLUMNS($R$1006:W1006),$R$1006:$W$1006,0)), HYPERLINK("#",""), HYPERLINK(CONCATENATE("#Metadata!", ADDRESS(INDEX($M$2:$M$1001,MATCH(ROWS($K$2:K277),$K$2:$K$1001,0),0), INDEX($R$1004:$W$1004,1,MATCH(COLUMNS($R$1006:W1006),$R$1006:$W$1006,0)))),"Fix")))</f>
        <v>0</v>
      </c>
      <c r="K277">
        <v>0</v>
      </c>
      <c r="L277">
        <v>0</v>
      </c>
      <c r="M277">
        <v>0</v>
      </c>
      <c r="N277">
        <f>IF(O277,TRUE,AND(R277:W277))</f>
        <v>0</v>
      </c>
      <c r="O277">
        <f>COUNTBLANK(Metadata!B277:G277)=COLUMNS(Metadata!B277:G277)</f>
        <v>0</v>
      </c>
      <c r="P277">
        <v>0</v>
      </c>
      <c r="R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S277">
        <f>IF(Metadata!C277="",FALSE,TRUE)</f>
        <v>0</v>
      </c>
      <c r="T277">
        <f>IF(Metadata!D277="",FALSE,TRUE)</f>
        <v>0</v>
      </c>
      <c r="U277">
        <f>IF(Metadata!E277="",FALSE,TRUE)</f>
        <v>0</v>
      </c>
      <c r="V277">
        <f>AND(IF(Metadata!F277="",FALSE,TRUE),exact(Metadata!F277,"rat gut metagenome"))</f>
        <v>0</v>
      </c>
      <c r="W277">
        <f>AND(IF(Metadata!G277="",FALSE,TRUE),exact(Metadata!G277,"1436733"))</f>
        <v>0</v>
      </c>
    </row>
    <row r="278" spans="1:23">
      <c r="A278" s="4">
        <f>IF(B278=" "," ",HYPERLINK(CONCATENATE("#metadata!",ADDRESS(INDEX($M$2:$M$1001,MATCH(ROWS($K$2:K278),$K$2:$K$1001,0),0),1)),INDEX($P$2:$P$1001,MATCH(ROWS($K$2:K278),$K$2:$K$1001,0),0)))</f>
        <v>0</v>
      </c>
      <c r="B278" s="3">
        <f>IF(OR(INDEX($L$2:$L$1001,MATCH(ROWS($K$2:K278),$K$2:$K$1001,0),1)&gt;=100000,INDEX($R$1005:$W$1005,1,MATCH(COLUMNS($R$1006:R1006),$R$1006:$W$1006,0))&gt;=100000), " ",IF(INDEX($R$2:$W$1001,MATCH(ROWS($K$2:K278),$K$2:$K$1001,0),MATCH(COLUMNS($R$1006:R1006),$R$1006:$W$1006,0)), HYPERLINK("#",""), HYPERLINK(CONCATENATE("#Metadata!", ADDRESS(INDEX($M$2:$M$1001,MATCH(ROWS($K$2:K278),$K$2:$K$1001,0),0), INDEX($R$1004:$W$1004,1,MATCH(COLUMNS($R$1006:R1006),$R$1006:$W$1006,0)))),"Fix")))</f>
        <v>0</v>
      </c>
      <c r="C278" s="3">
        <f>IF(OR(INDEX($L$2:$L$1001,MATCH(ROWS($K$2:K278),$K$2:$K$1001,0),1)&gt;=100000,INDEX($R$1005:$W$1005,1,MATCH(COLUMNS($R$1006:S1006),$R$1006:$W$1006,0))&gt;=100000), " ",IF(INDEX($R$2:$W$1001,MATCH(ROWS($K$2:K278),$K$2:$K$1001,0),MATCH(COLUMNS($R$1006:S1006),$R$1006:$W$1006,0)), HYPERLINK("#",""), HYPERLINK(CONCATENATE("#Metadata!", ADDRESS(INDEX($M$2:$M$1001,MATCH(ROWS($K$2:K278),$K$2:$K$1001,0),0), INDEX($R$1004:$W$1004,1,MATCH(COLUMNS($R$1006:S1006),$R$1006:$W$1006,0)))),"Fix")))</f>
        <v>0</v>
      </c>
      <c r="D278" s="3">
        <f>IF(OR(INDEX($L$2:$L$1001,MATCH(ROWS($K$2:K278),$K$2:$K$1001,0),1)&gt;=100000,INDEX($R$1005:$W$1005,1,MATCH(COLUMNS($R$1006:T1006),$R$1006:$W$1006,0))&gt;=100000), " ",IF(INDEX($R$2:$W$1001,MATCH(ROWS($K$2:K278),$K$2:$K$1001,0),MATCH(COLUMNS($R$1006:T1006),$R$1006:$W$1006,0)), HYPERLINK("#",""), HYPERLINK(CONCATENATE("#Metadata!", ADDRESS(INDEX($M$2:$M$1001,MATCH(ROWS($K$2:K278),$K$2:$K$1001,0),0), INDEX($R$1004:$W$1004,1,MATCH(COLUMNS($R$1006:T1006),$R$1006:$W$1006,0)))),"Fix")))</f>
        <v>0</v>
      </c>
      <c r="E278" s="3">
        <f>IF(OR(INDEX($L$2:$L$1001,MATCH(ROWS($K$2:K278),$K$2:$K$1001,0),1)&gt;=100000,INDEX($R$1005:$W$1005,1,MATCH(COLUMNS($R$1006:U1006),$R$1006:$W$1006,0))&gt;=100000), " ",IF(INDEX($R$2:$W$1001,MATCH(ROWS($K$2:K278),$K$2:$K$1001,0),MATCH(COLUMNS($R$1006:U1006),$R$1006:$W$1006,0)), HYPERLINK("#",""), HYPERLINK(CONCATENATE("#Metadata!", ADDRESS(INDEX($M$2:$M$1001,MATCH(ROWS($K$2:K278),$K$2:$K$1001,0),0), INDEX($R$1004:$W$1004,1,MATCH(COLUMNS($R$1006:U1006),$R$1006:$W$1006,0)))),"Fix")))</f>
        <v>0</v>
      </c>
      <c r="F278" s="3">
        <f>IF(OR(INDEX($L$2:$L$1001,MATCH(ROWS($K$2:K278),$K$2:$K$1001,0),1)&gt;=100000,INDEX($R$1005:$W$1005,1,MATCH(COLUMNS($R$1006:V1006),$R$1006:$W$1006,0))&gt;=100000), " ",IF(INDEX($R$2:$W$1001,MATCH(ROWS($K$2:K278),$K$2:$K$1001,0),MATCH(COLUMNS($R$1006:V1006),$R$1006:$W$1006,0)), HYPERLINK("#",""), HYPERLINK(CONCATENATE("#Metadata!", ADDRESS(INDEX($M$2:$M$1001,MATCH(ROWS($K$2:K278),$K$2:$K$1001,0),0), INDEX($R$1004:$W$1004,1,MATCH(COLUMNS($R$1006:V1006),$R$1006:$W$1006,0)))),"Fix")))</f>
        <v>0</v>
      </c>
      <c r="G278" s="3">
        <f>IF(OR(INDEX($L$2:$L$1001,MATCH(ROWS($K$2:K278),$K$2:$K$1001,0),1)&gt;=100000,INDEX($R$1005:$W$1005,1,MATCH(COLUMNS($R$1006:W1006),$R$1006:$W$1006,0))&gt;=100000), " ",IF(INDEX($R$2:$W$1001,MATCH(ROWS($K$2:K278),$K$2:$K$1001,0),MATCH(COLUMNS($R$1006:W1006),$R$1006:$W$1006,0)), HYPERLINK("#",""), HYPERLINK(CONCATENATE("#Metadata!", ADDRESS(INDEX($M$2:$M$1001,MATCH(ROWS($K$2:K278),$K$2:$K$1001,0),0), INDEX($R$1004:$W$1004,1,MATCH(COLUMNS($R$1006:W1006),$R$1006:$W$1006,0)))),"Fix")))</f>
        <v>0</v>
      </c>
      <c r="K278">
        <v>0</v>
      </c>
      <c r="L278">
        <v>0</v>
      </c>
      <c r="M278">
        <v>0</v>
      </c>
      <c r="N278">
        <f>IF(O278,TRUE,AND(R278:W278))</f>
        <v>0</v>
      </c>
      <c r="O278">
        <f>COUNTBLANK(Metadata!B278:G278)=COLUMNS(Metadata!B278:G278)</f>
        <v>0</v>
      </c>
      <c r="P278">
        <v>0</v>
      </c>
      <c r="R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S278">
        <f>IF(Metadata!C278="",FALSE,TRUE)</f>
        <v>0</v>
      </c>
      <c r="T278">
        <f>IF(Metadata!D278="",FALSE,TRUE)</f>
        <v>0</v>
      </c>
      <c r="U278">
        <f>IF(Metadata!E278="",FALSE,TRUE)</f>
        <v>0</v>
      </c>
      <c r="V278">
        <f>AND(IF(Metadata!F278="",FALSE,TRUE),exact(Metadata!F278,"rat gut metagenome"))</f>
        <v>0</v>
      </c>
      <c r="W278">
        <f>AND(IF(Metadata!G278="",FALSE,TRUE),exact(Metadata!G278,"1436733"))</f>
        <v>0</v>
      </c>
    </row>
    <row r="279" spans="1:23">
      <c r="A279" s="4">
        <f>IF(B279=" "," ",HYPERLINK(CONCATENATE("#metadata!",ADDRESS(INDEX($M$2:$M$1001,MATCH(ROWS($K$2:K279),$K$2:$K$1001,0),0),1)),INDEX($P$2:$P$1001,MATCH(ROWS($K$2:K279),$K$2:$K$1001,0),0)))</f>
        <v>0</v>
      </c>
      <c r="B279" s="3">
        <f>IF(OR(INDEX($L$2:$L$1001,MATCH(ROWS($K$2:K279),$K$2:$K$1001,0),1)&gt;=100000,INDEX($R$1005:$W$1005,1,MATCH(COLUMNS($R$1006:R1006),$R$1006:$W$1006,0))&gt;=100000), " ",IF(INDEX($R$2:$W$1001,MATCH(ROWS($K$2:K279),$K$2:$K$1001,0),MATCH(COLUMNS($R$1006:R1006),$R$1006:$W$1006,0)), HYPERLINK("#",""), HYPERLINK(CONCATENATE("#Metadata!", ADDRESS(INDEX($M$2:$M$1001,MATCH(ROWS($K$2:K279),$K$2:$K$1001,0),0), INDEX($R$1004:$W$1004,1,MATCH(COLUMNS($R$1006:R1006),$R$1006:$W$1006,0)))),"Fix")))</f>
        <v>0</v>
      </c>
      <c r="C279" s="3">
        <f>IF(OR(INDEX($L$2:$L$1001,MATCH(ROWS($K$2:K279),$K$2:$K$1001,0),1)&gt;=100000,INDEX($R$1005:$W$1005,1,MATCH(COLUMNS($R$1006:S1006),$R$1006:$W$1006,0))&gt;=100000), " ",IF(INDEX($R$2:$W$1001,MATCH(ROWS($K$2:K279),$K$2:$K$1001,0),MATCH(COLUMNS($R$1006:S1006),$R$1006:$W$1006,0)), HYPERLINK("#",""), HYPERLINK(CONCATENATE("#Metadata!", ADDRESS(INDEX($M$2:$M$1001,MATCH(ROWS($K$2:K279),$K$2:$K$1001,0),0), INDEX($R$1004:$W$1004,1,MATCH(COLUMNS($R$1006:S1006),$R$1006:$W$1006,0)))),"Fix")))</f>
        <v>0</v>
      </c>
      <c r="D279" s="3">
        <f>IF(OR(INDEX($L$2:$L$1001,MATCH(ROWS($K$2:K279),$K$2:$K$1001,0),1)&gt;=100000,INDEX($R$1005:$W$1005,1,MATCH(COLUMNS($R$1006:T1006),$R$1006:$W$1006,0))&gt;=100000), " ",IF(INDEX($R$2:$W$1001,MATCH(ROWS($K$2:K279),$K$2:$K$1001,0),MATCH(COLUMNS($R$1006:T1006),$R$1006:$W$1006,0)), HYPERLINK("#",""), HYPERLINK(CONCATENATE("#Metadata!", ADDRESS(INDEX($M$2:$M$1001,MATCH(ROWS($K$2:K279),$K$2:$K$1001,0),0), INDEX($R$1004:$W$1004,1,MATCH(COLUMNS($R$1006:T1006),$R$1006:$W$1006,0)))),"Fix")))</f>
        <v>0</v>
      </c>
      <c r="E279" s="3">
        <f>IF(OR(INDEX($L$2:$L$1001,MATCH(ROWS($K$2:K279),$K$2:$K$1001,0),1)&gt;=100000,INDEX($R$1005:$W$1005,1,MATCH(COLUMNS($R$1006:U1006),$R$1006:$W$1006,0))&gt;=100000), " ",IF(INDEX($R$2:$W$1001,MATCH(ROWS($K$2:K279),$K$2:$K$1001,0),MATCH(COLUMNS($R$1006:U1006),$R$1006:$W$1006,0)), HYPERLINK("#",""), HYPERLINK(CONCATENATE("#Metadata!", ADDRESS(INDEX($M$2:$M$1001,MATCH(ROWS($K$2:K279),$K$2:$K$1001,0),0), INDEX($R$1004:$W$1004,1,MATCH(COLUMNS($R$1006:U1006),$R$1006:$W$1006,0)))),"Fix")))</f>
        <v>0</v>
      </c>
      <c r="F279" s="3">
        <f>IF(OR(INDEX($L$2:$L$1001,MATCH(ROWS($K$2:K279),$K$2:$K$1001,0),1)&gt;=100000,INDEX($R$1005:$W$1005,1,MATCH(COLUMNS($R$1006:V1006),$R$1006:$W$1006,0))&gt;=100000), " ",IF(INDEX($R$2:$W$1001,MATCH(ROWS($K$2:K279),$K$2:$K$1001,0),MATCH(COLUMNS($R$1006:V1006),$R$1006:$W$1006,0)), HYPERLINK("#",""), HYPERLINK(CONCATENATE("#Metadata!", ADDRESS(INDEX($M$2:$M$1001,MATCH(ROWS($K$2:K279),$K$2:$K$1001,0),0), INDEX($R$1004:$W$1004,1,MATCH(COLUMNS($R$1006:V1006),$R$1006:$W$1006,0)))),"Fix")))</f>
        <v>0</v>
      </c>
      <c r="G279" s="3">
        <f>IF(OR(INDEX($L$2:$L$1001,MATCH(ROWS($K$2:K279),$K$2:$K$1001,0),1)&gt;=100000,INDEX($R$1005:$W$1005,1,MATCH(COLUMNS($R$1006:W1006),$R$1006:$W$1006,0))&gt;=100000), " ",IF(INDEX($R$2:$W$1001,MATCH(ROWS($K$2:K279),$K$2:$K$1001,0),MATCH(COLUMNS($R$1006:W1006),$R$1006:$W$1006,0)), HYPERLINK("#",""), HYPERLINK(CONCATENATE("#Metadata!", ADDRESS(INDEX($M$2:$M$1001,MATCH(ROWS($K$2:K279),$K$2:$K$1001,0),0), INDEX($R$1004:$W$1004,1,MATCH(COLUMNS($R$1006:W1006),$R$1006:$W$1006,0)))),"Fix")))</f>
        <v>0</v>
      </c>
      <c r="K279">
        <v>0</v>
      </c>
      <c r="L279">
        <v>0</v>
      </c>
      <c r="M279">
        <v>0</v>
      </c>
      <c r="N279">
        <f>IF(O279,TRUE,AND(R279:W279))</f>
        <v>0</v>
      </c>
      <c r="O279">
        <f>COUNTBLANK(Metadata!B279:G279)=COLUMNS(Metadata!B279:G279)</f>
        <v>0</v>
      </c>
      <c r="P279">
        <v>0</v>
      </c>
      <c r="R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S279">
        <f>IF(Metadata!C279="",FALSE,TRUE)</f>
        <v>0</v>
      </c>
      <c r="T279">
        <f>IF(Metadata!D279="",FALSE,TRUE)</f>
        <v>0</v>
      </c>
      <c r="U279">
        <f>IF(Metadata!E279="",FALSE,TRUE)</f>
        <v>0</v>
      </c>
      <c r="V279">
        <f>AND(IF(Metadata!F279="",FALSE,TRUE),exact(Metadata!F279,"rat gut metagenome"))</f>
        <v>0</v>
      </c>
      <c r="W279">
        <f>AND(IF(Metadata!G279="",FALSE,TRUE),exact(Metadata!G279,"1436733"))</f>
        <v>0</v>
      </c>
    </row>
    <row r="280" spans="1:23">
      <c r="A280" s="4">
        <f>IF(B280=" "," ",HYPERLINK(CONCATENATE("#metadata!",ADDRESS(INDEX($M$2:$M$1001,MATCH(ROWS($K$2:K280),$K$2:$K$1001,0),0),1)),INDEX($P$2:$P$1001,MATCH(ROWS($K$2:K280),$K$2:$K$1001,0),0)))</f>
        <v>0</v>
      </c>
      <c r="B280" s="3">
        <f>IF(OR(INDEX($L$2:$L$1001,MATCH(ROWS($K$2:K280),$K$2:$K$1001,0),1)&gt;=100000,INDEX($R$1005:$W$1005,1,MATCH(COLUMNS($R$1006:R1006),$R$1006:$W$1006,0))&gt;=100000), " ",IF(INDEX($R$2:$W$1001,MATCH(ROWS($K$2:K280),$K$2:$K$1001,0),MATCH(COLUMNS($R$1006:R1006),$R$1006:$W$1006,0)), HYPERLINK("#",""), HYPERLINK(CONCATENATE("#Metadata!", ADDRESS(INDEX($M$2:$M$1001,MATCH(ROWS($K$2:K280),$K$2:$K$1001,0),0), INDEX($R$1004:$W$1004,1,MATCH(COLUMNS($R$1006:R1006),$R$1006:$W$1006,0)))),"Fix")))</f>
        <v>0</v>
      </c>
      <c r="C280" s="3">
        <f>IF(OR(INDEX($L$2:$L$1001,MATCH(ROWS($K$2:K280),$K$2:$K$1001,0),1)&gt;=100000,INDEX($R$1005:$W$1005,1,MATCH(COLUMNS($R$1006:S1006),$R$1006:$W$1006,0))&gt;=100000), " ",IF(INDEX($R$2:$W$1001,MATCH(ROWS($K$2:K280),$K$2:$K$1001,0),MATCH(COLUMNS($R$1006:S1006),$R$1006:$W$1006,0)), HYPERLINK("#",""), HYPERLINK(CONCATENATE("#Metadata!", ADDRESS(INDEX($M$2:$M$1001,MATCH(ROWS($K$2:K280),$K$2:$K$1001,0),0), INDEX($R$1004:$W$1004,1,MATCH(COLUMNS($R$1006:S1006),$R$1006:$W$1006,0)))),"Fix")))</f>
        <v>0</v>
      </c>
      <c r="D280" s="3">
        <f>IF(OR(INDEX($L$2:$L$1001,MATCH(ROWS($K$2:K280),$K$2:$K$1001,0),1)&gt;=100000,INDEX($R$1005:$W$1005,1,MATCH(COLUMNS($R$1006:T1006),$R$1006:$W$1006,0))&gt;=100000), " ",IF(INDEX($R$2:$W$1001,MATCH(ROWS($K$2:K280),$K$2:$K$1001,0),MATCH(COLUMNS($R$1006:T1006),$R$1006:$W$1006,0)), HYPERLINK("#",""), HYPERLINK(CONCATENATE("#Metadata!", ADDRESS(INDEX($M$2:$M$1001,MATCH(ROWS($K$2:K280),$K$2:$K$1001,0),0), INDEX($R$1004:$W$1004,1,MATCH(COLUMNS($R$1006:T1006),$R$1006:$W$1006,0)))),"Fix")))</f>
        <v>0</v>
      </c>
      <c r="E280" s="3">
        <f>IF(OR(INDEX($L$2:$L$1001,MATCH(ROWS($K$2:K280),$K$2:$K$1001,0),1)&gt;=100000,INDEX($R$1005:$W$1005,1,MATCH(COLUMNS($R$1006:U1006),$R$1006:$W$1006,0))&gt;=100000), " ",IF(INDEX($R$2:$W$1001,MATCH(ROWS($K$2:K280),$K$2:$K$1001,0),MATCH(COLUMNS($R$1006:U1006),$R$1006:$W$1006,0)), HYPERLINK("#",""), HYPERLINK(CONCATENATE("#Metadata!", ADDRESS(INDEX($M$2:$M$1001,MATCH(ROWS($K$2:K280),$K$2:$K$1001,0),0), INDEX($R$1004:$W$1004,1,MATCH(COLUMNS($R$1006:U1006),$R$1006:$W$1006,0)))),"Fix")))</f>
        <v>0</v>
      </c>
      <c r="F280" s="3">
        <f>IF(OR(INDEX($L$2:$L$1001,MATCH(ROWS($K$2:K280),$K$2:$K$1001,0),1)&gt;=100000,INDEX($R$1005:$W$1005,1,MATCH(COLUMNS($R$1006:V1006),$R$1006:$W$1006,0))&gt;=100000), " ",IF(INDEX($R$2:$W$1001,MATCH(ROWS($K$2:K280),$K$2:$K$1001,0),MATCH(COLUMNS($R$1006:V1006),$R$1006:$W$1006,0)), HYPERLINK("#",""), HYPERLINK(CONCATENATE("#Metadata!", ADDRESS(INDEX($M$2:$M$1001,MATCH(ROWS($K$2:K280),$K$2:$K$1001,0),0), INDEX($R$1004:$W$1004,1,MATCH(COLUMNS($R$1006:V1006),$R$1006:$W$1006,0)))),"Fix")))</f>
        <v>0</v>
      </c>
      <c r="G280" s="3">
        <f>IF(OR(INDEX($L$2:$L$1001,MATCH(ROWS($K$2:K280),$K$2:$K$1001,0),1)&gt;=100000,INDEX($R$1005:$W$1005,1,MATCH(COLUMNS($R$1006:W1006),$R$1006:$W$1006,0))&gt;=100000), " ",IF(INDEX($R$2:$W$1001,MATCH(ROWS($K$2:K280),$K$2:$K$1001,0),MATCH(COLUMNS($R$1006:W1006),$R$1006:$W$1006,0)), HYPERLINK("#",""), HYPERLINK(CONCATENATE("#Metadata!", ADDRESS(INDEX($M$2:$M$1001,MATCH(ROWS($K$2:K280),$K$2:$K$1001,0),0), INDEX($R$1004:$W$1004,1,MATCH(COLUMNS($R$1006:W1006),$R$1006:$W$1006,0)))),"Fix")))</f>
        <v>0</v>
      </c>
      <c r="K280">
        <v>0</v>
      </c>
      <c r="L280">
        <v>0</v>
      </c>
      <c r="M280">
        <v>0</v>
      </c>
      <c r="N280">
        <f>IF(O280,TRUE,AND(R280:W280))</f>
        <v>0</v>
      </c>
      <c r="O280">
        <f>COUNTBLANK(Metadata!B280:G280)=COLUMNS(Metadata!B280:G280)</f>
        <v>0</v>
      </c>
      <c r="P280">
        <v>0</v>
      </c>
      <c r="R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S280">
        <f>IF(Metadata!C280="",FALSE,TRUE)</f>
        <v>0</v>
      </c>
      <c r="T280">
        <f>IF(Metadata!D280="",FALSE,TRUE)</f>
        <v>0</v>
      </c>
      <c r="U280">
        <f>IF(Metadata!E280="",FALSE,TRUE)</f>
        <v>0</v>
      </c>
      <c r="V280">
        <f>AND(IF(Metadata!F280="",FALSE,TRUE),exact(Metadata!F280,"rat gut metagenome"))</f>
        <v>0</v>
      </c>
      <c r="W280">
        <f>AND(IF(Metadata!G280="",FALSE,TRUE),exact(Metadata!G280,"1436733"))</f>
        <v>0</v>
      </c>
    </row>
    <row r="281" spans="1:23">
      <c r="A281" s="4">
        <f>IF(B281=" "," ",HYPERLINK(CONCATENATE("#metadata!",ADDRESS(INDEX($M$2:$M$1001,MATCH(ROWS($K$2:K281),$K$2:$K$1001,0),0),1)),INDEX($P$2:$P$1001,MATCH(ROWS($K$2:K281),$K$2:$K$1001,0),0)))</f>
        <v>0</v>
      </c>
      <c r="B281" s="3">
        <f>IF(OR(INDEX($L$2:$L$1001,MATCH(ROWS($K$2:K281),$K$2:$K$1001,0),1)&gt;=100000,INDEX($R$1005:$W$1005,1,MATCH(COLUMNS($R$1006:R1006),$R$1006:$W$1006,0))&gt;=100000), " ",IF(INDEX($R$2:$W$1001,MATCH(ROWS($K$2:K281),$K$2:$K$1001,0),MATCH(COLUMNS($R$1006:R1006),$R$1006:$W$1006,0)), HYPERLINK("#",""), HYPERLINK(CONCATENATE("#Metadata!", ADDRESS(INDEX($M$2:$M$1001,MATCH(ROWS($K$2:K281),$K$2:$K$1001,0),0), INDEX($R$1004:$W$1004,1,MATCH(COLUMNS($R$1006:R1006),$R$1006:$W$1006,0)))),"Fix")))</f>
        <v>0</v>
      </c>
      <c r="C281" s="3">
        <f>IF(OR(INDEX($L$2:$L$1001,MATCH(ROWS($K$2:K281),$K$2:$K$1001,0),1)&gt;=100000,INDEX($R$1005:$W$1005,1,MATCH(COLUMNS($R$1006:S1006),$R$1006:$W$1006,0))&gt;=100000), " ",IF(INDEX($R$2:$W$1001,MATCH(ROWS($K$2:K281),$K$2:$K$1001,0),MATCH(COLUMNS($R$1006:S1006),$R$1006:$W$1006,0)), HYPERLINK("#",""), HYPERLINK(CONCATENATE("#Metadata!", ADDRESS(INDEX($M$2:$M$1001,MATCH(ROWS($K$2:K281),$K$2:$K$1001,0),0), INDEX($R$1004:$W$1004,1,MATCH(COLUMNS($R$1006:S1006),$R$1006:$W$1006,0)))),"Fix")))</f>
        <v>0</v>
      </c>
      <c r="D281" s="3">
        <f>IF(OR(INDEX($L$2:$L$1001,MATCH(ROWS($K$2:K281),$K$2:$K$1001,0),1)&gt;=100000,INDEX($R$1005:$W$1005,1,MATCH(COLUMNS($R$1006:T1006),$R$1006:$W$1006,0))&gt;=100000), " ",IF(INDEX($R$2:$W$1001,MATCH(ROWS($K$2:K281),$K$2:$K$1001,0),MATCH(COLUMNS($R$1006:T1006),$R$1006:$W$1006,0)), HYPERLINK("#",""), HYPERLINK(CONCATENATE("#Metadata!", ADDRESS(INDEX($M$2:$M$1001,MATCH(ROWS($K$2:K281),$K$2:$K$1001,0),0), INDEX($R$1004:$W$1004,1,MATCH(COLUMNS($R$1006:T1006),$R$1006:$W$1006,0)))),"Fix")))</f>
        <v>0</v>
      </c>
      <c r="E281" s="3">
        <f>IF(OR(INDEX($L$2:$L$1001,MATCH(ROWS($K$2:K281),$K$2:$K$1001,0),1)&gt;=100000,INDEX($R$1005:$W$1005,1,MATCH(COLUMNS($R$1006:U1006),$R$1006:$W$1006,0))&gt;=100000), " ",IF(INDEX($R$2:$W$1001,MATCH(ROWS($K$2:K281),$K$2:$K$1001,0),MATCH(COLUMNS($R$1006:U1006),$R$1006:$W$1006,0)), HYPERLINK("#",""), HYPERLINK(CONCATENATE("#Metadata!", ADDRESS(INDEX($M$2:$M$1001,MATCH(ROWS($K$2:K281),$K$2:$K$1001,0),0), INDEX($R$1004:$W$1004,1,MATCH(COLUMNS($R$1006:U1006),$R$1006:$W$1006,0)))),"Fix")))</f>
        <v>0</v>
      </c>
      <c r="F281" s="3">
        <f>IF(OR(INDEX($L$2:$L$1001,MATCH(ROWS($K$2:K281),$K$2:$K$1001,0),1)&gt;=100000,INDEX($R$1005:$W$1005,1,MATCH(COLUMNS($R$1006:V1006),$R$1006:$W$1006,0))&gt;=100000), " ",IF(INDEX($R$2:$W$1001,MATCH(ROWS($K$2:K281),$K$2:$K$1001,0),MATCH(COLUMNS($R$1006:V1006),$R$1006:$W$1006,0)), HYPERLINK("#",""), HYPERLINK(CONCATENATE("#Metadata!", ADDRESS(INDEX($M$2:$M$1001,MATCH(ROWS($K$2:K281),$K$2:$K$1001,0),0), INDEX($R$1004:$W$1004,1,MATCH(COLUMNS($R$1006:V1006),$R$1006:$W$1006,0)))),"Fix")))</f>
        <v>0</v>
      </c>
      <c r="G281" s="3">
        <f>IF(OR(INDEX($L$2:$L$1001,MATCH(ROWS($K$2:K281),$K$2:$K$1001,0),1)&gt;=100000,INDEX($R$1005:$W$1005,1,MATCH(COLUMNS($R$1006:W1006),$R$1006:$W$1006,0))&gt;=100000), " ",IF(INDEX($R$2:$W$1001,MATCH(ROWS($K$2:K281),$K$2:$K$1001,0),MATCH(COLUMNS($R$1006:W1006),$R$1006:$W$1006,0)), HYPERLINK("#",""), HYPERLINK(CONCATENATE("#Metadata!", ADDRESS(INDEX($M$2:$M$1001,MATCH(ROWS($K$2:K281),$K$2:$K$1001,0),0), INDEX($R$1004:$W$1004,1,MATCH(COLUMNS($R$1006:W1006),$R$1006:$W$1006,0)))),"Fix")))</f>
        <v>0</v>
      </c>
      <c r="K281">
        <v>0</v>
      </c>
      <c r="L281">
        <v>0</v>
      </c>
      <c r="M281">
        <v>0</v>
      </c>
      <c r="N281">
        <f>IF(O281,TRUE,AND(R281:W281))</f>
        <v>0</v>
      </c>
      <c r="O281">
        <f>COUNTBLANK(Metadata!B281:G281)=COLUMNS(Metadata!B281:G281)</f>
        <v>0</v>
      </c>
      <c r="P281">
        <v>0</v>
      </c>
      <c r="R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S281">
        <f>IF(Metadata!C281="",FALSE,TRUE)</f>
        <v>0</v>
      </c>
      <c r="T281">
        <f>IF(Metadata!D281="",FALSE,TRUE)</f>
        <v>0</v>
      </c>
      <c r="U281">
        <f>IF(Metadata!E281="",FALSE,TRUE)</f>
        <v>0</v>
      </c>
      <c r="V281">
        <f>AND(IF(Metadata!F281="",FALSE,TRUE),exact(Metadata!F281,"rat gut metagenome"))</f>
        <v>0</v>
      </c>
      <c r="W281">
        <f>AND(IF(Metadata!G281="",FALSE,TRUE),exact(Metadata!G281,"1436733"))</f>
        <v>0</v>
      </c>
    </row>
    <row r="282" spans="1:23">
      <c r="A282" s="4">
        <f>IF(B282=" "," ",HYPERLINK(CONCATENATE("#metadata!",ADDRESS(INDEX($M$2:$M$1001,MATCH(ROWS($K$2:K282),$K$2:$K$1001,0),0),1)),INDEX($P$2:$P$1001,MATCH(ROWS($K$2:K282),$K$2:$K$1001,0),0)))</f>
        <v>0</v>
      </c>
      <c r="B282" s="3">
        <f>IF(OR(INDEX($L$2:$L$1001,MATCH(ROWS($K$2:K282),$K$2:$K$1001,0),1)&gt;=100000,INDEX($R$1005:$W$1005,1,MATCH(COLUMNS($R$1006:R1006),$R$1006:$W$1006,0))&gt;=100000), " ",IF(INDEX($R$2:$W$1001,MATCH(ROWS($K$2:K282),$K$2:$K$1001,0),MATCH(COLUMNS($R$1006:R1006),$R$1006:$W$1006,0)), HYPERLINK("#",""), HYPERLINK(CONCATENATE("#Metadata!", ADDRESS(INDEX($M$2:$M$1001,MATCH(ROWS($K$2:K282),$K$2:$K$1001,0),0), INDEX($R$1004:$W$1004,1,MATCH(COLUMNS($R$1006:R1006),$R$1006:$W$1006,0)))),"Fix")))</f>
        <v>0</v>
      </c>
      <c r="C282" s="3">
        <f>IF(OR(INDEX($L$2:$L$1001,MATCH(ROWS($K$2:K282),$K$2:$K$1001,0),1)&gt;=100000,INDEX($R$1005:$W$1005,1,MATCH(COLUMNS($R$1006:S1006),$R$1006:$W$1006,0))&gt;=100000), " ",IF(INDEX($R$2:$W$1001,MATCH(ROWS($K$2:K282),$K$2:$K$1001,0),MATCH(COLUMNS($R$1006:S1006),$R$1006:$W$1006,0)), HYPERLINK("#",""), HYPERLINK(CONCATENATE("#Metadata!", ADDRESS(INDEX($M$2:$M$1001,MATCH(ROWS($K$2:K282),$K$2:$K$1001,0),0), INDEX($R$1004:$W$1004,1,MATCH(COLUMNS($R$1006:S1006),$R$1006:$W$1006,0)))),"Fix")))</f>
        <v>0</v>
      </c>
      <c r="D282" s="3">
        <f>IF(OR(INDEX($L$2:$L$1001,MATCH(ROWS($K$2:K282),$K$2:$K$1001,0),1)&gt;=100000,INDEX($R$1005:$W$1005,1,MATCH(COLUMNS($R$1006:T1006),$R$1006:$W$1006,0))&gt;=100000), " ",IF(INDEX($R$2:$W$1001,MATCH(ROWS($K$2:K282),$K$2:$K$1001,0),MATCH(COLUMNS($R$1006:T1006),$R$1006:$W$1006,0)), HYPERLINK("#",""), HYPERLINK(CONCATENATE("#Metadata!", ADDRESS(INDEX($M$2:$M$1001,MATCH(ROWS($K$2:K282),$K$2:$K$1001,0),0), INDEX($R$1004:$W$1004,1,MATCH(COLUMNS($R$1006:T1006),$R$1006:$W$1006,0)))),"Fix")))</f>
        <v>0</v>
      </c>
      <c r="E282" s="3">
        <f>IF(OR(INDEX($L$2:$L$1001,MATCH(ROWS($K$2:K282),$K$2:$K$1001,0),1)&gt;=100000,INDEX($R$1005:$W$1005,1,MATCH(COLUMNS($R$1006:U1006),$R$1006:$W$1006,0))&gt;=100000), " ",IF(INDEX($R$2:$W$1001,MATCH(ROWS($K$2:K282),$K$2:$K$1001,0),MATCH(COLUMNS($R$1006:U1006),$R$1006:$W$1006,0)), HYPERLINK("#",""), HYPERLINK(CONCATENATE("#Metadata!", ADDRESS(INDEX($M$2:$M$1001,MATCH(ROWS($K$2:K282),$K$2:$K$1001,0),0), INDEX($R$1004:$W$1004,1,MATCH(COLUMNS($R$1006:U1006),$R$1006:$W$1006,0)))),"Fix")))</f>
        <v>0</v>
      </c>
      <c r="F282" s="3">
        <f>IF(OR(INDEX($L$2:$L$1001,MATCH(ROWS($K$2:K282),$K$2:$K$1001,0),1)&gt;=100000,INDEX($R$1005:$W$1005,1,MATCH(COLUMNS($R$1006:V1006),$R$1006:$W$1006,0))&gt;=100000), " ",IF(INDEX($R$2:$W$1001,MATCH(ROWS($K$2:K282),$K$2:$K$1001,0),MATCH(COLUMNS($R$1006:V1006),$R$1006:$W$1006,0)), HYPERLINK("#",""), HYPERLINK(CONCATENATE("#Metadata!", ADDRESS(INDEX($M$2:$M$1001,MATCH(ROWS($K$2:K282),$K$2:$K$1001,0),0), INDEX($R$1004:$W$1004,1,MATCH(COLUMNS($R$1006:V1006),$R$1006:$W$1006,0)))),"Fix")))</f>
        <v>0</v>
      </c>
      <c r="G282" s="3">
        <f>IF(OR(INDEX($L$2:$L$1001,MATCH(ROWS($K$2:K282),$K$2:$K$1001,0),1)&gt;=100000,INDEX($R$1005:$W$1005,1,MATCH(COLUMNS($R$1006:W1006),$R$1006:$W$1006,0))&gt;=100000), " ",IF(INDEX($R$2:$W$1001,MATCH(ROWS($K$2:K282),$K$2:$K$1001,0),MATCH(COLUMNS($R$1006:W1006),$R$1006:$W$1006,0)), HYPERLINK("#",""), HYPERLINK(CONCATENATE("#Metadata!", ADDRESS(INDEX($M$2:$M$1001,MATCH(ROWS($K$2:K282),$K$2:$K$1001,0),0), INDEX($R$1004:$W$1004,1,MATCH(COLUMNS($R$1006:W1006),$R$1006:$W$1006,0)))),"Fix")))</f>
        <v>0</v>
      </c>
      <c r="K282">
        <v>0</v>
      </c>
      <c r="L282">
        <v>0</v>
      </c>
      <c r="M282">
        <v>0</v>
      </c>
      <c r="N282">
        <f>IF(O282,TRUE,AND(R282:W282))</f>
        <v>0</v>
      </c>
      <c r="O282">
        <f>COUNTBLANK(Metadata!B282:G282)=COLUMNS(Metadata!B282:G282)</f>
        <v>0</v>
      </c>
      <c r="P282">
        <v>0</v>
      </c>
      <c r="R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S282">
        <f>IF(Metadata!C282="",FALSE,TRUE)</f>
        <v>0</v>
      </c>
      <c r="T282">
        <f>IF(Metadata!D282="",FALSE,TRUE)</f>
        <v>0</v>
      </c>
      <c r="U282">
        <f>IF(Metadata!E282="",FALSE,TRUE)</f>
        <v>0</v>
      </c>
      <c r="V282">
        <f>AND(IF(Metadata!F282="",FALSE,TRUE),exact(Metadata!F282,"rat gut metagenome"))</f>
        <v>0</v>
      </c>
      <c r="W282">
        <f>AND(IF(Metadata!G282="",FALSE,TRUE),exact(Metadata!G282,"1436733"))</f>
        <v>0</v>
      </c>
    </row>
    <row r="283" spans="1:23">
      <c r="A283" s="4">
        <f>IF(B283=" "," ",HYPERLINK(CONCATENATE("#metadata!",ADDRESS(INDEX($M$2:$M$1001,MATCH(ROWS($K$2:K283),$K$2:$K$1001,0),0),1)),INDEX($P$2:$P$1001,MATCH(ROWS($K$2:K283),$K$2:$K$1001,0),0)))</f>
        <v>0</v>
      </c>
      <c r="B283" s="3">
        <f>IF(OR(INDEX($L$2:$L$1001,MATCH(ROWS($K$2:K283),$K$2:$K$1001,0),1)&gt;=100000,INDEX($R$1005:$W$1005,1,MATCH(COLUMNS($R$1006:R1006),$R$1006:$W$1006,0))&gt;=100000), " ",IF(INDEX($R$2:$W$1001,MATCH(ROWS($K$2:K283),$K$2:$K$1001,0),MATCH(COLUMNS($R$1006:R1006),$R$1006:$W$1006,0)), HYPERLINK("#",""), HYPERLINK(CONCATENATE("#Metadata!", ADDRESS(INDEX($M$2:$M$1001,MATCH(ROWS($K$2:K283),$K$2:$K$1001,0),0), INDEX($R$1004:$W$1004,1,MATCH(COLUMNS($R$1006:R1006),$R$1006:$W$1006,0)))),"Fix")))</f>
        <v>0</v>
      </c>
      <c r="C283" s="3">
        <f>IF(OR(INDEX($L$2:$L$1001,MATCH(ROWS($K$2:K283),$K$2:$K$1001,0),1)&gt;=100000,INDEX($R$1005:$W$1005,1,MATCH(COLUMNS($R$1006:S1006),$R$1006:$W$1006,0))&gt;=100000), " ",IF(INDEX($R$2:$W$1001,MATCH(ROWS($K$2:K283),$K$2:$K$1001,0),MATCH(COLUMNS($R$1006:S1006),$R$1006:$W$1006,0)), HYPERLINK("#",""), HYPERLINK(CONCATENATE("#Metadata!", ADDRESS(INDEX($M$2:$M$1001,MATCH(ROWS($K$2:K283),$K$2:$K$1001,0),0), INDEX($R$1004:$W$1004,1,MATCH(COLUMNS($R$1006:S1006),$R$1006:$W$1006,0)))),"Fix")))</f>
        <v>0</v>
      </c>
      <c r="D283" s="3">
        <f>IF(OR(INDEX($L$2:$L$1001,MATCH(ROWS($K$2:K283),$K$2:$K$1001,0),1)&gt;=100000,INDEX($R$1005:$W$1005,1,MATCH(COLUMNS($R$1006:T1006),$R$1006:$W$1006,0))&gt;=100000), " ",IF(INDEX($R$2:$W$1001,MATCH(ROWS($K$2:K283),$K$2:$K$1001,0),MATCH(COLUMNS($R$1006:T1006),$R$1006:$W$1006,0)), HYPERLINK("#",""), HYPERLINK(CONCATENATE("#Metadata!", ADDRESS(INDEX($M$2:$M$1001,MATCH(ROWS($K$2:K283),$K$2:$K$1001,0),0), INDEX($R$1004:$W$1004,1,MATCH(COLUMNS($R$1006:T1006),$R$1006:$W$1006,0)))),"Fix")))</f>
        <v>0</v>
      </c>
      <c r="E283" s="3">
        <f>IF(OR(INDEX($L$2:$L$1001,MATCH(ROWS($K$2:K283),$K$2:$K$1001,0),1)&gt;=100000,INDEX($R$1005:$W$1005,1,MATCH(COLUMNS($R$1006:U1006),$R$1006:$W$1006,0))&gt;=100000), " ",IF(INDEX($R$2:$W$1001,MATCH(ROWS($K$2:K283),$K$2:$K$1001,0),MATCH(COLUMNS($R$1006:U1006),$R$1006:$W$1006,0)), HYPERLINK("#",""), HYPERLINK(CONCATENATE("#Metadata!", ADDRESS(INDEX($M$2:$M$1001,MATCH(ROWS($K$2:K283),$K$2:$K$1001,0),0), INDEX($R$1004:$W$1004,1,MATCH(COLUMNS($R$1006:U1006),$R$1006:$W$1006,0)))),"Fix")))</f>
        <v>0</v>
      </c>
      <c r="F283" s="3">
        <f>IF(OR(INDEX($L$2:$L$1001,MATCH(ROWS($K$2:K283),$K$2:$K$1001,0),1)&gt;=100000,INDEX($R$1005:$W$1005,1,MATCH(COLUMNS($R$1006:V1006),$R$1006:$W$1006,0))&gt;=100000), " ",IF(INDEX($R$2:$W$1001,MATCH(ROWS($K$2:K283),$K$2:$K$1001,0),MATCH(COLUMNS($R$1006:V1006),$R$1006:$W$1006,0)), HYPERLINK("#",""), HYPERLINK(CONCATENATE("#Metadata!", ADDRESS(INDEX($M$2:$M$1001,MATCH(ROWS($K$2:K283),$K$2:$K$1001,0),0), INDEX($R$1004:$W$1004,1,MATCH(COLUMNS($R$1006:V1006),$R$1006:$W$1006,0)))),"Fix")))</f>
        <v>0</v>
      </c>
      <c r="G283" s="3">
        <f>IF(OR(INDEX($L$2:$L$1001,MATCH(ROWS($K$2:K283),$K$2:$K$1001,0),1)&gt;=100000,INDEX($R$1005:$W$1005,1,MATCH(COLUMNS($R$1006:W1006),$R$1006:$W$1006,0))&gt;=100000), " ",IF(INDEX($R$2:$W$1001,MATCH(ROWS($K$2:K283),$K$2:$K$1001,0),MATCH(COLUMNS($R$1006:W1006),$R$1006:$W$1006,0)), HYPERLINK("#",""), HYPERLINK(CONCATENATE("#Metadata!", ADDRESS(INDEX($M$2:$M$1001,MATCH(ROWS($K$2:K283),$K$2:$K$1001,0),0), INDEX($R$1004:$W$1004,1,MATCH(COLUMNS($R$1006:W1006),$R$1006:$W$1006,0)))),"Fix")))</f>
        <v>0</v>
      </c>
      <c r="K283">
        <v>0</v>
      </c>
      <c r="L283">
        <v>0</v>
      </c>
      <c r="M283">
        <v>0</v>
      </c>
      <c r="N283">
        <f>IF(O283,TRUE,AND(R283:W283))</f>
        <v>0</v>
      </c>
      <c r="O283">
        <f>COUNTBLANK(Metadata!B283:G283)=COLUMNS(Metadata!B283:G283)</f>
        <v>0</v>
      </c>
      <c r="P283">
        <v>0</v>
      </c>
      <c r="R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S283">
        <f>IF(Metadata!C283="",FALSE,TRUE)</f>
        <v>0</v>
      </c>
      <c r="T283">
        <f>IF(Metadata!D283="",FALSE,TRUE)</f>
        <v>0</v>
      </c>
      <c r="U283">
        <f>IF(Metadata!E283="",FALSE,TRUE)</f>
        <v>0</v>
      </c>
      <c r="V283">
        <f>AND(IF(Metadata!F283="",FALSE,TRUE),exact(Metadata!F283,"rat gut metagenome"))</f>
        <v>0</v>
      </c>
      <c r="W283">
        <f>AND(IF(Metadata!G283="",FALSE,TRUE),exact(Metadata!G283,"1436733"))</f>
        <v>0</v>
      </c>
    </row>
    <row r="284" spans="1:23">
      <c r="A284" s="4">
        <f>IF(B284=" "," ",HYPERLINK(CONCATENATE("#metadata!",ADDRESS(INDEX($M$2:$M$1001,MATCH(ROWS($K$2:K284),$K$2:$K$1001,0),0),1)),INDEX($P$2:$P$1001,MATCH(ROWS($K$2:K284),$K$2:$K$1001,0),0)))</f>
        <v>0</v>
      </c>
      <c r="B284" s="3">
        <f>IF(OR(INDEX($L$2:$L$1001,MATCH(ROWS($K$2:K284),$K$2:$K$1001,0),1)&gt;=100000,INDEX($R$1005:$W$1005,1,MATCH(COLUMNS($R$1006:R1006),$R$1006:$W$1006,0))&gt;=100000), " ",IF(INDEX($R$2:$W$1001,MATCH(ROWS($K$2:K284),$K$2:$K$1001,0),MATCH(COLUMNS($R$1006:R1006),$R$1006:$W$1006,0)), HYPERLINK("#",""), HYPERLINK(CONCATENATE("#Metadata!", ADDRESS(INDEX($M$2:$M$1001,MATCH(ROWS($K$2:K284),$K$2:$K$1001,0),0), INDEX($R$1004:$W$1004,1,MATCH(COLUMNS($R$1006:R1006),$R$1006:$W$1006,0)))),"Fix")))</f>
        <v>0</v>
      </c>
      <c r="C284" s="3">
        <f>IF(OR(INDEX($L$2:$L$1001,MATCH(ROWS($K$2:K284),$K$2:$K$1001,0),1)&gt;=100000,INDEX($R$1005:$W$1005,1,MATCH(COLUMNS($R$1006:S1006),$R$1006:$W$1006,0))&gt;=100000), " ",IF(INDEX($R$2:$W$1001,MATCH(ROWS($K$2:K284),$K$2:$K$1001,0),MATCH(COLUMNS($R$1006:S1006),$R$1006:$W$1006,0)), HYPERLINK("#",""), HYPERLINK(CONCATENATE("#Metadata!", ADDRESS(INDEX($M$2:$M$1001,MATCH(ROWS($K$2:K284),$K$2:$K$1001,0),0), INDEX($R$1004:$W$1004,1,MATCH(COLUMNS($R$1006:S1006),$R$1006:$W$1006,0)))),"Fix")))</f>
        <v>0</v>
      </c>
      <c r="D284" s="3">
        <f>IF(OR(INDEX($L$2:$L$1001,MATCH(ROWS($K$2:K284),$K$2:$K$1001,0),1)&gt;=100000,INDEX($R$1005:$W$1005,1,MATCH(COLUMNS($R$1006:T1006),$R$1006:$W$1006,0))&gt;=100000), " ",IF(INDEX($R$2:$W$1001,MATCH(ROWS($K$2:K284),$K$2:$K$1001,0),MATCH(COLUMNS($R$1006:T1006),$R$1006:$W$1006,0)), HYPERLINK("#",""), HYPERLINK(CONCATENATE("#Metadata!", ADDRESS(INDEX($M$2:$M$1001,MATCH(ROWS($K$2:K284),$K$2:$K$1001,0),0), INDEX($R$1004:$W$1004,1,MATCH(COLUMNS($R$1006:T1006),$R$1006:$W$1006,0)))),"Fix")))</f>
        <v>0</v>
      </c>
      <c r="E284" s="3">
        <f>IF(OR(INDEX($L$2:$L$1001,MATCH(ROWS($K$2:K284),$K$2:$K$1001,0),1)&gt;=100000,INDEX($R$1005:$W$1005,1,MATCH(COLUMNS($R$1006:U1006),$R$1006:$W$1006,0))&gt;=100000), " ",IF(INDEX($R$2:$W$1001,MATCH(ROWS($K$2:K284),$K$2:$K$1001,0),MATCH(COLUMNS($R$1006:U1006),$R$1006:$W$1006,0)), HYPERLINK("#",""), HYPERLINK(CONCATENATE("#Metadata!", ADDRESS(INDEX($M$2:$M$1001,MATCH(ROWS($K$2:K284),$K$2:$K$1001,0),0), INDEX($R$1004:$W$1004,1,MATCH(COLUMNS($R$1006:U1006),$R$1006:$W$1006,0)))),"Fix")))</f>
        <v>0</v>
      </c>
      <c r="F284" s="3">
        <f>IF(OR(INDEX($L$2:$L$1001,MATCH(ROWS($K$2:K284),$K$2:$K$1001,0),1)&gt;=100000,INDEX($R$1005:$W$1005,1,MATCH(COLUMNS($R$1006:V1006),$R$1006:$W$1006,0))&gt;=100000), " ",IF(INDEX($R$2:$W$1001,MATCH(ROWS($K$2:K284),$K$2:$K$1001,0),MATCH(COLUMNS($R$1006:V1006),$R$1006:$W$1006,0)), HYPERLINK("#",""), HYPERLINK(CONCATENATE("#Metadata!", ADDRESS(INDEX($M$2:$M$1001,MATCH(ROWS($K$2:K284),$K$2:$K$1001,0),0), INDEX($R$1004:$W$1004,1,MATCH(COLUMNS($R$1006:V1006),$R$1006:$W$1006,0)))),"Fix")))</f>
        <v>0</v>
      </c>
      <c r="G284" s="3">
        <f>IF(OR(INDEX($L$2:$L$1001,MATCH(ROWS($K$2:K284),$K$2:$K$1001,0),1)&gt;=100000,INDEX($R$1005:$W$1005,1,MATCH(COLUMNS($R$1006:W1006),$R$1006:$W$1006,0))&gt;=100000), " ",IF(INDEX($R$2:$W$1001,MATCH(ROWS($K$2:K284),$K$2:$K$1001,0),MATCH(COLUMNS($R$1006:W1006),$R$1006:$W$1006,0)), HYPERLINK("#",""), HYPERLINK(CONCATENATE("#Metadata!", ADDRESS(INDEX($M$2:$M$1001,MATCH(ROWS($K$2:K284),$K$2:$K$1001,0),0), INDEX($R$1004:$W$1004,1,MATCH(COLUMNS($R$1006:W1006),$R$1006:$W$1006,0)))),"Fix")))</f>
        <v>0</v>
      </c>
      <c r="K284">
        <v>0</v>
      </c>
      <c r="L284">
        <v>0</v>
      </c>
      <c r="M284">
        <v>0</v>
      </c>
      <c r="N284">
        <f>IF(O284,TRUE,AND(R284:W284))</f>
        <v>0</v>
      </c>
      <c r="O284">
        <f>COUNTBLANK(Metadata!B284:G284)=COLUMNS(Metadata!B284:G284)</f>
        <v>0</v>
      </c>
      <c r="P284">
        <v>0</v>
      </c>
      <c r="R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S284">
        <f>IF(Metadata!C284="",FALSE,TRUE)</f>
        <v>0</v>
      </c>
      <c r="T284">
        <f>IF(Metadata!D284="",FALSE,TRUE)</f>
        <v>0</v>
      </c>
      <c r="U284">
        <f>IF(Metadata!E284="",FALSE,TRUE)</f>
        <v>0</v>
      </c>
      <c r="V284">
        <f>AND(IF(Metadata!F284="",FALSE,TRUE),exact(Metadata!F284,"rat gut metagenome"))</f>
        <v>0</v>
      </c>
      <c r="W284">
        <f>AND(IF(Metadata!G284="",FALSE,TRUE),exact(Metadata!G284,"1436733"))</f>
        <v>0</v>
      </c>
    </row>
    <row r="285" spans="1:23">
      <c r="A285" s="4">
        <f>IF(B285=" "," ",HYPERLINK(CONCATENATE("#metadata!",ADDRESS(INDEX($M$2:$M$1001,MATCH(ROWS($K$2:K285),$K$2:$K$1001,0),0),1)),INDEX($P$2:$P$1001,MATCH(ROWS($K$2:K285),$K$2:$K$1001,0),0)))</f>
        <v>0</v>
      </c>
      <c r="B285" s="3">
        <f>IF(OR(INDEX($L$2:$L$1001,MATCH(ROWS($K$2:K285),$K$2:$K$1001,0),1)&gt;=100000,INDEX($R$1005:$W$1005,1,MATCH(COLUMNS($R$1006:R1006),$R$1006:$W$1006,0))&gt;=100000), " ",IF(INDEX($R$2:$W$1001,MATCH(ROWS($K$2:K285),$K$2:$K$1001,0),MATCH(COLUMNS($R$1006:R1006),$R$1006:$W$1006,0)), HYPERLINK("#",""), HYPERLINK(CONCATENATE("#Metadata!", ADDRESS(INDEX($M$2:$M$1001,MATCH(ROWS($K$2:K285),$K$2:$K$1001,0),0), INDEX($R$1004:$W$1004,1,MATCH(COLUMNS($R$1006:R1006),$R$1006:$W$1006,0)))),"Fix")))</f>
        <v>0</v>
      </c>
      <c r="C285" s="3">
        <f>IF(OR(INDEX($L$2:$L$1001,MATCH(ROWS($K$2:K285),$K$2:$K$1001,0),1)&gt;=100000,INDEX($R$1005:$W$1005,1,MATCH(COLUMNS($R$1006:S1006),$R$1006:$W$1006,0))&gt;=100000), " ",IF(INDEX($R$2:$W$1001,MATCH(ROWS($K$2:K285),$K$2:$K$1001,0),MATCH(COLUMNS($R$1006:S1006),$R$1006:$W$1006,0)), HYPERLINK("#",""), HYPERLINK(CONCATENATE("#Metadata!", ADDRESS(INDEX($M$2:$M$1001,MATCH(ROWS($K$2:K285),$K$2:$K$1001,0),0), INDEX($R$1004:$W$1004,1,MATCH(COLUMNS($R$1006:S1006),$R$1006:$W$1006,0)))),"Fix")))</f>
        <v>0</v>
      </c>
      <c r="D285" s="3">
        <f>IF(OR(INDEX($L$2:$L$1001,MATCH(ROWS($K$2:K285),$K$2:$K$1001,0),1)&gt;=100000,INDEX($R$1005:$W$1005,1,MATCH(COLUMNS($R$1006:T1006),$R$1006:$W$1006,0))&gt;=100000), " ",IF(INDEX($R$2:$W$1001,MATCH(ROWS($K$2:K285),$K$2:$K$1001,0),MATCH(COLUMNS($R$1006:T1006),$R$1006:$W$1006,0)), HYPERLINK("#",""), HYPERLINK(CONCATENATE("#Metadata!", ADDRESS(INDEX($M$2:$M$1001,MATCH(ROWS($K$2:K285),$K$2:$K$1001,0),0), INDEX($R$1004:$W$1004,1,MATCH(COLUMNS($R$1006:T1006),$R$1006:$W$1006,0)))),"Fix")))</f>
        <v>0</v>
      </c>
      <c r="E285" s="3">
        <f>IF(OR(INDEX($L$2:$L$1001,MATCH(ROWS($K$2:K285),$K$2:$K$1001,0),1)&gt;=100000,INDEX($R$1005:$W$1005,1,MATCH(COLUMNS($R$1006:U1006),$R$1006:$W$1006,0))&gt;=100000), " ",IF(INDEX($R$2:$W$1001,MATCH(ROWS($K$2:K285),$K$2:$K$1001,0),MATCH(COLUMNS($R$1006:U1006),$R$1006:$W$1006,0)), HYPERLINK("#",""), HYPERLINK(CONCATENATE("#Metadata!", ADDRESS(INDEX($M$2:$M$1001,MATCH(ROWS($K$2:K285),$K$2:$K$1001,0),0), INDEX($R$1004:$W$1004,1,MATCH(COLUMNS($R$1006:U1006),$R$1006:$W$1006,0)))),"Fix")))</f>
        <v>0</v>
      </c>
      <c r="F285" s="3">
        <f>IF(OR(INDEX($L$2:$L$1001,MATCH(ROWS($K$2:K285),$K$2:$K$1001,0),1)&gt;=100000,INDEX($R$1005:$W$1005,1,MATCH(COLUMNS($R$1006:V1006),$R$1006:$W$1006,0))&gt;=100000), " ",IF(INDEX($R$2:$W$1001,MATCH(ROWS($K$2:K285),$K$2:$K$1001,0),MATCH(COLUMNS($R$1006:V1006),$R$1006:$W$1006,0)), HYPERLINK("#",""), HYPERLINK(CONCATENATE("#Metadata!", ADDRESS(INDEX($M$2:$M$1001,MATCH(ROWS($K$2:K285),$K$2:$K$1001,0),0), INDEX($R$1004:$W$1004,1,MATCH(COLUMNS($R$1006:V1006),$R$1006:$W$1006,0)))),"Fix")))</f>
        <v>0</v>
      </c>
      <c r="G285" s="3">
        <f>IF(OR(INDEX($L$2:$L$1001,MATCH(ROWS($K$2:K285),$K$2:$K$1001,0),1)&gt;=100000,INDEX($R$1005:$W$1005,1,MATCH(COLUMNS($R$1006:W1006),$R$1006:$W$1006,0))&gt;=100000), " ",IF(INDEX($R$2:$W$1001,MATCH(ROWS($K$2:K285),$K$2:$K$1001,0),MATCH(COLUMNS($R$1006:W1006),$R$1006:$W$1006,0)), HYPERLINK("#",""), HYPERLINK(CONCATENATE("#Metadata!", ADDRESS(INDEX($M$2:$M$1001,MATCH(ROWS($K$2:K285),$K$2:$K$1001,0),0), INDEX($R$1004:$W$1004,1,MATCH(COLUMNS($R$1006:W1006),$R$1006:$W$1006,0)))),"Fix")))</f>
        <v>0</v>
      </c>
      <c r="K285">
        <v>0</v>
      </c>
      <c r="L285">
        <v>0</v>
      </c>
      <c r="M285">
        <v>0</v>
      </c>
      <c r="N285">
        <f>IF(O285,TRUE,AND(R285:W285))</f>
        <v>0</v>
      </c>
      <c r="O285">
        <f>COUNTBLANK(Metadata!B285:G285)=COLUMNS(Metadata!B285:G285)</f>
        <v>0</v>
      </c>
      <c r="P285">
        <v>0</v>
      </c>
      <c r="R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S285">
        <f>IF(Metadata!C285="",FALSE,TRUE)</f>
        <v>0</v>
      </c>
      <c r="T285">
        <f>IF(Metadata!D285="",FALSE,TRUE)</f>
        <v>0</v>
      </c>
      <c r="U285">
        <f>IF(Metadata!E285="",FALSE,TRUE)</f>
        <v>0</v>
      </c>
      <c r="V285">
        <f>AND(IF(Metadata!F285="",FALSE,TRUE),exact(Metadata!F285,"rat gut metagenome"))</f>
        <v>0</v>
      </c>
      <c r="W285">
        <f>AND(IF(Metadata!G285="",FALSE,TRUE),exact(Metadata!G285,"1436733"))</f>
        <v>0</v>
      </c>
    </row>
    <row r="286" spans="1:23">
      <c r="A286" s="4">
        <f>IF(B286=" "," ",HYPERLINK(CONCATENATE("#metadata!",ADDRESS(INDEX($M$2:$M$1001,MATCH(ROWS($K$2:K286),$K$2:$K$1001,0),0),1)),INDEX($P$2:$P$1001,MATCH(ROWS($K$2:K286),$K$2:$K$1001,0),0)))</f>
        <v>0</v>
      </c>
      <c r="B286" s="3">
        <f>IF(OR(INDEX($L$2:$L$1001,MATCH(ROWS($K$2:K286),$K$2:$K$1001,0),1)&gt;=100000,INDEX($R$1005:$W$1005,1,MATCH(COLUMNS($R$1006:R1006),$R$1006:$W$1006,0))&gt;=100000), " ",IF(INDEX($R$2:$W$1001,MATCH(ROWS($K$2:K286),$K$2:$K$1001,0),MATCH(COLUMNS($R$1006:R1006),$R$1006:$W$1006,0)), HYPERLINK("#",""), HYPERLINK(CONCATENATE("#Metadata!", ADDRESS(INDEX($M$2:$M$1001,MATCH(ROWS($K$2:K286),$K$2:$K$1001,0),0), INDEX($R$1004:$W$1004,1,MATCH(COLUMNS($R$1006:R1006),$R$1006:$W$1006,0)))),"Fix")))</f>
        <v>0</v>
      </c>
      <c r="C286" s="3">
        <f>IF(OR(INDEX($L$2:$L$1001,MATCH(ROWS($K$2:K286),$K$2:$K$1001,0),1)&gt;=100000,INDEX($R$1005:$W$1005,1,MATCH(COLUMNS($R$1006:S1006),$R$1006:$W$1006,0))&gt;=100000), " ",IF(INDEX($R$2:$W$1001,MATCH(ROWS($K$2:K286),$K$2:$K$1001,0),MATCH(COLUMNS($R$1006:S1006),$R$1006:$W$1006,0)), HYPERLINK("#",""), HYPERLINK(CONCATENATE("#Metadata!", ADDRESS(INDEX($M$2:$M$1001,MATCH(ROWS($K$2:K286),$K$2:$K$1001,0),0), INDEX($R$1004:$W$1004,1,MATCH(COLUMNS($R$1006:S1006),$R$1006:$W$1006,0)))),"Fix")))</f>
        <v>0</v>
      </c>
      <c r="D286" s="3">
        <f>IF(OR(INDEX($L$2:$L$1001,MATCH(ROWS($K$2:K286),$K$2:$K$1001,0),1)&gt;=100000,INDEX($R$1005:$W$1005,1,MATCH(COLUMNS($R$1006:T1006),$R$1006:$W$1006,0))&gt;=100000), " ",IF(INDEX($R$2:$W$1001,MATCH(ROWS($K$2:K286),$K$2:$K$1001,0),MATCH(COLUMNS($R$1006:T1006),$R$1006:$W$1006,0)), HYPERLINK("#",""), HYPERLINK(CONCATENATE("#Metadata!", ADDRESS(INDEX($M$2:$M$1001,MATCH(ROWS($K$2:K286),$K$2:$K$1001,0),0), INDEX($R$1004:$W$1004,1,MATCH(COLUMNS($R$1006:T1006),$R$1006:$W$1006,0)))),"Fix")))</f>
        <v>0</v>
      </c>
      <c r="E286" s="3">
        <f>IF(OR(INDEX($L$2:$L$1001,MATCH(ROWS($K$2:K286),$K$2:$K$1001,0),1)&gt;=100000,INDEX($R$1005:$W$1005,1,MATCH(COLUMNS($R$1006:U1006),$R$1006:$W$1006,0))&gt;=100000), " ",IF(INDEX($R$2:$W$1001,MATCH(ROWS($K$2:K286),$K$2:$K$1001,0),MATCH(COLUMNS($R$1006:U1006),$R$1006:$W$1006,0)), HYPERLINK("#",""), HYPERLINK(CONCATENATE("#Metadata!", ADDRESS(INDEX($M$2:$M$1001,MATCH(ROWS($K$2:K286),$K$2:$K$1001,0),0), INDEX($R$1004:$W$1004,1,MATCH(COLUMNS($R$1006:U1006),$R$1006:$W$1006,0)))),"Fix")))</f>
        <v>0</v>
      </c>
      <c r="F286" s="3">
        <f>IF(OR(INDEX($L$2:$L$1001,MATCH(ROWS($K$2:K286),$K$2:$K$1001,0),1)&gt;=100000,INDEX($R$1005:$W$1005,1,MATCH(COLUMNS($R$1006:V1006),$R$1006:$W$1006,0))&gt;=100000), " ",IF(INDEX($R$2:$W$1001,MATCH(ROWS($K$2:K286),$K$2:$K$1001,0),MATCH(COLUMNS($R$1006:V1006),$R$1006:$W$1006,0)), HYPERLINK("#",""), HYPERLINK(CONCATENATE("#Metadata!", ADDRESS(INDEX($M$2:$M$1001,MATCH(ROWS($K$2:K286),$K$2:$K$1001,0),0), INDEX($R$1004:$W$1004,1,MATCH(COLUMNS($R$1006:V1006),$R$1006:$W$1006,0)))),"Fix")))</f>
        <v>0</v>
      </c>
      <c r="G286" s="3">
        <f>IF(OR(INDEX($L$2:$L$1001,MATCH(ROWS($K$2:K286),$K$2:$K$1001,0),1)&gt;=100000,INDEX($R$1005:$W$1005,1,MATCH(COLUMNS($R$1006:W1006),$R$1006:$W$1006,0))&gt;=100000), " ",IF(INDEX($R$2:$W$1001,MATCH(ROWS($K$2:K286),$K$2:$K$1001,0),MATCH(COLUMNS($R$1006:W1006),$R$1006:$W$1006,0)), HYPERLINK("#",""), HYPERLINK(CONCATENATE("#Metadata!", ADDRESS(INDEX($M$2:$M$1001,MATCH(ROWS($K$2:K286),$K$2:$K$1001,0),0), INDEX($R$1004:$W$1004,1,MATCH(COLUMNS($R$1006:W1006),$R$1006:$W$1006,0)))),"Fix")))</f>
        <v>0</v>
      </c>
      <c r="K286">
        <v>0</v>
      </c>
      <c r="L286">
        <v>0</v>
      </c>
      <c r="M286">
        <v>0</v>
      </c>
      <c r="N286">
        <f>IF(O286,TRUE,AND(R286:W286))</f>
        <v>0</v>
      </c>
      <c r="O286">
        <f>COUNTBLANK(Metadata!B286:G286)=COLUMNS(Metadata!B286:G286)</f>
        <v>0</v>
      </c>
      <c r="P286">
        <v>0</v>
      </c>
      <c r="R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S286">
        <f>IF(Metadata!C286="",FALSE,TRUE)</f>
        <v>0</v>
      </c>
      <c r="T286">
        <f>IF(Metadata!D286="",FALSE,TRUE)</f>
        <v>0</v>
      </c>
      <c r="U286">
        <f>IF(Metadata!E286="",FALSE,TRUE)</f>
        <v>0</v>
      </c>
      <c r="V286">
        <f>AND(IF(Metadata!F286="",FALSE,TRUE),exact(Metadata!F286,"rat gut metagenome"))</f>
        <v>0</v>
      </c>
      <c r="W286">
        <f>AND(IF(Metadata!G286="",FALSE,TRUE),exact(Metadata!G286,"1436733"))</f>
        <v>0</v>
      </c>
    </row>
    <row r="287" spans="1:23">
      <c r="A287" s="4">
        <f>IF(B287=" "," ",HYPERLINK(CONCATENATE("#metadata!",ADDRESS(INDEX($M$2:$M$1001,MATCH(ROWS($K$2:K287),$K$2:$K$1001,0),0),1)),INDEX($P$2:$P$1001,MATCH(ROWS($K$2:K287),$K$2:$K$1001,0),0)))</f>
        <v>0</v>
      </c>
      <c r="B287" s="3">
        <f>IF(OR(INDEX($L$2:$L$1001,MATCH(ROWS($K$2:K287),$K$2:$K$1001,0),1)&gt;=100000,INDEX($R$1005:$W$1005,1,MATCH(COLUMNS($R$1006:R1006),$R$1006:$W$1006,0))&gt;=100000), " ",IF(INDEX($R$2:$W$1001,MATCH(ROWS($K$2:K287),$K$2:$K$1001,0),MATCH(COLUMNS($R$1006:R1006),$R$1006:$W$1006,0)), HYPERLINK("#",""), HYPERLINK(CONCATENATE("#Metadata!", ADDRESS(INDEX($M$2:$M$1001,MATCH(ROWS($K$2:K287),$K$2:$K$1001,0),0), INDEX($R$1004:$W$1004,1,MATCH(COLUMNS($R$1006:R1006),$R$1006:$W$1006,0)))),"Fix")))</f>
        <v>0</v>
      </c>
      <c r="C287" s="3">
        <f>IF(OR(INDEX($L$2:$L$1001,MATCH(ROWS($K$2:K287),$K$2:$K$1001,0),1)&gt;=100000,INDEX($R$1005:$W$1005,1,MATCH(COLUMNS($R$1006:S1006),$R$1006:$W$1006,0))&gt;=100000), " ",IF(INDEX($R$2:$W$1001,MATCH(ROWS($K$2:K287),$K$2:$K$1001,0),MATCH(COLUMNS($R$1006:S1006),$R$1006:$W$1006,0)), HYPERLINK("#",""), HYPERLINK(CONCATENATE("#Metadata!", ADDRESS(INDEX($M$2:$M$1001,MATCH(ROWS($K$2:K287),$K$2:$K$1001,0),0), INDEX($R$1004:$W$1004,1,MATCH(COLUMNS($R$1006:S1006),$R$1006:$W$1006,0)))),"Fix")))</f>
        <v>0</v>
      </c>
      <c r="D287" s="3">
        <f>IF(OR(INDEX($L$2:$L$1001,MATCH(ROWS($K$2:K287),$K$2:$K$1001,0),1)&gt;=100000,INDEX($R$1005:$W$1005,1,MATCH(COLUMNS($R$1006:T1006),$R$1006:$W$1006,0))&gt;=100000), " ",IF(INDEX($R$2:$W$1001,MATCH(ROWS($K$2:K287),$K$2:$K$1001,0),MATCH(COLUMNS($R$1006:T1006),$R$1006:$W$1006,0)), HYPERLINK("#",""), HYPERLINK(CONCATENATE("#Metadata!", ADDRESS(INDEX($M$2:$M$1001,MATCH(ROWS($K$2:K287),$K$2:$K$1001,0),0), INDEX($R$1004:$W$1004,1,MATCH(COLUMNS($R$1006:T1006),$R$1006:$W$1006,0)))),"Fix")))</f>
        <v>0</v>
      </c>
      <c r="E287" s="3">
        <f>IF(OR(INDEX($L$2:$L$1001,MATCH(ROWS($K$2:K287),$K$2:$K$1001,0),1)&gt;=100000,INDEX($R$1005:$W$1005,1,MATCH(COLUMNS($R$1006:U1006),$R$1006:$W$1006,0))&gt;=100000), " ",IF(INDEX($R$2:$W$1001,MATCH(ROWS($K$2:K287),$K$2:$K$1001,0),MATCH(COLUMNS($R$1006:U1006),$R$1006:$W$1006,0)), HYPERLINK("#",""), HYPERLINK(CONCATENATE("#Metadata!", ADDRESS(INDEX($M$2:$M$1001,MATCH(ROWS($K$2:K287),$K$2:$K$1001,0),0), INDEX($R$1004:$W$1004,1,MATCH(COLUMNS($R$1006:U1006),$R$1006:$W$1006,0)))),"Fix")))</f>
        <v>0</v>
      </c>
      <c r="F287" s="3">
        <f>IF(OR(INDEX($L$2:$L$1001,MATCH(ROWS($K$2:K287),$K$2:$K$1001,0),1)&gt;=100000,INDEX($R$1005:$W$1005,1,MATCH(COLUMNS($R$1006:V1006),$R$1006:$W$1006,0))&gt;=100000), " ",IF(INDEX($R$2:$W$1001,MATCH(ROWS($K$2:K287),$K$2:$K$1001,0),MATCH(COLUMNS($R$1006:V1006),$R$1006:$W$1006,0)), HYPERLINK("#",""), HYPERLINK(CONCATENATE("#Metadata!", ADDRESS(INDEX($M$2:$M$1001,MATCH(ROWS($K$2:K287),$K$2:$K$1001,0),0), INDEX($R$1004:$W$1004,1,MATCH(COLUMNS($R$1006:V1006),$R$1006:$W$1006,0)))),"Fix")))</f>
        <v>0</v>
      </c>
      <c r="G287" s="3">
        <f>IF(OR(INDEX($L$2:$L$1001,MATCH(ROWS($K$2:K287),$K$2:$K$1001,0),1)&gt;=100000,INDEX($R$1005:$W$1005,1,MATCH(COLUMNS($R$1006:W1006),$R$1006:$W$1006,0))&gt;=100000), " ",IF(INDEX($R$2:$W$1001,MATCH(ROWS($K$2:K287),$K$2:$K$1001,0),MATCH(COLUMNS($R$1006:W1006),$R$1006:$W$1006,0)), HYPERLINK("#",""), HYPERLINK(CONCATENATE("#Metadata!", ADDRESS(INDEX($M$2:$M$1001,MATCH(ROWS($K$2:K287),$K$2:$K$1001,0),0), INDEX($R$1004:$W$1004,1,MATCH(COLUMNS($R$1006:W1006),$R$1006:$W$1006,0)))),"Fix")))</f>
        <v>0</v>
      </c>
      <c r="K287">
        <v>0</v>
      </c>
      <c r="L287">
        <v>0</v>
      </c>
      <c r="M287">
        <v>0</v>
      </c>
      <c r="N287">
        <f>IF(O287,TRUE,AND(R287:W287))</f>
        <v>0</v>
      </c>
      <c r="O287">
        <f>COUNTBLANK(Metadata!B287:G287)=COLUMNS(Metadata!B287:G287)</f>
        <v>0</v>
      </c>
      <c r="P287">
        <v>0</v>
      </c>
      <c r="R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S287">
        <f>IF(Metadata!C287="",FALSE,TRUE)</f>
        <v>0</v>
      </c>
      <c r="T287">
        <f>IF(Metadata!D287="",FALSE,TRUE)</f>
        <v>0</v>
      </c>
      <c r="U287">
        <f>IF(Metadata!E287="",FALSE,TRUE)</f>
        <v>0</v>
      </c>
      <c r="V287">
        <f>AND(IF(Metadata!F287="",FALSE,TRUE),exact(Metadata!F287,"rat gut metagenome"))</f>
        <v>0</v>
      </c>
      <c r="W287">
        <f>AND(IF(Metadata!G287="",FALSE,TRUE),exact(Metadata!G287,"1436733"))</f>
        <v>0</v>
      </c>
    </row>
    <row r="288" spans="1:23">
      <c r="A288" s="4">
        <f>IF(B288=" "," ",HYPERLINK(CONCATENATE("#metadata!",ADDRESS(INDEX($M$2:$M$1001,MATCH(ROWS($K$2:K288),$K$2:$K$1001,0),0),1)),INDEX($P$2:$P$1001,MATCH(ROWS($K$2:K288),$K$2:$K$1001,0),0)))</f>
        <v>0</v>
      </c>
      <c r="B288" s="3">
        <f>IF(OR(INDEX($L$2:$L$1001,MATCH(ROWS($K$2:K288),$K$2:$K$1001,0),1)&gt;=100000,INDEX($R$1005:$W$1005,1,MATCH(COLUMNS($R$1006:R1006),$R$1006:$W$1006,0))&gt;=100000), " ",IF(INDEX($R$2:$W$1001,MATCH(ROWS($K$2:K288),$K$2:$K$1001,0),MATCH(COLUMNS($R$1006:R1006),$R$1006:$W$1006,0)), HYPERLINK("#",""), HYPERLINK(CONCATENATE("#Metadata!", ADDRESS(INDEX($M$2:$M$1001,MATCH(ROWS($K$2:K288),$K$2:$K$1001,0),0), INDEX($R$1004:$W$1004,1,MATCH(COLUMNS($R$1006:R1006),$R$1006:$W$1006,0)))),"Fix")))</f>
        <v>0</v>
      </c>
      <c r="C288" s="3">
        <f>IF(OR(INDEX($L$2:$L$1001,MATCH(ROWS($K$2:K288),$K$2:$K$1001,0),1)&gt;=100000,INDEX($R$1005:$W$1005,1,MATCH(COLUMNS($R$1006:S1006),$R$1006:$W$1006,0))&gt;=100000), " ",IF(INDEX($R$2:$W$1001,MATCH(ROWS($K$2:K288),$K$2:$K$1001,0),MATCH(COLUMNS($R$1006:S1006),$R$1006:$W$1006,0)), HYPERLINK("#",""), HYPERLINK(CONCATENATE("#Metadata!", ADDRESS(INDEX($M$2:$M$1001,MATCH(ROWS($K$2:K288),$K$2:$K$1001,0),0), INDEX($R$1004:$W$1004,1,MATCH(COLUMNS($R$1006:S1006),$R$1006:$W$1006,0)))),"Fix")))</f>
        <v>0</v>
      </c>
      <c r="D288" s="3">
        <f>IF(OR(INDEX($L$2:$L$1001,MATCH(ROWS($K$2:K288),$K$2:$K$1001,0),1)&gt;=100000,INDEX($R$1005:$W$1005,1,MATCH(COLUMNS($R$1006:T1006),$R$1006:$W$1006,0))&gt;=100000), " ",IF(INDEX($R$2:$W$1001,MATCH(ROWS($K$2:K288),$K$2:$K$1001,0),MATCH(COLUMNS($R$1006:T1006),$R$1006:$W$1006,0)), HYPERLINK("#",""), HYPERLINK(CONCATENATE("#Metadata!", ADDRESS(INDEX($M$2:$M$1001,MATCH(ROWS($K$2:K288),$K$2:$K$1001,0),0), INDEX($R$1004:$W$1004,1,MATCH(COLUMNS($R$1006:T1006),$R$1006:$W$1006,0)))),"Fix")))</f>
        <v>0</v>
      </c>
      <c r="E288" s="3">
        <f>IF(OR(INDEX($L$2:$L$1001,MATCH(ROWS($K$2:K288),$K$2:$K$1001,0),1)&gt;=100000,INDEX($R$1005:$W$1005,1,MATCH(COLUMNS($R$1006:U1006),$R$1006:$W$1006,0))&gt;=100000), " ",IF(INDEX($R$2:$W$1001,MATCH(ROWS($K$2:K288),$K$2:$K$1001,0),MATCH(COLUMNS($R$1006:U1006),$R$1006:$W$1006,0)), HYPERLINK("#",""), HYPERLINK(CONCATENATE("#Metadata!", ADDRESS(INDEX($M$2:$M$1001,MATCH(ROWS($K$2:K288),$K$2:$K$1001,0),0), INDEX($R$1004:$W$1004,1,MATCH(COLUMNS($R$1006:U1006),$R$1006:$W$1006,0)))),"Fix")))</f>
        <v>0</v>
      </c>
      <c r="F288" s="3">
        <f>IF(OR(INDEX($L$2:$L$1001,MATCH(ROWS($K$2:K288),$K$2:$K$1001,0),1)&gt;=100000,INDEX($R$1005:$W$1005,1,MATCH(COLUMNS($R$1006:V1006),$R$1006:$W$1006,0))&gt;=100000), " ",IF(INDEX($R$2:$W$1001,MATCH(ROWS($K$2:K288),$K$2:$K$1001,0),MATCH(COLUMNS($R$1006:V1006),$R$1006:$W$1006,0)), HYPERLINK("#",""), HYPERLINK(CONCATENATE("#Metadata!", ADDRESS(INDEX($M$2:$M$1001,MATCH(ROWS($K$2:K288),$K$2:$K$1001,0),0), INDEX($R$1004:$W$1004,1,MATCH(COLUMNS($R$1006:V1006),$R$1006:$W$1006,0)))),"Fix")))</f>
        <v>0</v>
      </c>
      <c r="G288" s="3">
        <f>IF(OR(INDEX($L$2:$L$1001,MATCH(ROWS($K$2:K288),$K$2:$K$1001,0),1)&gt;=100000,INDEX($R$1005:$W$1005,1,MATCH(COLUMNS($R$1006:W1006),$R$1006:$W$1006,0))&gt;=100000), " ",IF(INDEX($R$2:$W$1001,MATCH(ROWS($K$2:K288),$K$2:$K$1001,0),MATCH(COLUMNS($R$1006:W1006),$R$1006:$W$1006,0)), HYPERLINK("#",""), HYPERLINK(CONCATENATE("#Metadata!", ADDRESS(INDEX($M$2:$M$1001,MATCH(ROWS($K$2:K288),$K$2:$K$1001,0),0), INDEX($R$1004:$W$1004,1,MATCH(COLUMNS($R$1006:W1006),$R$1006:$W$1006,0)))),"Fix")))</f>
        <v>0</v>
      </c>
      <c r="K288">
        <v>0</v>
      </c>
      <c r="L288">
        <v>0</v>
      </c>
      <c r="M288">
        <v>0</v>
      </c>
      <c r="N288">
        <f>IF(O288,TRUE,AND(R288:W288))</f>
        <v>0</v>
      </c>
      <c r="O288">
        <f>COUNTBLANK(Metadata!B288:G288)=COLUMNS(Metadata!B288:G288)</f>
        <v>0</v>
      </c>
      <c r="P288">
        <v>0</v>
      </c>
      <c r="R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S288">
        <f>IF(Metadata!C288="",FALSE,TRUE)</f>
        <v>0</v>
      </c>
      <c r="T288">
        <f>IF(Metadata!D288="",FALSE,TRUE)</f>
        <v>0</v>
      </c>
      <c r="U288">
        <f>IF(Metadata!E288="",FALSE,TRUE)</f>
        <v>0</v>
      </c>
      <c r="V288">
        <f>AND(IF(Metadata!F288="",FALSE,TRUE),exact(Metadata!F288,"rat gut metagenome"))</f>
        <v>0</v>
      </c>
      <c r="W288">
        <f>AND(IF(Metadata!G288="",FALSE,TRUE),exact(Metadata!G288,"1436733"))</f>
        <v>0</v>
      </c>
    </row>
    <row r="289" spans="1:23">
      <c r="A289" s="4">
        <f>IF(B289=" "," ",HYPERLINK(CONCATENATE("#metadata!",ADDRESS(INDEX($M$2:$M$1001,MATCH(ROWS($K$2:K289),$K$2:$K$1001,0),0),1)),INDEX($P$2:$P$1001,MATCH(ROWS($K$2:K289),$K$2:$K$1001,0),0)))</f>
        <v>0</v>
      </c>
      <c r="B289" s="3">
        <f>IF(OR(INDEX($L$2:$L$1001,MATCH(ROWS($K$2:K289),$K$2:$K$1001,0),1)&gt;=100000,INDEX($R$1005:$W$1005,1,MATCH(COLUMNS($R$1006:R1006),$R$1006:$W$1006,0))&gt;=100000), " ",IF(INDEX($R$2:$W$1001,MATCH(ROWS($K$2:K289),$K$2:$K$1001,0),MATCH(COLUMNS($R$1006:R1006),$R$1006:$W$1006,0)), HYPERLINK("#",""), HYPERLINK(CONCATENATE("#Metadata!", ADDRESS(INDEX($M$2:$M$1001,MATCH(ROWS($K$2:K289),$K$2:$K$1001,0),0), INDEX($R$1004:$W$1004,1,MATCH(COLUMNS($R$1006:R1006),$R$1006:$W$1006,0)))),"Fix")))</f>
        <v>0</v>
      </c>
      <c r="C289" s="3">
        <f>IF(OR(INDEX($L$2:$L$1001,MATCH(ROWS($K$2:K289),$K$2:$K$1001,0),1)&gt;=100000,INDEX($R$1005:$W$1005,1,MATCH(COLUMNS($R$1006:S1006),$R$1006:$W$1006,0))&gt;=100000), " ",IF(INDEX($R$2:$W$1001,MATCH(ROWS($K$2:K289),$K$2:$K$1001,0),MATCH(COLUMNS($R$1006:S1006),$R$1006:$W$1006,0)), HYPERLINK("#",""), HYPERLINK(CONCATENATE("#Metadata!", ADDRESS(INDEX($M$2:$M$1001,MATCH(ROWS($K$2:K289),$K$2:$K$1001,0),0), INDEX($R$1004:$W$1004,1,MATCH(COLUMNS($R$1006:S1006),$R$1006:$W$1006,0)))),"Fix")))</f>
        <v>0</v>
      </c>
      <c r="D289" s="3">
        <f>IF(OR(INDEX($L$2:$L$1001,MATCH(ROWS($K$2:K289),$K$2:$K$1001,0),1)&gt;=100000,INDEX($R$1005:$W$1005,1,MATCH(COLUMNS($R$1006:T1006),$R$1006:$W$1006,0))&gt;=100000), " ",IF(INDEX($R$2:$W$1001,MATCH(ROWS($K$2:K289),$K$2:$K$1001,0),MATCH(COLUMNS($R$1006:T1006),$R$1006:$W$1006,0)), HYPERLINK("#",""), HYPERLINK(CONCATENATE("#Metadata!", ADDRESS(INDEX($M$2:$M$1001,MATCH(ROWS($K$2:K289),$K$2:$K$1001,0),0), INDEX($R$1004:$W$1004,1,MATCH(COLUMNS($R$1006:T1006),$R$1006:$W$1006,0)))),"Fix")))</f>
        <v>0</v>
      </c>
      <c r="E289" s="3">
        <f>IF(OR(INDEX($L$2:$L$1001,MATCH(ROWS($K$2:K289),$K$2:$K$1001,0),1)&gt;=100000,INDEX($R$1005:$W$1005,1,MATCH(COLUMNS($R$1006:U1006),$R$1006:$W$1006,0))&gt;=100000), " ",IF(INDEX($R$2:$W$1001,MATCH(ROWS($K$2:K289),$K$2:$K$1001,0),MATCH(COLUMNS($R$1006:U1006),$R$1006:$W$1006,0)), HYPERLINK("#",""), HYPERLINK(CONCATENATE("#Metadata!", ADDRESS(INDEX($M$2:$M$1001,MATCH(ROWS($K$2:K289),$K$2:$K$1001,0),0), INDEX($R$1004:$W$1004,1,MATCH(COLUMNS($R$1006:U1006),$R$1006:$W$1006,0)))),"Fix")))</f>
        <v>0</v>
      </c>
      <c r="F289" s="3">
        <f>IF(OR(INDEX($L$2:$L$1001,MATCH(ROWS($K$2:K289),$K$2:$K$1001,0),1)&gt;=100000,INDEX($R$1005:$W$1005,1,MATCH(COLUMNS($R$1006:V1006),$R$1006:$W$1006,0))&gt;=100000), " ",IF(INDEX($R$2:$W$1001,MATCH(ROWS($K$2:K289),$K$2:$K$1001,0),MATCH(COLUMNS($R$1006:V1006),$R$1006:$W$1006,0)), HYPERLINK("#",""), HYPERLINK(CONCATENATE("#Metadata!", ADDRESS(INDEX($M$2:$M$1001,MATCH(ROWS($K$2:K289),$K$2:$K$1001,0),0), INDEX($R$1004:$W$1004,1,MATCH(COLUMNS($R$1006:V1006),$R$1006:$W$1006,0)))),"Fix")))</f>
        <v>0</v>
      </c>
      <c r="G289" s="3">
        <f>IF(OR(INDEX($L$2:$L$1001,MATCH(ROWS($K$2:K289),$K$2:$K$1001,0),1)&gt;=100000,INDEX($R$1005:$W$1005,1,MATCH(COLUMNS($R$1006:W1006),$R$1006:$W$1006,0))&gt;=100000), " ",IF(INDEX($R$2:$W$1001,MATCH(ROWS($K$2:K289),$K$2:$K$1001,0),MATCH(COLUMNS($R$1006:W1006),$R$1006:$W$1006,0)), HYPERLINK("#",""), HYPERLINK(CONCATENATE("#Metadata!", ADDRESS(INDEX($M$2:$M$1001,MATCH(ROWS($K$2:K289),$K$2:$K$1001,0),0), INDEX($R$1004:$W$1004,1,MATCH(COLUMNS($R$1006:W1006),$R$1006:$W$1006,0)))),"Fix")))</f>
        <v>0</v>
      </c>
      <c r="K289">
        <v>0</v>
      </c>
      <c r="L289">
        <v>0</v>
      </c>
      <c r="M289">
        <v>0</v>
      </c>
      <c r="N289">
        <f>IF(O289,TRUE,AND(R289:W289))</f>
        <v>0</v>
      </c>
      <c r="O289">
        <f>COUNTBLANK(Metadata!B289:G289)=COLUMNS(Metadata!B289:G289)</f>
        <v>0</v>
      </c>
      <c r="P289">
        <v>0</v>
      </c>
      <c r="R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S289">
        <f>IF(Metadata!C289="",FALSE,TRUE)</f>
        <v>0</v>
      </c>
      <c r="T289">
        <f>IF(Metadata!D289="",FALSE,TRUE)</f>
        <v>0</v>
      </c>
      <c r="U289">
        <f>IF(Metadata!E289="",FALSE,TRUE)</f>
        <v>0</v>
      </c>
      <c r="V289">
        <f>AND(IF(Metadata!F289="",FALSE,TRUE),exact(Metadata!F289,"rat gut metagenome"))</f>
        <v>0</v>
      </c>
      <c r="W289">
        <f>AND(IF(Metadata!G289="",FALSE,TRUE),exact(Metadata!G289,"1436733"))</f>
        <v>0</v>
      </c>
    </row>
    <row r="290" spans="1:23">
      <c r="A290" s="4">
        <f>IF(B290=" "," ",HYPERLINK(CONCATENATE("#metadata!",ADDRESS(INDEX($M$2:$M$1001,MATCH(ROWS($K$2:K290),$K$2:$K$1001,0),0),1)),INDEX($P$2:$P$1001,MATCH(ROWS($K$2:K290),$K$2:$K$1001,0),0)))</f>
        <v>0</v>
      </c>
      <c r="B290" s="3">
        <f>IF(OR(INDEX($L$2:$L$1001,MATCH(ROWS($K$2:K290),$K$2:$K$1001,0),1)&gt;=100000,INDEX($R$1005:$W$1005,1,MATCH(COLUMNS($R$1006:R1006),$R$1006:$W$1006,0))&gt;=100000), " ",IF(INDEX($R$2:$W$1001,MATCH(ROWS($K$2:K290),$K$2:$K$1001,0),MATCH(COLUMNS($R$1006:R1006),$R$1006:$W$1006,0)), HYPERLINK("#",""), HYPERLINK(CONCATENATE("#Metadata!", ADDRESS(INDEX($M$2:$M$1001,MATCH(ROWS($K$2:K290),$K$2:$K$1001,0),0), INDEX($R$1004:$W$1004,1,MATCH(COLUMNS($R$1006:R1006),$R$1006:$W$1006,0)))),"Fix")))</f>
        <v>0</v>
      </c>
      <c r="C290" s="3">
        <f>IF(OR(INDEX($L$2:$L$1001,MATCH(ROWS($K$2:K290),$K$2:$K$1001,0),1)&gt;=100000,INDEX($R$1005:$W$1005,1,MATCH(COLUMNS($R$1006:S1006),$R$1006:$W$1006,0))&gt;=100000), " ",IF(INDEX($R$2:$W$1001,MATCH(ROWS($K$2:K290),$K$2:$K$1001,0),MATCH(COLUMNS($R$1006:S1006),$R$1006:$W$1006,0)), HYPERLINK("#",""), HYPERLINK(CONCATENATE("#Metadata!", ADDRESS(INDEX($M$2:$M$1001,MATCH(ROWS($K$2:K290),$K$2:$K$1001,0),0), INDEX($R$1004:$W$1004,1,MATCH(COLUMNS($R$1006:S1006),$R$1006:$W$1006,0)))),"Fix")))</f>
        <v>0</v>
      </c>
      <c r="D290" s="3">
        <f>IF(OR(INDEX($L$2:$L$1001,MATCH(ROWS($K$2:K290),$K$2:$K$1001,0),1)&gt;=100000,INDEX($R$1005:$W$1005,1,MATCH(COLUMNS($R$1006:T1006),$R$1006:$W$1006,0))&gt;=100000), " ",IF(INDEX($R$2:$W$1001,MATCH(ROWS($K$2:K290),$K$2:$K$1001,0),MATCH(COLUMNS($R$1006:T1006),$R$1006:$W$1006,0)), HYPERLINK("#",""), HYPERLINK(CONCATENATE("#Metadata!", ADDRESS(INDEX($M$2:$M$1001,MATCH(ROWS($K$2:K290),$K$2:$K$1001,0),0), INDEX($R$1004:$W$1004,1,MATCH(COLUMNS($R$1006:T1006),$R$1006:$W$1006,0)))),"Fix")))</f>
        <v>0</v>
      </c>
      <c r="E290" s="3">
        <f>IF(OR(INDEX($L$2:$L$1001,MATCH(ROWS($K$2:K290),$K$2:$K$1001,0),1)&gt;=100000,INDEX($R$1005:$W$1005,1,MATCH(COLUMNS($R$1006:U1006),$R$1006:$W$1006,0))&gt;=100000), " ",IF(INDEX($R$2:$W$1001,MATCH(ROWS($K$2:K290),$K$2:$K$1001,0),MATCH(COLUMNS($R$1006:U1006),$R$1006:$W$1006,0)), HYPERLINK("#",""), HYPERLINK(CONCATENATE("#Metadata!", ADDRESS(INDEX($M$2:$M$1001,MATCH(ROWS($K$2:K290),$K$2:$K$1001,0),0), INDEX($R$1004:$W$1004,1,MATCH(COLUMNS($R$1006:U1006),$R$1006:$W$1006,0)))),"Fix")))</f>
        <v>0</v>
      </c>
      <c r="F290" s="3">
        <f>IF(OR(INDEX($L$2:$L$1001,MATCH(ROWS($K$2:K290),$K$2:$K$1001,0),1)&gt;=100000,INDEX($R$1005:$W$1005,1,MATCH(COLUMNS($R$1006:V1006),$R$1006:$W$1006,0))&gt;=100000), " ",IF(INDEX($R$2:$W$1001,MATCH(ROWS($K$2:K290),$K$2:$K$1001,0),MATCH(COLUMNS($R$1006:V1006),$R$1006:$W$1006,0)), HYPERLINK("#",""), HYPERLINK(CONCATENATE("#Metadata!", ADDRESS(INDEX($M$2:$M$1001,MATCH(ROWS($K$2:K290),$K$2:$K$1001,0),0), INDEX($R$1004:$W$1004,1,MATCH(COLUMNS($R$1006:V1006),$R$1006:$W$1006,0)))),"Fix")))</f>
        <v>0</v>
      </c>
      <c r="G290" s="3">
        <f>IF(OR(INDEX($L$2:$L$1001,MATCH(ROWS($K$2:K290),$K$2:$K$1001,0),1)&gt;=100000,INDEX($R$1005:$W$1005,1,MATCH(COLUMNS($R$1006:W1006),$R$1006:$W$1006,0))&gt;=100000), " ",IF(INDEX($R$2:$W$1001,MATCH(ROWS($K$2:K290),$K$2:$K$1001,0),MATCH(COLUMNS($R$1006:W1006),$R$1006:$W$1006,0)), HYPERLINK("#",""), HYPERLINK(CONCATENATE("#Metadata!", ADDRESS(INDEX($M$2:$M$1001,MATCH(ROWS($K$2:K290),$K$2:$K$1001,0),0), INDEX($R$1004:$W$1004,1,MATCH(COLUMNS($R$1006:W1006),$R$1006:$W$1006,0)))),"Fix")))</f>
        <v>0</v>
      </c>
      <c r="K290">
        <v>0</v>
      </c>
      <c r="L290">
        <v>0</v>
      </c>
      <c r="M290">
        <v>0</v>
      </c>
      <c r="N290">
        <f>IF(O290,TRUE,AND(R290:W290))</f>
        <v>0</v>
      </c>
      <c r="O290">
        <f>COUNTBLANK(Metadata!B290:G290)=COLUMNS(Metadata!B290:G290)</f>
        <v>0</v>
      </c>
      <c r="P290">
        <v>0</v>
      </c>
      <c r="R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S290">
        <f>IF(Metadata!C290="",FALSE,TRUE)</f>
        <v>0</v>
      </c>
      <c r="T290">
        <f>IF(Metadata!D290="",FALSE,TRUE)</f>
        <v>0</v>
      </c>
      <c r="U290">
        <f>IF(Metadata!E290="",FALSE,TRUE)</f>
        <v>0</v>
      </c>
      <c r="V290">
        <f>AND(IF(Metadata!F290="",FALSE,TRUE),exact(Metadata!F290,"rat gut metagenome"))</f>
        <v>0</v>
      </c>
      <c r="W290">
        <f>AND(IF(Metadata!G290="",FALSE,TRUE),exact(Metadata!G290,"1436733"))</f>
        <v>0</v>
      </c>
    </row>
    <row r="291" spans="1:23">
      <c r="A291" s="4">
        <f>IF(B291=" "," ",HYPERLINK(CONCATENATE("#metadata!",ADDRESS(INDEX($M$2:$M$1001,MATCH(ROWS($K$2:K291),$K$2:$K$1001,0),0),1)),INDEX($P$2:$P$1001,MATCH(ROWS($K$2:K291),$K$2:$K$1001,0),0)))</f>
        <v>0</v>
      </c>
      <c r="B291" s="3">
        <f>IF(OR(INDEX($L$2:$L$1001,MATCH(ROWS($K$2:K291),$K$2:$K$1001,0),1)&gt;=100000,INDEX($R$1005:$W$1005,1,MATCH(COLUMNS($R$1006:R1006),$R$1006:$W$1006,0))&gt;=100000), " ",IF(INDEX($R$2:$W$1001,MATCH(ROWS($K$2:K291),$K$2:$K$1001,0),MATCH(COLUMNS($R$1006:R1006),$R$1006:$W$1006,0)), HYPERLINK("#",""), HYPERLINK(CONCATENATE("#Metadata!", ADDRESS(INDEX($M$2:$M$1001,MATCH(ROWS($K$2:K291),$K$2:$K$1001,0),0), INDEX($R$1004:$W$1004,1,MATCH(COLUMNS($R$1006:R1006),$R$1006:$W$1006,0)))),"Fix")))</f>
        <v>0</v>
      </c>
      <c r="C291" s="3">
        <f>IF(OR(INDEX($L$2:$L$1001,MATCH(ROWS($K$2:K291),$K$2:$K$1001,0),1)&gt;=100000,INDEX($R$1005:$W$1005,1,MATCH(COLUMNS($R$1006:S1006),$R$1006:$W$1006,0))&gt;=100000), " ",IF(INDEX($R$2:$W$1001,MATCH(ROWS($K$2:K291),$K$2:$K$1001,0),MATCH(COLUMNS($R$1006:S1006),$R$1006:$W$1006,0)), HYPERLINK("#",""), HYPERLINK(CONCATENATE("#Metadata!", ADDRESS(INDEX($M$2:$M$1001,MATCH(ROWS($K$2:K291),$K$2:$K$1001,0),0), INDEX($R$1004:$W$1004,1,MATCH(COLUMNS($R$1006:S1006),$R$1006:$W$1006,0)))),"Fix")))</f>
        <v>0</v>
      </c>
      <c r="D291" s="3">
        <f>IF(OR(INDEX($L$2:$L$1001,MATCH(ROWS($K$2:K291),$K$2:$K$1001,0),1)&gt;=100000,INDEX($R$1005:$W$1005,1,MATCH(COLUMNS($R$1006:T1006),$R$1006:$W$1006,0))&gt;=100000), " ",IF(INDEX($R$2:$W$1001,MATCH(ROWS($K$2:K291),$K$2:$K$1001,0),MATCH(COLUMNS($R$1006:T1006),$R$1006:$W$1006,0)), HYPERLINK("#",""), HYPERLINK(CONCATENATE("#Metadata!", ADDRESS(INDEX($M$2:$M$1001,MATCH(ROWS($K$2:K291),$K$2:$K$1001,0),0), INDEX($R$1004:$W$1004,1,MATCH(COLUMNS($R$1006:T1006),$R$1006:$W$1006,0)))),"Fix")))</f>
        <v>0</v>
      </c>
      <c r="E291" s="3">
        <f>IF(OR(INDEX($L$2:$L$1001,MATCH(ROWS($K$2:K291),$K$2:$K$1001,0),1)&gt;=100000,INDEX($R$1005:$W$1005,1,MATCH(COLUMNS($R$1006:U1006),$R$1006:$W$1006,0))&gt;=100000), " ",IF(INDEX($R$2:$W$1001,MATCH(ROWS($K$2:K291),$K$2:$K$1001,0),MATCH(COLUMNS($R$1006:U1006),$R$1006:$W$1006,0)), HYPERLINK("#",""), HYPERLINK(CONCATENATE("#Metadata!", ADDRESS(INDEX($M$2:$M$1001,MATCH(ROWS($K$2:K291),$K$2:$K$1001,0),0), INDEX($R$1004:$W$1004,1,MATCH(COLUMNS($R$1006:U1006),$R$1006:$W$1006,0)))),"Fix")))</f>
        <v>0</v>
      </c>
      <c r="F291" s="3">
        <f>IF(OR(INDEX($L$2:$L$1001,MATCH(ROWS($K$2:K291),$K$2:$K$1001,0),1)&gt;=100000,INDEX($R$1005:$W$1005,1,MATCH(COLUMNS($R$1006:V1006),$R$1006:$W$1006,0))&gt;=100000), " ",IF(INDEX($R$2:$W$1001,MATCH(ROWS($K$2:K291),$K$2:$K$1001,0),MATCH(COLUMNS($R$1006:V1006),$R$1006:$W$1006,0)), HYPERLINK("#",""), HYPERLINK(CONCATENATE("#Metadata!", ADDRESS(INDEX($M$2:$M$1001,MATCH(ROWS($K$2:K291),$K$2:$K$1001,0),0), INDEX($R$1004:$W$1004,1,MATCH(COLUMNS($R$1006:V1006),$R$1006:$W$1006,0)))),"Fix")))</f>
        <v>0</v>
      </c>
      <c r="G291" s="3">
        <f>IF(OR(INDEX($L$2:$L$1001,MATCH(ROWS($K$2:K291),$K$2:$K$1001,0),1)&gt;=100000,INDEX($R$1005:$W$1005,1,MATCH(COLUMNS($R$1006:W1006),$R$1006:$W$1006,0))&gt;=100000), " ",IF(INDEX($R$2:$W$1001,MATCH(ROWS($K$2:K291),$K$2:$K$1001,0),MATCH(COLUMNS($R$1006:W1006),$R$1006:$W$1006,0)), HYPERLINK("#",""), HYPERLINK(CONCATENATE("#Metadata!", ADDRESS(INDEX($M$2:$M$1001,MATCH(ROWS($K$2:K291),$K$2:$K$1001,0),0), INDEX($R$1004:$W$1004,1,MATCH(COLUMNS($R$1006:W1006),$R$1006:$W$1006,0)))),"Fix")))</f>
        <v>0</v>
      </c>
      <c r="K291">
        <v>0</v>
      </c>
      <c r="L291">
        <v>0</v>
      </c>
      <c r="M291">
        <v>0</v>
      </c>
      <c r="N291">
        <f>IF(O291,TRUE,AND(R291:W291))</f>
        <v>0</v>
      </c>
      <c r="O291">
        <f>COUNTBLANK(Metadata!B291:G291)=COLUMNS(Metadata!B291:G291)</f>
        <v>0</v>
      </c>
      <c r="P291">
        <v>0</v>
      </c>
      <c r="R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S291">
        <f>IF(Metadata!C291="",FALSE,TRUE)</f>
        <v>0</v>
      </c>
      <c r="T291">
        <f>IF(Metadata!D291="",FALSE,TRUE)</f>
        <v>0</v>
      </c>
      <c r="U291">
        <f>IF(Metadata!E291="",FALSE,TRUE)</f>
        <v>0</v>
      </c>
      <c r="V291">
        <f>AND(IF(Metadata!F291="",FALSE,TRUE),exact(Metadata!F291,"rat gut metagenome"))</f>
        <v>0</v>
      </c>
      <c r="W291">
        <f>AND(IF(Metadata!G291="",FALSE,TRUE),exact(Metadata!G291,"1436733"))</f>
        <v>0</v>
      </c>
    </row>
    <row r="292" spans="1:23">
      <c r="A292" s="4">
        <f>IF(B292=" "," ",HYPERLINK(CONCATENATE("#metadata!",ADDRESS(INDEX($M$2:$M$1001,MATCH(ROWS($K$2:K292),$K$2:$K$1001,0),0),1)),INDEX($P$2:$P$1001,MATCH(ROWS($K$2:K292),$K$2:$K$1001,0),0)))</f>
        <v>0</v>
      </c>
      <c r="B292" s="3">
        <f>IF(OR(INDEX($L$2:$L$1001,MATCH(ROWS($K$2:K292),$K$2:$K$1001,0),1)&gt;=100000,INDEX($R$1005:$W$1005,1,MATCH(COLUMNS($R$1006:R1006),$R$1006:$W$1006,0))&gt;=100000), " ",IF(INDEX($R$2:$W$1001,MATCH(ROWS($K$2:K292),$K$2:$K$1001,0),MATCH(COLUMNS($R$1006:R1006),$R$1006:$W$1006,0)), HYPERLINK("#",""), HYPERLINK(CONCATENATE("#Metadata!", ADDRESS(INDEX($M$2:$M$1001,MATCH(ROWS($K$2:K292),$K$2:$K$1001,0),0), INDEX($R$1004:$W$1004,1,MATCH(COLUMNS($R$1006:R1006),$R$1006:$W$1006,0)))),"Fix")))</f>
        <v>0</v>
      </c>
      <c r="C292" s="3">
        <f>IF(OR(INDEX($L$2:$L$1001,MATCH(ROWS($K$2:K292),$K$2:$K$1001,0),1)&gt;=100000,INDEX($R$1005:$W$1005,1,MATCH(COLUMNS($R$1006:S1006),$R$1006:$W$1006,0))&gt;=100000), " ",IF(INDEX($R$2:$W$1001,MATCH(ROWS($K$2:K292),$K$2:$K$1001,0),MATCH(COLUMNS($R$1006:S1006),$R$1006:$W$1006,0)), HYPERLINK("#",""), HYPERLINK(CONCATENATE("#Metadata!", ADDRESS(INDEX($M$2:$M$1001,MATCH(ROWS($K$2:K292),$K$2:$K$1001,0),0), INDEX($R$1004:$W$1004,1,MATCH(COLUMNS($R$1006:S1006),$R$1006:$W$1006,0)))),"Fix")))</f>
        <v>0</v>
      </c>
      <c r="D292" s="3">
        <f>IF(OR(INDEX($L$2:$L$1001,MATCH(ROWS($K$2:K292),$K$2:$K$1001,0),1)&gt;=100000,INDEX($R$1005:$W$1005,1,MATCH(COLUMNS($R$1006:T1006),$R$1006:$W$1006,0))&gt;=100000), " ",IF(INDEX($R$2:$W$1001,MATCH(ROWS($K$2:K292),$K$2:$K$1001,0),MATCH(COLUMNS($R$1006:T1006),$R$1006:$W$1006,0)), HYPERLINK("#",""), HYPERLINK(CONCATENATE("#Metadata!", ADDRESS(INDEX($M$2:$M$1001,MATCH(ROWS($K$2:K292),$K$2:$K$1001,0),0), INDEX($R$1004:$W$1004,1,MATCH(COLUMNS($R$1006:T1006),$R$1006:$W$1006,0)))),"Fix")))</f>
        <v>0</v>
      </c>
      <c r="E292" s="3">
        <f>IF(OR(INDEX($L$2:$L$1001,MATCH(ROWS($K$2:K292),$K$2:$K$1001,0),1)&gt;=100000,INDEX($R$1005:$W$1005,1,MATCH(COLUMNS($R$1006:U1006),$R$1006:$W$1006,0))&gt;=100000), " ",IF(INDEX($R$2:$W$1001,MATCH(ROWS($K$2:K292),$K$2:$K$1001,0),MATCH(COLUMNS($R$1006:U1006),$R$1006:$W$1006,0)), HYPERLINK("#",""), HYPERLINK(CONCATENATE("#Metadata!", ADDRESS(INDEX($M$2:$M$1001,MATCH(ROWS($K$2:K292),$K$2:$K$1001,0),0), INDEX($R$1004:$W$1004,1,MATCH(COLUMNS($R$1006:U1006),$R$1006:$W$1006,0)))),"Fix")))</f>
        <v>0</v>
      </c>
      <c r="F292" s="3">
        <f>IF(OR(INDEX($L$2:$L$1001,MATCH(ROWS($K$2:K292),$K$2:$K$1001,0),1)&gt;=100000,INDEX($R$1005:$W$1005,1,MATCH(COLUMNS($R$1006:V1006),$R$1006:$W$1006,0))&gt;=100000), " ",IF(INDEX($R$2:$W$1001,MATCH(ROWS($K$2:K292),$K$2:$K$1001,0),MATCH(COLUMNS($R$1006:V1006),$R$1006:$W$1006,0)), HYPERLINK("#",""), HYPERLINK(CONCATENATE("#Metadata!", ADDRESS(INDEX($M$2:$M$1001,MATCH(ROWS($K$2:K292),$K$2:$K$1001,0),0), INDEX($R$1004:$W$1004,1,MATCH(COLUMNS($R$1006:V1006),$R$1006:$W$1006,0)))),"Fix")))</f>
        <v>0</v>
      </c>
      <c r="G292" s="3">
        <f>IF(OR(INDEX($L$2:$L$1001,MATCH(ROWS($K$2:K292),$K$2:$K$1001,0),1)&gt;=100000,INDEX($R$1005:$W$1005,1,MATCH(COLUMNS($R$1006:W1006),$R$1006:$W$1006,0))&gt;=100000), " ",IF(INDEX($R$2:$W$1001,MATCH(ROWS($K$2:K292),$K$2:$K$1001,0),MATCH(COLUMNS($R$1006:W1006),$R$1006:$W$1006,0)), HYPERLINK("#",""), HYPERLINK(CONCATENATE("#Metadata!", ADDRESS(INDEX($M$2:$M$1001,MATCH(ROWS($K$2:K292),$K$2:$K$1001,0),0), INDEX($R$1004:$W$1004,1,MATCH(COLUMNS($R$1006:W1006),$R$1006:$W$1006,0)))),"Fix")))</f>
        <v>0</v>
      </c>
      <c r="K292">
        <v>0</v>
      </c>
      <c r="L292">
        <v>0</v>
      </c>
      <c r="M292">
        <v>0</v>
      </c>
      <c r="N292">
        <f>IF(O292,TRUE,AND(R292:W292))</f>
        <v>0</v>
      </c>
      <c r="O292">
        <f>COUNTBLANK(Metadata!B292:G292)=COLUMNS(Metadata!B292:G292)</f>
        <v>0</v>
      </c>
      <c r="P292">
        <v>0</v>
      </c>
      <c r="R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S292">
        <f>IF(Metadata!C292="",FALSE,TRUE)</f>
        <v>0</v>
      </c>
      <c r="T292">
        <f>IF(Metadata!D292="",FALSE,TRUE)</f>
        <v>0</v>
      </c>
      <c r="U292">
        <f>IF(Metadata!E292="",FALSE,TRUE)</f>
        <v>0</v>
      </c>
      <c r="V292">
        <f>AND(IF(Metadata!F292="",FALSE,TRUE),exact(Metadata!F292,"rat gut metagenome"))</f>
        <v>0</v>
      </c>
      <c r="W292">
        <f>AND(IF(Metadata!G292="",FALSE,TRUE),exact(Metadata!G292,"1436733"))</f>
        <v>0</v>
      </c>
    </row>
    <row r="293" spans="1:23">
      <c r="A293" s="4">
        <f>IF(B293=" "," ",HYPERLINK(CONCATENATE("#metadata!",ADDRESS(INDEX($M$2:$M$1001,MATCH(ROWS($K$2:K293),$K$2:$K$1001,0),0),1)),INDEX($P$2:$P$1001,MATCH(ROWS($K$2:K293),$K$2:$K$1001,0),0)))</f>
        <v>0</v>
      </c>
      <c r="B293" s="3">
        <f>IF(OR(INDEX($L$2:$L$1001,MATCH(ROWS($K$2:K293),$K$2:$K$1001,0),1)&gt;=100000,INDEX($R$1005:$W$1005,1,MATCH(COLUMNS($R$1006:R1006),$R$1006:$W$1006,0))&gt;=100000), " ",IF(INDEX($R$2:$W$1001,MATCH(ROWS($K$2:K293),$K$2:$K$1001,0),MATCH(COLUMNS($R$1006:R1006),$R$1006:$W$1006,0)), HYPERLINK("#",""), HYPERLINK(CONCATENATE("#Metadata!", ADDRESS(INDEX($M$2:$M$1001,MATCH(ROWS($K$2:K293),$K$2:$K$1001,0),0), INDEX($R$1004:$W$1004,1,MATCH(COLUMNS($R$1006:R1006),$R$1006:$W$1006,0)))),"Fix")))</f>
        <v>0</v>
      </c>
      <c r="C293" s="3">
        <f>IF(OR(INDEX($L$2:$L$1001,MATCH(ROWS($K$2:K293),$K$2:$K$1001,0),1)&gt;=100000,INDEX($R$1005:$W$1005,1,MATCH(COLUMNS($R$1006:S1006),$R$1006:$W$1006,0))&gt;=100000), " ",IF(INDEX($R$2:$W$1001,MATCH(ROWS($K$2:K293),$K$2:$K$1001,0),MATCH(COLUMNS($R$1006:S1006),$R$1006:$W$1006,0)), HYPERLINK("#",""), HYPERLINK(CONCATENATE("#Metadata!", ADDRESS(INDEX($M$2:$M$1001,MATCH(ROWS($K$2:K293),$K$2:$K$1001,0),0), INDEX($R$1004:$W$1004,1,MATCH(COLUMNS($R$1006:S1006),$R$1006:$W$1006,0)))),"Fix")))</f>
        <v>0</v>
      </c>
      <c r="D293" s="3">
        <f>IF(OR(INDEX($L$2:$L$1001,MATCH(ROWS($K$2:K293),$K$2:$K$1001,0),1)&gt;=100000,INDEX($R$1005:$W$1005,1,MATCH(COLUMNS($R$1006:T1006),$R$1006:$W$1006,0))&gt;=100000), " ",IF(INDEX($R$2:$W$1001,MATCH(ROWS($K$2:K293),$K$2:$K$1001,0),MATCH(COLUMNS($R$1006:T1006),$R$1006:$W$1006,0)), HYPERLINK("#",""), HYPERLINK(CONCATENATE("#Metadata!", ADDRESS(INDEX($M$2:$M$1001,MATCH(ROWS($K$2:K293),$K$2:$K$1001,0),0), INDEX($R$1004:$W$1004,1,MATCH(COLUMNS($R$1006:T1006),$R$1006:$W$1006,0)))),"Fix")))</f>
        <v>0</v>
      </c>
      <c r="E293" s="3">
        <f>IF(OR(INDEX($L$2:$L$1001,MATCH(ROWS($K$2:K293),$K$2:$K$1001,0),1)&gt;=100000,INDEX($R$1005:$W$1005,1,MATCH(COLUMNS($R$1006:U1006),$R$1006:$W$1006,0))&gt;=100000), " ",IF(INDEX($R$2:$W$1001,MATCH(ROWS($K$2:K293),$K$2:$K$1001,0),MATCH(COLUMNS($R$1006:U1006),$R$1006:$W$1006,0)), HYPERLINK("#",""), HYPERLINK(CONCATENATE("#Metadata!", ADDRESS(INDEX($M$2:$M$1001,MATCH(ROWS($K$2:K293),$K$2:$K$1001,0),0), INDEX($R$1004:$W$1004,1,MATCH(COLUMNS($R$1006:U1006),$R$1006:$W$1006,0)))),"Fix")))</f>
        <v>0</v>
      </c>
      <c r="F293" s="3">
        <f>IF(OR(INDEX($L$2:$L$1001,MATCH(ROWS($K$2:K293),$K$2:$K$1001,0),1)&gt;=100000,INDEX($R$1005:$W$1005,1,MATCH(COLUMNS($R$1006:V1006),$R$1006:$W$1006,0))&gt;=100000), " ",IF(INDEX($R$2:$W$1001,MATCH(ROWS($K$2:K293),$K$2:$K$1001,0),MATCH(COLUMNS($R$1006:V1006),$R$1006:$W$1006,0)), HYPERLINK("#",""), HYPERLINK(CONCATENATE("#Metadata!", ADDRESS(INDEX($M$2:$M$1001,MATCH(ROWS($K$2:K293),$K$2:$K$1001,0),0), INDEX($R$1004:$W$1004,1,MATCH(COLUMNS($R$1006:V1006),$R$1006:$W$1006,0)))),"Fix")))</f>
        <v>0</v>
      </c>
      <c r="G293" s="3">
        <f>IF(OR(INDEX($L$2:$L$1001,MATCH(ROWS($K$2:K293),$K$2:$K$1001,0),1)&gt;=100000,INDEX($R$1005:$W$1005,1,MATCH(COLUMNS($R$1006:W1006),$R$1006:$W$1006,0))&gt;=100000), " ",IF(INDEX($R$2:$W$1001,MATCH(ROWS($K$2:K293),$K$2:$K$1001,0),MATCH(COLUMNS($R$1006:W1006),$R$1006:$W$1006,0)), HYPERLINK("#",""), HYPERLINK(CONCATENATE("#Metadata!", ADDRESS(INDEX($M$2:$M$1001,MATCH(ROWS($K$2:K293),$K$2:$K$1001,0),0), INDEX($R$1004:$W$1004,1,MATCH(COLUMNS($R$1006:W1006),$R$1006:$W$1006,0)))),"Fix")))</f>
        <v>0</v>
      </c>
      <c r="K293">
        <v>0</v>
      </c>
      <c r="L293">
        <v>0</v>
      </c>
      <c r="M293">
        <v>0</v>
      </c>
      <c r="N293">
        <f>IF(O293,TRUE,AND(R293:W293))</f>
        <v>0</v>
      </c>
      <c r="O293">
        <f>COUNTBLANK(Metadata!B293:G293)=COLUMNS(Metadata!B293:G293)</f>
        <v>0</v>
      </c>
      <c r="P293">
        <v>0</v>
      </c>
      <c r="R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S293">
        <f>IF(Metadata!C293="",FALSE,TRUE)</f>
        <v>0</v>
      </c>
      <c r="T293">
        <f>IF(Metadata!D293="",FALSE,TRUE)</f>
        <v>0</v>
      </c>
      <c r="U293">
        <f>IF(Metadata!E293="",FALSE,TRUE)</f>
        <v>0</v>
      </c>
      <c r="V293">
        <f>AND(IF(Metadata!F293="",FALSE,TRUE),exact(Metadata!F293,"rat gut metagenome"))</f>
        <v>0</v>
      </c>
      <c r="W293">
        <f>AND(IF(Metadata!G293="",FALSE,TRUE),exact(Metadata!G293,"1436733"))</f>
        <v>0</v>
      </c>
    </row>
    <row r="294" spans="1:23">
      <c r="A294" s="4">
        <f>IF(B294=" "," ",HYPERLINK(CONCATENATE("#metadata!",ADDRESS(INDEX($M$2:$M$1001,MATCH(ROWS($K$2:K294),$K$2:$K$1001,0),0),1)),INDEX($P$2:$P$1001,MATCH(ROWS($K$2:K294),$K$2:$K$1001,0),0)))</f>
        <v>0</v>
      </c>
      <c r="B294" s="3">
        <f>IF(OR(INDEX($L$2:$L$1001,MATCH(ROWS($K$2:K294),$K$2:$K$1001,0),1)&gt;=100000,INDEX($R$1005:$W$1005,1,MATCH(COLUMNS($R$1006:R1006),$R$1006:$W$1006,0))&gt;=100000), " ",IF(INDEX($R$2:$W$1001,MATCH(ROWS($K$2:K294),$K$2:$K$1001,0),MATCH(COLUMNS($R$1006:R1006),$R$1006:$W$1006,0)), HYPERLINK("#",""), HYPERLINK(CONCATENATE("#Metadata!", ADDRESS(INDEX($M$2:$M$1001,MATCH(ROWS($K$2:K294),$K$2:$K$1001,0),0), INDEX($R$1004:$W$1004,1,MATCH(COLUMNS($R$1006:R1006),$R$1006:$W$1006,0)))),"Fix")))</f>
        <v>0</v>
      </c>
      <c r="C294" s="3">
        <f>IF(OR(INDEX($L$2:$L$1001,MATCH(ROWS($K$2:K294),$K$2:$K$1001,0),1)&gt;=100000,INDEX($R$1005:$W$1005,1,MATCH(COLUMNS($R$1006:S1006),$R$1006:$W$1006,0))&gt;=100000), " ",IF(INDEX($R$2:$W$1001,MATCH(ROWS($K$2:K294),$K$2:$K$1001,0),MATCH(COLUMNS($R$1006:S1006),$R$1006:$W$1006,0)), HYPERLINK("#",""), HYPERLINK(CONCATENATE("#Metadata!", ADDRESS(INDEX($M$2:$M$1001,MATCH(ROWS($K$2:K294),$K$2:$K$1001,0),0), INDEX($R$1004:$W$1004,1,MATCH(COLUMNS($R$1006:S1006),$R$1006:$W$1006,0)))),"Fix")))</f>
        <v>0</v>
      </c>
      <c r="D294" s="3">
        <f>IF(OR(INDEX($L$2:$L$1001,MATCH(ROWS($K$2:K294),$K$2:$K$1001,0),1)&gt;=100000,INDEX($R$1005:$W$1005,1,MATCH(COLUMNS($R$1006:T1006),$R$1006:$W$1006,0))&gt;=100000), " ",IF(INDEX($R$2:$W$1001,MATCH(ROWS($K$2:K294),$K$2:$K$1001,0),MATCH(COLUMNS($R$1006:T1006),$R$1006:$W$1006,0)), HYPERLINK("#",""), HYPERLINK(CONCATENATE("#Metadata!", ADDRESS(INDEX($M$2:$M$1001,MATCH(ROWS($K$2:K294),$K$2:$K$1001,0),0), INDEX($R$1004:$W$1004,1,MATCH(COLUMNS($R$1006:T1006),$R$1006:$W$1006,0)))),"Fix")))</f>
        <v>0</v>
      </c>
      <c r="E294" s="3">
        <f>IF(OR(INDEX($L$2:$L$1001,MATCH(ROWS($K$2:K294),$K$2:$K$1001,0),1)&gt;=100000,INDEX($R$1005:$W$1005,1,MATCH(COLUMNS($R$1006:U1006),$R$1006:$W$1006,0))&gt;=100000), " ",IF(INDEX($R$2:$W$1001,MATCH(ROWS($K$2:K294),$K$2:$K$1001,0),MATCH(COLUMNS($R$1006:U1006),$R$1006:$W$1006,0)), HYPERLINK("#",""), HYPERLINK(CONCATENATE("#Metadata!", ADDRESS(INDEX($M$2:$M$1001,MATCH(ROWS($K$2:K294),$K$2:$K$1001,0),0), INDEX($R$1004:$W$1004,1,MATCH(COLUMNS($R$1006:U1006),$R$1006:$W$1006,0)))),"Fix")))</f>
        <v>0</v>
      </c>
      <c r="F294" s="3">
        <f>IF(OR(INDEX($L$2:$L$1001,MATCH(ROWS($K$2:K294),$K$2:$K$1001,0),1)&gt;=100000,INDEX($R$1005:$W$1005,1,MATCH(COLUMNS($R$1006:V1006),$R$1006:$W$1006,0))&gt;=100000), " ",IF(INDEX($R$2:$W$1001,MATCH(ROWS($K$2:K294),$K$2:$K$1001,0),MATCH(COLUMNS($R$1006:V1006),$R$1006:$W$1006,0)), HYPERLINK("#",""), HYPERLINK(CONCATENATE("#Metadata!", ADDRESS(INDEX($M$2:$M$1001,MATCH(ROWS($K$2:K294),$K$2:$K$1001,0),0), INDEX($R$1004:$W$1004,1,MATCH(COLUMNS($R$1006:V1006),$R$1006:$W$1006,0)))),"Fix")))</f>
        <v>0</v>
      </c>
      <c r="G294" s="3">
        <f>IF(OR(INDEX($L$2:$L$1001,MATCH(ROWS($K$2:K294),$K$2:$K$1001,0),1)&gt;=100000,INDEX($R$1005:$W$1005,1,MATCH(COLUMNS($R$1006:W1006),$R$1006:$W$1006,0))&gt;=100000), " ",IF(INDEX($R$2:$W$1001,MATCH(ROWS($K$2:K294),$K$2:$K$1001,0),MATCH(COLUMNS($R$1006:W1006),$R$1006:$W$1006,0)), HYPERLINK("#",""), HYPERLINK(CONCATENATE("#Metadata!", ADDRESS(INDEX($M$2:$M$1001,MATCH(ROWS($K$2:K294),$K$2:$K$1001,0),0), INDEX($R$1004:$W$1004,1,MATCH(COLUMNS($R$1006:W1006),$R$1006:$W$1006,0)))),"Fix")))</f>
        <v>0</v>
      </c>
      <c r="K294">
        <v>0</v>
      </c>
      <c r="L294">
        <v>0</v>
      </c>
      <c r="M294">
        <v>0</v>
      </c>
      <c r="N294">
        <f>IF(O294,TRUE,AND(R294:W294))</f>
        <v>0</v>
      </c>
      <c r="O294">
        <f>COUNTBLANK(Metadata!B294:G294)=COLUMNS(Metadata!B294:G294)</f>
        <v>0</v>
      </c>
      <c r="P294">
        <v>0</v>
      </c>
      <c r="R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S294">
        <f>IF(Metadata!C294="",FALSE,TRUE)</f>
        <v>0</v>
      </c>
      <c r="T294">
        <f>IF(Metadata!D294="",FALSE,TRUE)</f>
        <v>0</v>
      </c>
      <c r="U294">
        <f>IF(Metadata!E294="",FALSE,TRUE)</f>
        <v>0</v>
      </c>
      <c r="V294">
        <f>AND(IF(Metadata!F294="",FALSE,TRUE),exact(Metadata!F294,"rat gut metagenome"))</f>
        <v>0</v>
      </c>
      <c r="W294">
        <f>AND(IF(Metadata!G294="",FALSE,TRUE),exact(Metadata!G294,"1436733"))</f>
        <v>0</v>
      </c>
    </row>
    <row r="295" spans="1:23">
      <c r="A295" s="4">
        <f>IF(B295=" "," ",HYPERLINK(CONCATENATE("#metadata!",ADDRESS(INDEX($M$2:$M$1001,MATCH(ROWS($K$2:K295),$K$2:$K$1001,0),0),1)),INDEX($P$2:$P$1001,MATCH(ROWS($K$2:K295),$K$2:$K$1001,0),0)))</f>
        <v>0</v>
      </c>
      <c r="B295" s="3">
        <f>IF(OR(INDEX($L$2:$L$1001,MATCH(ROWS($K$2:K295),$K$2:$K$1001,0),1)&gt;=100000,INDEX($R$1005:$W$1005,1,MATCH(COLUMNS($R$1006:R1006),$R$1006:$W$1006,0))&gt;=100000), " ",IF(INDEX($R$2:$W$1001,MATCH(ROWS($K$2:K295),$K$2:$K$1001,0),MATCH(COLUMNS($R$1006:R1006),$R$1006:$W$1006,0)), HYPERLINK("#",""), HYPERLINK(CONCATENATE("#Metadata!", ADDRESS(INDEX($M$2:$M$1001,MATCH(ROWS($K$2:K295),$K$2:$K$1001,0),0), INDEX($R$1004:$W$1004,1,MATCH(COLUMNS($R$1006:R1006),$R$1006:$W$1006,0)))),"Fix")))</f>
        <v>0</v>
      </c>
      <c r="C295" s="3">
        <f>IF(OR(INDEX($L$2:$L$1001,MATCH(ROWS($K$2:K295),$K$2:$K$1001,0),1)&gt;=100000,INDEX($R$1005:$W$1005,1,MATCH(COLUMNS($R$1006:S1006),$R$1006:$W$1006,0))&gt;=100000), " ",IF(INDEX($R$2:$W$1001,MATCH(ROWS($K$2:K295),$K$2:$K$1001,0),MATCH(COLUMNS($R$1006:S1006),$R$1006:$W$1006,0)), HYPERLINK("#",""), HYPERLINK(CONCATENATE("#Metadata!", ADDRESS(INDEX($M$2:$M$1001,MATCH(ROWS($K$2:K295),$K$2:$K$1001,0),0), INDEX($R$1004:$W$1004,1,MATCH(COLUMNS($R$1006:S1006),$R$1006:$W$1006,0)))),"Fix")))</f>
        <v>0</v>
      </c>
      <c r="D295" s="3">
        <f>IF(OR(INDEX($L$2:$L$1001,MATCH(ROWS($K$2:K295),$K$2:$K$1001,0),1)&gt;=100000,INDEX($R$1005:$W$1005,1,MATCH(COLUMNS($R$1006:T1006),$R$1006:$W$1006,0))&gt;=100000), " ",IF(INDEX($R$2:$W$1001,MATCH(ROWS($K$2:K295),$K$2:$K$1001,0),MATCH(COLUMNS($R$1006:T1006),$R$1006:$W$1006,0)), HYPERLINK("#",""), HYPERLINK(CONCATENATE("#Metadata!", ADDRESS(INDEX($M$2:$M$1001,MATCH(ROWS($K$2:K295),$K$2:$K$1001,0),0), INDEX($R$1004:$W$1004,1,MATCH(COLUMNS($R$1006:T1006),$R$1006:$W$1006,0)))),"Fix")))</f>
        <v>0</v>
      </c>
      <c r="E295" s="3">
        <f>IF(OR(INDEX($L$2:$L$1001,MATCH(ROWS($K$2:K295),$K$2:$K$1001,0),1)&gt;=100000,INDEX($R$1005:$W$1005,1,MATCH(COLUMNS($R$1006:U1006),$R$1006:$W$1006,0))&gt;=100000), " ",IF(INDEX($R$2:$W$1001,MATCH(ROWS($K$2:K295),$K$2:$K$1001,0),MATCH(COLUMNS($R$1006:U1006),$R$1006:$W$1006,0)), HYPERLINK("#",""), HYPERLINK(CONCATENATE("#Metadata!", ADDRESS(INDEX($M$2:$M$1001,MATCH(ROWS($K$2:K295),$K$2:$K$1001,0),0), INDEX($R$1004:$W$1004,1,MATCH(COLUMNS($R$1006:U1006),$R$1006:$W$1006,0)))),"Fix")))</f>
        <v>0</v>
      </c>
      <c r="F295" s="3">
        <f>IF(OR(INDEX($L$2:$L$1001,MATCH(ROWS($K$2:K295),$K$2:$K$1001,0),1)&gt;=100000,INDEX($R$1005:$W$1005,1,MATCH(COLUMNS($R$1006:V1006),$R$1006:$W$1006,0))&gt;=100000), " ",IF(INDEX($R$2:$W$1001,MATCH(ROWS($K$2:K295),$K$2:$K$1001,0),MATCH(COLUMNS($R$1006:V1006),$R$1006:$W$1006,0)), HYPERLINK("#",""), HYPERLINK(CONCATENATE("#Metadata!", ADDRESS(INDEX($M$2:$M$1001,MATCH(ROWS($K$2:K295),$K$2:$K$1001,0),0), INDEX($R$1004:$W$1004,1,MATCH(COLUMNS($R$1006:V1006),$R$1006:$W$1006,0)))),"Fix")))</f>
        <v>0</v>
      </c>
      <c r="G295" s="3">
        <f>IF(OR(INDEX($L$2:$L$1001,MATCH(ROWS($K$2:K295),$K$2:$K$1001,0),1)&gt;=100000,INDEX($R$1005:$W$1005,1,MATCH(COLUMNS($R$1006:W1006),$R$1006:$W$1006,0))&gt;=100000), " ",IF(INDEX($R$2:$W$1001,MATCH(ROWS($K$2:K295),$K$2:$K$1001,0),MATCH(COLUMNS($R$1006:W1006),$R$1006:$W$1006,0)), HYPERLINK("#",""), HYPERLINK(CONCATENATE("#Metadata!", ADDRESS(INDEX($M$2:$M$1001,MATCH(ROWS($K$2:K295),$K$2:$K$1001,0),0), INDEX($R$1004:$W$1004,1,MATCH(COLUMNS($R$1006:W1006),$R$1006:$W$1006,0)))),"Fix")))</f>
        <v>0</v>
      </c>
      <c r="K295">
        <v>0</v>
      </c>
      <c r="L295">
        <v>0</v>
      </c>
      <c r="M295">
        <v>0</v>
      </c>
      <c r="N295">
        <f>IF(O295,TRUE,AND(R295:W295))</f>
        <v>0</v>
      </c>
      <c r="O295">
        <f>COUNTBLANK(Metadata!B295:G295)=COLUMNS(Metadata!B295:G295)</f>
        <v>0</v>
      </c>
      <c r="P295">
        <v>0</v>
      </c>
      <c r="R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S295">
        <f>IF(Metadata!C295="",FALSE,TRUE)</f>
        <v>0</v>
      </c>
      <c r="T295">
        <f>IF(Metadata!D295="",FALSE,TRUE)</f>
        <v>0</v>
      </c>
      <c r="U295">
        <f>IF(Metadata!E295="",FALSE,TRUE)</f>
        <v>0</v>
      </c>
      <c r="V295">
        <f>AND(IF(Metadata!F295="",FALSE,TRUE),exact(Metadata!F295,"rat gut metagenome"))</f>
        <v>0</v>
      </c>
      <c r="W295">
        <f>AND(IF(Metadata!G295="",FALSE,TRUE),exact(Metadata!G295,"1436733"))</f>
        <v>0</v>
      </c>
    </row>
    <row r="296" spans="1:23">
      <c r="A296" s="4">
        <f>IF(B296=" "," ",HYPERLINK(CONCATENATE("#metadata!",ADDRESS(INDEX($M$2:$M$1001,MATCH(ROWS($K$2:K296),$K$2:$K$1001,0),0),1)),INDEX($P$2:$P$1001,MATCH(ROWS($K$2:K296),$K$2:$K$1001,0),0)))</f>
        <v>0</v>
      </c>
      <c r="B296" s="3">
        <f>IF(OR(INDEX($L$2:$L$1001,MATCH(ROWS($K$2:K296),$K$2:$K$1001,0),1)&gt;=100000,INDEX($R$1005:$W$1005,1,MATCH(COLUMNS($R$1006:R1006),$R$1006:$W$1006,0))&gt;=100000), " ",IF(INDEX($R$2:$W$1001,MATCH(ROWS($K$2:K296),$K$2:$K$1001,0),MATCH(COLUMNS($R$1006:R1006),$R$1006:$W$1006,0)), HYPERLINK("#",""), HYPERLINK(CONCATENATE("#Metadata!", ADDRESS(INDEX($M$2:$M$1001,MATCH(ROWS($K$2:K296),$K$2:$K$1001,0),0), INDEX($R$1004:$W$1004,1,MATCH(COLUMNS($R$1006:R1006),$R$1006:$W$1006,0)))),"Fix")))</f>
        <v>0</v>
      </c>
      <c r="C296" s="3">
        <f>IF(OR(INDEX($L$2:$L$1001,MATCH(ROWS($K$2:K296),$K$2:$K$1001,0),1)&gt;=100000,INDEX($R$1005:$W$1005,1,MATCH(COLUMNS($R$1006:S1006),$R$1006:$W$1006,0))&gt;=100000), " ",IF(INDEX($R$2:$W$1001,MATCH(ROWS($K$2:K296),$K$2:$K$1001,0),MATCH(COLUMNS($R$1006:S1006),$R$1006:$W$1006,0)), HYPERLINK("#",""), HYPERLINK(CONCATENATE("#Metadata!", ADDRESS(INDEX($M$2:$M$1001,MATCH(ROWS($K$2:K296),$K$2:$K$1001,0),0), INDEX($R$1004:$W$1004,1,MATCH(COLUMNS($R$1006:S1006),$R$1006:$W$1006,0)))),"Fix")))</f>
        <v>0</v>
      </c>
      <c r="D296" s="3">
        <f>IF(OR(INDEX($L$2:$L$1001,MATCH(ROWS($K$2:K296),$K$2:$K$1001,0),1)&gt;=100000,INDEX($R$1005:$W$1005,1,MATCH(COLUMNS($R$1006:T1006),$R$1006:$W$1006,0))&gt;=100000), " ",IF(INDEX($R$2:$W$1001,MATCH(ROWS($K$2:K296),$K$2:$K$1001,0),MATCH(COLUMNS($R$1006:T1006),$R$1006:$W$1006,0)), HYPERLINK("#",""), HYPERLINK(CONCATENATE("#Metadata!", ADDRESS(INDEX($M$2:$M$1001,MATCH(ROWS($K$2:K296),$K$2:$K$1001,0),0), INDEX($R$1004:$W$1004,1,MATCH(COLUMNS($R$1006:T1006),$R$1006:$W$1006,0)))),"Fix")))</f>
        <v>0</v>
      </c>
      <c r="E296" s="3">
        <f>IF(OR(INDEX($L$2:$L$1001,MATCH(ROWS($K$2:K296),$K$2:$K$1001,0),1)&gt;=100000,INDEX($R$1005:$W$1005,1,MATCH(COLUMNS($R$1006:U1006),$R$1006:$W$1006,0))&gt;=100000), " ",IF(INDEX($R$2:$W$1001,MATCH(ROWS($K$2:K296),$K$2:$K$1001,0),MATCH(COLUMNS($R$1006:U1006),$R$1006:$W$1006,0)), HYPERLINK("#",""), HYPERLINK(CONCATENATE("#Metadata!", ADDRESS(INDEX($M$2:$M$1001,MATCH(ROWS($K$2:K296),$K$2:$K$1001,0),0), INDEX($R$1004:$W$1004,1,MATCH(COLUMNS($R$1006:U1006),$R$1006:$W$1006,0)))),"Fix")))</f>
        <v>0</v>
      </c>
      <c r="F296" s="3">
        <f>IF(OR(INDEX($L$2:$L$1001,MATCH(ROWS($K$2:K296),$K$2:$K$1001,0),1)&gt;=100000,INDEX($R$1005:$W$1005,1,MATCH(COLUMNS($R$1006:V1006),$R$1006:$W$1006,0))&gt;=100000), " ",IF(INDEX($R$2:$W$1001,MATCH(ROWS($K$2:K296),$K$2:$K$1001,0),MATCH(COLUMNS($R$1006:V1006),$R$1006:$W$1006,0)), HYPERLINK("#",""), HYPERLINK(CONCATENATE("#Metadata!", ADDRESS(INDEX($M$2:$M$1001,MATCH(ROWS($K$2:K296),$K$2:$K$1001,0),0), INDEX($R$1004:$W$1004,1,MATCH(COLUMNS($R$1006:V1006),$R$1006:$W$1006,0)))),"Fix")))</f>
        <v>0</v>
      </c>
      <c r="G296" s="3">
        <f>IF(OR(INDEX($L$2:$L$1001,MATCH(ROWS($K$2:K296),$K$2:$K$1001,0),1)&gt;=100000,INDEX($R$1005:$W$1005,1,MATCH(COLUMNS($R$1006:W1006),$R$1006:$W$1006,0))&gt;=100000), " ",IF(INDEX($R$2:$W$1001,MATCH(ROWS($K$2:K296),$K$2:$K$1001,0),MATCH(COLUMNS($R$1006:W1006),$R$1006:$W$1006,0)), HYPERLINK("#",""), HYPERLINK(CONCATENATE("#Metadata!", ADDRESS(INDEX($M$2:$M$1001,MATCH(ROWS($K$2:K296),$K$2:$K$1001,0),0), INDEX($R$1004:$W$1004,1,MATCH(COLUMNS($R$1006:W1006),$R$1006:$W$1006,0)))),"Fix")))</f>
        <v>0</v>
      </c>
      <c r="K296">
        <v>0</v>
      </c>
      <c r="L296">
        <v>0</v>
      </c>
      <c r="M296">
        <v>0</v>
      </c>
      <c r="N296">
        <f>IF(O296,TRUE,AND(R296:W296))</f>
        <v>0</v>
      </c>
      <c r="O296">
        <f>COUNTBLANK(Metadata!B296:G296)=COLUMNS(Metadata!B296:G296)</f>
        <v>0</v>
      </c>
      <c r="P296">
        <v>0</v>
      </c>
      <c r="R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S296">
        <f>IF(Metadata!C296="",FALSE,TRUE)</f>
        <v>0</v>
      </c>
      <c r="T296">
        <f>IF(Metadata!D296="",FALSE,TRUE)</f>
        <v>0</v>
      </c>
      <c r="U296">
        <f>IF(Metadata!E296="",FALSE,TRUE)</f>
        <v>0</v>
      </c>
      <c r="V296">
        <f>AND(IF(Metadata!F296="",FALSE,TRUE),exact(Metadata!F296,"rat gut metagenome"))</f>
        <v>0</v>
      </c>
      <c r="W296">
        <f>AND(IF(Metadata!G296="",FALSE,TRUE),exact(Metadata!G296,"1436733"))</f>
        <v>0</v>
      </c>
    </row>
    <row r="297" spans="1:23">
      <c r="A297" s="4">
        <f>IF(B297=" "," ",HYPERLINK(CONCATENATE("#metadata!",ADDRESS(INDEX($M$2:$M$1001,MATCH(ROWS($K$2:K297),$K$2:$K$1001,0),0),1)),INDEX($P$2:$P$1001,MATCH(ROWS($K$2:K297),$K$2:$K$1001,0),0)))</f>
        <v>0</v>
      </c>
      <c r="B297" s="3">
        <f>IF(OR(INDEX($L$2:$L$1001,MATCH(ROWS($K$2:K297),$K$2:$K$1001,0),1)&gt;=100000,INDEX($R$1005:$W$1005,1,MATCH(COLUMNS($R$1006:R1006),$R$1006:$W$1006,0))&gt;=100000), " ",IF(INDEX($R$2:$W$1001,MATCH(ROWS($K$2:K297),$K$2:$K$1001,0),MATCH(COLUMNS($R$1006:R1006),$R$1006:$W$1006,0)), HYPERLINK("#",""), HYPERLINK(CONCATENATE("#Metadata!", ADDRESS(INDEX($M$2:$M$1001,MATCH(ROWS($K$2:K297),$K$2:$K$1001,0),0), INDEX($R$1004:$W$1004,1,MATCH(COLUMNS($R$1006:R1006),$R$1006:$W$1006,0)))),"Fix")))</f>
        <v>0</v>
      </c>
      <c r="C297" s="3">
        <f>IF(OR(INDEX($L$2:$L$1001,MATCH(ROWS($K$2:K297),$K$2:$K$1001,0),1)&gt;=100000,INDEX($R$1005:$W$1005,1,MATCH(COLUMNS($R$1006:S1006),$R$1006:$W$1006,0))&gt;=100000), " ",IF(INDEX($R$2:$W$1001,MATCH(ROWS($K$2:K297),$K$2:$K$1001,0),MATCH(COLUMNS($R$1006:S1006),$R$1006:$W$1006,0)), HYPERLINK("#",""), HYPERLINK(CONCATENATE("#Metadata!", ADDRESS(INDEX($M$2:$M$1001,MATCH(ROWS($K$2:K297),$K$2:$K$1001,0),0), INDEX($R$1004:$W$1004,1,MATCH(COLUMNS($R$1006:S1006),$R$1006:$W$1006,0)))),"Fix")))</f>
        <v>0</v>
      </c>
      <c r="D297" s="3">
        <f>IF(OR(INDEX($L$2:$L$1001,MATCH(ROWS($K$2:K297),$K$2:$K$1001,0),1)&gt;=100000,INDEX($R$1005:$W$1005,1,MATCH(COLUMNS($R$1006:T1006),$R$1006:$W$1006,0))&gt;=100000), " ",IF(INDEX($R$2:$W$1001,MATCH(ROWS($K$2:K297),$K$2:$K$1001,0),MATCH(COLUMNS($R$1006:T1006),$R$1006:$W$1006,0)), HYPERLINK("#",""), HYPERLINK(CONCATENATE("#Metadata!", ADDRESS(INDEX($M$2:$M$1001,MATCH(ROWS($K$2:K297),$K$2:$K$1001,0),0), INDEX($R$1004:$W$1004,1,MATCH(COLUMNS($R$1006:T1006),$R$1006:$W$1006,0)))),"Fix")))</f>
        <v>0</v>
      </c>
      <c r="E297" s="3">
        <f>IF(OR(INDEX($L$2:$L$1001,MATCH(ROWS($K$2:K297),$K$2:$K$1001,0),1)&gt;=100000,INDEX($R$1005:$W$1005,1,MATCH(COLUMNS($R$1006:U1006),$R$1006:$W$1006,0))&gt;=100000), " ",IF(INDEX($R$2:$W$1001,MATCH(ROWS($K$2:K297),$K$2:$K$1001,0),MATCH(COLUMNS($R$1006:U1006),$R$1006:$W$1006,0)), HYPERLINK("#",""), HYPERLINK(CONCATENATE("#Metadata!", ADDRESS(INDEX($M$2:$M$1001,MATCH(ROWS($K$2:K297),$K$2:$K$1001,0),0), INDEX($R$1004:$W$1004,1,MATCH(COLUMNS($R$1006:U1006),$R$1006:$W$1006,0)))),"Fix")))</f>
        <v>0</v>
      </c>
      <c r="F297" s="3">
        <f>IF(OR(INDEX($L$2:$L$1001,MATCH(ROWS($K$2:K297),$K$2:$K$1001,0),1)&gt;=100000,INDEX($R$1005:$W$1005,1,MATCH(COLUMNS($R$1006:V1006),$R$1006:$W$1006,0))&gt;=100000), " ",IF(INDEX($R$2:$W$1001,MATCH(ROWS($K$2:K297),$K$2:$K$1001,0),MATCH(COLUMNS($R$1006:V1006),$R$1006:$W$1006,0)), HYPERLINK("#",""), HYPERLINK(CONCATENATE("#Metadata!", ADDRESS(INDEX($M$2:$M$1001,MATCH(ROWS($K$2:K297),$K$2:$K$1001,0),0), INDEX($R$1004:$W$1004,1,MATCH(COLUMNS($R$1006:V1006),$R$1006:$W$1006,0)))),"Fix")))</f>
        <v>0</v>
      </c>
      <c r="G297" s="3">
        <f>IF(OR(INDEX($L$2:$L$1001,MATCH(ROWS($K$2:K297),$K$2:$K$1001,0),1)&gt;=100000,INDEX($R$1005:$W$1005,1,MATCH(COLUMNS($R$1006:W1006),$R$1006:$W$1006,0))&gt;=100000), " ",IF(INDEX($R$2:$W$1001,MATCH(ROWS($K$2:K297),$K$2:$K$1001,0),MATCH(COLUMNS($R$1006:W1006),$R$1006:$W$1006,0)), HYPERLINK("#",""), HYPERLINK(CONCATENATE("#Metadata!", ADDRESS(INDEX($M$2:$M$1001,MATCH(ROWS($K$2:K297),$K$2:$K$1001,0),0), INDEX($R$1004:$W$1004,1,MATCH(COLUMNS($R$1006:W1006),$R$1006:$W$1006,0)))),"Fix")))</f>
        <v>0</v>
      </c>
      <c r="K297">
        <v>0</v>
      </c>
      <c r="L297">
        <v>0</v>
      </c>
      <c r="M297">
        <v>0</v>
      </c>
      <c r="N297">
        <f>IF(O297,TRUE,AND(R297:W297))</f>
        <v>0</v>
      </c>
      <c r="O297">
        <f>COUNTBLANK(Metadata!B297:G297)=COLUMNS(Metadata!B297:G297)</f>
        <v>0</v>
      </c>
      <c r="P297">
        <v>0</v>
      </c>
      <c r="R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S297">
        <f>IF(Metadata!C297="",FALSE,TRUE)</f>
        <v>0</v>
      </c>
      <c r="T297">
        <f>IF(Metadata!D297="",FALSE,TRUE)</f>
        <v>0</v>
      </c>
      <c r="U297">
        <f>IF(Metadata!E297="",FALSE,TRUE)</f>
        <v>0</v>
      </c>
      <c r="V297">
        <f>AND(IF(Metadata!F297="",FALSE,TRUE),exact(Metadata!F297,"rat gut metagenome"))</f>
        <v>0</v>
      </c>
      <c r="W297">
        <f>AND(IF(Metadata!G297="",FALSE,TRUE),exact(Metadata!G297,"1436733"))</f>
        <v>0</v>
      </c>
    </row>
    <row r="298" spans="1:23">
      <c r="A298" s="4">
        <f>IF(B298=" "," ",HYPERLINK(CONCATENATE("#metadata!",ADDRESS(INDEX($M$2:$M$1001,MATCH(ROWS($K$2:K298),$K$2:$K$1001,0),0),1)),INDEX($P$2:$P$1001,MATCH(ROWS($K$2:K298),$K$2:$K$1001,0),0)))</f>
        <v>0</v>
      </c>
      <c r="B298" s="3">
        <f>IF(OR(INDEX($L$2:$L$1001,MATCH(ROWS($K$2:K298),$K$2:$K$1001,0),1)&gt;=100000,INDEX($R$1005:$W$1005,1,MATCH(COLUMNS($R$1006:R1006),$R$1006:$W$1006,0))&gt;=100000), " ",IF(INDEX($R$2:$W$1001,MATCH(ROWS($K$2:K298),$K$2:$K$1001,0),MATCH(COLUMNS($R$1006:R1006),$R$1006:$W$1006,0)), HYPERLINK("#",""), HYPERLINK(CONCATENATE("#Metadata!", ADDRESS(INDEX($M$2:$M$1001,MATCH(ROWS($K$2:K298),$K$2:$K$1001,0),0), INDEX($R$1004:$W$1004,1,MATCH(COLUMNS($R$1006:R1006),$R$1006:$W$1006,0)))),"Fix")))</f>
        <v>0</v>
      </c>
      <c r="C298" s="3">
        <f>IF(OR(INDEX($L$2:$L$1001,MATCH(ROWS($K$2:K298),$K$2:$K$1001,0),1)&gt;=100000,INDEX($R$1005:$W$1005,1,MATCH(COLUMNS($R$1006:S1006),$R$1006:$W$1006,0))&gt;=100000), " ",IF(INDEX($R$2:$W$1001,MATCH(ROWS($K$2:K298),$K$2:$K$1001,0),MATCH(COLUMNS($R$1006:S1006),$R$1006:$W$1006,0)), HYPERLINK("#",""), HYPERLINK(CONCATENATE("#Metadata!", ADDRESS(INDEX($M$2:$M$1001,MATCH(ROWS($K$2:K298),$K$2:$K$1001,0),0), INDEX($R$1004:$W$1004,1,MATCH(COLUMNS($R$1006:S1006),$R$1006:$W$1006,0)))),"Fix")))</f>
        <v>0</v>
      </c>
      <c r="D298" s="3">
        <f>IF(OR(INDEX($L$2:$L$1001,MATCH(ROWS($K$2:K298),$K$2:$K$1001,0),1)&gt;=100000,INDEX($R$1005:$W$1005,1,MATCH(COLUMNS($R$1006:T1006),$R$1006:$W$1006,0))&gt;=100000), " ",IF(INDEX($R$2:$W$1001,MATCH(ROWS($K$2:K298),$K$2:$K$1001,0),MATCH(COLUMNS($R$1006:T1006),$R$1006:$W$1006,0)), HYPERLINK("#",""), HYPERLINK(CONCATENATE("#Metadata!", ADDRESS(INDEX($M$2:$M$1001,MATCH(ROWS($K$2:K298),$K$2:$K$1001,0),0), INDEX($R$1004:$W$1004,1,MATCH(COLUMNS($R$1006:T1006),$R$1006:$W$1006,0)))),"Fix")))</f>
        <v>0</v>
      </c>
      <c r="E298" s="3">
        <f>IF(OR(INDEX($L$2:$L$1001,MATCH(ROWS($K$2:K298),$K$2:$K$1001,0),1)&gt;=100000,INDEX($R$1005:$W$1005,1,MATCH(COLUMNS($R$1006:U1006),$R$1006:$W$1006,0))&gt;=100000), " ",IF(INDEX($R$2:$W$1001,MATCH(ROWS($K$2:K298),$K$2:$K$1001,0),MATCH(COLUMNS($R$1006:U1006),$R$1006:$W$1006,0)), HYPERLINK("#",""), HYPERLINK(CONCATENATE("#Metadata!", ADDRESS(INDEX($M$2:$M$1001,MATCH(ROWS($K$2:K298),$K$2:$K$1001,0),0), INDEX($R$1004:$W$1004,1,MATCH(COLUMNS($R$1006:U1006),$R$1006:$W$1006,0)))),"Fix")))</f>
        <v>0</v>
      </c>
      <c r="F298" s="3">
        <f>IF(OR(INDEX($L$2:$L$1001,MATCH(ROWS($K$2:K298),$K$2:$K$1001,0),1)&gt;=100000,INDEX($R$1005:$W$1005,1,MATCH(COLUMNS($R$1006:V1006),$R$1006:$W$1006,0))&gt;=100000), " ",IF(INDEX($R$2:$W$1001,MATCH(ROWS($K$2:K298),$K$2:$K$1001,0),MATCH(COLUMNS($R$1006:V1006),$R$1006:$W$1006,0)), HYPERLINK("#",""), HYPERLINK(CONCATENATE("#Metadata!", ADDRESS(INDEX($M$2:$M$1001,MATCH(ROWS($K$2:K298),$K$2:$K$1001,0),0), INDEX($R$1004:$W$1004,1,MATCH(COLUMNS($R$1006:V1006),$R$1006:$W$1006,0)))),"Fix")))</f>
        <v>0</v>
      </c>
      <c r="G298" s="3">
        <f>IF(OR(INDEX($L$2:$L$1001,MATCH(ROWS($K$2:K298),$K$2:$K$1001,0),1)&gt;=100000,INDEX($R$1005:$W$1005,1,MATCH(COLUMNS($R$1006:W1006),$R$1006:$W$1006,0))&gt;=100000), " ",IF(INDEX($R$2:$W$1001,MATCH(ROWS($K$2:K298),$K$2:$K$1001,0),MATCH(COLUMNS($R$1006:W1006),$R$1006:$W$1006,0)), HYPERLINK("#",""), HYPERLINK(CONCATENATE("#Metadata!", ADDRESS(INDEX($M$2:$M$1001,MATCH(ROWS($K$2:K298),$K$2:$K$1001,0),0), INDEX($R$1004:$W$1004,1,MATCH(COLUMNS($R$1006:W1006),$R$1006:$W$1006,0)))),"Fix")))</f>
        <v>0</v>
      </c>
      <c r="K298">
        <v>0</v>
      </c>
      <c r="L298">
        <v>0</v>
      </c>
      <c r="M298">
        <v>0</v>
      </c>
      <c r="N298">
        <f>IF(O298,TRUE,AND(R298:W298))</f>
        <v>0</v>
      </c>
      <c r="O298">
        <f>COUNTBLANK(Metadata!B298:G298)=COLUMNS(Metadata!B298:G298)</f>
        <v>0</v>
      </c>
      <c r="P298">
        <v>0</v>
      </c>
      <c r="R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S298">
        <f>IF(Metadata!C298="",FALSE,TRUE)</f>
        <v>0</v>
      </c>
      <c r="T298">
        <f>IF(Metadata!D298="",FALSE,TRUE)</f>
        <v>0</v>
      </c>
      <c r="U298">
        <f>IF(Metadata!E298="",FALSE,TRUE)</f>
        <v>0</v>
      </c>
      <c r="V298">
        <f>AND(IF(Metadata!F298="",FALSE,TRUE),exact(Metadata!F298,"rat gut metagenome"))</f>
        <v>0</v>
      </c>
      <c r="W298">
        <f>AND(IF(Metadata!G298="",FALSE,TRUE),exact(Metadata!G298,"1436733"))</f>
        <v>0</v>
      </c>
    </row>
    <row r="299" spans="1:23">
      <c r="A299" s="4">
        <f>IF(B299=" "," ",HYPERLINK(CONCATENATE("#metadata!",ADDRESS(INDEX($M$2:$M$1001,MATCH(ROWS($K$2:K299),$K$2:$K$1001,0),0),1)),INDEX($P$2:$P$1001,MATCH(ROWS($K$2:K299),$K$2:$K$1001,0),0)))</f>
        <v>0</v>
      </c>
      <c r="B299" s="3">
        <f>IF(OR(INDEX($L$2:$L$1001,MATCH(ROWS($K$2:K299),$K$2:$K$1001,0),1)&gt;=100000,INDEX($R$1005:$W$1005,1,MATCH(COLUMNS($R$1006:R1006),$R$1006:$W$1006,0))&gt;=100000), " ",IF(INDEX($R$2:$W$1001,MATCH(ROWS($K$2:K299),$K$2:$K$1001,0),MATCH(COLUMNS($R$1006:R1006),$R$1006:$W$1006,0)), HYPERLINK("#",""), HYPERLINK(CONCATENATE("#Metadata!", ADDRESS(INDEX($M$2:$M$1001,MATCH(ROWS($K$2:K299),$K$2:$K$1001,0),0), INDEX($R$1004:$W$1004,1,MATCH(COLUMNS($R$1006:R1006),$R$1006:$W$1006,0)))),"Fix")))</f>
        <v>0</v>
      </c>
      <c r="C299" s="3">
        <f>IF(OR(INDEX($L$2:$L$1001,MATCH(ROWS($K$2:K299),$K$2:$K$1001,0),1)&gt;=100000,INDEX($R$1005:$W$1005,1,MATCH(COLUMNS($R$1006:S1006),$R$1006:$W$1006,0))&gt;=100000), " ",IF(INDEX($R$2:$W$1001,MATCH(ROWS($K$2:K299),$K$2:$K$1001,0),MATCH(COLUMNS($R$1006:S1006),$R$1006:$W$1006,0)), HYPERLINK("#",""), HYPERLINK(CONCATENATE("#Metadata!", ADDRESS(INDEX($M$2:$M$1001,MATCH(ROWS($K$2:K299),$K$2:$K$1001,0),0), INDEX($R$1004:$W$1004,1,MATCH(COLUMNS($R$1006:S1006),$R$1006:$W$1006,0)))),"Fix")))</f>
        <v>0</v>
      </c>
      <c r="D299" s="3">
        <f>IF(OR(INDEX($L$2:$L$1001,MATCH(ROWS($K$2:K299),$K$2:$K$1001,0),1)&gt;=100000,INDEX($R$1005:$W$1005,1,MATCH(COLUMNS($R$1006:T1006),$R$1006:$W$1006,0))&gt;=100000), " ",IF(INDEX($R$2:$W$1001,MATCH(ROWS($K$2:K299),$K$2:$K$1001,0),MATCH(COLUMNS($R$1006:T1006),$R$1006:$W$1006,0)), HYPERLINK("#",""), HYPERLINK(CONCATENATE("#Metadata!", ADDRESS(INDEX($M$2:$M$1001,MATCH(ROWS($K$2:K299),$K$2:$K$1001,0),0), INDEX($R$1004:$W$1004,1,MATCH(COLUMNS($R$1006:T1006),$R$1006:$W$1006,0)))),"Fix")))</f>
        <v>0</v>
      </c>
      <c r="E299" s="3">
        <f>IF(OR(INDEX($L$2:$L$1001,MATCH(ROWS($K$2:K299),$K$2:$K$1001,0),1)&gt;=100000,INDEX($R$1005:$W$1005,1,MATCH(COLUMNS($R$1006:U1006),$R$1006:$W$1006,0))&gt;=100000), " ",IF(INDEX($R$2:$W$1001,MATCH(ROWS($K$2:K299),$K$2:$K$1001,0),MATCH(COLUMNS($R$1006:U1006),$R$1006:$W$1006,0)), HYPERLINK("#",""), HYPERLINK(CONCATENATE("#Metadata!", ADDRESS(INDEX($M$2:$M$1001,MATCH(ROWS($K$2:K299),$K$2:$K$1001,0),0), INDEX($R$1004:$W$1004,1,MATCH(COLUMNS($R$1006:U1006),$R$1006:$W$1006,0)))),"Fix")))</f>
        <v>0</v>
      </c>
      <c r="F299" s="3">
        <f>IF(OR(INDEX($L$2:$L$1001,MATCH(ROWS($K$2:K299),$K$2:$K$1001,0),1)&gt;=100000,INDEX($R$1005:$W$1005,1,MATCH(COLUMNS($R$1006:V1006),$R$1006:$W$1006,0))&gt;=100000), " ",IF(INDEX($R$2:$W$1001,MATCH(ROWS($K$2:K299),$K$2:$K$1001,0),MATCH(COLUMNS($R$1006:V1006),$R$1006:$W$1006,0)), HYPERLINK("#",""), HYPERLINK(CONCATENATE("#Metadata!", ADDRESS(INDEX($M$2:$M$1001,MATCH(ROWS($K$2:K299),$K$2:$K$1001,0),0), INDEX($R$1004:$W$1004,1,MATCH(COLUMNS($R$1006:V1006),$R$1006:$W$1006,0)))),"Fix")))</f>
        <v>0</v>
      </c>
      <c r="G299" s="3">
        <f>IF(OR(INDEX($L$2:$L$1001,MATCH(ROWS($K$2:K299),$K$2:$K$1001,0),1)&gt;=100000,INDEX($R$1005:$W$1005,1,MATCH(COLUMNS($R$1006:W1006),$R$1006:$W$1006,0))&gt;=100000), " ",IF(INDEX($R$2:$W$1001,MATCH(ROWS($K$2:K299),$K$2:$K$1001,0),MATCH(COLUMNS($R$1006:W1006),$R$1006:$W$1006,0)), HYPERLINK("#",""), HYPERLINK(CONCATENATE("#Metadata!", ADDRESS(INDEX($M$2:$M$1001,MATCH(ROWS($K$2:K299),$K$2:$K$1001,0),0), INDEX($R$1004:$W$1004,1,MATCH(COLUMNS($R$1006:W1006),$R$1006:$W$1006,0)))),"Fix")))</f>
        <v>0</v>
      </c>
      <c r="K299">
        <v>0</v>
      </c>
      <c r="L299">
        <v>0</v>
      </c>
      <c r="M299">
        <v>0</v>
      </c>
      <c r="N299">
        <f>IF(O299,TRUE,AND(R299:W299))</f>
        <v>0</v>
      </c>
      <c r="O299">
        <f>COUNTBLANK(Metadata!B299:G299)=COLUMNS(Metadata!B299:G299)</f>
        <v>0</v>
      </c>
      <c r="P299">
        <v>0</v>
      </c>
      <c r="R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S299">
        <f>IF(Metadata!C299="",FALSE,TRUE)</f>
        <v>0</v>
      </c>
      <c r="T299">
        <f>IF(Metadata!D299="",FALSE,TRUE)</f>
        <v>0</v>
      </c>
      <c r="U299">
        <f>IF(Metadata!E299="",FALSE,TRUE)</f>
        <v>0</v>
      </c>
      <c r="V299">
        <f>AND(IF(Metadata!F299="",FALSE,TRUE),exact(Metadata!F299,"rat gut metagenome"))</f>
        <v>0</v>
      </c>
      <c r="W299">
        <f>AND(IF(Metadata!G299="",FALSE,TRUE),exact(Metadata!G299,"1436733"))</f>
        <v>0</v>
      </c>
    </row>
    <row r="300" spans="1:23">
      <c r="A300" s="4">
        <f>IF(B300=" "," ",HYPERLINK(CONCATENATE("#metadata!",ADDRESS(INDEX($M$2:$M$1001,MATCH(ROWS($K$2:K300),$K$2:$K$1001,0),0),1)),INDEX($P$2:$P$1001,MATCH(ROWS($K$2:K300),$K$2:$K$1001,0),0)))</f>
        <v>0</v>
      </c>
      <c r="B300" s="3">
        <f>IF(OR(INDEX($L$2:$L$1001,MATCH(ROWS($K$2:K300),$K$2:$K$1001,0),1)&gt;=100000,INDEX($R$1005:$W$1005,1,MATCH(COLUMNS($R$1006:R1006),$R$1006:$W$1006,0))&gt;=100000), " ",IF(INDEX($R$2:$W$1001,MATCH(ROWS($K$2:K300),$K$2:$K$1001,0),MATCH(COLUMNS($R$1006:R1006),$R$1006:$W$1006,0)), HYPERLINK("#",""), HYPERLINK(CONCATENATE("#Metadata!", ADDRESS(INDEX($M$2:$M$1001,MATCH(ROWS($K$2:K300),$K$2:$K$1001,0),0), INDEX($R$1004:$W$1004,1,MATCH(COLUMNS($R$1006:R1006),$R$1006:$W$1006,0)))),"Fix")))</f>
        <v>0</v>
      </c>
      <c r="C300" s="3">
        <f>IF(OR(INDEX($L$2:$L$1001,MATCH(ROWS($K$2:K300),$K$2:$K$1001,0),1)&gt;=100000,INDEX($R$1005:$W$1005,1,MATCH(COLUMNS($R$1006:S1006),$R$1006:$W$1006,0))&gt;=100000), " ",IF(INDEX($R$2:$W$1001,MATCH(ROWS($K$2:K300),$K$2:$K$1001,0),MATCH(COLUMNS($R$1006:S1006),$R$1006:$W$1006,0)), HYPERLINK("#",""), HYPERLINK(CONCATENATE("#Metadata!", ADDRESS(INDEX($M$2:$M$1001,MATCH(ROWS($K$2:K300),$K$2:$K$1001,0),0), INDEX($R$1004:$W$1004,1,MATCH(COLUMNS($R$1006:S1006),$R$1006:$W$1006,0)))),"Fix")))</f>
        <v>0</v>
      </c>
      <c r="D300" s="3">
        <f>IF(OR(INDEX($L$2:$L$1001,MATCH(ROWS($K$2:K300),$K$2:$K$1001,0),1)&gt;=100000,INDEX($R$1005:$W$1005,1,MATCH(COLUMNS($R$1006:T1006),$R$1006:$W$1006,0))&gt;=100000), " ",IF(INDEX($R$2:$W$1001,MATCH(ROWS($K$2:K300),$K$2:$K$1001,0),MATCH(COLUMNS($R$1006:T1006),$R$1006:$W$1006,0)), HYPERLINK("#",""), HYPERLINK(CONCATENATE("#Metadata!", ADDRESS(INDEX($M$2:$M$1001,MATCH(ROWS($K$2:K300),$K$2:$K$1001,0),0), INDEX($R$1004:$W$1004,1,MATCH(COLUMNS($R$1006:T1006),$R$1006:$W$1006,0)))),"Fix")))</f>
        <v>0</v>
      </c>
      <c r="E300" s="3">
        <f>IF(OR(INDEX($L$2:$L$1001,MATCH(ROWS($K$2:K300),$K$2:$K$1001,0),1)&gt;=100000,INDEX($R$1005:$W$1005,1,MATCH(COLUMNS($R$1006:U1006),$R$1006:$W$1006,0))&gt;=100000), " ",IF(INDEX($R$2:$W$1001,MATCH(ROWS($K$2:K300),$K$2:$K$1001,0),MATCH(COLUMNS($R$1006:U1006),$R$1006:$W$1006,0)), HYPERLINK("#",""), HYPERLINK(CONCATENATE("#Metadata!", ADDRESS(INDEX($M$2:$M$1001,MATCH(ROWS($K$2:K300),$K$2:$K$1001,0),0), INDEX($R$1004:$W$1004,1,MATCH(COLUMNS($R$1006:U1006),$R$1006:$W$1006,0)))),"Fix")))</f>
        <v>0</v>
      </c>
      <c r="F300" s="3">
        <f>IF(OR(INDEX($L$2:$L$1001,MATCH(ROWS($K$2:K300),$K$2:$K$1001,0),1)&gt;=100000,INDEX($R$1005:$W$1005,1,MATCH(COLUMNS($R$1006:V1006),$R$1006:$W$1006,0))&gt;=100000), " ",IF(INDEX($R$2:$W$1001,MATCH(ROWS($K$2:K300),$K$2:$K$1001,0),MATCH(COLUMNS($R$1006:V1006),$R$1006:$W$1006,0)), HYPERLINK("#",""), HYPERLINK(CONCATENATE("#Metadata!", ADDRESS(INDEX($M$2:$M$1001,MATCH(ROWS($K$2:K300),$K$2:$K$1001,0),0), INDEX($R$1004:$W$1004,1,MATCH(COLUMNS($R$1006:V1006),$R$1006:$W$1006,0)))),"Fix")))</f>
        <v>0</v>
      </c>
      <c r="G300" s="3">
        <f>IF(OR(INDEX($L$2:$L$1001,MATCH(ROWS($K$2:K300),$K$2:$K$1001,0),1)&gt;=100000,INDEX($R$1005:$W$1005,1,MATCH(COLUMNS($R$1006:W1006),$R$1006:$W$1006,0))&gt;=100000), " ",IF(INDEX($R$2:$W$1001,MATCH(ROWS($K$2:K300),$K$2:$K$1001,0),MATCH(COLUMNS($R$1006:W1006),$R$1006:$W$1006,0)), HYPERLINK("#",""), HYPERLINK(CONCATENATE("#Metadata!", ADDRESS(INDEX($M$2:$M$1001,MATCH(ROWS($K$2:K300),$K$2:$K$1001,0),0), INDEX($R$1004:$W$1004,1,MATCH(COLUMNS($R$1006:W1006),$R$1006:$W$1006,0)))),"Fix")))</f>
        <v>0</v>
      </c>
      <c r="K300">
        <v>0</v>
      </c>
      <c r="L300">
        <v>0</v>
      </c>
      <c r="M300">
        <v>0</v>
      </c>
      <c r="N300">
        <f>IF(O300,TRUE,AND(R300:W300))</f>
        <v>0</v>
      </c>
      <c r="O300">
        <f>COUNTBLANK(Metadata!B300:G300)=COLUMNS(Metadata!B300:G300)</f>
        <v>0</v>
      </c>
      <c r="P300">
        <v>0</v>
      </c>
      <c r="R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S300">
        <f>IF(Metadata!C300="",FALSE,TRUE)</f>
        <v>0</v>
      </c>
      <c r="T300">
        <f>IF(Metadata!D300="",FALSE,TRUE)</f>
        <v>0</v>
      </c>
      <c r="U300">
        <f>IF(Metadata!E300="",FALSE,TRUE)</f>
        <v>0</v>
      </c>
      <c r="V300">
        <f>AND(IF(Metadata!F300="",FALSE,TRUE),exact(Metadata!F300,"rat gut metagenome"))</f>
        <v>0</v>
      </c>
      <c r="W300">
        <f>AND(IF(Metadata!G300="",FALSE,TRUE),exact(Metadata!G300,"1436733"))</f>
        <v>0</v>
      </c>
    </row>
    <row r="301" spans="1:23">
      <c r="A301" s="4">
        <f>IF(B301=" "," ",HYPERLINK(CONCATENATE("#metadata!",ADDRESS(INDEX($M$2:$M$1001,MATCH(ROWS($K$2:K301),$K$2:$K$1001,0),0),1)),INDEX($P$2:$P$1001,MATCH(ROWS($K$2:K301),$K$2:$K$1001,0),0)))</f>
        <v>0</v>
      </c>
      <c r="B301" s="3">
        <f>IF(OR(INDEX($L$2:$L$1001,MATCH(ROWS($K$2:K301),$K$2:$K$1001,0),1)&gt;=100000,INDEX($R$1005:$W$1005,1,MATCH(COLUMNS($R$1006:R1006),$R$1006:$W$1006,0))&gt;=100000), " ",IF(INDEX($R$2:$W$1001,MATCH(ROWS($K$2:K301),$K$2:$K$1001,0),MATCH(COLUMNS($R$1006:R1006),$R$1006:$W$1006,0)), HYPERLINK("#",""), HYPERLINK(CONCATENATE("#Metadata!", ADDRESS(INDEX($M$2:$M$1001,MATCH(ROWS($K$2:K301),$K$2:$K$1001,0),0), INDEX($R$1004:$W$1004,1,MATCH(COLUMNS($R$1006:R1006),$R$1006:$W$1006,0)))),"Fix")))</f>
        <v>0</v>
      </c>
      <c r="C301" s="3">
        <f>IF(OR(INDEX($L$2:$L$1001,MATCH(ROWS($K$2:K301),$K$2:$K$1001,0),1)&gt;=100000,INDEX($R$1005:$W$1005,1,MATCH(COLUMNS($R$1006:S1006),$R$1006:$W$1006,0))&gt;=100000), " ",IF(INDEX($R$2:$W$1001,MATCH(ROWS($K$2:K301),$K$2:$K$1001,0),MATCH(COLUMNS($R$1006:S1006),$R$1006:$W$1006,0)), HYPERLINK("#",""), HYPERLINK(CONCATENATE("#Metadata!", ADDRESS(INDEX($M$2:$M$1001,MATCH(ROWS($K$2:K301),$K$2:$K$1001,0),0), INDEX($R$1004:$W$1004,1,MATCH(COLUMNS($R$1006:S1006),$R$1006:$W$1006,0)))),"Fix")))</f>
        <v>0</v>
      </c>
      <c r="D301" s="3">
        <f>IF(OR(INDEX($L$2:$L$1001,MATCH(ROWS($K$2:K301),$K$2:$K$1001,0),1)&gt;=100000,INDEX($R$1005:$W$1005,1,MATCH(COLUMNS($R$1006:T1006),$R$1006:$W$1006,0))&gt;=100000), " ",IF(INDEX($R$2:$W$1001,MATCH(ROWS($K$2:K301),$K$2:$K$1001,0),MATCH(COLUMNS($R$1006:T1006),$R$1006:$W$1006,0)), HYPERLINK("#",""), HYPERLINK(CONCATENATE("#Metadata!", ADDRESS(INDEX($M$2:$M$1001,MATCH(ROWS($K$2:K301),$K$2:$K$1001,0),0), INDEX($R$1004:$W$1004,1,MATCH(COLUMNS($R$1006:T1006),$R$1006:$W$1006,0)))),"Fix")))</f>
        <v>0</v>
      </c>
      <c r="E301" s="3">
        <f>IF(OR(INDEX($L$2:$L$1001,MATCH(ROWS($K$2:K301),$K$2:$K$1001,0),1)&gt;=100000,INDEX($R$1005:$W$1005,1,MATCH(COLUMNS($R$1006:U1006),$R$1006:$W$1006,0))&gt;=100000), " ",IF(INDEX($R$2:$W$1001,MATCH(ROWS($K$2:K301),$K$2:$K$1001,0),MATCH(COLUMNS($R$1006:U1006),$R$1006:$W$1006,0)), HYPERLINK("#",""), HYPERLINK(CONCATENATE("#Metadata!", ADDRESS(INDEX($M$2:$M$1001,MATCH(ROWS($K$2:K301),$K$2:$K$1001,0),0), INDEX($R$1004:$W$1004,1,MATCH(COLUMNS($R$1006:U1006),$R$1006:$W$1006,0)))),"Fix")))</f>
        <v>0</v>
      </c>
      <c r="F301" s="3">
        <f>IF(OR(INDEX($L$2:$L$1001,MATCH(ROWS($K$2:K301),$K$2:$K$1001,0),1)&gt;=100000,INDEX($R$1005:$W$1005,1,MATCH(COLUMNS($R$1006:V1006),$R$1006:$W$1006,0))&gt;=100000), " ",IF(INDEX($R$2:$W$1001,MATCH(ROWS($K$2:K301),$K$2:$K$1001,0),MATCH(COLUMNS($R$1006:V1006),$R$1006:$W$1006,0)), HYPERLINK("#",""), HYPERLINK(CONCATENATE("#Metadata!", ADDRESS(INDEX($M$2:$M$1001,MATCH(ROWS($K$2:K301),$K$2:$K$1001,0),0), INDEX($R$1004:$W$1004,1,MATCH(COLUMNS($R$1006:V1006),$R$1006:$W$1006,0)))),"Fix")))</f>
        <v>0</v>
      </c>
      <c r="G301" s="3">
        <f>IF(OR(INDEX($L$2:$L$1001,MATCH(ROWS($K$2:K301),$K$2:$K$1001,0),1)&gt;=100000,INDEX($R$1005:$W$1005,1,MATCH(COLUMNS($R$1006:W1006),$R$1006:$W$1006,0))&gt;=100000), " ",IF(INDEX($R$2:$W$1001,MATCH(ROWS($K$2:K301),$K$2:$K$1001,0),MATCH(COLUMNS($R$1006:W1006),$R$1006:$W$1006,0)), HYPERLINK("#",""), HYPERLINK(CONCATENATE("#Metadata!", ADDRESS(INDEX($M$2:$M$1001,MATCH(ROWS($K$2:K301),$K$2:$K$1001,0),0), INDEX($R$1004:$W$1004,1,MATCH(COLUMNS($R$1006:W1006),$R$1006:$W$1006,0)))),"Fix")))</f>
        <v>0</v>
      </c>
      <c r="K301">
        <v>0</v>
      </c>
      <c r="L301">
        <v>0</v>
      </c>
      <c r="M301">
        <v>0</v>
      </c>
      <c r="N301">
        <f>IF(O301,TRUE,AND(R301:W301))</f>
        <v>0</v>
      </c>
      <c r="O301">
        <f>COUNTBLANK(Metadata!B301:G301)=COLUMNS(Metadata!B301:G301)</f>
        <v>0</v>
      </c>
      <c r="P301">
        <v>0</v>
      </c>
      <c r="R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S301">
        <f>IF(Metadata!C301="",FALSE,TRUE)</f>
        <v>0</v>
      </c>
      <c r="T301">
        <f>IF(Metadata!D301="",FALSE,TRUE)</f>
        <v>0</v>
      </c>
      <c r="U301">
        <f>IF(Metadata!E301="",FALSE,TRUE)</f>
        <v>0</v>
      </c>
      <c r="V301">
        <f>AND(IF(Metadata!F301="",FALSE,TRUE),exact(Metadata!F301,"rat gut metagenome"))</f>
        <v>0</v>
      </c>
      <c r="W301">
        <f>AND(IF(Metadata!G301="",FALSE,TRUE),exact(Metadata!G301,"1436733"))</f>
        <v>0</v>
      </c>
    </row>
    <row r="302" spans="1:23">
      <c r="A302" s="4">
        <f>IF(B302=" "," ",HYPERLINK(CONCATENATE("#metadata!",ADDRESS(INDEX($M$2:$M$1001,MATCH(ROWS($K$2:K302),$K$2:$K$1001,0),0),1)),INDEX($P$2:$P$1001,MATCH(ROWS($K$2:K302),$K$2:$K$1001,0),0)))</f>
        <v>0</v>
      </c>
      <c r="B302" s="3">
        <f>IF(OR(INDEX($L$2:$L$1001,MATCH(ROWS($K$2:K302),$K$2:$K$1001,0),1)&gt;=100000,INDEX($R$1005:$W$1005,1,MATCH(COLUMNS($R$1006:R1006),$R$1006:$W$1006,0))&gt;=100000), " ",IF(INDEX($R$2:$W$1001,MATCH(ROWS($K$2:K302),$K$2:$K$1001,0),MATCH(COLUMNS($R$1006:R1006),$R$1006:$W$1006,0)), HYPERLINK("#",""), HYPERLINK(CONCATENATE("#Metadata!", ADDRESS(INDEX($M$2:$M$1001,MATCH(ROWS($K$2:K302),$K$2:$K$1001,0),0), INDEX($R$1004:$W$1004,1,MATCH(COLUMNS($R$1006:R1006),$R$1006:$W$1006,0)))),"Fix")))</f>
        <v>0</v>
      </c>
      <c r="C302" s="3">
        <f>IF(OR(INDEX($L$2:$L$1001,MATCH(ROWS($K$2:K302),$K$2:$K$1001,0),1)&gt;=100000,INDEX($R$1005:$W$1005,1,MATCH(COLUMNS($R$1006:S1006),$R$1006:$W$1006,0))&gt;=100000), " ",IF(INDEX($R$2:$W$1001,MATCH(ROWS($K$2:K302),$K$2:$K$1001,0),MATCH(COLUMNS($R$1006:S1006),$R$1006:$W$1006,0)), HYPERLINK("#",""), HYPERLINK(CONCATENATE("#Metadata!", ADDRESS(INDEX($M$2:$M$1001,MATCH(ROWS($K$2:K302),$K$2:$K$1001,0),0), INDEX($R$1004:$W$1004,1,MATCH(COLUMNS($R$1006:S1006),$R$1006:$W$1006,0)))),"Fix")))</f>
        <v>0</v>
      </c>
      <c r="D302" s="3">
        <f>IF(OR(INDEX($L$2:$L$1001,MATCH(ROWS($K$2:K302),$K$2:$K$1001,0),1)&gt;=100000,INDEX($R$1005:$W$1005,1,MATCH(COLUMNS($R$1006:T1006),$R$1006:$W$1006,0))&gt;=100000), " ",IF(INDEX($R$2:$W$1001,MATCH(ROWS($K$2:K302),$K$2:$K$1001,0),MATCH(COLUMNS($R$1006:T1006),$R$1006:$W$1006,0)), HYPERLINK("#",""), HYPERLINK(CONCATENATE("#Metadata!", ADDRESS(INDEX($M$2:$M$1001,MATCH(ROWS($K$2:K302),$K$2:$K$1001,0),0), INDEX($R$1004:$W$1004,1,MATCH(COLUMNS($R$1006:T1006),$R$1006:$W$1006,0)))),"Fix")))</f>
        <v>0</v>
      </c>
      <c r="E302" s="3">
        <f>IF(OR(INDEX($L$2:$L$1001,MATCH(ROWS($K$2:K302),$K$2:$K$1001,0),1)&gt;=100000,INDEX($R$1005:$W$1005,1,MATCH(COLUMNS($R$1006:U1006),$R$1006:$W$1006,0))&gt;=100000), " ",IF(INDEX($R$2:$W$1001,MATCH(ROWS($K$2:K302),$K$2:$K$1001,0),MATCH(COLUMNS($R$1006:U1006),$R$1006:$W$1006,0)), HYPERLINK("#",""), HYPERLINK(CONCATENATE("#Metadata!", ADDRESS(INDEX($M$2:$M$1001,MATCH(ROWS($K$2:K302),$K$2:$K$1001,0),0), INDEX($R$1004:$W$1004,1,MATCH(COLUMNS($R$1006:U1006),$R$1006:$W$1006,0)))),"Fix")))</f>
        <v>0</v>
      </c>
      <c r="F302" s="3">
        <f>IF(OR(INDEX($L$2:$L$1001,MATCH(ROWS($K$2:K302),$K$2:$K$1001,0),1)&gt;=100000,INDEX($R$1005:$W$1005,1,MATCH(COLUMNS($R$1006:V1006),$R$1006:$W$1006,0))&gt;=100000), " ",IF(INDEX($R$2:$W$1001,MATCH(ROWS($K$2:K302),$K$2:$K$1001,0),MATCH(COLUMNS($R$1006:V1006),$R$1006:$W$1006,0)), HYPERLINK("#",""), HYPERLINK(CONCATENATE("#Metadata!", ADDRESS(INDEX($M$2:$M$1001,MATCH(ROWS($K$2:K302),$K$2:$K$1001,0),0), INDEX($R$1004:$W$1004,1,MATCH(COLUMNS($R$1006:V1006),$R$1006:$W$1006,0)))),"Fix")))</f>
        <v>0</v>
      </c>
      <c r="G302" s="3">
        <f>IF(OR(INDEX($L$2:$L$1001,MATCH(ROWS($K$2:K302),$K$2:$K$1001,0),1)&gt;=100000,INDEX($R$1005:$W$1005,1,MATCH(COLUMNS($R$1006:W1006),$R$1006:$W$1006,0))&gt;=100000), " ",IF(INDEX($R$2:$W$1001,MATCH(ROWS($K$2:K302),$K$2:$K$1001,0),MATCH(COLUMNS($R$1006:W1006),$R$1006:$W$1006,0)), HYPERLINK("#",""), HYPERLINK(CONCATENATE("#Metadata!", ADDRESS(INDEX($M$2:$M$1001,MATCH(ROWS($K$2:K302),$K$2:$K$1001,0),0), INDEX($R$1004:$W$1004,1,MATCH(COLUMNS($R$1006:W1006),$R$1006:$W$1006,0)))),"Fix")))</f>
        <v>0</v>
      </c>
      <c r="K302">
        <v>0</v>
      </c>
      <c r="L302">
        <v>0</v>
      </c>
      <c r="M302">
        <v>0</v>
      </c>
      <c r="N302">
        <f>IF(O302,TRUE,AND(R302:W302))</f>
        <v>0</v>
      </c>
      <c r="O302">
        <f>COUNTBLANK(Metadata!B302:G302)=COLUMNS(Metadata!B302:G302)</f>
        <v>0</v>
      </c>
      <c r="P302">
        <v>0</v>
      </c>
      <c r="R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S302">
        <f>IF(Metadata!C302="",FALSE,TRUE)</f>
        <v>0</v>
      </c>
      <c r="T302">
        <f>IF(Metadata!D302="",FALSE,TRUE)</f>
        <v>0</v>
      </c>
      <c r="U302">
        <f>IF(Metadata!E302="",FALSE,TRUE)</f>
        <v>0</v>
      </c>
      <c r="V302">
        <f>AND(IF(Metadata!F302="",FALSE,TRUE),exact(Metadata!F302,"rat gut metagenome"))</f>
        <v>0</v>
      </c>
      <c r="W302">
        <f>AND(IF(Metadata!G302="",FALSE,TRUE),exact(Metadata!G302,"1436733"))</f>
        <v>0</v>
      </c>
    </row>
    <row r="303" spans="1:23">
      <c r="A303" s="4">
        <f>IF(B303=" "," ",HYPERLINK(CONCATENATE("#metadata!",ADDRESS(INDEX($M$2:$M$1001,MATCH(ROWS($K$2:K303),$K$2:$K$1001,0),0),1)),INDEX($P$2:$P$1001,MATCH(ROWS($K$2:K303),$K$2:$K$1001,0),0)))</f>
        <v>0</v>
      </c>
      <c r="B303" s="3">
        <f>IF(OR(INDEX($L$2:$L$1001,MATCH(ROWS($K$2:K303),$K$2:$K$1001,0),1)&gt;=100000,INDEX($R$1005:$W$1005,1,MATCH(COLUMNS($R$1006:R1006),$R$1006:$W$1006,0))&gt;=100000), " ",IF(INDEX($R$2:$W$1001,MATCH(ROWS($K$2:K303),$K$2:$K$1001,0),MATCH(COLUMNS($R$1006:R1006),$R$1006:$W$1006,0)), HYPERLINK("#",""), HYPERLINK(CONCATENATE("#Metadata!", ADDRESS(INDEX($M$2:$M$1001,MATCH(ROWS($K$2:K303),$K$2:$K$1001,0),0), INDEX($R$1004:$W$1004,1,MATCH(COLUMNS($R$1006:R1006),$R$1006:$W$1006,0)))),"Fix")))</f>
        <v>0</v>
      </c>
      <c r="C303" s="3">
        <f>IF(OR(INDEX($L$2:$L$1001,MATCH(ROWS($K$2:K303),$K$2:$K$1001,0),1)&gt;=100000,INDEX($R$1005:$W$1005,1,MATCH(COLUMNS($R$1006:S1006),$R$1006:$W$1006,0))&gt;=100000), " ",IF(INDEX($R$2:$W$1001,MATCH(ROWS($K$2:K303),$K$2:$K$1001,0),MATCH(COLUMNS($R$1006:S1006),$R$1006:$W$1006,0)), HYPERLINK("#",""), HYPERLINK(CONCATENATE("#Metadata!", ADDRESS(INDEX($M$2:$M$1001,MATCH(ROWS($K$2:K303),$K$2:$K$1001,0),0), INDEX($R$1004:$W$1004,1,MATCH(COLUMNS($R$1006:S1006),$R$1006:$W$1006,0)))),"Fix")))</f>
        <v>0</v>
      </c>
      <c r="D303" s="3">
        <f>IF(OR(INDEX($L$2:$L$1001,MATCH(ROWS($K$2:K303),$K$2:$K$1001,0),1)&gt;=100000,INDEX($R$1005:$W$1005,1,MATCH(COLUMNS($R$1006:T1006),$R$1006:$W$1006,0))&gt;=100000), " ",IF(INDEX($R$2:$W$1001,MATCH(ROWS($K$2:K303),$K$2:$K$1001,0),MATCH(COLUMNS($R$1006:T1006),$R$1006:$W$1006,0)), HYPERLINK("#",""), HYPERLINK(CONCATENATE("#Metadata!", ADDRESS(INDEX($M$2:$M$1001,MATCH(ROWS($K$2:K303),$K$2:$K$1001,0),0), INDEX($R$1004:$W$1004,1,MATCH(COLUMNS($R$1006:T1006),$R$1006:$W$1006,0)))),"Fix")))</f>
        <v>0</v>
      </c>
      <c r="E303" s="3">
        <f>IF(OR(INDEX($L$2:$L$1001,MATCH(ROWS($K$2:K303),$K$2:$K$1001,0),1)&gt;=100000,INDEX($R$1005:$W$1005,1,MATCH(COLUMNS($R$1006:U1006),$R$1006:$W$1006,0))&gt;=100000), " ",IF(INDEX($R$2:$W$1001,MATCH(ROWS($K$2:K303),$K$2:$K$1001,0),MATCH(COLUMNS($R$1006:U1006),$R$1006:$W$1006,0)), HYPERLINK("#",""), HYPERLINK(CONCATENATE("#Metadata!", ADDRESS(INDEX($M$2:$M$1001,MATCH(ROWS($K$2:K303),$K$2:$K$1001,0),0), INDEX($R$1004:$W$1004,1,MATCH(COLUMNS($R$1006:U1006),$R$1006:$W$1006,0)))),"Fix")))</f>
        <v>0</v>
      </c>
      <c r="F303" s="3">
        <f>IF(OR(INDEX($L$2:$L$1001,MATCH(ROWS($K$2:K303),$K$2:$K$1001,0),1)&gt;=100000,INDEX($R$1005:$W$1005,1,MATCH(COLUMNS($R$1006:V1006),$R$1006:$W$1006,0))&gt;=100000), " ",IF(INDEX($R$2:$W$1001,MATCH(ROWS($K$2:K303),$K$2:$K$1001,0),MATCH(COLUMNS($R$1006:V1006),$R$1006:$W$1006,0)), HYPERLINK("#",""), HYPERLINK(CONCATENATE("#Metadata!", ADDRESS(INDEX($M$2:$M$1001,MATCH(ROWS($K$2:K303),$K$2:$K$1001,0),0), INDEX($R$1004:$W$1004,1,MATCH(COLUMNS($R$1006:V1006),$R$1006:$W$1006,0)))),"Fix")))</f>
        <v>0</v>
      </c>
      <c r="G303" s="3">
        <f>IF(OR(INDEX($L$2:$L$1001,MATCH(ROWS($K$2:K303),$K$2:$K$1001,0),1)&gt;=100000,INDEX($R$1005:$W$1005,1,MATCH(COLUMNS($R$1006:W1006),$R$1006:$W$1006,0))&gt;=100000), " ",IF(INDEX($R$2:$W$1001,MATCH(ROWS($K$2:K303),$K$2:$K$1001,0),MATCH(COLUMNS($R$1006:W1006),$R$1006:$W$1006,0)), HYPERLINK("#",""), HYPERLINK(CONCATENATE("#Metadata!", ADDRESS(INDEX($M$2:$M$1001,MATCH(ROWS($K$2:K303),$K$2:$K$1001,0),0), INDEX($R$1004:$W$1004,1,MATCH(COLUMNS($R$1006:W1006),$R$1006:$W$1006,0)))),"Fix")))</f>
        <v>0</v>
      </c>
      <c r="K303">
        <v>0</v>
      </c>
      <c r="L303">
        <v>0</v>
      </c>
      <c r="M303">
        <v>0</v>
      </c>
      <c r="N303">
        <f>IF(O303,TRUE,AND(R303:W303))</f>
        <v>0</v>
      </c>
      <c r="O303">
        <f>COUNTBLANK(Metadata!B303:G303)=COLUMNS(Metadata!B303:G303)</f>
        <v>0</v>
      </c>
      <c r="P303">
        <v>0</v>
      </c>
      <c r="R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S303">
        <f>IF(Metadata!C303="",FALSE,TRUE)</f>
        <v>0</v>
      </c>
      <c r="T303">
        <f>IF(Metadata!D303="",FALSE,TRUE)</f>
        <v>0</v>
      </c>
      <c r="U303">
        <f>IF(Metadata!E303="",FALSE,TRUE)</f>
        <v>0</v>
      </c>
      <c r="V303">
        <f>AND(IF(Metadata!F303="",FALSE,TRUE),exact(Metadata!F303,"rat gut metagenome"))</f>
        <v>0</v>
      </c>
      <c r="W303">
        <f>AND(IF(Metadata!G303="",FALSE,TRUE),exact(Metadata!G303,"1436733"))</f>
        <v>0</v>
      </c>
    </row>
    <row r="304" spans="1:23">
      <c r="A304" s="4">
        <f>IF(B304=" "," ",HYPERLINK(CONCATENATE("#metadata!",ADDRESS(INDEX($M$2:$M$1001,MATCH(ROWS($K$2:K304),$K$2:$K$1001,0),0),1)),INDEX($P$2:$P$1001,MATCH(ROWS($K$2:K304),$K$2:$K$1001,0),0)))</f>
        <v>0</v>
      </c>
      <c r="B304" s="3">
        <f>IF(OR(INDEX($L$2:$L$1001,MATCH(ROWS($K$2:K304),$K$2:$K$1001,0),1)&gt;=100000,INDEX($R$1005:$W$1005,1,MATCH(COLUMNS($R$1006:R1006),$R$1006:$W$1006,0))&gt;=100000), " ",IF(INDEX($R$2:$W$1001,MATCH(ROWS($K$2:K304),$K$2:$K$1001,0),MATCH(COLUMNS($R$1006:R1006),$R$1006:$W$1006,0)), HYPERLINK("#",""), HYPERLINK(CONCATENATE("#Metadata!", ADDRESS(INDEX($M$2:$M$1001,MATCH(ROWS($K$2:K304),$K$2:$K$1001,0),0), INDEX($R$1004:$W$1004,1,MATCH(COLUMNS($R$1006:R1006),$R$1006:$W$1006,0)))),"Fix")))</f>
        <v>0</v>
      </c>
      <c r="C304" s="3">
        <f>IF(OR(INDEX($L$2:$L$1001,MATCH(ROWS($K$2:K304),$K$2:$K$1001,0),1)&gt;=100000,INDEX($R$1005:$W$1005,1,MATCH(COLUMNS($R$1006:S1006),$R$1006:$W$1006,0))&gt;=100000), " ",IF(INDEX($R$2:$W$1001,MATCH(ROWS($K$2:K304),$K$2:$K$1001,0),MATCH(COLUMNS($R$1006:S1006),$R$1006:$W$1006,0)), HYPERLINK("#",""), HYPERLINK(CONCATENATE("#Metadata!", ADDRESS(INDEX($M$2:$M$1001,MATCH(ROWS($K$2:K304),$K$2:$K$1001,0),0), INDEX($R$1004:$W$1004,1,MATCH(COLUMNS($R$1006:S1006),$R$1006:$W$1006,0)))),"Fix")))</f>
        <v>0</v>
      </c>
      <c r="D304" s="3">
        <f>IF(OR(INDEX($L$2:$L$1001,MATCH(ROWS($K$2:K304),$K$2:$K$1001,0),1)&gt;=100000,INDEX($R$1005:$W$1005,1,MATCH(COLUMNS($R$1006:T1006),$R$1006:$W$1006,0))&gt;=100000), " ",IF(INDEX($R$2:$W$1001,MATCH(ROWS($K$2:K304),$K$2:$K$1001,0),MATCH(COLUMNS($R$1006:T1006),$R$1006:$W$1006,0)), HYPERLINK("#",""), HYPERLINK(CONCATENATE("#Metadata!", ADDRESS(INDEX($M$2:$M$1001,MATCH(ROWS($K$2:K304),$K$2:$K$1001,0),0), INDEX($R$1004:$W$1004,1,MATCH(COLUMNS($R$1006:T1006),$R$1006:$W$1006,0)))),"Fix")))</f>
        <v>0</v>
      </c>
      <c r="E304" s="3">
        <f>IF(OR(INDEX($L$2:$L$1001,MATCH(ROWS($K$2:K304),$K$2:$K$1001,0),1)&gt;=100000,INDEX($R$1005:$W$1005,1,MATCH(COLUMNS($R$1006:U1006),$R$1006:$W$1006,0))&gt;=100000), " ",IF(INDEX($R$2:$W$1001,MATCH(ROWS($K$2:K304),$K$2:$K$1001,0),MATCH(COLUMNS($R$1006:U1006),$R$1006:$W$1006,0)), HYPERLINK("#",""), HYPERLINK(CONCATENATE("#Metadata!", ADDRESS(INDEX($M$2:$M$1001,MATCH(ROWS($K$2:K304),$K$2:$K$1001,0),0), INDEX($R$1004:$W$1004,1,MATCH(COLUMNS($R$1006:U1006),$R$1006:$W$1006,0)))),"Fix")))</f>
        <v>0</v>
      </c>
      <c r="F304" s="3">
        <f>IF(OR(INDEX($L$2:$L$1001,MATCH(ROWS($K$2:K304),$K$2:$K$1001,0),1)&gt;=100000,INDEX($R$1005:$W$1005,1,MATCH(COLUMNS($R$1006:V1006),$R$1006:$W$1006,0))&gt;=100000), " ",IF(INDEX($R$2:$W$1001,MATCH(ROWS($K$2:K304),$K$2:$K$1001,0),MATCH(COLUMNS($R$1006:V1006),$R$1006:$W$1006,0)), HYPERLINK("#",""), HYPERLINK(CONCATENATE("#Metadata!", ADDRESS(INDEX($M$2:$M$1001,MATCH(ROWS($K$2:K304),$K$2:$K$1001,0),0), INDEX($R$1004:$W$1004,1,MATCH(COLUMNS($R$1006:V1006),$R$1006:$W$1006,0)))),"Fix")))</f>
        <v>0</v>
      </c>
      <c r="G304" s="3">
        <f>IF(OR(INDEX($L$2:$L$1001,MATCH(ROWS($K$2:K304),$K$2:$K$1001,0),1)&gt;=100000,INDEX($R$1005:$W$1005,1,MATCH(COLUMNS($R$1006:W1006),$R$1006:$W$1006,0))&gt;=100000), " ",IF(INDEX($R$2:$W$1001,MATCH(ROWS($K$2:K304),$K$2:$K$1001,0),MATCH(COLUMNS($R$1006:W1006),$R$1006:$W$1006,0)), HYPERLINK("#",""), HYPERLINK(CONCATENATE("#Metadata!", ADDRESS(INDEX($M$2:$M$1001,MATCH(ROWS($K$2:K304),$K$2:$K$1001,0),0), INDEX($R$1004:$W$1004,1,MATCH(COLUMNS($R$1006:W1006),$R$1006:$W$1006,0)))),"Fix")))</f>
        <v>0</v>
      </c>
      <c r="K304">
        <v>0</v>
      </c>
      <c r="L304">
        <v>0</v>
      </c>
      <c r="M304">
        <v>0</v>
      </c>
      <c r="N304">
        <f>IF(O304,TRUE,AND(R304:W304))</f>
        <v>0</v>
      </c>
      <c r="O304">
        <f>COUNTBLANK(Metadata!B304:G304)=COLUMNS(Metadata!B304:G304)</f>
        <v>0</v>
      </c>
      <c r="P304">
        <v>0</v>
      </c>
      <c r="R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S304">
        <f>IF(Metadata!C304="",FALSE,TRUE)</f>
        <v>0</v>
      </c>
      <c r="T304">
        <f>IF(Metadata!D304="",FALSE,TRUE)</f>
        <v>0</v>
      </c>
      <c r="U304">
        <f>IF(Metadata!E304="",FALSE,TRUE)</f>
        <v>0</v>
      </c>
      <c r="V304">
        <f>AND(IF(Metadata!F304="",FALSE,TRUE),exact(Metadata!F304,"rat gut metagenome"))</f>
        <v>0</v>
      </c>
      <c r="W304">
        <f>AND(IF(Metadata!G304="",FALSE,TRUE),exact(Metadata!G304,"1436733"))</f>
        <v>0</v>
      </c>
    </row>
    <row r="305" spans="1:23">
      <c r="A305" s="4">
        <f>IF(B305=" "," ",HYPERLINK(CONCATENATE("#metadata!",ADDRESS(INDEX($M$2:$M$1001,MATCH(ROWS($K$2:K305),$K$2:$K$1001,0),0),1)),INDEX($P$2:$P$1001,MATCH(ROWS($K$2:K305),$K$2:$K$1001,0),0)))</f>
        <v>0</v>
      </c>
      <c r="B305" s="3">
        <f>IF(OR(INDEX($L$2:$L$1001,MATCH(ROWS($K$2:K305),$K$2:$K$1001,0),1)&gt;=100000,INDEX($R$1005:$W$1005,1,MATCH(COLUMNS($R$1006:R1006),$R$1006:$W$1006,0))&gt;=100000), " ",IF(INDEX($R$2:$W$1001,MATCH(ROWS($K$2:K305),$K$2:$K$1001,0),MATCH(COLUMNS($R$1006:R1006),$R$1006:$W$1006,0)), HYPERLINK("#",""), HYPERLINK(CONCATENATE("#Metadata!", ADDRESS(INDEX($M$2:$M$1001,MATCH(ROWS($K$2:K305),$K$2:$K$1001,0),0), INDEX($R$1004:$W$1004,1,MATCH(COLUMNS($R$1006:R1006),$R$1006:$W$1006,0)))),"Fix")))</f>
        <v>0</v>
      </c>
      <c r="C305" s="3">
        <f>IF(OR(INDEX($L$2:$L$1001,MATCH(ROWS($K$2:K305),$K$2:$K$1001,0),1)&gt;=100000,INDEX($R$1005:$W$1005,1,MATCH(COLUMNS($R$1006:S1006),$R$1006:$W$1006,0))&gt;=100000), " ",IF(INDEX($R$2:$W$1001,MATCH(ROWS($K$2:K305),$K$2:$K$1001,0),MATCH(COLUMNS($R$1006:S1006),$R$1006:$W$1006,0)), HYPERLINK("#",""), HYPERLINK(CONCATENATE("#Metadata!", ADDRESS(INDEX($M$2:$M$1001,MATCH(ROWS($K$2:K305),$K$2:$K$1001,0),0), INDEX($R$1004:$W$1004,1,MATCH(COLUMNS($R$1006:S1006),$R$1006:$W$1006,0)))),"Fix")))</f>
        <v>0</v>
      </c>
      <c r="D305" s="3">
        <f>IF(OR(INDEX($L$2:$L$1001,MATCH(ROWS($K$2:K305),$K$2:$K$1001,0),1)&gt;=100000,INDEX($R$1005:$W$1005,1,MATCH(COLUMNS($R$1006:T1006),$R$1006:$W$1006,0))&gt;=100000), " ",IF(INDEX($R$2:$W$1001,MATCH(ROWS($K$2:K305),$K$2:$K$1001,0),MATCH(COLUMNS($R$1006:T1006),$R$1006:$W$1006,0)), HYPERLINK("#",""), HYPERLINK(CONCATENATE("#Metadata!", ADDRESS(INDEX($M$2:$M$1001,MATCH(ROWS($K$2:K305),$K$2:$K$1001,0),0), INDEX($R$1004:$W$1004,1,MATCH(COLUMNS($R$1006:T1006),$R$1006:$W$1006,0)))),"Fix")))</f>
        <v>0</v>
      </c>
      <c r="E305" s="3">
        <f>IF(OR(INDEX($L$2:$L$1001,MATCH(ROWS($K$2:K305),$K$2:$K$1001,0),1)&gt;=100000,INDEX($R$1005:$W$1005,1,MATCH(COLUMNS($R$1006:U1006),$R$1006:$W$1006,0))&gt;=100000), " ",IF(INDEX($R$2:$W$1001,MATCH(ROWS($K$2:K305),$K$2:$K$1001,0),MATCH(COLUMNS($R$1006:U1006),$R$1006:$W$1006,0)), HYPERLINK("#",""), HYPERLINK(CONCATENATE("#Metadata!", ADDRESS(INDEX($M$2:$M$1001,MATCH(ROWS($K$2:K305),$K$2:$K$1001,0),0), INDEX($R$1004:$W$1004,1,MATCH(COLUMNS($R$1006:U1006),$R$1006:$W$1006,0)))),"Fix")))</f>
        <v>0</v>
      </c>
      <c r="F305" s="3">
        <f>IF(OR(INDEX($L$2:$L$1001,MATCH(ROWS($K$2:K305),$K$2:$K$1001,0),1)&gt;=100000,INDEX($R$1005:$W$1005,1,MATCH(COLUMNS($R$1006:V1006),$R$1006:$W$1006,0))&gt;=100000), " ",IF(INDEX($R$2:$W$1001,MATCH(ROWS($K$2:K305),$K$2:$K$1001,0),MATCH(COLUMNS($R$1006:V1006),$R$1006:$W$1006,0)), HYPERLINK("#",""), HYPERLINK(CONCATENATE("#Metadata!", ADDRESS(INDEX($M$2:$M$1001,MATCH(ROWS($K$2:K305),$K$2:$K$1001,0),0), INDEX($R$1004:$W$1004,1,MATCH(COLUMNS($R$1006:V1006),$R$1006:$W$1006,0)))),"Fix")))</f>
        <v>0</v>
      </c>
      <c r="G305" s="3">
        <f>IF(OR(INDEX($L$2:$L$1001,MATCH(ROWS($K$2:K305),$K$2:$K$1001,0),1)&gt;=100000,INDEX($R$1005:$W$1005,1,MATCH(COLUMNS($R$1006:W1006),$R$1006:$W$1006,0))&gt;=100000), " ",IF(INDEX($R$2:$W$1001,MATCH(ROWS($K$2:K305),$K$2:$K$1001,0),MATCH(COLUMNS($R$1006:W1006),$R$1006:$W$1006,0)), HYPERLINK("#",""), HYPERLINK(CONCATENATE("#Metadata!", ADDRESS(INDEX($M$2:$M$1001,MATCH(ROWS($K$2:K305),$K$2:$K$1001,0),0), INDEX($R$1004:$W$1004,1,MATCH(COLUMNS($R$1006:W1006),$R$1006:$W$1006,0)))),"Fix")))</f>
        <v>0</v>
      </c>
      <c r="K305">
        <v>0</v>
      </c>
      <c r="L305">
        <v>0</v>
      </c>
      <c r="M305">
        <v>0</v>
      </c>
      <c r="N305">
        <f>IF(O305,TRUE,AND(R305:W305))</f>
        <v>0</v>
      </c>
      <c r="O305">
        <f>COUNTBLANK(Metadata!B305:G305)=COLUMNS(Metadata!B305:G305)</f>
        <v>0</v>
      </c>
      <c r="P305">
        <v>0</v>
      </c>
      <c r="R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S305">
        <f>IF(Metadata!C305="",FALSE,TRUE)</f>
        <v>0</v>
      </c>
      <c r="T305">
        <f>IF(Metadata!D305="",FALSE,TRUE)</f>
        <v>0</v>
      </c>
      <c r="U305">
        <f>IF(Metadata!E305="",FALSE,TRUE)</f>
        <v>0</v>
      </c>
      <c r="V305">
        <f>AND(IF(Metadata!F305="",FALSE,TRUE),exact(Metadata!F305,"rat gut metagenome"))</f>
        <v>0</v>
      </c>
      <c r="W305">
        <f>AND(IF(Metadata!G305="",FALSE,TRUE),exact(Metadata!G305,"1436733"))</f>
        <v>0</v>
      </c>
    </row>
    <row r="306" spans="1:23">
      <c r="A306" s="4">
        <f>IF(B306=" "," ",HYPERLINK(CONCATENATE("#metadata!",ADDRESS(INDEX($M$2:$M$1001,MATCH(ROWS($K$2:K306),$K$2:$K$1001,0),0),1)),INDEX($P$2:$P$1001,MATCH(ROWS($K$2:K306),$K$2:$K$1001,0),0)))</f>
        <v>0</v>
      </c>
      <c r="B306" s="3">
        <f>IF(OR(INDEX($L$2:$L$1001,MATCH(ROWS($K$2:K306),$K$2:$K$1001,0),1)&gt;=100000,INDEX($R$1005:$W$1005,1,MATCH(COLUMNS($R$1006:R1006),$R$1006:$W$1006,0))&gt;=100000), " ",IF(INDEX($R$2:$W$1001,MATCH(ROWS($K$2:K306),$K$2:$K$1001,0),MATCH(COLUMNS($R$1006:R1006),$R$1006:$W$1006,0)), HYPERLINK("#",""), HYPERLINK(CONCATENATE("#Metadata!", ADDRESS(INDEX($M$2:$M$1001,MATCH(ROWS($K$2:K306),$K$2:$K$1001,0),0), INDEX($R$1004:$W$1004,1,MATCH(COLUMNS($R$1006:R1006),$R$1006:$W$1006,0)))),"Fix")))</f>
        <v>0</v>
      </c>
      <c r="C306" s="3">
        <f>IF(OR(INDEX($L$2:$L$1001,MATCH(ROWS($K$2:K306),$K$2:$K$1001,0),1)&gt;=100000,INDEX($R$1005:$W$1005,1,MATCH(COLUMNS($R$1006:S1006),$R$1006:$W$1006,0))&gt;=100000), " ",IF(INDEX($R$2:$W$1001,MATCH(ROWS($K$2:K306),$K$2:$K$1001,0),MATCH(COLUMNS($R$1006:S1006),$R$1006:$W$1006,0)), HYPERLINK("#",""), HYPERLINK(CONCATENATE("#Metadata!", ADDRESS(INDEX($M$2:$M$1001,MATCH(ROWS($K$2:K306),$K$2:$K$1001,0),0), INDEX($R$1004:$W$1004,1,MATCH(COLUMNS($R$1006:S1006),$R$1006:$W$1006,0)))),"Fix")))</f>
        <v>0</v>
      </c>
      <c r="D306" s="3">
        <f>IF(OR(INDEX($L$2:$L$1001,MATCH(ROWS($K$2:K306),$K$2:$K$1001,0),1)&gt;=100000,INDEX($R$1005:$W$1005,1,MATCH(COLUMNS($R$1006:T1006),$R$1006:$W$1006,0))&gt;=100000), " ",IF(INDEX($R$2:$W$1001,MATCH(ROWS($K$2:K306),$K$2:$K$1001,0),MATCH(COLUMNS($R$1006:T1006),$R$1006:$W$1006,0)), HYPERLINK("#",""), HYPERLINK(CONCATENATE("#Metadata!", ADDRESS(INDEX($M$2:$M$1001,MATCH(ROWS($K$2:K306),$K$2:$K$1001,0),0), INDEX($R$1004:$W$1004,1,MATCH(COLUMNS($R$1006:T1006),$R$1006:$W$1006,0)))),"Fix")))</f>
        <v>0</v>
      </c>
      <c r="E306" s="3">
        <f>IF(OR(INDEX($L$2:$L$1001,MATCH(ROWS($K$2:K306),$K$2:$K$1001,0),1)&gt;=100000,INDEX($R$1005:$W$1005,1,MATCH(COLUMNS($R$1006:U1006),$R$1006:$W$1006,0))&gt;=100000), " ",IF(INDEX($R$2:$W$1001,MATCH(ROWS($K$2:K306),$K$2:$K$1001,0),MATCH(COLUMNS($R$1006:U1006),$R$1006:$W$1006,0)), HYPERLINK("#",""), HYPERLINK(CONCATENATE("#Metadata!", ADDRESS(INDEX($M$2:$M$1001,MATCH(ROWS($K$2:K306),$K$2:$K$1001,0),0), INDEX($R$1004:$W$1004,1,MATCH(COLUMNS($R$1006:U1006),$R$1006:$W$1006,0)))),"Fix")))</f>
        <v>0</v>
      </c>
      <c r="F306" s="3">
        <f>IF(OR(INDEX($L$2:$L$1001,MATCH(ROWS($K$2:K306),$K$2:$K$1001,0),1)&gt;=100000,INDEX($R$1005:$W$1005,1,MATCH(COLUMNS($R$1006:V1006),$R$1006:$W$1006,0))&gt;=100000), " ",IF(INDEX($R$2:$W$1001,MATCH(ROWS($K$2:K306),$K$2:$K$1001,0),MATCH(COLUMNS($R$1006:V1006),$R$1006:$W$1006,0)), HYPERLINK("#",""), HYPERLINK(CONCATENATE("#Metadata!", ADDRESS(INDEX($M$2:$M$1001,MATCH(ROWS($K$2:K306),$K$2:$K$1001,0),0), INDEX($R$1004:$W$1004,1,MATCH(COLUMNS($R$1006:V1006),$R$1006:$W$1006,0)))),"Fix")))</f>
        <v>0</v>
      </c>
      <c r="G306" s="3">
        <f>IF(OR(INDEX($L$2:$L$1001,MATCH(ROWS($K$2:K306),$K$2:$K$1001,0),1)&gt;=100000,INDEX($R$1005:$W$1005,1,MATCH(COLUMNS($R$1006:W1006),$R$1006:$W$1006,0))&gt;=100000), " ",IF(INDEX($R$2:$W$1001,MATCH(ROWS($K$2:K306),$K$2:$K$1001,0),MATCH(COLUMNS($R$1006:W1006),$R$1006:$W$1006,0)), HYPERLINK("#",""), HYPERLINK(CONCATENATE("#Metadata!", ADDRESS(INDEX($M$2:$M$1001,MATCH(ROWS($K$2:K306),$K$2:$K$1001,0),0), INDEX($R$1004:$W$1004,1,MATCH(COLUMNS($R$1006:W1006),$R$1006:$W$1006,0)))),"Fix")))</f>
        <v>0</v>
      </c>
      <c r="K306">
        <v>0</v>
      </c>
      <c r="L306">
        <v>0</v>
      </c>
      <c r="M306">
        <v>0</v>
      </c>
      <c r="N306">
        <f>IF(O306,TRUE,AND(R306:W306))</f>
        <v>0</v>
      </c>
      <c r="O306">
        <f>COUNTBLANK(Metadata!B306:G306)=COLUMNS(Metadata!B306:G306)</f>
        <v>0</v>
      </c>
      <c r="P306">
        <v>0</v>
      </c>
      <c r="R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S306">
        <f>IF(Metadata!C306="",FALSE,TRUE)</f>
        <v>0</v>
      </c>
      <c r="T306">
        <f>IF(Metadata!D306="",FALSE,TRUE)</f>
        <v>0</v>
      </c>
      <c r="U306">
        <f>IF(Metadata!E306="",FALSE,TRUE)</f>
        <v>0</v>
      </c>
      <c r="V306">
        <f>AND(IF(Metadata!F306="",FALSE,TRUE),exact(Metadata!F306,"rat gut metagenome"))</f>
        <v>0</v>
      </c>
      <c r="W306">
        <f>AND(IF(Metadata!G306="",FALSE,TRUE),exact(Metadata!G306,"1436733"))</f>
        <v>0</v>
      </c>
    </row>
    <row r="307" spans="1:23">
      <c r="A307" s="4">
        <f>IF(B307=" "," ",HYPERLINK(CONCATENATE("#metadata!",ADDRESS(INDEX($M$2:$M$1001,MATCH(ROWS($K$2:K307),$K$2:$K$1001,0),0),1)),INDEX($P$2:$P$1001,MATCH(ROWS($K$2:K307),$K$2:$K$1001,0),0)))</f>
        <v>0</v>
      </c>
      <c r="B307" s="3">
        <f>IF(OR(INDEX($L$2:$L$1001,MATCH(ROWS($K$2:K307),$K$2:$K$1001,0),1)&gt;=100000,INDEX($R$1005:$W$1005,1,MATCH(COLUMNS($R$1006:R1006),$R$1006:$W$1006,0))&gt;=100000), " ",IF(INDEX($R$2:$W$1001,MATCH(ROWS($K$2:K307),$K$2:$K$1001,0),MATCH(COLUMNS($R$1006:R1006),$R$1006:$W$1006,0)), HYPERLINK("#",""), HYPERLINK(CONCATENATE("#Metadata!", ADDRESS(INDEX($M$2:$M$1001,MATCH(ROWS($K$2:K307),$K$2:$K$1001,0),0), INDEX($R$1004:$W$1004,1,MATCH(COLUMNS($R$1006:R1006),$R$1006:$W$1006,0)))),"Fix")))</f>
        <v>0</v>
      </c>
      <c r="C307" s="3">
        <f>IF(OR(INDEX($L$2:$L$1001,MATCH(ROWS($K$2:K307),$K$2:$K$1001,0),1)&gt;=100000,INDEX($R$1005:$W$1005,1,MATCH(COLUMNS($R$1006:S1006),$R$1006:$W$1006,0))&gt;=100000), " ",IF(INDEX($R$2:$W$1001,MATCH(ROWS($K$2:K307),$K$2:$K$1001,0),MATCH(COLUMNS($R$1006:S1006),$R$1006:$W$1006,0)), HYPERLINK("#",""), HYPERLINK(CONCATENATE("#Metadata!", ADDRESS(INDEX($M$2:$M$1001,MATCH(ROWS($K$2:K307),$K$2:$K$1001,0),0), INDEX($R$1004:$W$1004,1,MATCH(COLUMNS($R$1006:S1006),$R$1006:$W$1006,0)))),"Fix")))</f>
        <v>0</v>
      </c>
      <c r="D307" s="3">
        <f>IF(OR(INDEX($L$2:$L$1001,MATCH(ROWS($K$2:K307),$K$2:$K$1001,0),1)&gt;=100000,INDEX($R$1005:$W$1005,1,MATCH(COLUMNS($R$1006:T1006),$R$1006:$W$1006,0))&gt;=100000), " ",IF(INDEX($R$2:$W$1001,MATCH(ROWS($K$2:K307),$K$2:$K$1001,0),MATCH(COLUMNS($R$1006:T1006),$R$1006:$W$1006,0)), HYPERLINK("#",""), HYPERLINK(CONCATENATE("#Metadata!", ADDRESS(INDEX($M$2:$M$1001,MATCH(ROWS($K$2:K307),$K$2:$K$1001,0),0), INDEX($R$1004:$W$1004,1,MATCH(COLUMNS($R$1006:T1006),$R$1006:$W$1006,0)))),"Fix")))</f>
        <v>0</v>
      </c>
      <c r="E307" s="3">
        <f>IF(OR(INDEX($L$2:$L$1001,MATCH(ROWS($K$2:K307),$K$2:$K$1001,0),1)&gt;=100000,INDEX($R$1005:$W$1005,1,MATCH(COLUMNS($R$1006:U1006),$R$1006:$W$1006,0))&gt;=100000), " ",IF(INDEX($R$2:$W$1001,MATCH(ROWS($K$2:K307),$K$2:$K$1001,0),MATCH(COLUMNS($R$1006:U1006),$R$1006:$W$1006,0)), HYPERLINK("#",""), HYPERLINK(CONCATENATE("#Metadata!", ADDRESS(INDEX($M$2:$M$1001,MATCH(ROWS($K$2:K307),$K$2:$K$1001,0),0), INDEX($R$1004:$W$1004,1,MATCH(COLUMNS($R$1006:U1006),$R$1006:$W$1006,0)))),"Fix")))</f>
        <v>0</v>
      </c>
      <c r="F307" s="3">
        <f>IF(OR(INDEX($L$2:$L$1001,MATCH(ROWS($K$2:K307),$K$2:$K$1001,0),1)&gt;=100000,INDEX($R$1005:$W$1005,1,MATCH(COLUMNS($R$1006:V1006),$R$1006:$W$1006,0))&gt;=100000), " ",IF(INDEX($R$2:$W$1001,MATCH(ROWS($K$2:K307),$K$2:$K$1001,0),MATCH(COLUMNS($R$1006:V1006),$R$1006:$W$1006,0)), HYPERLINK("#",""), HYPERLINK(CONCATENATE("#Metadata!", ADDRESS(INDEX($M$2:$M$1001,MATCH(ROWS($K$2:K307),$K$2:$K$1001,0),0), INDEX($R$1004:$W$1004,1,MATCH(COLUMNS($R$1006:V1006),$R$1006:$W$1006,0)))),"Fix")))</f>
        <v>0</v>
      </c>
      <c r="G307" s="3">
        <f>IF(OR(INDEX($L$2:$L$1001,MATCH(ROWS($K$2:K307),$K$2:$K$1001,0),1)&gt;=100000,INDEX($R$1005:$W$1005,1,MATCH(COLUMNS($R$1006:W1006),$R$1006:$W$1006,0))&gt;=100000), " ",IF(INDEX($R$2:$W$1001,MATCH(ROWS($K$2:K307),$K$2:$K$1001,0),MATCH(COLUMNS($R$1006:W1006),$R$1006:$W$1006,0)), HYPERLINK("#",""), HYPERLINK(CONCATENATE("#Metadata!", ADDRESS(INDEX($M$2:$M$1001,MATCH(ROWS($K$2:K307),$K$2:$K$1001,0),0), INDEX($R$1004:$W$1004,1,MATCH(COLUMNS($R$1006:W1006),$R$1006:$W$1006,0)))),"Fix")))</f>
        <v>0</v>
      </c>
      <c r="K307">
        <v>0</v>
      </c>
      <c r="L307">
        <v>0</v>
      </c>
      <c r="M307">
        <v>0</v>
      </c>
      <c r="N307">
        <f>IF(O307,TRUE,AND(R307:W307))</f>
        <v>0</v>
      </c>
      <c r="O307">
        <f>COUNTBLANK(Metadata!B307:G307)=COLUMNS(Metadata!B307:G307)</f>
        <v>0</v>
      </c>
      <c r="P307">
        <v>0</v>
      </c>
      <c r="R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S307">
        <f>IF(Metadata!C307="",FALSE,TRUE)</f>
        <v>0</v>
      </c>
      <c r="T307">
        <f>IF(Metadata!D307="",FALSE,TRUE)</f>
        <v>0</v>
      </c>
      <c r="U307">
        <f>IF(Metadata!E307="",FALSE,TRUE)</f>
        <v>0</v>
      </c>
      <c r="V307">
        <f>AND(IF(Metadata!F307="",FALSE,TRUE),exact(Metadata!F307,"rat gut metagenome"))</f>
        <v>0</v>
      </c>
      <c r="W307">
        <f>AND(IF(Metadata!G307="",FALSE,TRUE),exact(Metadata!G307,"1436733"))</f>
        <v>0</v>
      </c>
    </row>
    <row r="308" spans="1:23">
      <c r="A308" s="4">
        <f>IF(B308=" "," ",HYPERLINK(CONCATENATE("#metadata!",ADDRESS(INDEX($M$2:$M$1001,MATCH(ROWS($K$2:K308),$K$2:$K$1001,0),0),1)),INDEX($P$2:$P$1001,MATCH(ROWS($K$2:K308),$K$2:$K$1001,0),0)))</f>
        <v>0</v>
      </c>
      <c r="B308" s="3">
        <f>IF(OR(INDEX($L$2:$L$1001,MATCH(ROWS($K$2:K308),$K$2:$K$1001,0),1)&gt;=100000,INDEX($R$1005:$W$1005,1,MATCH(COLUMNS($R$1006:R1006),$R$1006:$W$1006,0))&gt;=100000), " ",IF(INDEX($R$2:$W$1001,MATCH(ROWS($K$2:K308),$K$2:$K$1001,0),MATCH(COLUMNS($R$1006:R1006),$R$1006:$W$1006,0)), HYPERLINK("#",""), HYPERLINK(CONCATENATE("#Metadata!", ADDRESS(INDEX($M$2:$M$1001,MATCH(ROWS($K$2:K308),$K$2:$K$1001,0),0), INDEX($R$1004:$W$1004,1,MATCH(COLUMNS($R$1006:R1006),$R$1006:$W$1006,0)))),"Fix")))</f>
        <v>0</v>
      </c>
      <c r="C308" s="3">
        <f>IF(OR(INDEX($L$2:$L$1001,MATCH(ROWS($K$2:K308),$K$2:$K$1001,0),1)&gt;=100000,INDEX($R$1005:$W$1005,1,MATCH(COLUMNS($R$1006:S1006),$R$1006:$W$1006,0))&gt;=100000), " ",IF(INDEX($R$2:$W$1001,MATCH(ROWS($K$2:K308),$K$2:$K$1001,0),MATCH(COLUMNS($R$1006:S1006),$R$1006:$W$1006,0)), HYPERLINK("#",""), HYPERLINK(CONCATENATE("#Metadata!", ADDRESS(INDEX($M$2:$M$1001,MATCH(ROWS($K$2:K308),$K$2:$K$1001,0),0), INDEX($R$1004:$W$1004,1,MATCH(COLUMNS($R$1006:S1006),$R$1006:$W$1006,0)))),"Fix")))</f>
        <v>0</v>
      </c>
      <c r="D308" s="3">
        <f>IF(OR(INDEX($L$2:$L$1001,MATCH(ROWS($K$2:K308),$K$2:$K$1001,0),1)&gt;=100000,INDEX($R$1005:$W$1005,1,MATCH(COLUMNS($R$1006:T1006),$R$1006:$W$1006,0))&gt;=100000), " ",IF(INDEX($R$2:$W$1001,MATCH(ROWS($K$2:K308),$K$2:$K$1001,0),MATCH(COLUMNS($R$1006:T1006),$R$1006:$W$1006,0)), HYPERLINK("#",""), HYPERLINK(CONCATENATE("#Metadata!", ADDRESS(INDEX($M$2:$M$1001,MATCH(ROWS($K$2:K308),$K$2:$K$1001,0),0), INDEX($R$1004:$W$1004,1,MATCH(COLUMNS($R$1006:T1006),$R$1006:$W$1006,0)))),"Fix")))</f>
        <v>0</v>
      </c>
      <c r="E308" s="3">
        <f>IF(OR(INDEX($L$2:$L$1001,MATCH(ROWS($K$2:K308),$K$2:$K$1001,0),1)&gt;=100000,INDEX($R$1005:$W$1005,1,MATCH(COLUMNS($R$1006:U1006),$R$1006:$W$1006,0))&gt;=100000), " ",IF(INDEX($R$2:$W$1001,MATCH(ROWS($K$2:K308),$K$2:$K$1001,0),MATCH(COLUMNS($R$1006:U1006),$R$1006:$W$1006,0)), HYPERLINK("#",""), HYPERLINK(CONCATENATE("#Metadata!", ADDRESS(INDEX($M$2:$M$1001,MATCH(ROWS($K$2:K308),$K$2:$K$1001,0),0), INDEX($R$1004:$W$1004,1,MATCH(COLUMNS($R$1006:U1006),$R$1006:$W$1006,0)))),"Fix")))</f>
        <v>0</v>
      </c>
      <c r="F308" s="3">
        <f>IF(OR(INDEX($L$2:$L$1001,MATCH(ROWS($K$2:K308),$K$2:$K$1001,0),1)&gt;=100000,INDEX($R$1005:$W$1005,1,MATCH(COLUMNS($R$1006:V1006),$R$1006:$W$1006,0))&gt;=100000), " ",IF(INDEX($R$2:$W$1001,MATCH(ROWS($K$2:K308),$K$2:$K$1001,0),MATCH(COLUMNS($R$1006:V1006),$R$1006:$W$1006,0)), HYPERLINK("#",""), HYPERLINK(CONCATENATE("#Metadata!", ADDRESS(INDEX($M$2:$M$1001,MATCH(ROWS($K$2:K308),$K$2:$K$1001,0),0), INDEX($R$1004:$W$1004,1,MATCH(COLUMNS($R$1006:V1006),$R$1006:$W$1006,0)))),"Fix")))</f>
        <v>0</v>
      </c>
      <c r="G308" s="3">
        <f>IF(OR(INDEX($L$2:$L$1001,MATCH(ROWS($K$2:K308),$K$2:$K$1001,0),1)&gt;=100000,INDEX($R$1005:$W$1005,1,MATCH(COLUMNS($R$1006:W1006),$R$1006:$W$1006,0))&gt;=100000), " ",IF(INDEX($R$2:$W$1001,MATCH(ROWS($K$2:K308),$K$2:$K$1001,0),MATCH(COLUMNS($R$1006:W1006),$R$1006:$W$1006,0)), HYPERLINK("#",""), HYPERLINK(CONCATENATE("#Metadata!", ADDRESS(INDEX($M$2:$M$1001,MATCH(ROWS($K$2:K308),$K$2:$K$1001,0),0), INDEX($R$1004:$W$1004,1,MATCH(COLUMNS($R$1006:W1006),$R$1006:$W$1006,0)))),"Fix")))</f>
        <v>0</v>
      </c>
      <c r="K308">
        <v>0</v>
      </c>
      <c r="L308">
        <v>0</v>
      </c>
      <c r="M308">
        <v>0</v>
      </c>
      <c r="N308">
        <f>IF(O308,TRUE,AND(R308:W308))</f>
        <v>0</v>
      </c>
      <c r="O308">
        <f>COUNTBLANK(Metadata!B308:G308)=COLUMNS(Metadata!B308:G308)</f>
        <v>0</v>
      </c>
      <c r="P308">
        <v>0</v>
      </c>
      <c r="R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S308">
        <f>IF(Metadata!C308="",FALSE,TRUE)</f>
        <v>0</v>
      </c>
      <c r="T308">
        <f>IF(Metadata!D308="",FALSE,TRUE)</f>
        <v>0</v>
      </c>
      <c r="U308">
        <f>IF(Metadata!E308="",FALSE,TRUE)</f>
        <v>0</v>
      </c>
      <c r="V308">
        <f>AND(IF(Metadata!F308="",FALSE,TRUE),exact(Metadata!F308,"rat gut metagenome"))</f>
        <v>0</v>
      </c>
      <c r="W308">
        <f>AND(IF(Metadata!G308="",FALSE,TRUE),exact(Metadata!G308,"1436733"))</f>
        <v>0</v>
      </c>
    </row>
    <row r="309" spans="1:23">
      <c r="A309" s="4">
        <f>IF(B309=" "," ",HYPERLINK(CONCATENATE("#metadata!",ADDRESS(INDEX($M$2:$M$1001,MATCH(ROWS($K$2:K309),$K$2:$K$1001,0),0),1)),INDEX($P$2:$P$1001,MATCH(ROWS($K$2:K309),$K$2:$K$1001,0),0)))</f>
        <v>0</v>
      </c>
      <c r="B309" s="3">
        <f>IF(OR(INDEX($L$2:$L$1001,MATCH(ROWS($K$2:K309),$K$2:$K$1001,0),1)&gt;=100000,INDEX($R$1005:$W$1005,1,MATCH(COLUMNS($R$1006:R1006),$R$1006:$W$1006,0))&gt;=100000), " ",IF(INDEX($R$2:$W$1001,MATCH(ROWS($K$2:K309),$K$2:$K$1001,0),MATCH(COLUMNS($R$1006:R1006),$R$1006:$W$1006,0)), HYPERLINK("#",""), HYPERLINK(CONCATENATE("#Metadata!", ADDRESS(INDEX($M$2:$M$1001,MATCH(ROWS($K$2:K309),$K$2:$K$1001,0),0), INDEX($R$1004:$W$1004,1,MATCH(COLUMNS($R$1006:R1006),$R$1006:$W$1006,0)))),"Fix")))</f>
        <v>0</v>
      </c>
      <c r="C309" s="3">
        <f>IF(OR(INDEX($L$2:$L$1001,MATCH(ROWS($K$2:K309),$K$2:$K$1001,0),1)&gt;=100000,INDEX($R$1005:$W$1005,1,MATCH(COLUMNS($R$1006:S1006),$R$1006:$W$1006,0))&gt;=100000), " ",IF(INDEX($R$2:$W$1001,MATCH(ROWS($K$2:K309),$K$2:$K$1001,0),MATCH(COLUMNS($R$1006:S1006),$R$1006:$W$1006,0)), HYPERLINK("#",""), HYPERLINK(CONCATENATE("#Metadata!", ADDRESS(INDEX($M$2:$M$1001,MATCH(ROWS($K$2:K309),$K$2:$K$1001,0),0), INDEX($R$1004:$W$1004,1,MATCH(COLUMNS($R$1006:S1006),$R$1006:$W$1006,0)))),"Fix")))</f>
        <v>0</v>
      </c>
      <c r="D309" s="3">
        <f>IF(OR(INDEX($L$2:$L$1001,MATCH(ROWS($K$2:K309),$K$2:$K$1001,0),1)&gt;=100000,INDEX($R$1005:$W$1005,1,MATCH(COLUMNS($R$1006:T1006),$R$1006:$W$1006,0))&gt;=100000), " ",IF(INDEX($R$2:$W$1001,MATCH(ROWS($K$2:K309),$K$2:$K$1001,0),MATCH(COLUMNS($R$1006:T1006),$R$1006:$W$1006,0)), HYPERLINK("#",""), HYPERLINK(CONCATENATE("#Metadata!", ADDRESS(INDEX($M$2:$M$1001,MATCH(ROWS($K$2:K309),$K$2:$K$1001,0),0), INDEX($R$1004:$W$1004,1,MATCH(COLUMNS($R$1006:T1006),$R$1006:$W$1006,0)))),"Fix")))</f>
        <v>0</v>
      </c>
      <c r="E309" s="3">
        <f>IF(OR(INDEX($L$2:$L$1001,MATCH(ROWS($K$2:K309),$K$2:$K$1001,0),1)&gt;=100000,INDEX($R$1005:$W$1005,1,MATCH(COLUMNS($R$1006:U1006),$R$1006:$W$1006,0))&gt;=100000), " ",IF(INDEX($R$2:$W$1001,MATCH(ROWS($K$2:K309),$K$2:$K$1001,0),MATCH(COLUMNS($R$1006:U1006),$R$1006:$W$1006,0)), HYPERLINK("#",""), HYPERLINK(CONCATENATE("#Metadata!", ADDRESS(INDEX($M$2:$M$1001,MATCH(ROWS($K$2:K309),$K$2:$K$1001,0),0), INDEX($R$1004:$W$1004,1,MATCH(COLUMNS($R$1006:U1006),$R$1006:$W$1006,0)))),"Fix")))</f>
        <v>0</v>
      </c>
      <c r="F309" s="3">
        <f>IF(OR(INDEX($L$2:$L$1001,MATCH(ROWS($K$2:K309),$K$2:$K$1001,0),1)&gt;=100000,INDEX($R$1005:$W$1005,1,MATCH(COLUMNS($R$1006:V1006),$R$1006:$W$1006,0))&gt;=100000), " ",IF(INDEX($R$2:$W$1001,MATCH(ROWS($K$2:K309),$K$2:$K$1001,0),MATCH(COLUMNS($R$1006:V1006),$R$1006:$W$1006,0)), HYPERLINK("#",""), HYPERLINK(CONCATENATE("#Metadata!", ADDRESS(INDEX($M$2:$M$1001,MATCH(ROWS($K$2:K309),$K$2:$K$1001,0),0), INDEX($R$1004:$W$1004,1,MATCH(COLUMNS($R$1006:V1006),$R$1006:$W$1006,0)))),"Fix")))</f>
        <v>0</v>
      </c>
      <c r="G309" s="3">
        <f>IF(OR(INDEX($L$2:$L$1001,MATCH(ROWS($K$2:K309),$K$2:$K$1001,0),1)&gt;=100000,INDEX($R$1005:$W$1005,1,MATCH(COLUMNS($R$1006:W1006),$R$1006:$W$1006,0))&gt;=100000), " ",IF(INDEX($R$2:$W$1001,MATCH(ROWS($K$2:K309),$K$2:$K$1001,0),MATCH(COLUMNS($R$1006:W1006),$R$1006:$W$1006,0)), HYPERLINK("#",""), HYPERLINK(CONCATENATE("#Metadata!", ADDRESS(INDEX($M$2:$M$1001,MATCH(ROWS($K$2:K309),$K$2:$K$1001,0),0), INDEX($R$1004:$W$1004,1,MATCH(COLUMNS($R$1006:W1006),$R$1006:$W$1006,0)))),"Fix")))</f>
        <v>0</v>
      </c>
      <c r="K309">
        <v>0</v>
      </c>
      <c r="L309">
        <v>0</v>
      </c>
      <c r="M309">
        <v>0</v>
      </c>
      <c r="N309">
        <f>IF(O309,TRUE,AND(R309:W309))</f>
        <v>0</v>
      </c>
      <c r="O309">
        <f>COUNTBLANK(Metadata!B309:G309)=COLUMNS(Metadata!B309:G309)</f>
        <v>0</v>
      </c>
      <c r="P309">
        <v>0</v>
      </c>
      <c r="R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S309">
        <f>IF(Metadata!C309="",FALSE,TRUE)</f>
        <v>0</v>
      </c>
      <c r="T309">
        <f>IF(Metadata!D309="",FALSE,TRUE)</f>
        <v>0</v>
      </c>
      <c r="U309">
        <f>IF(Metadata!E309="",FALSE,TRUE)</f>
        <v>0</v>
      </c>
      <c r="V309">
        <f>AND(IF(Metadata!F309="",FALSE,TRUE),exact(Metadata!F309,"rat gut metagenome"))</f>
        <v>0</v>
      </c>
      <c r="W309">
        <f>AND(IF(Metadata!G309="",FALSE,TRUE),exact(Metadata!G309,"1436733"))</f>
        <v>0</v>
      </c>
    </row>
    <row r="310" spans="1:23">
      <c r="A310" s="4">
        <f>IF(B310=" "," ",HYPERLINK(CONCATENATE("#metadata!",ADDRESS(INDEX($M$2:$M$1001,MATCH(ROWS($K$2:K310),$K$2:$K$1001,0),0),1)),INDEX($P$2:$P$1001,MATCH(ROWS($K$2:K310),$K$2:$K$1001,0),0)))</f>
        <v>0</v>
      </c>
      <c r="B310" s="3">
        <f>IF(OR(INDEX($L$2:$L$1001,MATCH(ROWS($K$2:K310),$K$2:$K$1001,0),1)&gt;=100000,INDEX($R$1005:$W$1005,1,MATCH(COLUMNS($R$1006:R1006),$R$1006:$W$1006,0))&gt;=100000), " ",IF(INDEX($R$2:$W$1001,MATCH(ROWS($K$2:K310),$K$2:$K$1001,0),MATCH(COLUMNS($R$1006:R1006),$R$1006:$W$1006,0)), HYPERLINK("#",""), HYPERLINK(CONCATENATE("#Metadata!", ADDRESS(INDEX($M$2:$M$1001,MATCH(ROWS($K$2:K310),$K$2:$K$1001,0),0), INDEX($R$1004:$W$1004,1,MATCH(COLUMNS($R$1006:R1006),$R$1006:$W$1006,0)))),"Fix")))</f>
        <v>0</v>
      </c>
      <c r="C310" s="3">
        <f>IF(OR(INDEX($L$2:$L$1001,MATCH(ROWS($K$2:K310),$K$2:$K$1001,0),1)&gt;=100000,INDEX($R$1005:$W$1005,1,MATCH(COLUMNS($R$1006:S1006),$R$1006:$W$1006,0))&gt;=100000), " ",IF(INDEX($R$2:$W$1001,MATCH(ROWS($K$2:K310),$K$2:$K$1001,0),MATCH(COLUMNS($R$1006:S1006),$R$1006:$W$1006,0)), HYPERLINK("#",""), HYPERLINK(CONCATENATE("#Metadata!", ADDRESS(INDEX($M$2:$M$1001,MATCH(ROWS($K$2:K310),$K$2:$K$1001,0),0), INDEX($R$1004:$W$1004,1,MATCH(COLUMNS($R$1006:S1006),$R$1006:$W$1006,0)))),"Fix")))</f>
        <v>0</v>
      </c>
      <c r="D310" s="3">
        <f>IF(OR(INDEX($L$2:$L$1001,MATCH(ROWS($K$2:K310),$K$2:$K$1001,0),1)&gt;=100000,INDEX($R$1005:$W$1005,1,MATCH(COLUMNS($R$1006:T1006),$R$1006:$W$1006,0))&gt;=100000), " ",IF(INDEX($R$2:$W$1001,MATCH(ROWS($K$2:K310),$K$2:$K$1001,0),MATCH(COLUMNS($R$1006:T1006),$R$1006:$W$1006,0)), HYPERLINK("#",""), HYPERLINK(CONCATENATE("#Metadata!", ADDRESS(INDEX($M$2:$M$1001,MATCH(ROWS($K$2:K310),$K$2:$K$1001,0),0), INDEX($R$1004:$W$1004,1,MATCH(COLUMNS($R$1006:T1006),$R$1006:$W$1006,0)))),"Fix")))</f>
        <v>0</v>
      </c>
      <c r="E310" s="3">
        <f>IF(OR(INDEX($L$2:$L$1001,MATCH(ROWS($K$2:K310),$K$2:$K$1001,0),1)&gt;=100000,INDEX($R$1005:$W$1005,1,MATCH(COLUMNS($R$1006:U1006),$R$1006:$W$1006,0))&gt;=100000), " ",IF(INDEX($R$2:$W$1001,MATCH(ROWS($K$2:K310),$K$2:$K$1001,0),MATCH(COLUMNS($R$1006:U1006),$R$1006:$W$1006,0)), HYPERLINK("#",""), HYPERLINK(CONCATENATE("#Metadata!", ADDRESS(INDEX($M$2:$M$1001,MATCH(ROWS($K$2:K310),$K$2:$K$1001,0),0), INDEX($R$1004:$W$1004,1,MATCH(COLUMNS($R$1006:U1006),$R$1006:$W$1006,0)))),"Fix")))</f>
        <v>0</v>
      </c>
      <c r="F310" s="3">
        <f>IF(OR(INDEX($L$2:$L$1001,MATCH(ROWS($K$2:K310),$K$2:$K$1001,0),1)&gt;=100000,INDEX($R$1005:$W$1005,1,MATCH(COLUMNS($R$1006:V1006),$R$1006:$W$1006,0))&gt;=100000), " ",IF(INDEX($R$2:$W$1001,MATCH(ROWS($K$2:K310),$K$2:$K$1001,0),MATCH(COLUMNS($R$1006:V1006),$R$1006:$W$1006,0)), HYPERLINK("#",""), HYPERLINK(CONCATENATE("#Metadata!", ADDRESS(INDEX($M$2:$M$1001,MATCH(ROWS($K$2:K310),$K$2:$K$1001,0),0), INDEX($R$1004:$W$1004,1,MATCH(COLUMNS($R$1006:V1006),$R$1006:$W$1006,0)))),"Fix")))</f>
        <v>0</v>
      </c>
      <c r="G310" s="3">
        <f>IF(OR(INDEX($L$2:$L$1001,MATCH(ROWS($K$2:K310),$K$2:$K$1001,0),1)&gt;=100000,INDEX($R$1005:$W$1005,1,MATCH(COLUMNS($R$1006:W1006),$R$1006:$W$1006,0))&gt;=100000), " ",IF(INDEX($R$2:$W$1001,MATCH(ROWS($K$2:K310),$K$2:$K$1001,0),MATCH(COLUMNS($R$1006:W1006),$R$1006:$W$1006,0)), HYPERLINK("#",""), HYPERLINK(CONCATENATE("#Metadata!", ADDRESS(INDEX($M$2:$M$1001,MATCH(ROWS($K$2:K310),$K$2:$K$1001,0),0), INDEX($R$1004:$W$1004,1,MATCH(COLUMNS($R$1006:W1006),$R$1006:$W$1006,0)))),"Fix")))</f>
        <v>0</v>
      </c>
      <c r="K310">
        <v>0</v>
      </c>
      <c r="L310">
        <v>0</v>
      </c>
      <c r="M310">
        <v>0</v>
      </c>
      <c r="N310">
        <f>IF(O310,TRUE,AND(R310:W310))</f>
        <v>0</v>
      </c>
      <c r="O310">
        <f>COUNTBLANK(Metadata!B310:G310)=COLUMNS(Metadata!B310:G310)</f>
        <v>0</v>
      </c>
      <c r="P310">
        <v>0</v>
      </c>
      <c r="R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S310">
        <f>IF(Metadata!C310="",FALSE,TRUE)</f>
        <v>0</v>
      </c>
      <c r="T310">
        <f>IF(Metadata!D310="",FALSE,TRUE)</f>
        <v>0</v>
      </c>
      <c r="U310">
        <f>IF(Metadata!E310="",FALSE,TRUE)</f>
        <v>0</v>
      </c>
      <c r="V310">
        <f>AND(IF(Metadata!F310="",FALSE,TRUE),exact(Metadata!F310,"rat gut metagenome"))</f>
        <v>0</v>
      </c>
      <c r="W310">
        <f>AND(IF(Metadata!G310="",FALSE,TRUE),exact(Metadata!G310,"1436733"))</f>
        <v>0</v>
      </c>
    </row>
    <row r="311" spans="1:23">
      <c r="A311" s="4">
        <f>IF(B311=" "," ",HYPERLINK(CONCATENATE("#metadata!",ADDRESS(INDEX($M$2:$M$1001,MATCH(ROWS($K$2:K311),$K$2:$K$1001,0),0),1)),INDEX($P$2:$P$1001,MATCH(ROWS($K$2:K311),$K$2:$K$1001,0),0)))</f>
        <v>0</v>
      </c>
      <c r="B311" s="3">
        <f>IF(OR(INDEX($L$2:$L$1001,MATCH(ROWS($K$2:K311),$K$2:$K$1001,0),1)&gt;=100000,INDEX($R$1005:$W$1005,1,MATCH(COLUMNS($R$1006:R1006),$R$1006:$W$1006,0))&gt;=100000), " ",IF(INDEX($R$2:$W$1001,MATCH(ROWS($K$2:K311),$K$2:$K$1001,0),MATCH(COLUMNS($R$1006:R1006),$R$1006:$W$1006,0)), HYPERLINK("#",""), HYPERLINK(CONCATENATE("#Metadata!", ADDRESS(INDEX($M$2:$M$1001,MATCH(ROWS($K$2:K311),$K$2:$K$1001,0),0), INDEX($R$1004:$W$1004,1,MATCH(COLUMNS($R$1006:R1006),$R$1006:$W$1006,0)))),"Fix")))</f>
        <v>0</v>
      </c>
      <c r="C311" s="3">
        <f>IF(OR(INDEX($L$2:$L$1001,MATCH(ROWS($K$2:K311),$K$2:$K$1001,0),1)&gt;=100000,INDEX($R$1005:$W$1005,1,MATCH(COLUMNS($R$1006:S1006),$R$1006:$W$1006,0))&gt;=100000), " ",IF(INDEX($R$2:$W$1001,MATCH(ROWS($K$2:K311),$K$2:$K$1001,0),MATCH(COLUMNS($R$1006:S1006),$R$1006:$W$1006,0)), HYPERLINK("#",""), HYPERLINK(CONCATENATE("#Metadata!", ADDRESS(INDEX($M$2:$M$1001,MATCH(ROWS($K$2:K311),$K$2:$K$1001,0),0), INDEX($R$1004:$W$1004,1,MATCH(COLUMNS($R$1006:S1006),$R$1006:$W$1006,0)))),"Fix")))</f>
        <v>0</v>
      </c>
      <c r="D311" s="3">
        <f>IF(OR(INDEX($L$2:$L$1001,MATCH(ROWS($K$2:K311),$K$2:$K$1001,0),1)&gt;=100000,INDEX($R$1005:$W$1005,1,MATCH(COLUMNS($R$1006:T1006),$R$1006:$W$1006,0))&gt;=100000), " ",IF(INDEX($R$2:$W$1001,MATCH(ROWS($K$2:K311),$K$2:$K$1001,0),MATCH(COLUMNS($R$1006:T1006),$R$1006:$W$1006,0)), HYPERLINK("#",""), HYPERLINK(CONCATENATE("#Metadata!", ADDRESS(INDEX($M$2:$M$1001,MATCH(ROWS($K$2:K311),$K$2:$K$1001,0),0), INDEX($R$1004:$W$1004,1,MATCH(COLUMNS($R$1006:T1006),$R$1006:$W$1006,0)))),"Fix")))</f>
        <v>0</v>
      </c>
      <c r="E311" s="3">
        <f>IF(OR(INDEX($L$2:$L$1001,MATCH(ROWS($K$2:K311),$K$2:$K$1001,0),1)&gt;=100000,INDEX($R$1005:$W$1005,1,MATCH(COLUMNS($R$1006:U1006),$R$1006:$W$1006,0))&gt;=100000), " ",IF(INDEX($R$2:$W$1001,MATCH(ROWS($K$2:K311),$K$2:$K$1001,0),MATCH(COLUMNS($R$1006:U1006),$R$1006:$W$1006,0)), HYPERLINK("#",""), HYPERLINK(CONCATENATE("#Metadata!", ADDRESS(INDEX($M$2:$M$1001,MATCH(ROWS($K$2:K311),$K$2:$K$1001,0),0), INDEX($R$1004:$W$1004,1,MATCH(COLUMNS($R$1006:U1006),$R$1006:$W$1006,0)))),"Fix")))</f>
        <v>0</v>
      </c>
      <c r="F311" s="3">
        <f>IF(OR(INDEX($L$2:$L$1001,MATCH(ROWS($K$2:K311),$K$2:$K$1001,0),1)&gt;=100000,INDEX($R$1005:$W$1005,1,MATCH(COLUMNS($R$1006:V1006),$R$1006:$W$1006,0))&gt;=100000), " ",IF(INDEX($R$2:$W$1001,MATCH(ROWS($K$2:K311),$K$2:$K$1001,0),MATCH(COLUMNS($R$1006:V1006),$R$1006:$W$1006,0)), HYPERLINK("#",""), HYPERLINK(CONCATENATE("#Metadata!", ADDRESS(INDEX($M$2:$M$1001,MATCH(ROWS($K$2:K311),$K$2:$K$1001,0),0), INDEX($R$1004:$W$1004,1,MATCH(COLUMNS($R$1006:V1006),$R$1006:$W$1006,0)))),"Fix")))</f>
        <v>0</v>
      </c>
      <c r="G311" s="3">
        <f>IF(OR(INDEX($L$2:$L$1001,MATCH(ROWS($K$2:K311),$K$2:$K$1001,0),1)&gt;=100000,INDEX($R$1005:$W$1005,1,MATCH(COLUMNS($R$1006:W1006),$R$1006:$W$1006,0))&gt;=100000), " ",IF(INDEX($R$2:$W$1001,MATCH(ROWS($K$2:K311),$K$2:$K$1001,0),MATCH(COLUMNS($R$1006:W1006),$R$1006:$W$1006,0)), HYPERLINK("#",""), HYPERLINK(CONCATENATE("#Metadata!", ADDRESS(INDEX($M$2:$M$1001,MATCH(ROWS($K$2:K311),$K$2:$K$1001,0),0), INDEX($R$1004:$W$1004,1,MATCH(COLUMNS($R$1006:W1006),$R$1006:$W$1006,0)))),"Fix")))</f>
        <v>0</v>
      </c>
      <c r="K311">
        <v>0</v>
      </c>
      <c r="L311">
        <v>0</v>
      </c>
      <c r="M311">
        <v>0</v>
      </c>
      <c r="N311">
        <f>IF(O311,TRUE,AND(R311:W311))</f>
        <v>0</v>
      </c>
      <c r="O311">
        <f>COUNTBLANK(Metadata!B311:G311)=COLUMNS(Metadata!B311:G311)</f>
        <v>0</v>
      </c>
      <c r="P311">
        <v>0</v>
      </c>
      <c r="R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S311">
        <f>IF(Metadata!C311="",FALSE,TRUE)</f>
        <v>0</v>
      </c>
      <c r="T311">
        <f>IF(Metadata!D311="",FALSE,TRUE)</f>
        <v>0</v>
      </c>
      <c r="U311">
        <f>IF(Metadata!E311="",FALSE,TRUE)</f>
        <v>0</v>
      </c>
      <c r="V311">
        <f>AND(IF(Metadata!F311="",FALSE,TRUE),exact(Metadata!F311,"rat gut metagenome"))</f>
        <v>0</v>
      </c>
      <c r="W311">
        <f>AND(IF(Metadata!G311="",FALSE,TRUE),exact(Metadata!G311,"1436733"))</f>
        <v>0</v>
      </c>
    </row>
    <row r="312" spans="1:23">
      <c r="A312" s="4">
        <f>IF(B312=" "," ",HYPERLINK(CONCATENATE("#metadata!",ADDRESS(INDEX($M$2:$M$1001,MATCH(ROWS($K$2:K312),$K$2:$K$1001,0),0),1)),INDEX($P$2:$P$1001,MATCH(ROWS($K$2:K312),$K$2:$K$1001,0),0)))</f>
        <v>0</v>
      </c>
      <c r="B312" s="3">
        <f>IF(OR(INDEX($L$2:$L$1001,MATCH(ROWS($K$2:K312),$K$2:$K$1001,0),1)&gt;=100000,INDEX($R$1005:$W$1005,1,MATCH(COLUMNS($R$1006:R1006),$R$1006:$W$1006,0))&gt;=100000), " ",IF(INDEX($R$2:$W$1001,MATCH(ROWS($K$2:K312),$K$2:$K$1001,0),MATCH(COLUMNS($R$1006:R1006),$R$1006:$W$1006,0)), HYPERLINK("#",""), HYPERLINK(CONCATENATE("#Metadata!", ADDRESS(INDEX($M$2:$M$1001,MATCH(ROWS($K$2:K312),$K$2:$K$1001,0),0), INDEX($R$1004:$W$1004,1,MATCH(COLUMNS($R$1006:R1006),$R$1006:$W$1006,0)))),"Fix")))</f>
        <v>0</v>
      </c>
      <c r="C312" s="3">
        <f>IF(OR(INDEX($L$2:$L$1001,MATCH(ROWS($K$2:K312),$K$2:$K$1001,0),1)&gt;=100000,INDEX($R$1005:$W$1005,1,MATCH(COLUMNS($R$1006:S1006),$R$1006:$W$1006,0))&gt;=100000), " ",IF(INDEX($R$2:$W$1001,MATCH(ROWS($K$2:K312),$K$2:$K$1001,0),MATCH(COLUMNS($R$1006:S1006),$R$1006:$W$1006,0)), HYPERLINK("#",""), HYPERLINK(CONCATENATE("#Metadata!", ADDRESS(INDEX($M$2:$M$1001,MATCH(ROWS($K$2:K312),$K$2:$K$1001,0),0), INDEX($R$1004:$W$1004,1,MATCH(COLUMNS($R$1006:S1006),$R$1006:$W$1006,0)))),"Fix")))</f>
        <v>0</v>
      </c>
      <c r="D312" s="3">
        <f>IF(OR(INDEX($L$2:$L$1001,MATCH(ROWS($K$2:K312),$K$2:$K$1001,0),1)&gt;=100000,INDEX($R$1005:$W$1005,1,MATCH(COLUMNS($R$1006:T1006),$R$1006:$W$1006,0))&gt;=100000), " ",IF(INDEX($R$2:$W$1001,MATCH(ROWS($K$2:K312),$K$2:$K$1001,0),MATCH(COLUMNS($R$1006:T1006),$R$1006:$W$1006,0)), HYPERLINK("#",""), HYPERLINK(CONCATENATE("#Metadata!", ADDRESS(INDEX($M$2:$M$1001,MATCH(ROWS($K$2:K312),$K$2:$K$1001,0),0), INDEX($R$1004:$W$1004,1,MATCH(COLUMNS($R$1006:T1006),$R$1006:$W$1006,0)))),"Fix")))</f>
        <v>0</v>
      </c>
      <c r="E312" s="3">
        <f>IF(OR(INDEX($L$2:$L$1001,MATCH(ROWS($K$2:K312),$K$2:$K$1001,0),1)&gt;=100000,INDEX($R$1005:$W$1005,1,MATCH(COLUMNS($R$1006:U1006),$R$1006:$W$1006,0))&gt;=100000), " ",IF(INDEX($R$2:$W$1001,MATCH(ROWS($K$2:K312),$K$2:$K$1001,0),MATCH(COLUMNS($R$1006:U1006),$R$1006:$W$1006,0)), HYPERLINK("#",""), HYPERLINK(CONCATENATE("#Metadata!", ADDRESS(INDEX($M$2:$M$1001,MATCH(ROWS($K$2:K312),$K$2:$K$1001,0),0), INDEX($R$1004:$W$1004,1,MATCH(COLUMNS($R$1006:U1006),$R$1006:$W$1006,0)))),"Fix")))</f>
        <v>0</v>
      </c>
      <c r="F312" s="3">
        <f>IF(OR(INDEX($L$2:$L$1001,MATCH(ROWS($K$2:K312),$K$2:$K$1001,0),1)&gt;=100000,INDEX($R$1005:$W$1005,1,MATCH(COLUMNS($R$1006:V1006),$R$1006:$W$1006,0))&gt;=100000), " ",IF(INDEX($R$2:$W$1001,MATCH(ROWS($K$2:K312),$K$2:$K$1001,0),MATCH(COLUMNS($R$1006:V1006),$R$1006:$W$1006,0)), HYPERLINK("#",""), HYPERLINK(CONCATENATE("#Metadata!", ADDRESS(INDEX($M$2:$M$1001,MATCH(ROWS($K$2:K312),$K$2:$K$1001,0),0), INDEX($R$1004:$W$1004,1,MATCH(COLUMNS($R$1006:V1006),$R$1006:$W$1006,0)))),"Fix")))</f>
        <v>0</v>
      </c>
      <c r="G312" s="3">
        <f>IF(OR(INDEX($L$2:$L$1001,MATCH(ROWS($K$2:K312),$K$2:$K$1001,0),1)&gt;=100000,INDEX($R$1005:$W$1005,1,MATCH(COLUMNS($R$1006:W1006),$R$1006:$W$1006,0))&gt;=100000), " ",IF(INDEX($R$2:$W$1001,MATCH(ROWS($K$2:K312),$K$2:$K$1001,0),MATCH(COLUMNS($R$1006:W1006),$R$1006:$W$1006,0)), HYPERLINK("#",""), HYPERLINK(CONCATENATE("#Metadata!", ADDRESS(INDEX($M$2:$M$1001,MATCH(ROWS($K$2:K312),$K$2:$K$1001,0),0), INDEX($R$1004:$W$1004,1,MATCH(COLUMNS($R$1006:W1006),$R$1006:$W$1006,0)))),"Fix")))</f>
        <v>0</v>
      </c>
      <c r="K312">
        <v>0</v>
      </c>
      <c r="L312">
        <v>0</v>
      </c>
      <c r="M312">
        <v>0</v>
      </c>
      <c r="N312">
        <f>IF(O312,TRUE,AND(R312:W312))</f>
        <v>0</v>
      </c>
      <c r="O312">
        <f>COUNTBLANK(Metadata!B312:G312)=COLUMNS(Metadata!B312:G312)</f>
        <v>0</v>
      </c>
      <c r="P312">
        <v>0</v>
      </c>
      <c r="R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S312">
        <f>IF(Metadata!C312="",FALSE,TRUE)</f>
        <v>0</v>
      </c>
      <c r="T312">
        <f>IF(Metadata!D312="",FALSE,TRUE)</f>
        <v>0</v>
      </c>
      <c r="U312">
        <f>IF(Metadata!E312="",FALSE,TRUE)</f>
        <v>0</v>
      </c>
      <c r="V312">
        <f>AND(IF(Metadata!F312="",FALSE,TRUE),exact(Metadata!F312,"rat gut metagenome"))</f>
        <v>0</v>
      </c>
      <c r="W312">
        <f>AND(IF(Metadata!G312="",FALSE,TRUE),exact(Metadata!G312,"1436733"))</f>
        <v>0</v>
      </c>
    </row>
    <row r="313" spans="1:23">
      <c r="A313" s="4">
        <f>IF(B313=" "," ",HYPERLINK(CONCATENATE("#metadata!",ADDRESS(INDEX($M$2:$M$1001,MATCH(ROWS($K$2:K313),$K$2:$K$1001,0),0),1)),INDEX($P$2:$P$1001,MATCH(ROWS($K$2:K313),$K$2:$K$1001,0),0)))</f>
        <v>0</v>
      </c>
      <c r="B313" s="3">
        <f>IF(OR(INDEX($L$2:$L$1001,MATCH(ROWS($K$2:K313),$K$2:$K$1001,0),1)&gt;=100000,INDEX($R$1005:$W$1005,1,MATCH(COLUMNS($R$1006:R1006),$R$1006:$W$1006,0))&gt;=100000), " ",IF(INDEX($R$2:$W$1001,MATCH(ROWS($K$2:K313),$K$2:$K$1001,0),MATCH(COLUMNS($R$1006:R1006),$R$1006:$W$1006,0)), HYPERLINK("#",""), HYPERLINK(CONCATENATE("#Metadata!", ADDRESS(INDEX($M$2:$M$1001,MATCH(ROWS($K$2:K313),$K$2:$K$1001,0),0), INDEX($R$1004:$W$1004,1,MATCH(COLUMNS($R$1006:R1006),$R$1006:$W$1006,0)))),"Fix")))</f>
        <v>0</v>
      </c>
      <c r="C313" s="3">
        <f>IF(OR(INDEX($L$2:$L$1001,MATCH(ROWS($K$2:K313),$K$2:$K$1001,0),1)&gt;=100000,INDEX($R$1005:$W$1005,1,MATCH(COLUMNS($R$1006:S1006),$R$1006:$W$1006,0))&gt;=100000), " ",IF(INDEX($R$2:$W$1001,MATCH(ROWS($K$2:K313),$K$2:$K$1001,0),MATCH(COLUMNS($R$1006:S1006),$R$1006:$W$1006,0)), HYPERLINK("#",""), HYPERLINK(CONCATENATE("#Metadata!", ADDRESS(INDEX($M$2:$M$1001,MATCH(ROWS($K$2:K313),$K$2:$K$1001,0),0), INDEX($R$1004:$W$1004,1,MATCH(COLUMNS($R$1006:S1006),$R$1006:$W$1006,0)))),"Fix")))</f>
        <v>0</v>
      </c>
      <c r="D313" s="3">
        <f>IF(OR(INDEX($L$2:$L$1001,MATCH(ROWS($K$2:K313),$K$2:$K$1001,0),1)&gt;=100000,INDEX($R$1005:$W$1005,1,MATCH(COLUMNS($R$1006:T1006),$R$1006:$W$1006,0))&gt;=100000), " ",IF(INDEX($R$2:$W$1001,MATCH(ROWS($K$2:K313),$K$2:$K$1001,0),MATCH(COLUMNS($R$1006:T1006),$R$1006:$W$1006,0)), HYPERLINK("#",""), HYPERLINK(CONCATENATE("#Metadata!", ADDRESS(INDEX($M$2:$M$1001,MATCH(ROWS($K$2:K313),$K$2:$K$1001,0),0), INDEX($R$1004:$W$1004,1,MATCH(COLUMNS($R$1006:T1006),$R$1006:$W$1006,0)))),"Fix")))</f>
        <v>0</v>
      </c>
      <c r="E313" s="3">
        <f>IF(OR(INDEX($L$2:$L$1001,MATCH(ROWS($K$2:K313),$K$2:$K$1001,0),1)&gt;=100000,INDEX($R$1005:$W$1005,1,MATCH(COLUMNS($R$1006:U1006),$R$1006:$W$1006,0))&gt;=100000), " ",IF(INDEX($R$2:$W$1001,MATCH(ROWS($K$2:K313),$K$2:$K$1001,0),MATCH(COLUMNS($R$1006:U1006),$R$1006:$W$1006,0)), HYPERLINK("#",""), HYPERLINK(CONCATENATE("#Metadata!", ADDRESS(INDEX($M$2:$M$1001,MATCH(ROWS($K$2:K313),$K$2:$K$1001,0),0), INDEX($R$1004:$W$1004,1,MATCH(COLUMNS($R$1006:U1006),$R$1006:$W$1006,0)))),"Fix")))</f>
        <v>0</v>
      </c>
      <c r="F313" s="3">
        <f>IF(OR(INDEX($L$2:$L$1001,MATCH(ROWS($K$2:K313),$K$2:$K$1001,0),1)&gt;=100000,INDEX($R$1005:$W$1005,1,MATCH(COLUMNS($R$1006:V1006),$R$1006:$W$1006,0))&gt;=100000), " ",IF(INDEX($R$2:$W$1001,MATCH(ROWS($K$2:K313),$K$2:$K$1001,0),MATCH(COLUMNS($R$1006:V1006),$R$1006:$W$1006,0)), HYPERLINK("#",""), HYPERLINK(CONCATENATE("#Metadata!", ADDRESS(INDEX($M$2:$M$1001,MATCH(ROWS($K$2:K313),$K$2:$K$1001,0),0), INDEX($R$1004:$W$1004,1,MATCH(COLUMNS($R$1006:V1006),$R$1006:$W$1006,0)))),"Fix")))</f>
        <v>0</v>
      </c>
      <c r="G313" s="3">
        <f>IF(OR(INDEX($L$2:$L$1001,MATCH(ROWS($K$2:K313),$K$2:$K$1001,0),1)&gt;=100000,INDEX($R$1005:$W$1005,1,MATCH(COLUMNS($R$1006:W1006),$R$1006:$W$1006,0))&gt;=100000), " ",IF(INDEX($R$2:$W$1001,MATCH(ROWS($K$2:K313),$K$2:$K$1001,0),MATCH(COLUMNS($R$1006:W1006),$R$1006:$W$1006,0)), HYPERLINK("#",""), HYPERLINK(CONCATENATE("#Metadata!", ADDRESS(INDEX($M$2:$M$1001,MATCH(ROWS($K$2:K313),$K$2:$K$1001,0),0), INDEX($R$1004:$W$1004,1,MATCH(COLUMNS($R$1006:W1006),$R$1006:$W$1006,0)))),"Fix")))</f>
        <v>0</v>
      </c>
      <c r="K313">
        <v>0</v>
      </c>
      <c r="L313">
        <v>0</v>
      </c>
      <c r="M313">
        <v>0</v>
      </c>
      <c r="N313">
        <f>IF(O313,TRUE,AND(R313:W313))</f>
        <v>0</v>
      </c>
      <c r="O313">
        <f>COUNTBLANK(Metadata!B313:G313)=COLUMNS(Metadata!B313:G313)</f>
        <v>0</v>
      </c>
      <c r="P313">
        <v>0</v>
      </c>
      <c r="R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S313">
        <f>IF(Metadata!C313="",FALSE,TRUE)</f>
        <v>0</v>
      </c>
      <c r="T313">
        <f>IF(Metadata!D313="",FALSE,TRUE)</f>
        <v>0</v>
      </c>
      <c r="U313">
        <f>IF(Metadata!E313="",FALSE,TRUE)</f>
        <v>0</v>
      </c>
      <c r="V313">
        <f>AND(IF(Metadata!F313="",FALSE,TRUE),exact(Metadata!F313,"rat gut metagenome"))</f>
        <v>0</v>
      </c>
      <c r="W313">
        <f>AND(IF(Metadata!G313="",FALSE,TRUE),exact(Metadata!G313,"1436733"))</f>
        <v>0</v>
      </c>
    </row>
    <row r="314" spans="1:23">
      <c r="A314" s="4">
        <f>IF(B314=" "," ",HYPERLINK(CONCATENATE("#metadata!",ADDRESS(INDEX($M$2:$M$1001,MATCH(ROWS($K$2:K314),$K$2:$K$1001,0),0),1)),INDEX($P$2:$P$1001,MATCH(ROWS($K$2:K314),$K$2:$K$1001,0),0)))</f>
        <v>0</v>
      </c>
      <c r="B314" s="3">
        <f>IF(OR(INDEX($L$2:$L$1001,MATCH(ROWS($K$2:K314),$K$2:$K$1001,0),1)&gt;=100000,INDEX($R$1005:$W$1005,1,MATCH(COLUMNS($R$1006:R1006),$R$1006:$W$1006,0))&gt;=100000), " ",IF(INDEX($R$2:$W$1001,MATCH(ROWS($K$2:K314),$K$2:$K$1001,0),MATCH(COLUMNS($R$1006:R1006),$R$1006:$W$1006,0)), HYPERLINK("#",""), HYPERLINK(CONCATENATE("#Metadata!", ADDRESS(INDEX($M$2:$M$1001,MATCH(ROWS($K$2:K314),$K$2:$K$1001,0),0), INDEX($R$1004:$W$1004,1,MATCH(COLUMNS($R$1006:R1006),$R$1006:$W$1006,0)))),"Fix")))</f>
        <v>0</v>
      </c>
      <c r="C314" s="3">
        <f>IF(OR(INDEX($L$2:$L$1001,MATCH(ROWS($K$2:K314),$K$2:$K$1001,0),1)&gt;=100000,INDEX($R$1005:$W$1005,1,MATCH(COLUMNS($R$1006:S1006),$R$1006:$W$1006,0))&gt;=100000), " ",IF(INDEX($R$2:$W$1001,MATCH(ROWS($K$2:K314),$K$2:$K$1001,0),MATCH(COLUMNS($R$1006:S1006),$R$1006:$W$1006,0)), HYPERLINK("#",""), HYPERLINK(CONCATENATE("#Metadata!", ADDRESS(INDEX($M$2:$M$1001,MATCH(ROWS($K$2:K314),$K$2:$K$1001,0),0), INDEX($R$1004:$W$1004,1,MATCH(COLUMNS($R$1006:S1006),$R$1006:$W$1006,0)))),"Fix")))</f>
        <v>0</v>
      </c>
      <c r="D314" s="3">
        <f>IF(OR(INDEX($L$2:$L$1001,MATCH(ROWS($K$2:K314),$K$2:$K$1001,0),1)&gt;=100000,INDEX($R$1005:$W$1005,1,MATCH(COLUMNS($R$1006:T1006),$R$1006:$W$1006,0))&gt;=100000), " ",IF(INDEX($R$2:$W$1001,MATCH(ROWS($K$2:K314),$K$2:$K$1001,0),MATCH(COLUMNS($R$1006:T1006),$R$1006:$W$1006,0)), HYPERLINK("#",""), HYPERLINK(CONCATENATE("#Metadata!", ADDRESS(INDEX($M$2:$M$1001,MATCH(ROWS($K$2:K314),$K$2:$K$1001,0),0), INDEX($R$1004:$W$1004,1,MATCH(COLUMNS($R$1006:T1006),$R$1006:$W$1006,0)))),"Fix")))</f>
        <v>0</v>
      </c>
      <c r="E314" s="3">
        <f>IF(OR(INDEX($L$2:$L$1001,MATCH(ROWS($K$2:K314),$K$2:$K$1001,0),1)&gt;=100000,INDEX($R$1005:$W$1005,1,MATCH(COLUMNS($R$1006:U1006),$R$1006:$W$1006,0))&gt;=100000), " ",IF(INDEX($R$2:$W$1001,MATCH(ROWS($K$2:K314),$K$2:$K$1001,0),MATCH(COLUMNS($R$1006:U1006),$R$1006:$W$1006,0)), HYPERLINK("#",""), HYPERLINK(CONCATENATE("#Metadata!", ADDRESS(INDEX($M$2:$M$1001,MATCH(ROWS($K$2:K314),$K$2:$K$1001,0),0), INDEX($R$1004:$W$1004,1,MATCH(COLUMNS($R$1006:U1006),$R$1006:$W$1006,0)))),"Fix")))</f>
        <v>0</v>
      </c>
      <c r="F314" s="3">
        <f>IF(OR(INDEX($L$2:$L$1001,MATCH(ROWS($K$2:K314),$K$2:$K$1001,0),1)&gt;=100000,INDEX($R$1005:$W$1005,1,MATCH(COLUMNS($R$1006:V1006),$R$1006:$W$1006,0))&gt;=100000), " ",IF(INDEX($R$2:$W$1001,MATCH(ROWS($K$2:K314),$K$2:$K$1001,0),MATCH(COLUMNS($R$1006:V1006),$R$1006:$W$1006,0)), HYPERLINK("#",""), HYPERLINK(CONCATENATE("#Metadata!", ADDRESS(INDEX($M$2:$M$1001,MATCH(ROWS($K$2:K314),$K$2:$K$1001,0),0), INDEX($R$1004:$W$1004,1,MATCH(COLUMNS($R$1006:V1006),$R$1006:$W$1006,0)))),"Fix")))</f>
        <v>0</v>
      </c>
      <c r="G314" s="3">
        <f>IF(OR(INDEX($L$2:$L$1001,MATCH(ROWS($K$2:K314),$K$2:$K$1001,0),1)&gt;=100000,INDEX($R$1005:$W$1005,1,MATCH(COLUMNS($R$1006:W1006),$R$1006:$W$1006,0))&gt;=100000), " ",IF(INDEX($R$2:$W$1001,MATCH(ROWS($K$2:K314),$K$2:$K$1001,0),MATCH(COLUMNS($R$1006:W1006),$R$1006:$W$1006,0)), HYPERLINK("#",""), HYPERLINK(CONCATENATE("#Metadata!", ADDRESS(INDEX($M$2:$M$1001,MATCH(ROWS($K$2:K314),$K$2:$K$1001,0),0), INDEX($R$1004:$W$1004,1,MATCH(COLUMNS($R$1006:W1006),$R$1006:$W$1006,0)))),"Fix")))</f>
        <v>0</v>
      </c>
      <c r="K314">
        <v>0</v>
      </c>
      <c r="L314">
        <v>0</v>
      </c>
      <c r="M314">
        <v>0</v>
      </c>
      <c r="N314">
        <f>IF(O314,TRUE,AND(R314:W314))</f>
        <v>0</v>
      </c>
      <c r="O314">
        <f>COUNTBLANK(Metadata!B314:G314)=COLUMNS(Metadata!B314:G314)</f>
        <v>0</v>
      </c>
      <c r="P314">
        <v>0</v>
      </c>
      <c r="R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S314">
        <f>IF(Metadata!C314="",FALSE,TRUE)</f>
        <v>0</v>
      </c>
      <c r="T314">
        <f>IF(Metadata!D314="",FALSE,TRUE)</f>
        <v>0</v>
      </c>
      <c r="U314">
        <f>IF(Metadata!E314="",FALSE,TRUE)</f>
        <v>0</v>
      </c>
      <c r="V314">
        <f>AND(IF(Metadata!F314="",FALSE,TRUE),exact(Metadata!F314,"rat gut metagenome"))</f>
        <v>0</v>
      </c>
      <c r="W314">
        <f>AND(IF(Metadata!G314="",FALSE,TRUE),exact(Metadata!G314,"1436733"))</f>
        <v>0</v>
      </c>
    </row>
    <row r="315" spans="1:23">
      <c r="A315" s="4">
        <f>IF(B315=" "," ",HYPERLINK(CONCATENATE("#metadata!",ADDRESS(INDEX($M$2:$M$1001,MATCH(ROWS($K$2:K315),$K$2:$K$1001,0),0),1)),INDEX($P$2:$P$1001,MATCH(ROWS($K$2:K315),$K$2:$K$1001,0),0)))</f>
        <v>0</v>
      </c>
      <c r="B315" s="3">
        <f>IF(OR(INDEX($L$2:$L$1001,MATCH(ROWS($K$2:K315),$K$2:$K$1001,0),1)&gt;=100000,INDEX($R$1005:$W$1005,1,MATCH(COLUMNS($R$1006:R1006),$R$1006:$W$1006,0))&gt;=100000), " ",IF(INDEX($R$2:$W$1001,MATCH(ROWS($K$2:K315),$K$2:$K$1001,0),MATCH(COLUMNS($R$1006:R1006),$R$1006:$W$1006,0)), HYPERLINK("#",""), HYPERLINK(CONCATENATE("#Metadata!", ADDRESS(INDEX($M$2:$M$1001,MATCH(ROWS($K$2:K315),$K$2:$K$1001,0),0), INDEX($R$1004:$W$1004,1,MATCH(COLUMNS($R$1006:R1006),$R$1006:$W$1006,0)))),"Fix")))</f>
        <v>0</v>
      </c>
      <c r="C315" s="3">
        <f>IF(OR(INDEX($L$2:$L$1001,MATCH(ROWS($K$2:K315),$K$2:$K$1001,0),1)&gt;=100000,INDEX($R$1005:$W$1005,1,MATCH(COLUMNS($R$1006:S1006),$R$1006:$W$1006,0))&gt;=100000), " ",IF(INDEX($R$2:$W$1001,MATCH(ROWS($K$2:K315),$K$2:$K$1001,0),MATCH(COLUMNS($R$1006:S1006),$R$1006:$W$1006,0)), HYPERLINK("#",""), HYPERLINK(CONCATENATE("#Metadata!", ADDRESS(INDEX($M$2:$M$1001,MATCH(ROWS($K$2:K315),$K$2:$K$1001,0),0), INDEX($R$1004:$W$1004,1,MATCH(COLUMNS($R$1006:S1006),$R$1006:$W$1006,0)))),"Fix")))</f>
        <v>0</v>
      </c>
      <c r="D315" s="3">
        <f>IF(OR(INDEX($L$2:$L$1001,MATCH(ROWS($K$2:K315),$K$2:$K$1001,0),1)&gt;=100000,INDEX($R$1005:$W$1005,1,MATCH(COLUMNS($R$1006:T1006),$R$1006:$W$1006,0))&gt;=100000), " ",IF(INDEX($R$2:$W$1001,MATCH(ROWS($K$2:K315),$K$2:$K$1001,0),MATCH(COLUMNS($R$1006:T1006),$R$1006:$W$1006,0)), HYPERLINK("#",""), HYPERLINK(CONCATENATE("#Metadata!", ADDRESS(INDEX($M$2:$M$1001,MATCH(ROWS($K$2:K315),$K$2:$K$1001,0),0), INDEX($R$1004:$W$1004,1,MATCH(COLUMNS($R$1006:T1006),$R$1006:$W$1006,0)))),"Fix")))</f>
        <v>0</v>
      </c>
      <c r="E315" s="3">
        <f>IF(OR(INDEX($L$2:$L$1001,MATCH(ROWS($K$2:K315),$K$2:$K$1001,0),1)&gt;=100000,INDEX($R$1005:$W$1005,1,MATCH(COLUMNS($R$1006:U1006),$R$1006:$W$1006,0))&gt;=100000), " ",IF(INDEX($R$2:$W$1001,MATCH(ROWS($K$2:K315),$K$2:$K$1001,0),MATCH(COLUMNS($R$1006:U1006),$R$1006:$W$1006,0)), HYPERLINK("#",""), HYPERLINK(CONCATENATE("#Metadata!", ADDRESS(INDEX($M$2:$M$1001,MATCH(ROWS($K$2:K315),$K$2:$K$1001,0),0), INDEX($R$1004:$W$1004,1,MATCH(COLUMNS($R$1006:U1006),$R$1006:$W$1006,0)))),"Fix")))</f>
        <v>0</v>
      </c>
      <c r="F315" s="3">
        <f>IF(OR(INDEX($L$2:$L$1001,MATCH(ROWS($K$2:K315),$K$2:$K$1001,0),1)&gt;=100000,INDEX($R$1005:$W$1005,1,MATCH(COLUMNS($R$1006:V1006),$R$1006:$W$1006,0))&gt;=100000), " ",IF(INDEX($R$2:$W$1001,MATCH(ROWS($K$2:K315),$K$2:$K$1001,0),MATCH(COLUMNS($R$1006:V1006),$R$1006:$W$1006,0)), HYPERLINK("#",""), HYPERLINK(CONCATENATE("#Metadata!", ADDRESS(INDEX($M$2:$M$1001,MATCH(ROWS($K$2:K315),$K$2:$K$1001,0),0), INDEX($R$1004:$W$1004,1,MATCH(COLUMNS($R$1006:V1006),$R$1006:$W$1006,0)))),"Fix")))</f>
        <v>0</v>
      </c>
      <c r="G315" s="3">
        <f>IF(OR(INDEX($L$2:$L$1001,MATCH(ROWS($K$2:K315),$K$2:$K$1001,0),1)&gt;=100000,INDEX($R$1005:$W$1005,1,MATCH(COLUMNS($R$1006:W1006),$R$1006:$W$1006,0))&gt;=100000), " ",IF(INDEX($R$2:$W$1001,MATCH(ROWS($K$2:K315),$K$2:$K$1001,0),MATCH(COLUMNS($R$1006:W1006),$R$1006:$W$1006,0)), HYPERLINK("#",""), HYPERLINK(CONCATENATE("#Metadata!", ADDRESS(INDEX($M$2:$M$1001,MATCH(ROWS($K$2:K315),$K$2:$K$1001,0),0), INDEX($R$1004:$W$1004,1,MATCH(COLUMNS($R$1006:W1006),$R$1006:$W$1006,0)))),"Fix")))</f>
        <v>0</v>
      </c>
      <c r="K315">
        <v>0</v>
      </c>
      <c r="L315">
        <v>0</v>
      </c>
      <c r="M315">
        <v>0</v>
      </c>
      <c r="N315">
        <f>IF(O315,TRUE,AND(R315:W315))</f>
        <v>0</v>
      </c>
      <c r="O315">
        <f>COUNTBLANK(Metadata!B315:G315)=COLUMNS(Metadata!B315:G315)</f>
        <v>0</v>
      </c>
      <c r="P315">
        <v>0</v>
      </c>
      <c r="R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S315">
        <f>IF(Metadata!C315="",FALSE,TRUE)</f>
        <v>0</v>
      </c>
      <c r="T315">
        <f>IF(Metadata!D315="",FALSE,TRUE)</f>
        <v>0</v>
      </c>
      <c r="U315">
        <f>IF(Metadata!E315="",FALSE,TRUE)</f>
        <v>0</v>
      </c>
      <c r="V315">
        <f>AND(IF(Metadata!F315="",FALSE,TRUE),exact(Metadata!F315,"rat gut metagenome"))</f>
        <v>0</v>
      </c>
      <c r="W315">
        <f>AND(IF(Metadata!G315="",FALSE,TRUE),exact(Metadata!G315,"1436733"))</f>
        <v>0</v>
      </c>
    </row>
    <row r="316" spans="1:23">
      <c r="A316" s="4">
        <f>IF(B316=" "," ",HYPERLINK(CONCATENATE("#metadata!",ADDRESS(INDEX($M$2:$M$1001,MATCH(ROWS($K$2:K316),$K$2:$K$1001,0),0),1)),INDEX($P$2:$P$1001,MATCH(ROWS($K$2:K316),$K$2:$K$1001,0),0)))</f>
        <v>0</v>
      </c>
      <c r="B316" s="3">
        <f>IF(OR(INDEX($L$2:$L$1001,MATCH(ROWS($K$2:K316),$K$2:$K$1001,0),1)&gt;=100000,INDEX($R$1005:$W$1005,1,MATCH(COLUMNS($R$1006:R1006),$R$1006:$W$1006,0))&gt;=100000), " ",IF(INDEX($R$2:$W$1001,MATCH(ROWS($K$2:K316),$K$2:$K$1001,0),MATCH(COLUMNS($R$1006:R1006),$R$1006:$W$1006,0)), HYPERLINK("#",""), HYPERLINK(CONCATENATE("#Metadata!", ADDRESS(INDEX($M$2:$M$1001,MATCH(ROWS($K$2:K316),$K$2:$K$1001,0),0), INDEX($R$1004:$W$1004,1,MATCH(COLUMNS($R$1006:R1006),$R$1006:$W$1006,0)))),"Fix")))</f>
        <v>0</v>
      </c>
      <c r="C316" s="3">
        <f>IF(OR(INDEX($L$2:$L$1001,MATCH(ROWS($K$2:K316),$K$2:$K$1001,0),1)&gt;=100000,INDEX($R$1005:$W$1005,1,MATCH(COLUMNS($R$1006:S1006),$R$1006:$W$1006,0))&gt;=100000), " ",IF(INDEX($R$2:$W$1001,MATCH(ROWS($K$2:K316),$K$2:$K$1001,0),MATCH(COLUMNS($R$1006:S1006),$R$1006:$W$1006,0)), HYPERLINK("#",""), HYPERLINK(CONCATENATE("#Metadata!", ADDRESS(INDEX($M$2:$M$1001,MATCH(ROWS($K$2:K316),$K$2:$K$1001,0),0), INDEX($R$1004:$W$1004,1,MATCH(COLUMNS($R$1006:S1006),$R$1006:$W$1006,0)))),"Fix")))</f>
        <v>0</v>
      </c>
      <c r="D316" s="3">
        <f>IF(OR(INDEX($L$2:$L$1001,MATCH(ROWS($K$2:K316),$K$2:$K$1001,0),1)&gt;=100000,INDEX($R$1005:$W$1005,1,MATCH(COLUMNS($R$1006:T1006),$R$1006:$W$1006,0))&gt;=100000), " ",IF(INDEX($R$2:$W$1001,MATCH(ROWS($K$2:K316),$K$2:$K$1001,0),MATCH(COLUMNS($R$1006:T1006),$R$1006:$W$1006,0)), HYPERLINK("#",""), HYPERLINK(CONCATENATE("#Metadata!", ADDRESS(INDEX($M$2:$M$1001,MATCH(ROWS($K$2:K316),$K$2:$K$1001,0),0), INDEX($R$1004:$W$1004,1,MATCH(COLUMNS($R$1006:T1006),$R$1006:$W$1006,0)))),"Fix")))</f>
        <v>0</v>
      </c>
      <c r="E316" s="3">
        <f>IF(OR(INDEX($L$2:$L$1001,MATCH(ROWS($K$2:K316),$K$2:$K$1001,0),1)&gt;=100000,INDEX($R$1005:$W$1005,1,MATCH(COLUMNS($R$1006:U1006),$R$1006:$W$1006,0))&gt;=100000), " ",IF(INDEX($R$2:$W$1001,MATCH(ROWS($K$2:K316),$K$2:$K$1001,0),MATCH(COLUMNS($R$1006:U1006),$R$1006:$W$1006,0)), HYPERLINK("#",""), HYPERLINK(CONCATENATE("#Metadata!", ADDRESS(INDEX($M$2:$M$1001,MATCH(ROWS($K$2:K316),$K$2:$K$1001,0),0), INDEX($R$1004:$W$1004,1,MATCH(COLUMNS($R$1006:U1006),$R$1006:$W$1006,0)))),"Fix")))</f>
        <v>0</v>
      </c>
      <c r="F316" s="3">
        <f>IF(OR(INDEX($L$2:$L$1001,MATCH(ROWS($K$2:K316),$K$2:$K$1001,0),1)&gt;=100000,INDEX($R$1005:$W$1005,1,MATCH(COLUMNS($R$1006:V1006),$R$1006:$W$1006,0))&gt;=100000), " ",IF(INDEX($R$2:$W$1001,MATCH(ROWS($K$2:K316),$K$2:$K$1001,0),MATCH(COLUMNS($R$1006:V1006),$R$1006:$W$1006,0)), HYPERLINK("#",""), HYPERLINK(CONCATENATE("#Metadata!", ADDRESS(INDEX($M$2:$M$1001,MATCH(ROWS($K$2:K316),$K$2:$K$1001,0),0), INDEX($R$1004:$W$1004,1,MATCH(COLUMNS($R$1006:V1006),$R$1006:$W$1006,0)))),"Fix")))</f>
        <v>0</v>
      </c>
      <c r="G316" s="3">
        <f>IF(OR(INDEX($L$2:$L$1001,MATCH(ROWS($K$2:K316),$K$2:$K$1001,0),1)&gt;=100000,INDEX($R$1005:$W$1005,1,MATCH(COLUMNS($R$1006:W1006),$R$1006:$W$1006,0))&gt;=100000), " ",IF(INDEX($R$2:$W$1001,MATCH(ROWS($K$2:K316),$K$2:$K$1001,0),MATCH(COLUMNS($R$1006:W1006),$R$1006:$W$1006,0)), HYPERLINK("#",""), HYPERLINK(CONCATENATE("#Metadata!", ADDRESS(INDEX($M$2:$M$1001,MATCH(ROWS($K$2:K316),$K$2:$K$1001,0),0), INDEX($R$1004:$W$1004,1,MATCH(COLUMNS($R$1006:W1006),$R$1006:$W$1006,0)))),"Fix")))</f>
        <v>0</v>
      </c>
      <c r="K316">
        <v>0</v>
      </c>
      <c r="L316">
        <v>0</v>
      </c>
      <c r="M316">
        <v>0</v>
      </c>
      <c r="N316">
        <f>IF(O316,TRUE,AND(R316:W316))</f>
        <v>0</v>
      </c>
      <c r="O316">
        <f>COUNTBLANK(Metadata!B316:G316)=COLUMNS(Metadata!B316:G316)</f>
        <v>0</v>
      </c>
      <c r="P316">
        <v>0</v>
      </c>
      <c r="R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S316">
        <f>IF(Metadata!C316="",FALSE,TRUE)</f>
        <v>0</v>
      </c>
      <c r="T316">
        <f>IF(Metadata!D316="",FALSE,TRUE)</f>
        <v>0</v>
      </c>
      <c r="U316">
        <f>IF(Metadata!E316="",FALSE,TRUE)</f>
        <v>0</v>
      </c>
      <c r="V316">
        <f>AND(IF(Metadata!F316="",FALSE,TRUE),exact(Metadata!F316,"rat gut metagenome"))</f>
        <v>0</v>
      </c>
      <c r="W316">
        <f>AND(IF(Metadata!G316="",FALSE,TRUE),exact(Metadata!G316,"1436733"))</f>
        <v>0</v>
      </c>
    </row>
    <row r="317" spans="1:23">
      <c r="A317" s="4">
        <f>IF(B317=" "," ",HYPERLINK(CONCATENATE("#metadata!",ADDRESS(INDEX($M$2:$M$1001,MATCH(ROWS($K$2:K317),$K$2:$K$1001,0),0),1)),INDEX($P$2:$P$1001,MATCH(ROWS($K$2:K317),$K$2:$K$1001,0),0)))</f>
        <v>0</v>
      </c>
      <c r="B317" s="3">
        <f>IF(OR(INDEX($L$2:$L$1001,MATCH(ROWS($K$2:K317),$K$2:$K$1001,0),1)&gt;=100000,INDEX($R$1005:$W$1005,1,MATCH(COLUMNS($R$1006:R1006),$R$1006:$W$1006,0))&gt;=100000), " ",IF(INDEX($R$2:$W$1001,MATCH(ROWS($K$2:K317),$K$2:$K$1001,0),MATCH(COLUMNS($R$1006:R1006),$R$1006:$W$1006,0)), HYPERLINK("#",""), HYPERLINK(CONCATENATE("#Metadata!", ADDRESS(INDEX($M$2:$M$1001,MATCH(ROWS($K$2:K317),$K$2:$K$1001,0),0), INDEX($R$1004:$W$1004,1,MATCH(COLUMNS($R$1006:R1006),$R$1006:$W$1006,0)))),"Fix")))</f>
        <v>0</v>
      </c>
      <c r="C317" s="3">
        <f>IF(OR(INDEX($L$2:$L$1001,MATCH(ROWS($K$2:K317),$K$2:$K$1001,0),1)&gt;=100000,INDEX($R$1005:$W$1005,1,MATCH(COLUMNS($R$1006:S1006),$R$1006:$W$1006,0))&gt;=100000), " ",IF(INDEX($R$2:$W$1001,MATCH(ROWS($K$2:K317),$K$2:$K$1001,0),MATCH(COLUMNS($R$1006:S1006),$R$1006:$W$1006,0)), HYPERLINK("#",""), HYPERLINK(CONCATENATE("#Metadata!", ADDRESS(INDEX($M$2:$M$1001,MATCH(ROWS($K$2:K317),$K$2:$K$1001,0),0), INDEX($R$1004:$W$1004,1,MATCH(COLUMNS($R$1006:S1006),$R$1006:$W$1006,0)))),"Fix")))</f>
        <v>0</v>
      </c>
      <c r="D317" s="3">
        <f>IF(OR(INDEX($L$2:$L$1001,MATCH(ROWS($K$2:K317),$K$2:$K$1001,0),1)&gt;=100000,INDEX($R$1005:$W$1005,1,MATCH(COLUMNS($R$1006:T1006),$R$1006:$W$1006,0))&gt;=100000), " ",IF(INDEX($R$2:$W$1001,MATCH(ROWS($K$2:K317),$K$2:$K$1001,0),MATCH(COLUMNS($R$1006:T1006),$R$1006:$W$1006,0)), HYPERLINK("#",""), HYPERLINK(CONCATENATE("#Metadata!", ADDRESS(INDEX($M$2:$M$1001,MATCH(ROWS($K$2:K317),$K$2:$K$1001,0),0), INDEX($R$1004:$W$1004,1,MATCH(COLUMNS($R$1006:T1006),$R$1006:$W$1006,0)))),"Fix")))</f>
        <v>0</v>
      </c>
      <c r="E317" s="3">
        <f>IF(OR(INDEX($L$2:$L$1001,MATCH(ROWS($K$2:K317),$K$2:$K$1001,0),1)&gt;=100000,INDEX($R$1005:$W$1005,1,MATCH(COLUMNS($R$1006:U1006),$R$1006:$W$1006,0))&gt;=100000), " ",IF(INDEX($R$2:$W$1001,MATCH(ROWS($K$2:K317),$K$2:$K$1001,0),MATCH(COLUMNS($R$1006:U1006),$R$1006:$W$1006,0)), HYPERLINK("#",""), HYPERLINK(CONCATENATE("#Metadata!", ADDRESS(INDEX($M$2:$M$1001,MATCH(ROWS($K$2:K317),$K$2:$K$1001,0),0), INDEX($R$1004:$W$1004,1,MATCH(COLUMNS($R$1006:U1006),$R$1006:$W$1006,0)))),"Fix")))</f>
        <v>0</v>
      </c>
      <c r="F317" s="3">
        <f>IF(OR(INDEX($L$2:$L$1001,MATCH(ROWS($K$2:K317),$K$2:$K$1001,0),1)&gt;=100000,INDEX($R$1005:$W$1005,1,MATCH(COLUMNS($R$1006:V1006),$R$1006:$W$1006,0))&gt;=100000), " ",IF(INDEX($R$2:$W$1001,MATCH(ROWS($K$2:K317),$K$2:$K$1001,0),MATCH(COLUMNS($R$1006:V1006),$R$1006:$W$1006,0)), HYPERLINK("#",""), HYPERLINK(CONCATENATE("#Metadata!", ADDRESS(INDEX($M$2:$M$1001,MATCH(ROWS($K$2:K317),$K$2:$K$1001,0),0), INDEX($R$1004:$W$1004,1,MATCH(COLUMNS($R$1006:V1006),$R$1006:$W$1006,0)))),"Fix")))</f>
        <v>0</v>
      </c>
      <c r="G317" s="3">
        <f>IF(OR(INDEX($L$2:$L$1001,MATCH(ROWS($K$2:K317),$K$2:$K$1001,0),1)&gt;=100000,INDEX($R$1005:$W$1005,1,MATCH(COLUMNS($R$1006:W1006),$R$1006:$W$1006,0))&gt;=100000), " ",IF(INDEX($R$2:$W$1001,MATCH(ROWS($K$2:K317),$K$2:$K$1001,0),MATCH(COLUMNS($R$1006:W1006),$R$1006:$W$1006,0)), HYPERLINK("#",""), HYPERLINK(CONCATENATE("#Metadata!", ADDRESS(INDEX($M$2:$M$1001,MATCH(ROWS($K$2:K317),$K$2:$K$1001,0),0), INDEX($R$1004:$W$1004,1,MATCH(COLUMNS($R$1006:W1006),$R$1006:$W$1006,0)))),"Fix")))</f>
        <v>0</v>
      </c>
      <c r="K317">
        <v>0</v>
      </c>
      <c r="L317">
        <v>0</v>
      </c>
      <c r="M317">
        <v>0</v>
      </c>
      <c r="N317">
        <f>IF(O317,TRUE,AND(R317:W317))</f>
        <v>0</v>
      </c>
      <c r="O317">
        <f>COUNTBLANK(Metadata!B317:G317)=COLUMNS(Metadata!B317:G317)</f>
        <v>0</v>
      </c>
      <c r="P317">
        <v>0</v>
      </c>
      <c r="R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S317">
        <f>IF(Metadata!C317="",FALSE,TRUE)</f>
        <v>0</v>
      </c>
      <c r="T317">
        <f>IF(Metadata!D317="",FALSE,TRUE)</f>
        <v>0</v>
      </c>
      <c r="U317">
        <f>IF(Metadata!E317="",FALSE,TRUE)</f>
        <v>0</v>
      </c>
      <c r="V317">
        <f>AND(IF(Metadata!F317="",FALSE,TRUE),exact(Metadata!F317,"rat gut metagenome"))</f>
        <v>0</v>
      </c>
      <c r="W317">
        <f>AND(IF(Metadata!G317="",FALSE,TRUE),exact(Metadata!G317,"1436733"))</f>
        <v>0</v>
      </c>
    </row>
    <row r="318" spans="1:23">
      <c r="A318" s="4">
        <f>IF(B318=" "," ",HYPERLINK(CONCATENATE("#metadata!",ADDRESS(INDEX($M$2:$M$1001,MATCH(ROWS($K$2:K318),$K$2:$K$1001,0),0),1)),INDEX($P$2:$P$1001,MATCH(ROWS($K$2:K318),$K$2:$K$1001,0),0)))</f>
        <v>0</v>
      </c>
      <c r="B318" s="3">
        <f>IF(OR(INDEX($L$2:$L$1001,MATCH(ROWS($K$2:K318),$K$2:$K$1001,0),1)&gt;=100000,INDEX($R$1005:$W$1005,1,MATCH(COLUMNS($R$1006:R1006),$R$1006:$W$1006,0))&gt;=100000), " ",IF(INDEX($R$2:$W$1001,MATCH(ROWS($K$2:K318),$K$2:$K$1001,0),MATCH(COLUMNS($R$1006:R1006),$R$1006:$W$1006,0)), HYPERLINK("#",""), HYPERLINK(CONCATENATE("#Metadata!", ADDRESS(INDEX($M$2:$M$1001,MATCH(ROWS($K$2:K318),$K$2:$K$1001,0),0), INDEX($R$1004:$W$1004,1,MATCH(COLUMNS($R$1006:R1006),$R$1006:$W$1006,0)))),"Fix")))</f>
        <v>0</v>
      </c>
      <c r="C318" s="3">
        <f>IF(OR(INDEX($L$2:$L$1001,MATCH(ROWS($K$2:K318),$K$2:$K$1001,0),1)&gt;=100000,INDEX($R$1005:$W$1005,1,MATCH(COLUMNS($R$1006:S1006),$R$1006:$W$1006,0))&gt;=100000), " ",IF(INDEX($R$2:$W$1001,MATCH(ROWS($K$2:K318),$K$2:$K$1001,0),MATCH(COLUMNS($R$1006:S1006),$R$1006:$W$1006,0)), HYPERLINK("#",""), HYPERLINK(CONCATENATE("#Metadata!", ADDRESS(INDEX($M$2:$M$1001,MATCH(ROWS($K$2:K318),$K$2:$K$1001,0),0), INDEX($R$1004:$W$1004,1,MATCH(COLUMNS($R$1006:S1006),$R$1006:$W$1006,0)))),"Fix")))</f>
        <v>0</v>
      </c>
      <c r="D318" s="3">
        <f>IF(OR(INDEX($L$2:$L$1001,MATCH(ROWS($K$2:K318),$K$2:$K$1001,0),1)&gt;=100000,INDEX($R$1005:$W$1005,1,MATCH(COLUMNS($R$1006:T1006),$R$1006:$W$1006,0))&gt;=100000), " ",IF(INDEX($R$2:$W$1001,MATCH(ROWS($K$2:K318),$K$2:$K$1001,0),MATCH(COLUMNS($R$1006:T1006),$R$1006:$W$1006,0)), HYPERLINK("#",""), HYPERLINK(CONCATENATE("#Metadata!", ADDRESS(INDEX($M$2:$M$1001,MATCH(ROWS($K$2:K318),$K$2:$K$1001,0),0), INDEX($R$1004:$W$1004,1,MATCH(COLUMNS($R$1006:T1006),$R$1006:$W$1006,0)))),"Fix")))</f>
        <v>0</v>
      </c>
      <c r="E318" s="3">
        <f>IF(OR(INDEX($L$2:$L$1001,MATCH(ROWS($K$2:K318),$K$2:$K$1001,0),1)&gt;=100000,INDEX($R$1005:$W$1005,1,MATCH(COLUMNS($R$1006:U1006),$R$1006:$W$1006,0))&gt;=100000), " ",IF(INDEX($R$2:$W$1001,MATCH(ROWS($K$2:K318),$K$2:$K$1001,0),MATCH(COLUMNS($R$1006:U1006),$R$1006:$W$1006,0)), HYPERLINK("#",""), HYPERLINK(CONCATENATE("#Metadata!", ADDRESS(INDEX($M$2:$M$1001,MATCH(ROWS($K$2:K318),$K$2:$K$1001,0),0), INDEX($R$1004:$W$1004,1,MATCH(COLUMNS($R$1006:U1006),$R$1006:$W$1006,0)))),"Fix")))</f>
        <v>0</v>
      </c>
      <c r="F318" s="3">
        <f>IF(OR(INDEX($L$2:$L$1001,MATCH(ROWS($K$2:K318),$K$2:$K$1001,0),1)&gt;=100000,INDEX($R$1005:$W$1005,1,MATCH(COLUMNS($R$1006:V1006),$R$1006:$W$1006,0))&gt;=100000), " ",IF(INDEX($R$2:$W$1001,MATCH(ROWS($K$2:K318),$K$2:$K$1001,0),MATCH(COLUMNS($R$1006:V1006),$R$1006:$W$1006,0)), HYPERLINK("#",""), HYPERLINK(CONCATENATE("#Metadata!", ADDRESS(INDEX($M$2:$M$1001,MATCH(ROWS($K$2:K318),$K$2:$K$1001,0),0), INDEX($R$1004:$W$1004,1,MATCH(COLUMNS($R$1006:V1006),$R$1006:$W$1006,0)))),"Fix")))</f>
        <v>0</v>
      </c>
      <c r="G318" s="3">
        <f>IF(OR(INDEX($L$2:$L$1001,MATCH(ROWS($K$2:K318),$K$2:$K$1001,0),1)&gt;=100000,INDEX($R$1005:$W$1005,1,MATCH(COLUMNS($R$1006:W1006),$R$1006:$W$1006,0))&gt;=100000), " ",IF(INDEX($R$2:$W$1001,MATCH(ROWS($K$2:K318),$K$2:$K$1001,0),MATCH(COLUMNS($R$1006:W1006),$R$1006:$W$1006,0)), HYPERLINK("#",""), HYPERLINK(CONCATENATE("#Metadata!", ADDRESS(INDEX($M$2:$M$1001,MATCH(ROWS($K$2:K318),$K$2:$K$1001,0),0), INDEX($R$1004:$W$1004,1,MATCH(COLUMNS($R$1006:W1006),$R$1006:$W$1006,0)))),"Fix")))</f>
        <v>0</v>
      </c>
      <c r="K318">
        <v>0</v>
      </c>
      <c r="L318">
        <v>0</v>
      </c>
      <c r="M318">
        <v>0</v>
      </c>
      <c r="N318">
        <f>IF(O318,TRUE,AND(R318:W318))</f>
        <v>0</v>
      </c>
      <c r="O318">
        <f>COUNTBLANK(Metadata!B318:G318)=COLUMNS(Metadata!B318:G318)</f>
        <v>0</v>
      </c>
      <c r="P318">
        <v>0</v>
      </c>
      <c r="R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S318">
        <f>IF(Metadata!C318="",FALSE,TRUE)</f>
        <v>0</v>
      </c>
      <c r="T318">
        <f>IF(Metadata!D318="",FALSE,TRUE)</f>
        <v>0</v>
      </c>
      <c r="U318">
        <f>IF(Metadata!E318="",FALSE,TRUE)</f>
        <v>0</v>
      </c>
      <c r="V318">
        <f>AND(IF(Metadata!F318="",FALSE,TRUE),exact(Metadata!F318,"rat gut metagenome"))</f>
        <v>0</v>
      </c>
      <c r="W318">
        <f>AND(IF(Metadata!G318="",FALSE,TRUE),exact(Metadata!G318,"1436733"))</f>
        <v>0</v>
      </c>
    </row>
    <row r="319" spans="1:23">
      <c r="A319" s="4">
        <f>IF(B319=" "," ",HYPERLINK(CONCATENATE("#metadata!",ADDRESS(INDEX($M$2:$M$1001,MATCH(ROWS($K$2:K319),$K$2:$K$1001,0),0),1)),INDEX($P$2:$P$1001,MATCH(ROWS($K$2:K319),$K$2:$K$1001,0),0)))</f>
        <v>0</v>
      </c>
      <c r="B319" s="3">
        <f>IF(OR(INDEX($L$2:$L$1001,MATCH(ROWS($K$2:K319),$K$2:$K$1001,0),1)&gt;=100000,INDEX($R$1005:$W$1005,1,MATCH(COLUMNS($R$1006:R1006),$R$1006:$W$1006,0))&gt;=100000), " ",IF(INDEX($R$2:$W$1001,MATCH(ROWS($K$2:K319),$K$2:$K$1001,0),MATCH(COLUMNS($R$1006:R1006),$R$1006:$W$1006,0)), HYPERLINK("#",""), HYPERLINK(CONCATENATE("#Metadata!", ADDRESS(INDEX($M$2:$M$1001,MATCH(ROWS($K$2:K319),$K$2:$K$1001,0),0), INDEX($R$1004:$W$1004,1,MATCH(COLUMNS($R$1006:R1006),$R$1006:$W$1006,0)))),"Fix")))</f>
        <v>0</v>
      </c>
      <c r="C319" s="3">
        <f>IF(OR(INDEX($L$2:$L$1001,MATCH(ROWS($K$2:K319),$K$2:$K$1001,0),1)&gt;=100000,INDEX($R$1005:$W$1005,1,MATCH(COLUMNS($R$1006:S1006),$R$1006:$W$1006,0))&gt;=100000), " ",IF(INDEX($R$2:$W$1001,MATCH(ROWS($K$2:K319),$K$2:$K$1001,0),MATCH(COLUMNS($R$1006:S1006),$R$1006:$W$1006,0)), HYPERLINK("#",""), HYPERLINK(CONCATENATE("#Metadata!", ADDRESS(INDEX($M$2:$M$1001,MATCH(ROWS($K$2:K319),$K$2:$K$1001,0),0), INDEX($R$1004:$W$1004,1,MATCH(COLUMNS($R$1006:S1006),$R$1006:$W$1006,0)))),"Fix")))</f>
        <v>0</v>
      </c>
      <c r="D319" s="3">
        <f>IF(OR(INDEX($L$2:$L$1001,MATCH(ROWS($K$2:K319),$K$2:$K$1001,0),1)&gt;=100000,INDEX($R$1005:$W$1005,1,MATCH(COLUMNS($R$1006:T1006),$R$1006:$W$1006,0))&gt;=100000), " ",IF(INDEX($R$2:$W$1001,MATCH(ROWS($K$2:K319),$K$2:$K$1001,0),MATCH(COLUMNS($R$1006:T1006),$R$1006:$W$1006,0)), HYPERLINK("#",""), HYPERLINK(CONCATENATE("#Metadata!", ADDRESS(INDEX($M$2:$M$1001,MATCH(ROWS($K$2:K319),$K$2:$K$1001,0),0), INDEX($R$1004:$W$1004,1,MATCH(COLUMNS($R$1006:T1006),$R$1006:$W$1006,0)))),"Fix")))</f>
        <v>0</v>
      </c>
      <c r="E319" s="3">
        <f>IF(OR(INDEX($L$2:$L$1001,MATCH(ROWS($K$2:K319),$K$2:$K$1001,0),1)&gt;=100000,INDEX($R$1005:$W$1005,1,MATCH(COLUMNS($R$1006:U1006),$R$1006:$W$1006,0))&gt;=100000), " ",IF(INDEX($R$2:$W$1001,MATCH(ROWS($K$2:K319),$K$2:$K$1001,0),MATCH(COLUMNS($R$1006:U1006),$R$1006:$W$1006,0)), HYPERLINK("#",""), HYPERLINK(CONCATENATE("#Metadata!", ADDRESS(INDEX($M$2:$M$1001,MATCH(ROWS($K$2:K319),$K$2:$K$1001,0),0), INDEX($R$1004:$W$1004,1,MATCH(COLUMNS($R$1006:U1006),$R$1006:$W$1006,0)))),"Fix")))</f>
        <v>0</v>
      </c>
      <c r="F319" s="3">
        <f>IF(OR(INDEX($L$2:$L$1001,MATCH(ROWS($K$2:K319),$K$2:$K$1001,0),1)&gt;=100000,INDEX($R$1005:$W$1005,1,MATCH(COLUMNS($R$1006:V1006),$R$1006:$W$1006,0))&gt;=100000), " ",IF(INDEX($R$2:$W$1001,MATCH(ROWS($K$2:K319),$K$2:$K$1001,0),MATCH(COLUMNS($R$1006:V1006),$R$1006:$W$1006,0)), HYPERLINK("#",""), HYPERLINK(CONCATENATE("#Metadata!", ADDRESS(INDEX($M$2:$M$1001,MATCH(ROWS($K$2:K319),$K$2:$K$1001,0),0), INDEX($R$1004:$W$1004,1,MATCH(COLUMNS($R$1006:V1006),$R$1006:$W$1006,0)))),"Fix")))</f>
        <v>0</v>
      </c>
      <c r="G319" s="3">
        <f>IF(OR(INDEX($L$2:$L$1001,MATCH(ROWS($K$2:K319),$K$2:$K$1001,0),1)&gt;=100000,INDEX($R$1005:$W$1005,1,MATCH(COLUMNS($R$1006:W1006),$R$1006:$W$1006,0))&gt;=100000), " ",IF(INDEX($R$2:$W$1001,MATCH(ROWS($K$2:K319),$K$2:$K$1001,0),MATCH(COLUMNS($R$1006:W1006),$R$1006:$W$1006,0)), HYPERLINK("#",""), HYPERLINK(CONCATENATE("#Metadata!", ADDRESS(INDEX($M$2:$M$1001,MATCH(ROWS($K$2:K319),$K$2:$K$1001,0),0), INDEX($R$1004:$W$1004,1,MATCH(COLUMNS($R$1006:W1006),$R$1006:$W$1006,0)))),"Fix")))</f>
        <v>0</v>
      </c>
      <c r="K319">
        <v>0</v>
      </c>
      <c r="L319">
        <v>0</v>
      </c>
      <c r="M319">
        <v>0</v>
      </c>
      <c r="N319">
        <f>IF(O319,TRUE,AND(R319:W319))</f>
        <v>0</v>
      </c>
      <c r="O319">
        <f>COUNTBLANK(Metadata!B319:G319)=COLUMNS(Metadata!B319:G319)</f>
        <v>0</v>
      </c>
      <c r="P319">
        <v>0</v>
      </c>
      <c r="R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S319">
        <f>IF(Metadata!C319="",FALSE,TRUE)</f>
        <v>0</v>
      </c>
      <c r="T319">
        <f>IF(Metadata!D319="",FALSE,TRUE)</f>
        <v>0</v>
      </c>
      <c r="U319">
        <f>IF(Metadata!E319="",FALSE,TRUE)</f>
        <v>0</v>
      </c>
      <c r="V319">
        <f>AND(IF(Metadata!F319="",FALSE,TRUE),exact(Metadata!F319,"rat gut metagenome"))</f>
        <v>0</v>
      </c>
      <c r="W319">
        <f>AND(IF(Metadata!G319="",FALSE,TRUE),exact(Metadata!G319,"1436733"))</f>
        <v>0</v>
      </c>
    </row>
    <row r="320" spans="1:23">
      <c r="A320" s="4">
        <f>IF(B320=" "," ",HYPERLINK(CONCATENATE("#metadata!",ADDRESS(INDEX($M$2:$M$1001,MATCH(ROWS($K$2:K320),$K$2:$K$1001,0),0),1)),INDEX($P$2:$P$1001,MATCH(ROWS($K$2:K320),$K$2:$K$1001,0),0)))</f>
        <v>0</v>
      </c>
      <c r="B320" s="3">
        <f>IF(OR(INDEX($L$2:$L$1001,MATCH(ROWS($K$2:K320),$K$2:$K$1001,0),1)&gt;=100000,INDEX($R$1005:$W$1005,1,MATCH(COLUMNS($R$1006:R1006),$R$1006:$W$1006,0))&gt;=100000), " ",IF(INDEX($R$2:$W$1001,MATCH(ROWS($K$2:K320),$K$2:$K$1001,0),MATCH(COLUMNS($R$1006:R1006),$R$1006:$W$1006,0)), HYPERLINK("#",""), HYPERLINK(CONCATENATE("#Metadata!", ADDRESS(INDEX($M$2:$M$1001,MATCH(ROWS($K$2:K320),$K$2:$K$1001,0),0), INDEX($R$1004:$W$1004,1,MATCH(COLUMNS($R$1006:R1006),$R$1006:$W$1006,0)))),"Fix")))</f>
        <v>0</v>
      </c>
      <c r="C320" s="3">
        <f>IF(OR(INDEX($L$2:$L$1001,MATCH(ROWS($K$2:K320),$K$2:$K$1001,0),1)&gt;=100000,INDEX($R$1005:$W$1005,1,MATCH(COLUMNS($R$1006:S1006),$R$1006:$W$1006,0))&gt;=100000), " ",IF(INDEX($R$2:$W$1001,MATCH(ROWS($K$2:K320),$K$2:$K$1001,0),MATCH(COLUMNS($R$1006:S1006),$R$1006:$W$1006,0)), HYPERLINK("#",""), HYPERLINK(CONCATENATE("#Metadata!", ADDRESS(INDEX($M$2:$M$1001,MATCH(ROWS($K$2:K320),$K$2:$K$1001,0),0), INDEX($R$1004:$W$1004,1,MATCH(COLUMNS($R$1006:S1006),$R$1006:$W$1006,0)))),"Fix")))</f>
        <v>0</v>
      </c>
      <c r="D320" s="3">
        <f>IF(OR(INDEX($L$2:$L$1001,MATCH(ROWS($K$2:K320),$K$2:$K$1001,0),1)&gt;=100000,INDEX($R$1005:$W$1005,1,MATCH(COLUMNS($R$1006:T1006),$R$1006:$W$1006,0))&gt;=100000), " ",IF(INDEX($R$2:$W$1001,MATCH(ROWS($K$2:K320),$K$2:$K$1001,0),MATCH(COLUMNS($R$1006:T1006),$R$1006:$W$1006,0)), HYPERLINK("#",""), HYPERLINK(CONCATENATE("#Metadata!", ADDRESS(INDEX($M$2:$M$1001,MATCH(ROWS($K$2:K320),$K$2:$K$1001,0),0), INDEX($R$1004:$W$1004,1,MATCH(COLUMNS($R$1006:T1006),$R$1006:$W$1006,0)))),"Fix")))</f>
        <v>0</v>
      </c>
      <c r="E320" s="3">
        <f>IF(OR(INDEX($L$2:$L$1001,MATCH(ROWS($K$2:K320),$K$2:$K$1001,0),1)&gt;=100000,INDEX($R$1005:$W$1005,1,MATCH(COLUMNS($R$1006:U1006),$R$1006:$W$1006,0))&gt;=100000), " ",IF(INDEX($R$2:$W$1001,MATCH(ROWS($K$2:K320),$K$2:$K$1001,0),MATCH(COLUMNS($R$1006:U1006),$R$1006:$W$1006,0)), HYPERLINK("#",""), HYPERLINK(CONCATENATE("#Metadata!", ADDRESS(INDEX($M$2:$M$1001,MATCH(ROWS($K$2:K320),$K$2:$K$1001,0),0), INDEX($R$1004:$W$1004,1,MATCH(COLUMNS($R$1006:U1006),$R$1006:$W$1006,0)))),"Fix")))</f>
        <v>0</v>
      </c>
      <c r="F320" s="3">
        <f>IF(OR(INDEX($L$2:$L$1001,MATCH(ROWS($K$2:K320),$K$2:$K$1001,0),1)&gt;=100000,INDEX($R$1005:$W$1005,1,MATCH(COLUMNS($R$1006:V1006),$R$1006:$W$1006,0))&gt;=100000), " ",IF(INDEX($R$2:$W$1001,MATCH(ROWS($K$2:K320),$K$2:$K$1001,0),MATCH(COLUMNS($R$1006:V1006),$R$1006:$W$1006,0)), HYPERLINK("#",""), HYPERLINK(CONCATENATE("#Metadata!", ADDRESS(INDEX($M$2:$M$1001,MATCH(ROWS($K$2:K320),$K$2:$K$1001,0),0), INDEX($R$1004:$W$1004,1,MATCH(COLUMNS($R$1006:V1006),$R$1006:$W$1006,0)))),"Fix")))</f>
        <v>0</v>
      </c>
      <c r="G320" s="3">
        <f>IF(OR(INDEX($L$2:$L$1001,MATCH(ROWS($K$2:K320),$K$2:$K$1001,0),1)&gt;=100000,INDEX($R$1005:$W$1005,1,MATCH(COLUMNS($R$1006:W1006),$R$1006:$W$1006,0))&gt;=100000), " ",IF(INDEX($R$2:$W$1001,MATCH(ROWS($K$2:K320),$K$2:$K$1001,0),MATCH(COLUMNS($R$1006:W1006),$R$1006:$W$1006,0)), HYPERLINK("#",""), HYPERLINK(CONCATENATE("#Metadata!", ADDRESS(INDEX($M$2:$M$1001,MATCH(ROWS($K$2:K320),$K$2:$K$1001,0),0), INDEX($R$1004:$W$1004,1,MATCH(COLUMNS($R$1006:W1006),$R$1006:$W$1006,0)))),"Fix")))</f>
        <v>0</v>
      </c>
      <c r="K320">
        <v>0</v>
      </c>
      <c r="L320">
        <v>0</v>
      </c>
      <c r="M320">
        <v>0</v>
      </c>
      <c r="N320">
        <f>IF(O320,TRUE,AND(R320:W320))</f>
        <v>0</v>
      </c>
      <c r="O320">
        <f>COUNTBLANK(Metadata!B320:G320)=COLUMNS(Metadata!B320:G320)</f>
        <v>0</v>
      </c>
      <c r="P320">
        <v>0</v>
      </c>
      <c r="R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S320">
        <f>IF(Metadata!C320="",FALSE,TRUE)</f>
        <v>0</v>
      </c>
      <c r="T320">
        <f>IF(Metadata!D320="",FALSE,TRUE)</f>
        <v>0</v>
      </c>
      <c r="U320">
        <f>IF(Metadata!E320="",FALSE,TRUE)</f>
        <v>0</v>
      </c>
      <c r="V320">
        <f>AND(IF(Metadata!F320="",FALSE,TRUE),exact(Metadata!F320,"rat gut metagenome"))</f>
        <v>0</v>
      </c>
      <c r="W320">
        <f>AND(IF(Metadata!G320="",FALSE,TRUE),exact(Metadata!G320,"1436733"))</f>
        <v>0</v>
      </c>
    </row>
    <row r="321" spans="1:23">
      <c r="A321" s="4">
        <f>IF(B321=" "," ",HYPERLINK(CONCATENATE("#metadata!",ADDRESS(INDEX($M$2:$M$1001,MATCH(ROWS($K$2:K321),$K$2:$K$1001,0),0),1)),INDEX($P$2:$P$1001,MATCH(ROWS($K$2:K321),$K$2:$K$1001,0),0)))</f>
        <v>0</v>
      </c>
      <c r="B321" s="3">
        <f>IF(OR(INDEX($L$2:$L$1001,MATCH(ROWS($K$2:K321),$K$2:$K$1001,0),1)&gt;=100000,INDEX($R$1005:$W$1005,1,MATCH(COLUMNS($R$1006:R1006),$R$1006:$W$1006,0))&gt;=100000), " ",IF(INDEX($R$2:$W$1001,MATCH(ROWS($K$2:K321),$K$2:$K$1001,0),MATCH(COLUMNS($R$1006:R1006),$R$1006:$W$1006,0)), HYPERLINK("#",""), HYPERLINK(CONCATENATE("#Metadata!", ADDRESS(INDEX($M$2:$M$1001,MATCH(ROWS($K$2:K321),$K$2:$K$1001,0),0), INDEX($R$1004:$W$1004,1,MATCH(COLUMNS($R$1006:R1006),$R$1006:$W$1006,0)))),"Fix")))</f>
        <v>0</v>
      </c>
      <c r="C321" s="3">
        <f>IF(OR(INDEX($L$2:$L$1001,MATCH(ROWS($K$2:K321),$K$2:$K$1001,0),1)&gt;=100000,INDEX($R$1005:$W$1005,1,MATCH(COLUMNS($R$1006:S1006),$R$1006:$W$1006,0))&gt;=100000), " ",IF(INDEX($R$2:$W$1001,MATCH(ROWS($K$2:K321),$K$2:$K$1001,0),MATCH(COLUMNS($R$1006:S1006),$R$1006:$W$1006,0)), HYPERLINK("#",""), HYPERLINK(CONCATENATE("#Metadata!", ADDRESS(INDEX($M$2:$M$1001,MATCH(ROWS($K$2:K321),$K$2:$K$1001,0),0), INDEX($R$1004:$W$1004,1,MATCH(COLUMNS($R$1006:S1006),$R$1006:$W$1006,0)))),"Fix")))</f>
        <v>0</v>
      </c>
      <c r="D321" s="3">
        <f>IF(OR(INDEX($L$2:$L$1001,MATCH(ROWS($K$2:K321),$K$2:$K$1001,0),1)&gt;=100000,INDEX($R$1005:$W$1005,1,MATCH(COLUMNS($R$1006:T1006),$R$1006:$W$1006,0))&gt;=100000), " ",IF(INDEX($R$2:$W$1001,MATCH(ROWS($K$2:K321),$K$2:$K$1001,0),MATCH(COLUMNS($R$1006:T1006),$R$1006:$W$1006,0)), HYPERLINK("#",""), HYPERLINK(CONCATENATE("#Metadata!", ADDRESS(INDEX($M$2:$M$1001,MATCH(ROWS($K$2:K321),$K$2:$K$1001,0),0), INDEX($R$1004:$W$1004,1,MATCH(COLUMNS($R$1006:T1006),$R$1006:$W$1006,0)))),"Fix")))</f>
        <v>0</v>
      </c>
      <c r="E321" s="3">
        <f>IF(OR(INDEX($L$2:$L$1001,MATCH(ROWS($K$2:K321),$K$2:$K$1001,0),1)&gt;=100000,INDEX($R$1005:$W$1005,1,MATCH(COLUMNS($R$1006:U1006),$R$1006:$W$1006,0))&gt;=100000), " ",IF(INDEX($R$2:$W$1001,MATCH(ROWS($K$2:K321),$K$2:$K$1001,0),MATCH(COLUMNS($R$1006:U1006),$R$1006:$W$1006,0)), HYPERLINK("#",""), HYPERLINK(CONCATENATE("#Metadata!", ADDRESS(INDEX($M$2:$M$1001,MATCH(ROWS($K$2:K321),$K$2:$K$1001,0),0), INDEX($R$1004:$W$1004,1,MATCH(COLUMNS($R$1006:U1006),$R$1006:$W$1006,0)))),"Fix")))</f>
        <v>0</v>
      </c>
      <c r="F321" s="3">
        <f>IF(OR(INDEX($L$2:$L$1001,MATCH(ROWS($K$2:K321),$K$2:$K$1001,0),1)&gt;=100000,INDEX($R$1005:$W$1005,1,MATCH(COLUMNS($R$1006:V1006),$R$1006:$W$1006,0))&gt;=100000), " ",IF(INDEX($R$2:$W$1001,MATCH(ROWS($K$2:K321),$K$2:$K$1001,0),MATCH(COLUMNS($R$1006:V1006),$R$1006:$W$1006,0)), HYPERLINK("#",""), HYPERLINK(CONCATENATE("#Metadata!", ADDRESS(INDEX($M$2:$M$1001,MATCH(ROWS($K$2:K321),$K$2:$K$1001,0),0), INDEX($R$1004:$W$1004,1,MATCH(COLUMNS($R$1006:V1006),$R$1006:$W$1006,0)))),"Fix")))</f>
        <v>0</v>
      </c>
      <c r="G321" s="3">
        <f>IF(OR(INDEX($L$2:$L$1001,MATCH(ROWS($K$2:K321),$K$2:$K$1001,0),1)&gt;=100000,INDEX($R$1005:$W$1005,1,MATCH(COLUMNS($R$1006:W1006),$R$1006:$W$1006,0))&gt;=100000), " ",IF(INDEX($R$2:$W$1001,MATCH(ROWS($K$2:K321),$K$2:$K$1001,0),MATCH(COLUMNS($R$1006:W1006),$R$1006:$W$1006,0)), HYPERLINK("#",""), HYPERLINK(CONCATENATE("#Metadata!", ADDRESS(INDEX($M$2:$M$1001,MATCH(ROWS($K$2:K321),$K$2:$K$1001,0),0), INDEX($R$1004:$W$1004,1,MATCH(COLUMNS($R$1006:W1006),$R$1006:$W$1006,0)))),"Fix")))</f>
        <v>0</v>
      </c>
      <c r="K321">
        <v>0</v>
      </c>
      <c r="L321">
        <v>0</v>
      </c>
      <c r="M321">
        <v>0</v>
      </c>
      <c r="N321">
        <f>IF(O321,TRUE,AND(R321:W321))</f>
        <v>0</v>
      </c>
      <c r="O321">
        <f>COUNTBLANK(Metadata!B321:G321)=COLUMNS(Metadata!B321:G321)</f>
        <v>0</v>
      </c>
      <c r="P321">
        <v>0</v>
      </c>
      <c r="R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S321">
        <f>IF(Metadata!C321="",FALSE,TRUE)</f>
        <v>0</v>
      </c>
      <c r="T321">
        <f>IF(Metadata!D321="",FALSE,TRUE)</f>
        <v>0</v>
      </c>
      <c r="U321">
        <f>IF(Metadata!E321="",FALSE,TRUE)</f>
        <v>0</v>
      </c>
      <c r="V321">
        <f>AND(IF(Metadata!F321="",FALSE,TRUE),exact(Metadata!F321,"rat gut metagenome"))</f>
        <v>0</v>
      </c>
      <c r="W321">
        <f>AND(IF(Metadata!G321="",FALSE,TRUE),exact(Metadata!G321,"1436733"))</f>
        <v>0</v>
      </c>
    </row>
    <row r="322" spans="1:23">
      <c r="A322" s="4">
        <f>IF(B322=" "," ",HYPERLINK(CONCATENATE("#metadata!",ADDRESS(INDEX($M$2:$M$1001,MATCH(ROWS($K$2:K322),$K$2:$K$1001,0),0),1)),INDEX($P$2:$P$1001,MATCH(ROWS($K$2:K322),$K$2:$K$1001,0),0)))</f>
        <v>0</v>
      </c>
      <c r="B322" s="3">
        <f>IF(OR(INDEX($L$2:$L$1001,MATCH(ROWS($K$2:K322),$K$2:$K$1001,0),1)&gt;=100000,INDEX($R$1005:$W$1005,1,MATCH(COLUMNS($R$1006:R1006),$R$1006:$W$1006,0))&gt;=100000), " ",IF(INDEX($R$2:$W$1001,MATCH(ROWS($K$2:K322),$K$2:$K$1001,0),MATCH(COLUMNS($R$1006:R1006),$R$1006:$W$1006,0)), HYPERLINK("#",""), HYPERLINK(CONCATENATE("#Metadata!", ADDRESS(INDEX($M$2:$M$1001,MATCH(ROWS($K$2:K322),$K$2:$K$1001,0),0), INDEX($R$1004:$W$1004,1,MATCH(COLUMNS($R$1006:R1006),$R$1006:$W$1006,0)))),"Fix")))</f>
        <v>0</v>
      </c>
      <c r="C322" s="3">
        <f>IF(OR(INDEX($L$2:$L$1001,MATCH(ROWS($K$2:K322),$K$2:$K$1001,0),1)&gt;=100000,INDEX($R$1005:$W$1005,1,MATCH(COLUMNS($R$1006:S1006),$R$1006:$W$1006,0))&gt;=100000), " ",IF(INDEX($R$2:$W$1001,MATCH(ROWS($K$2:K322),$K$2:$K$1001,0),MATCH(COLUMNS($R$1006:S1006),$R$1006:$W$1006,0)), HYPERLINK("#",""), HYPERLINK(CONCATENATE("#Metadata!", ADDRESS(INDEX($M$2:$M$1001,MATCH(ROWS($K$2:K322),$K$2:$K$1001,0),0), INDEX($R$1004:$W$1004,1,MATCH(COLUMNS($R$1006:S1006),$R$1006:$W$1006,0)))),"Fix")))</f>
        <v>0</v>
      </c>
      <c r="D322" s="3">
        <f>IF(OR(INDEX($L$2:$L$1001,MATCH(ROWS($K$2:K322),$K$2:$K$1001,0),1)&gt;=100000,INDEX($R$1005:$W$1005,1,MATCH(COLUMNS($R$1006:T1006),$R$1006:$W$1006,0))&gt;=100000), " ",IF(INDEX($R$2:$W$1001,MATCH(ROWS($K$2:K322),$K$2:$K$1001,0),MATCH(COLUMNS($R$1006:T1006),$R$1006:$W$1006,0)), HYPERLINK("#",""), HYPERLINK(CONCATENATE("#Metadata!", ADDRESS(INDEX($M$2:$M$1001,MATCH(ROWS($K$2:K322),$K$2:$K$1001,0),0), INDEX($R$1004:$W$1004,1,MATCH(COLUMNS($R$1006:T1006),$R$1006:$W$1006,0)))),"Fix")))</f>
        <v>0</v>
      </c>
      <c r="E322" s="3">
        <f>IF(OR(INDEX($L$2:$L$1001,MATCH(ROWS($K$2:K322),$K$2:$K$1001,0),1)&gt;=100000,INDEX($R$1005:$W$1005,1,MATCH(COLUMNS($R$1006:U1006),$R$1006:$W$1006,0))&gt;=100000), " ",IF(INDEX($R$2:$W$1001,MATCH(ROWS($K$2:K322),$K$2:$K$1001,0),MATCH(COLUMNS($R$1006:U1006),$R$1006:$W$1006,0)), HYPERLINK("#",""), HYPERLINK(CONCATENATE("#Metadata!", ADDRESS(INDEX($M$2:$M$1001,MATCH(ROWS($K$2:K322),$K$2:$K$1001,0),0), INDEX($R$1004:$W$1004,1,MATCH(COLUMNS($R$1006:U1006),$R$1006:$W$1006,0)))),"Fix")))</f>
        <v>0</v>
      </c>
      <c r="F322" s="3">
        <f>IF(OR(INDEX($L$2:$L$1001,MATCH(ROWS($K$2:K322),$K$2:$K$1001,0),1)&gt;=100000,INDEX($R$1005:$W$1005,1,MATCH(COLUMNS($R$1006:V1006),$R$1006:$W$1006,0))&gt;=100000), " ",IF(INDEX($R$2:$W$1001,MATCH(ROWS($K$2:K322),$K$2:$K$1001,0),MATCH(COLUMNS($R$1006:V1006),$R$1006:$W$1006,0)), HYPERLINK("#",""), HYPERLINK(CONCATENATE("#Metadata!", ADDRESS(INDEX($M$2:$M$1001,MATCH(ROWS($K$2:K322),$K$2:$K$1001,0),0), INDEX($R$1004:$W$1004,1,MATCH(COLUMNS($R$1006:V1006),$R$1006:$W$1006,0)))),"Fix")))</f>
        <v>0</v>
      </c>
      <c r="G322" s="3">
        <f>IF(OR(INDEX($L$2:$L$1001,MATCH(ROWS($K$2:K322),$K$2:$K$1001,0),1)&gt;=100000,INDEX($R$1005:$W$1005,1,MATCH(COLUMNS($R$1006:W1006),$R$1006:$W$1006,0))&gt;=100000), " ",IF(INDEX($R$2:$W$1001,MATCH(ROWS($K$2:K322),$K$2:$K$1001,0),MATCH(COLUMNS($R$1006:W1006),$R$1006:$W$1006,0)), HYPERLINK("#",""), HYPERLINK(CONCATENATE("#Metadata!", ADDRESS(INDEX($M$2:$M$1001,MATCH(ROWS($K$2:K322),$K$2:$K$1001,0),0), INDEX($R$1004:$W$1004,1,MATCH(COLUMNS($R$1006:W1006),$R$1006:$W$1006,0)))),"Fix")))</f>
        <v>0</v>
      </c>
      <c r="K322">
        <v>0</v>
      </c>
      <c r="L322">
        <v>0</v>
      </c>
      <c r="M322">
        <v>0</v>
      </c>
      <c r="N322">
        <f>IF(O322,TRUE,AND(R322:W322))</f>
        <v>0</v>
      </c>
      <c r="O322">
        <f>COUNTBLANK(Metadata!B322:G322)=COLUMNS(Metadata!B322:G322)</f>
        <v>0</v>
      </c>
      <c r="P322">
        <v>0</v>
      </c>
      <c r="R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S322">
        <f>IF(Metadata!C322="",FALSE,TRUE)</f>
        <v>0</v>
      </c>
      <c r="T322">
        <f>IF(Metadata!D322="",FALSE,TRUE)</f>
        <v>0</v>
      </c>
      <c r="U322">
        <f>IF(Metadata!E322="",FALSE,TRUE)</f>
        <v>0</v>
      </c>
      <c r="V322">
        <f>AND(IF(Metadata!F322="",FALSE,TRUE),exact(Metadata!F322,"rat gut metagenome"))</f>
        <v>0</v>
      </c>
      <c r="W322">
        <f>AND(IF(Metadata!G322="",FALSE,TRUE),exact(Metadata!G322,"1436733"))</f>
        <v>0</v>
      </c>
    </row>
    <row r="323" spans="1:23">
      <c r="A323" s="4">
        <f>IF(B323=" "," ",HYPERLINK(CONCATENATE("#metadata!",ADDRESS(INDEX($M$2:$M$1001,MATCH(ROWS($K$2:K323),$K$2:$K$1001,0),0),1)),INDEX($P$2:$P$1001,MATCH(ROWS($K$2:K323),$K$2:$K$1001,0),0)))</f>
        <v>0</v>
      </c>
      <c r="B323" s="3">
        <f>IF(OR(INDEX($L$2:$L$1001,MATCH(ROWS($K$2:K323),$K$2:$K$1001,0),1)&gt;=100000,INDEX($R$1005:$W$1005,1,MATCH(COLUMNS($R$1006:R1006),$R$1006:$W$1006,0))&gt;=100000), " ",IF(INDEX($R$2:$W$1001,MATCH(ROWS($K$2:K323),$K$2:$K$1001,0),MATCH(COLUMNS($R$1006:R1006),$R$1006:$W$1006,0)), HYPERLINK("#",""), HYPERLINK(CONCATENATE("#Metadata!", ADDRESS(INDEX($M$2:$M$1001,MATCH(ROWS($K$2:K323),$K$2:$K$1001,0),0), INDEX($R$1004:$W$1004,1,MATCH(COLUMNS($R$1006:R1006),$R$1006:$W$1006,0)))),"Fix")))</f>
        <v>0</v>
      </c>
      <c r="C323" s="3">
        <f>IF(OR(INDEX($L$2:$L$1001,MATCH(ROWS($K$2:K323),$K$2:$K$1001,0),1)&gt;=100000,INDEX($R$1005:$W$1005,1,MATCH(COLUMNS($R$1006:S1006),$R$1006:$W$1006,0))&gt;=100000), " ",IF(INDEX($R$2:$W$1001,MATCH(ROWS($K$2:K323),$K$2:$K$1001,0),MATCH(COLUMNS($R$1006:S1006),$R$1006:$W$1006,0)), HYPERLINK("#",""), HYPERLINK(CONCATENATE("#Metadata!", ADDRESS(INDEX($M$2:$M$1001,MATCH(ROWS($K$2:K323),$K$2:$K$1001,0),0), INDEX($R$1004:$W$1004,1,MATCH(COLUMNS($R$1006:S1006),$R$1006:$W$1006,0)))),"Fix")))</f>
        <v>0</v>
      </c>
      <c r="D323" s="3">
        <f>IF(OR(INDEX($L$2:$L$1001,MATCH(ROWS($K$2:K323),$K$2:$K$1001,0),1)&gt;=100000,INDEX($R$1005:$W$1005,1,MATCH(COLUMNS($R$1006:T1006),$R$1006:$W$1006,0))&gt;=100000), " ",IF(INDEX($R$2:$W$1001,MATCH(ROWS($K$2:K323),$K$2:$K$1001,0),MATCH(COLUMNS($R$1006:T1006),$R$1006:$W$1006,0)), HYPERLINK("#",""), HYPERLINK(CONCATENATE("#Metadata!", ADDRESS(INDEX($M$2:$M$1001,MATCH(ROWS($K$2:K323),$K$2:$K$1001,0),0), INDEX($R$1004:$W$1004,1,MATCH(COLUMNS($R$1006:T1006),$R$1006:$W$1006,0)))),"Fix")))</f>
        <v>0</v>
      </c>
      <c r="E323" s="3">
        <f>IF(OR(INDEX($L$2:$L$1001,MATCH(ROWS($K$2:K323),$K$2:$K$1001,0),1)&gt;=100000,INDEX($R$1005:$W$1005,1,MATCH(COLUMNS($R$1006:U1006),$R$1006:$W$1006,0))&gt;=100000), " ",IF(INDEX($R$2:$W$1001,MATCH(ROWS($K$2:K323),$K$2:$K$1001,0),MATCH(COLUMNS($R$1006:U1006),$R$1006:$W$1006,0)), HYPERLINK("#",""), HYPERLINK(CONCATENATE("#Metadata!", ADDRESS(INDEX($M$2:$M$1001,MATCH(ROWS($K$2:K323),$K$2:$K$1001,0),0), INDEX($R$1004:$W$1004,1,MATCH(COLUMNS($R$1006:U1006),$R$1006:$W$1006,0)))),"Fix")))</f>
        <v>0</v>
      </c>
      <c r="F323" s="3">
        <f>IF(OR(INDEX($L$2:$L$1001,MATCH(ROWS($K$2:K323),$K$2:$K$1001,0),1)&gt;=100000,INDEX($R$1005:$W$1005,1,MATCH(COLUMNS($R$1006:V1006),$R$1006:$W$1006,0))&gt;=100000), " ",IF(INDEX($R$2:$W$1001,MATCH(ROWS($K$2:K323),$K$2:$K$1001,0),MATCH(COLUMNS($R$1006:V1006),$R$1006:$W$1006,0)), HYPERLINK("#",""), HYPERLINK(CONCATENATE("#Metadata!", ADDRESS(INDEX($M$2:$M$1001,MATCH(ROWS($K$2:K323),$K$2:$K$1001,0),0), INDEX($R$1004:$W$1004,1,MATCH(COLUMNS($R$1006:V1006),$R$1006:$W$1006,0)))),"Fix")))</f>
        <v>0</v>
      </c>
      <c r="G323" s="3">
        <f>IF(OR(INDEX($L$2:$L$1001,MATCH(ROWS($K$2:K323),$K$2:$K$1001,0),1)&gt;=100000,INDEX($R$1005:$W$1005,1,MATCH(COLUMNS($R$1006:W1006),$R$1006:$W$1006,0))&gt;=100000), " ",IF(INDEX($R$2:$W$1001,MATCH(ROWS($K$2:K323),$K$2:$K$1001,0),MATCH(COLUMNS($R$1006:W1006),$R$1006:$W$1006,0)), HYPERLINK("#",""), HYPERLINK(CONCATENATE("#Metadata!", ADDRESS(INDEX($M$2:$M$1001,MATCH(ROWS($K$2:K323),$K$2:$K$1001,0),0), INDEX($R$1004:$W$1004,1,MATCH(COLUMNS($R$1006:W1006),$R$1006:$W$1006,0)))),"Fix")))</f>
        <v>0</v>
      </c>
      <c r="K323">
        <v>0</v>
      </c>
      <c r="L323">
        <v>0</v>
      </c>
      <c r="M323">
        <v>0</v>
      </c>
      <c r="N323">
        <f>IF(O323,TRUE,AND(R323:W323))</f>
        <v>0</v>
      </c>
      <c r="O323">
        <f>COUNTBLANK(Metadata!B323:G323)=COLUMNS(Metadata!B323:G323)</f>
        <v>0</v>
      </c>
      <c r="P323">
        <v>0</v>
      </c>
      <c r="R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S323">
        <f>IF(Metadata!C323="",FALSE,TRUE)</f>
        <v>0</v>
      </c>
      <c r="T323">
        <f>IF(Metadata!D323="",FALSE,TRUE)</f>
        <v>0</v>
      </c>
      <c r="U323">
        <f>IF(Metadata!E323="",FALSE,TRUE)</f>
        <v>0</v>
      </c>
      <c r="V323">
        <f>AND(IF(Metadata!F323="",FALSE,TRUE),exact(Metadata!F323,"rat gut metagenome"))</f>
        <v>0</v>
      </c>
      <c r="W323">
        <f>AND(IF(Metadata!G323="",FALSE,TRUE),exact(Metadata!G323,"1436733"))</f>
        <v>0</v>
      </c>
    </row>
    <row r="324" spans="1:23">
      <c r="A324" s="4">
        <f>IF(B324=" "," ",HYPERLINK(CONCATENATE("#metadata!",ADDRESS(INDEX($M$2:$M$1001,MATCH(ROWS($K$2:K324),$K$2:$K$1001,0),0),1)),INDEX($P$2:$P$1001,MATCH(ROWS($K$2:K324),$K$2:$K$1001,0),0)))</f>
        <v>0</v>
      </c>
      <c r="B324" s="3">
        <f>IF(OR(INDEX($L$2:$L$1001,MATCH(ROWS($K$2:K324),$K$2:$K$1001,0),1)&gt;=100000,INDEX($R$1005:$W$1005,1,MATCH(COLUMNS($R$1006:R1006),$R$1006:$W$1006,0))&gt;=100000), " ",IF(INDEX($R$2:$W$1001,MATCH(ROWS($K$2:K324),$K$2:$K$1001,0),MATCH(COLUMNS($R$1006:R1006),$R$1006:$W$1006,0)), HYPERLINK("#",""), HYPERLINK(CONCATENATE("#Metadata!", ADDRESS(INDEX($M$2:$M$1001,MATCH(ROWS($K$2:K324),$K$2:$K$1001,0),0), INDEX($R$1004:$W$1004,1,MATCH(COLUMNS($R$1006:R1006),$R$1006:$W$1006,0)))),"Fix")))</f>
        <v>0</v>
      </c>
      <c r="C324" s="3">
        <f>IF(OR(INDEX($L$2:$L$1001,MATCH(ROWS($K$2:K324),$K$2:$K$1001,0),1)&gt;=100000,INDEX($R$1005:$W$1005,1,MATCH(COLUMNS($R$1006:S1006),$R$1006:$W$1006,0))&gt;=100000), " ",IF(INDEX($R$2:$W$1001,MATCH(ROWS($K$2:K324),$K$2:$K$1001,0),MATCH(COLUMNS($R$1006:S1006),$R$1006:$W$1006,0)), HYPERLINK("#",""), HYPERLINK(CONCATENATE("#Metadata!", ADDRESS(INDEX($M$2:$M$1001,MATCH(ROWS($K$2:K324),$K$2:$K$1001,0),0), INDEX($R$1004:$W$1004,1,MATCH(COLUMNS($R$1006:S1006),$R$1006:$W$1006,0)))),"Fix")))</f>
        <v>0</v>
      </c>
      <c r="D324" s="3">
        <f>IF(OR(INDEX($L$2:$L$1001,MATCH(ROWS($K$2:K324),$K$2:$K$1001,0),1)&gt;=100000,INDEX($R$1005:$W$1005,1,MATCH(COLUMNS($R$1006:T1006),$R$1006:$W$1006,0))&gt;=100000), " ",IF(INDEX($R$2:$W$1001,MATCH(ROWS($K$2:K324),$K$2:$K$1001,0),MATCH(COLUMNS($R$1006:T1006),$R$1006:$W$1006,0)), HYPERLINK("#",""), HYPERLINK(CONCATENATE("#Metadata!", ADDRESS(INDEX($M$2:$M$1001,MATCH(ROWS($K$2:K324),$K$2:$K$1001,0),0), INDEX($R$1004:$W$1004,1,MATCH(COLUMNS($R$1006:T1006),$R$1006:$W$1006,0)))),"Fix")))</f>
        <v>0</v>
      </c>
      <c r="E324" s="3">
        <f>IF(OR(INDEX($L$2:$L$1001,MATCH(ROWS($K$2:K324),$K$2:$K$1001,0),1)&gt;=100000,INDEX($R$1005:$W$1005,1,MATCH(COLUMNS($R$1006:U1006),$R$1006:$W$1006,0))&gt;=100000), " ",IF(INDEX($R$2:$W$1001,MATCH(ROWS($K$2:K324),$K$2:$K$1001,0),MATCH(COLUMNS($R$1006:U1006),$R$1006:$W$1006,0)), HYPERLINK("#",""), HYPERLINK(CONCATENATE("#Metadata!", ADDRESS(INDEX($M$2:$M$1001,MATCH(ROWS($K$2:K324),$K$2:$K$1001,0),0), INDEX($R$1004:$W$1004,1,MATCH(COLUMNS($R$1006:U1006),$R$1006:$W$1006,0)))),"Fix")))</f>
        <v>0</v>
      </c>
      <c r="F324" s="3">
        <f>IF(OR(INDEX($L$2:$L$1001,MATCH(ROWS($K$2:K324),$K$2:$K$1001,0),1)&gt;=100000,INDEX($R$1005:$W$1005,1,MATCH(COLUMNS($R$1006:V1006),$R$1006:$W$1006,0))&gt;=100000), " ",IF(INDEX($R$2:$W$1001,MATCH(ROWS($K$2:K324),$K$2:$K$1001,0),MATCH(COLUMNS($R$1006:V1006),$R$1006:$W$1006,0)), HYPERLINK("#",""), HYPERLINK(CONCATENATE("#Metadata!", ADDRESS(INDEX($M$2:$M$1001,MATCH(ROWS($K$2:K324),$K$2:$K$1001,0),0), INDEX($R$1004:$W$1004,1,MATCH(COLUMNS($R$1006:V1006),$R$1006:$W$1006,0)))),"Fix")))</f>
        <v>0</v>
      </c>
      <c r="G324" s="3">
        <f>IF(OR(INDEX($L$2:$L$1001,MATCH(ROWS($K$2:K324),$K$2:$K$1001,0),1)&gt;=100000,INDEX($R$1005:$W$1005,1,MATCH(COLUMNS($R$1006:W1006),$R$1006:$W$1006,0))&gt;=100000), " ",IF(INDEX($R$2:$W$1001,MATCH(ROWS($K$2:K324),$K$2:$K$1001,0),MATCH(COLUMNS($R$1006:W1006),$R$1006:$W$1006,0)), HYPERLINK("#",""), HYPERLINK(CONCATENATE("#Metadata!", ADDRESS(INDEX($M$2:$M$1001,MATCH(ROWS($K$2:K324),$K$2:$K$1001,0),0), INDEX($R$1004:$W$1004,1,MATCH(COLUMNS($R$1006:W1006),$R$1006:$W$1006,0)))),"Fix")))</f>
        <v>0</v>
      </c>
      <c r="K324">
        <v>0</v>
      </c>
      <c r="L324">
        <v>0</v>
      </c>
      <c r="M324">
        <v>0</v>
      </c>
      <c r="N324">
        <f>IF(O324,TRUE,AND(R324:W324))</f>
        <v>0</v>
      </c>
      <c r="O324">
        <f>COUNTBLANK(Metadata!B324:G324)=COLUMNS(Metadata!B324:G324)</f>
        <v>0</v>
      </c>
      <c r="P324">
        <v>0</v>
      </c>
      <c r="R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S324">
        <f>IF(Metadata!C324="",FALSE,TRUE)</f>
        <v>0</v>
      </c>
      <c r="T324">
        <f>IF(Metadata!D324="",FALSE,TRUE)</f>
        <v>0</v>
      </c>
      <c r="U324">
        <f>IF(Metadata!E324="",FALSE,TRUE)</f>
        <v>0</v>
      </c>
      <c r="V324">
        <f>AND(IF(Metadata!F324="",FALSE,TRUE),exact(Metadata!F324,"rat gut metagenome"))</f>
        <v>0</v>
      </c>
      <c r="W324">
        <f>AND(IF(Metadata!G324="",FALSE,TRUE),exact(Metadata!G324,"1436733"))</f>
        <v>0</v>
      </c>
    </row>
    <row r="325" spans="1:23">
      <c r="A325" s="4">
        <f>IF(B325=" "," ",HYPERLINK(CONCATENATE("#metadata!",ADDRESS(INDEX($M$2:$M$1001,MATCH(ROWS($K$2:K325),$K$2:$K$1001,0),0),1)),INDEX($P$2:$P$1001,MATCH(ROWS($K$2:K325),$K$2:$K$1001,0),0)))</f>
        <v>0</v>
      </c>
      <c r="B325" s="3">
        <f>IF(OR(INDEX($L$2:$L$1001,MATCH(ROWS($K$2:K325),$K$2:$K$1001,0),1)&gt;=100000,INDEX($R$1005:$W$1005,1,MATCH(COLUMNS($R$1006:R1006),$R$1006:$W$1006,0))&gt;=100000), " ",IF(INDEX($R$2:$W$1001,MATCH(ROWS($K$2:K325),$K$2:$K$1001,0),MATCH(COLUMNS($R$1006:R1006),$R$1006:$W$1006,0)), HYPERLINK("#",""), HYPERLINK(CONCATENATE("#Metadata!", ADDRESS(INDEX($M$2:$M$1001,MATCH(ROWS($K$2:K325),$K$2:$K$1001,0),0), INDEX($R$1004:$W$1004,1,MATCH(COLUMNS($R$1006:R1006),$R$1006:$W$1006,0)))),"Fix")))</f>
        <v>0</v>
      </c>
      <c r="C325" s="3">
        <f>IF(OR(INDEX($L$2:$L$1001,MATCH(ROWS($K$2:K325),$K$2:$K$1001,0),1)&gt;=100000,INDEX($R$1005:$W$1005,1,MATCH(COLUMNS($R$1006:S1006),$R$1006:$W$1006,0))&gt;=100000), " ",IF(INDEX($R$2:$W$1001,MATCH(ROWS($K$2:K325),$K$2:$K$1001,0),MATCH(COLUMNS($R$1006:S1006),$R$1006:$W$1006,0)), HYPERLINK("#",""), HYPERLINK(CONCATENATE("#Metadata!", ADDRESS(INDEX($M$2:$M$1001,MATCH(ROWS($K$2:K325),$K$2:$K$1001,0),0), INDEX($R$1004:$W$1004,1,MATCH(COLUMNS($R$1006:S1006),$R$1006:$W$1006,0)))),"Fix")))</f>
        <v>0</v>
      </c>
      <c r="D325" s="3">
        <f>IF(OR(INDEX($L$2:$L$1001,MATCH(ROWS($K$2:K325),$K$2:$K$1001,0),1)&gt;=100000,INDEX($R$1005:$W$1005,1,MATCH(COLUMNS($R$1006:T1006),$R$1006:$W$1006,0))&gt;=100000), " ",IF(INDEX($R$2:$W$1001,MATCH(ROWS($K$2:K325),$K$2:$K$1001,0),MATCH(COLUMNS($R$1006:T1006),$R$1006:$W$1006,0)), HYPERLINK("#",""), HYPERLINK(CONCATENATE("#Metadata!", ADDRESS(INDEX($M$2:$M$1001,MATCH(ROWS($K$2:K325),$K$2:$K$1001,0),0), INDEX($R$1004:$W$1004,1,MATCH(COLUMNS($R$1006:T1006),$R$1006:$W$1006,0)))),"Fix")))</f>
        <v>0</v>
      </c>
      <c r="E325" s="3">
        <f>IF(OR(INDEX($L$2:$L$1001,MATCH(ROWS($K$2:K325),$K$2:$K$1001,0),1)&gt;=100000,INDEX($R$1005:$W$1005,1,MATCH(COLUMNS($R$1006:U1006),$R$1006:$W$1006,0))&gt;=100000), " ",IF(INDEX($R$2:$W$1001,MATCH(ROWS($K$2:K325),$K$2:$K$1001,0),MATCH(COLUMNS($R$1006:U1006),$R$1006:$W$1006,0)), HYPERLINK("#",""), HYPERLINK(CONCATENATE("#Metadata!", ADDRESS(INDEX($M$2:$M$1001,MATCH(ROWS($K$2:K325),$K$2:$K$1001,0),0), INDEX($R$1004:$W$1004,1,MATCH(COLUMNS($R$1006:U1006),$R$1006:$W$1006,0)))),"Fix")))</f>
        <v>0</v>
      </c>
      <c r="F325" s="3">
        <f>IF(OR(INDEX($L$2:$L$1001,MATCH(ROWS($K$2:K325),$K$2:$K$1001,0),1)&gt;=100000,INDEX($R$1005:$W$1005,1,MATCH(COLUMNS($R$1006:V1006),$R$1006:$W$1006,0))&gt;=100000), " ",IF(INDEX($R$2:$W$1001,MATCH(ROWS($K$2:K325),$K$2:$K$1001,0),MATCH(COLUMNS($R$1006:V1006),$R$1006:$W$1006,0)), HYPERLINK("#",""), HYPERLINK(CONCATENATE("#Metadata!", ADDRESS(INDEX($M$2:$M$1001,MATCH(ROWS($K$2:K325),$K$2:$K$1001,0),0), INDEX($R$1004:$W$1004,1,MATCH(COLUMNS($R$1006:V1006),$R$1006:$W$1006,0)))),"Fix")))</f>
        <v>0</v>
      </c>
      <c r="G325" s="3">
        <f>IF(OR(INDEX($L$2:$L$1001,MATCH(ROWS($K$2:K325),$K$2:$K$1001,0),1)&gt;=100000,INDEX($R$1005:$W$1005,1,MATCH(COLUMNS($R$1006:W1006),$R$1006:$W$1006,0))&gt;=100000), " ",IF(INDEX($R$2:$W$1001,MATCH(ROWS($K$2:K325),$K$2:$K$1001,0),MATCH(COLUMNS($R$1006:W1006),$R$1006:$W$1006,0)), HYPERLINK("#",""), HYPERLINK(CONCATENATE("#Metadata!", ADDRESS(INDEX($M$2:$M$1001,MATCH(ROWS($K$2:K325),$K$2:$K$1001,0),0), INDEX($R$1004:$W$1004,1,MATCH(COLUMNS($R$1006:W1006),$R$1006:$W$1006,0)))),"Fix")))</f>
        <v>0</v>
      </c>
      <c r="K325">
        <v>0</v>
      </c>
      <c r="L325">
        <v>0</v>
      </c>
      <c r="M325">
        <v>0</v>
      </c>
      <c r="N325">
        <f>IF(O325,TRUE,AND(R325:W325))</f>
        <v>0</v>
      </c>
      <c r="O325">
        <f>COUNTBLANK(Metadata!B325:G325)=COLUMNS(Metadata!B325:G325)</f>
        <v>0</v>
      </c>
      <c r="P325">
        <v>0</v>
      </c>
      <c r="R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S325">
        <f>IF(Metadata!C325="",FALSE,TRUE)</f>
        <v>0</v>
      </c>
      <c r="T325">
        <f>IF(Metadata!D325="",FALSE,TRUE)</f>
        <v>0</v>
      </c>
      <c r="U325">
        <f>IF(Metadata!E325="",FALSE,TRUE)</f>
        <v>0</v>
      </c>
      <c r="V325">
        <f>AND(IF(Metadata!F325="",FALSE,TRUE),exact(Metadata!F325,"rat gut metagenome"))</f>
        <v>0</v>
      </c>
      <c r="W325">
        <f>AND(IF(Metadata!G325="",FALSE,TRUE),exact(Metadata!G325,"1436733"))</f>
        <v>0</v>
      </c>
    </row>
    <row r="326" spans="1:23">
      <c r="A326" s="4">
        <f>IF(B326=" "," ",HYPERLINK(CONCATENATE("#metadata!",ADDRESS(INDEX($M$2:$M$1001,MATCH(ROWS($K$2:K326),$K$2:$K$1001,0),0),1)),INDEX($P$2:$P$1001,MATCH(ROWS($K$2:K326),$K$2:$K$1001,0),0)))</f>
        <v>0</v>
      </c>
      <c r="B326" s="3">
        <f>IF(OR(INDEX($L$2:$L$1001,MATCH(ROWS($K$2:K326),$K$2:$K$1001,0),1)&gt;=100000,INDEX($R$1005:$W$1005,1,MATCH(COLUMNS($R$1006:R1006),$R$1006:$W$1006,0))&gt;=100000), " ",IF(INDEX($R$2:$W$1001,MATCH(ROWS($K$2:K326),$K$2:$K$1001,0),MATCH(COLUMNS($R$1006:R1006),$R$1006:$W$1006,0)), HYPERLINK("#",""), HYPERLINK(CONCATENATE("#Metadata!", ADDRESS(INDEX($M$2:$M$1001,MATCH(ROWS($K$2:K326),$K$2:$K$1001,0),0), INDEX($R$1004:$W$1004,1,MATCH(COLUMNS($R$1006:R1006),$R$1006:$W$1006,0)))),"Fix")))</f>
        <v>0</v>
      </c>
      <c r="C326" s="3">
        <f>IF(OR(INDEX($L$2:$L$1001,MATCH(ROWS($K$2:K326),$K$2:$K$1001,0),1)&gt;=100000,INDEX($R$1005:$W$1005,1,MATCH(COLUMNS($R$1006:S1006),$R$1006:$W$1006,0))&gt;=100000), " ",IF(INDEX($R$2:$W$1001,MATCH(ROWS($K$2:K326),$K$2:$K$1001,0),MATCH(COLUMNS($R$1006:S1006),$R$1006:$W$1006,0)), HYPERLINK("#",""), HYPERLINK(CONCATENATE("#Metadata!", ADDRESS(INDEX($M$2:$M$1001,MATCH(ROWS($K$2:K326),$K$2:$K$1001,0),0), INDEX($R$1004:$W$1004,1,MATCH(COLUMNS($R$1006:S1006),$R$1006:$W$1006,0)))),"Fix")))</f>
        <v>0</v>
      </c>
      <c r="D326" s="3">
        <f>IF(OR(INDEX($L$2:$L$1001,MATCH(ROWS($K$2:K326),$K$2:$K$1001,0),1)&gt;=100000,INDEX($R$1005:$W$1005,1,MATCH(COLUMNS($R$1006:T1006),$R$1006:$W$1006,0))&gt;=100000), " ",IF(INDEX($R$2:$W$1001,MATCH(ROWS($K$2:K326),$K$2:$K$1001,0),MATCH(COLUMNS($R$1006:T1006),$R$1006:$W$1006,0)), HYPERLINK("#",""), HYPERLINK(CONCATENATE("#Metadata!", ADDRESS(INDEX($M$2:$M$1001,MATCH(ROWS($K$2:K326),$K$2:$K$1001,0),0), INDEX($R$1004:$W$1004,1,MATCH(COLUMNS($R$1006:T1006),$R$1006:$W$1006,0)))),"Fix")))</f>
        <v>0</v>
      </c>
      <c r="E326" s="3">
        <f>IF(OR(INDEX($L$2:$L$1001,MATCH(ROWS($K$2:K326),$K$2:$K$1001,0),1)&gt;=100000,INDEX($R$1005:$W$1005,1,MATCH(COLUMNS($R$1006:U1006),$R$1006:$W$1006,0))&gt;=100000), " ",IF(INDEX($R$2:$W$1001,MATCH(ROWS($K$2:K326),$K$2:$K$1001,0),MATCH(COLUMNS($R$1006:U1006),$R$1006:$W$1006,0)), HYPERLINK("#",""), HYPERLINK(CONCATENATE("#Metadata!", ADDRESS(INDEX($M$2:$M$1001,MATCH(ROWS($K$2:K326),$K$2:$K$1001,0),0), INDEX($R$1004:$W$1004,1,MATCH(COLUMNS($R$1006:U1006),$R$1006:$W$1006,0)))),"Fix")))</f>
        <v>0</v>
      </c>
      <c r="F326" s="3">
        <f>IF(OR(INDEX($L$2:$L$1001,MATCH(ROWS($K$2:K326),$K$2:$K$1001,0),1)&gt;=100000,INDEX($R$1005:$W$1005,1,MATCH(COLUMNS($R$1006:V1006),$R$1006:$W$1006,0))&gt;=100000), " ",IF(INDEX($R$2:$W$1001,MATCH(ROWS($K$2:K326),$K$2:$K$1001,0),MATCH(COLUMNS($R$1006:V1006),$R$1006:$W$1006,0)), HYPERLINK("#",""), HYPERLINK(CONCATENATE("#Metadata!", ADDRESS(INDEX($M$2:$M$1001,MATCH(ROWS($K$2:K326),$K$2:$K$1001,0),0), INDEX($R$1004:$W$1004,1,MATCH(COLUMNS($R$1006:V1006),$R$1006:$W$1006,0)))),"Fix")))</f>
        <v>0</v>
      </c>
      <c r="G326" s="3">
        <f>IF(OR(INDEX($L$2:$L$1001,MATCH(ROWS($K$2:K326),$K$2:$K$1001,0),1)&gt;=100000,INDEX($R$1005:$W$1005,1,MATCH(COLUMNS($R$1006:W1006),$R$1006:$W$1006,0))&gt;=100000), " ",IF(INDEX($R$2:$W$1001,MATCH(ROWS($K$2:K326),$K$2:$K$1001,0),MATCH(COLUMNS($R$1006:W1006),$R$1006:$W$1006,0)), HYPERLINK("#",""), HYPERLINK(CONCATENATE("#Metadata!", ADDRESS(INDEX($M$2:$M$1001,MATCH(ROWS($K$2:K326),$K$2:$K$1001,0),0), INDEX($R$1004:$W$1004,1,MATCH(COLUMNS($R$1006:W1006),$R$1006:$W$1006,0)))),"Fix")))</f>
        <v>0</v>
      </c>
      <c r="K326">
        <v>0</v>
      </c>
      <c r="L326">
        <v>0</v>
      </c>
      <c r="M326">
        <v>0</v>
      </c>
      <c r="N326">
        <f>IF(O326,TRUE,AND(R326:W326))</f>
        <v>0</v>
      </c>
      <c r="O326">
        <f>COUNTBLANK(Metadata!B326:G326)=COLUMNS(Metadata!B326:G326)</f>
        <v>0</v>
      </c>
      <c r="P326">
        <v>0</v>
      </c>
      <c r="R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S326">
        <f>IF(Metadata!C326="",FALSE,TRUE)</f>
        <v>0</v>
      </c>
      <c r="T326">
        <f>IF(Metadata!D326="",FALSE,TRUE)</f>
        <v>0</v>
      </c>
      <c r="U326">
        <f>IF(Metadata!E326="",FALSE,TRUE)</f>
        <v>0</v>
      </c>
      <c r="V326">
        <f>AND(IF(Metadata!F326="",FALSE,TRUE),exact(Metadata!F326,"rat gut metagenome"))</f>
        <v>0</v>
      </c>
      <c r="W326">
        <f>AND(IF(Metadata!G326="",FALSE,TRUE),exact(Metadata!G326,"1436733"))</f>
        <v>0</v>
      </c>
    </row>
    <row r="327" spans="1:23">
      <c r="A327" s="4">
        <f>IF(B327=" "," ",HYPERLINK(CONCATENATE("#metadata!",ADDRESS(INDEX($M$2:$M$1001,MATCH(ROWS($K$2:K327),$K$2:$K$1001,0),0),1)),INDEX($P$2:$P$1001,MATCH(ROWS($K$2:K327),$K$2:$K$1001,0),0)))</f>
        <v>0</v>
      </c>
      <c r="B327" s="3">
        <f>IF(OR(INDEX($L$2:$L$1001,MATCH(ROWS($K$2:K327),$K$2:$K$1001,0),1)&gt;=100000,INDEX($R$1005:$W$1005,1,MATCH(COLUMNS($R$1006:R1006),$R$1006:$W$1006,0))&gt;=100000), " ",IF(INDEX($R$2:$W$1001,MATCH(ROWS($K$2:K327),$K$2:$K$1001,0),MATCH(COLUMNS($R$1006:R1006),$R$1006:$W$1006,0)), HYPERLINK("#",""), HYPERLINK(CONCATENATE("#Metadata!", ADDRESS(INDEX($M$2:$M$1001,MATCH(ROWS($K$2:K327),$K$2:$K$1001,0),0), INDEX($R$1004:$W$1004,1,MATCH(COLUMNS($R$1006:R1006),$R$1006:$W$1006,0)))),"Fix")))</f>
        <v>0</v>
      </c>
      <c r="C327" s="3">
        <f>IF(OR(INDEX($L$2:$L$1001,MATCH(ROWS($K$2:K327),$K$2:$K$1001,0),1)&gt;=100000,INDEX($R$1005:$W$1005,1,MATCH(COLUMNS($R$1006:S1006),$R$1006:$W$1006,0))&gt;=100000), " ",IF(INDEX($R$2:$W$1001,MATCH(ROWS($K$2:K327),$K$2:$K$1001,0),MATCH(COLUMNS($R$1006:S1006),$R$1006:$W$1006,0)), HYPERLINK("#",""), HYPERLINK(CONCATENATE("#Metadata!", ADDRESS(INDEX($M$2:$M$1001,MATCH(ROWS($K$2:K327),$K$2:$K$1001,0),0), INDEX($R$1004:$W$1004,1,MATCH(COLUMNS($R$1006:S1006),$R$1006:$W$1006,0)))),"Fix")))</f>
        <v>0</v>
      </c>
      <c r="D327" s="3">
        <f>IF(OR(INDEX($L$2:$L$1001,MATCH(ROWS($K$2:K327),$K$2:$K$1001,0),1)&gt;=100000,INDEX($R$1005:$W$1005,1,MATCH(COLUMNS($R$1006:T1006),$R$1006:$W$1006,0))&gt;=100000), " ",IF(INDEX($R$2:$W$1001,MATCH(ROWS($K$2:K327),$K$2:$K$1001,0),MATCH(COLUMNS($R$1006:T1006),$R$1006:$W$1006,0)), HYPERLINK("#",""), HYPERLINK(CONCATENATE("#Metadata!", ADDRESS(INDEX($M$2:$M$1001,MATCH(ROWS($K$2:K327),$K$2:$K$1001,0),0), INDEX($R$1004:$W$1004,1,MATCH(COLUMNS($R$1006:T1006),$R$1006:$W$1006,0)))),"Fix")))</f>
        <v>0</v>
      </c>
      <c r="E327" s="3">
        <f>IF(OR(INDEX($L$2:$L$1001,MATCH(ROWS($K$2:K327),$K$2:$K$1001,0),1)&gt;=100000,INDEX($R$1005:$W$1005,1,MATCH(COLUMNS($R$1006:U1006),$R$1006:$W$1006,0))&gt;=100000), " ",IF(INDEX($R$2:$W$1001,MATCH(ROWS($K$2:K327),$K$2:$K$1001,0),MATCH(COLUMNS($R$1006:U1006),$R$1006:$W$1006,0)), HYPERLINK("#",""), HYPERLINK(CONCATENATE("#Metadata!", ADDRESS(INDEX($M$2:$M$1001,MATCH(ROWS($K$2:K327),$K$2:$K$1001,0),0), INDEX($R$1004:$W$1004,1,MATCH(COLUMNS($R$1006:U1006),$R$1006:$W$1006,0)))),"Fix")))</f>
        <v>0</v>
      </c>
      <c r="F327" s="3">
        <f>IF(OR(INDEX($L$2:$L$1001,MATCH(ROWS($K$2:K327),$K$2:$K$1001,0),1)&gt;=100000,INDEX($R$1005:$W$1005,1,MATCH(COLUMNS($R$1006:V1006),$R$1006:$W$1006,0))&gt;=100000), " ",IF(INDEX($R$2:$W$1001,MATCH(ROWS($K$2:K327),$K$2:$K$1001,0),MATCH(COLUMNS($R$1006:V1006),$R$1006:$W$1006,0)), HYPERLINK("#",""), HYPERLINK(CONCATENATE("#Metadata!", ADDRESS(INDEX($M$2:$M$1001,MATCH(ROWS($K$2:K327),$K$2:$K$1001,0),0), INDEX($R$1004:$W$1004,1,MATCH(COLUMNS($R$1006:V1006),$R$1006:$W$1006,0)))),"Fix")))</f>
        <v>0</v>
      </c>
      <c r="G327" s="3">
        <f>IF(OR(INDEX($L$2:$L$1001,MATCH(ROWS($K$2:K327),$K$2:$K$1001,0),1)&gt;=100000,INDEX($R$1005:$W$1005,1,MATCH(COLUMNS($R$1006:W1006),$R$1006:$W$1006,0))&gt;=100000), " ",IF(INDEX($R$2:$W$1001,MATCH(ROWS($K$2:K327),$K$2:$K$1001,0),MATCH(COLUMNS($R$1006:W1006),$R$1006:$W$1006,0)), HYPERLINK("#",""), HYPERLINK(CONCATENATE("#Metadata!", ADDRESS(INDEX($M$2:$M$1001,MATCH(ROWS($K$2:K327),$K$2:$K$1001,0),0), INDEX($R$1004:$W$1004,1,MATCH(COLUMNS($R$1006:W1006),$R$1006:$W$1006,0)))),"Fix")))</f>
        <v>0</v>
      </c>
      <c r="K327">
        <v>0</v>
      </c>
      <c r="L327">
        <v>0</v>
      </c>
      <c r="M327">
        <v>0</v>
      </c>
      <c r="N327">
        <f>IF(O327,TRUE,AND(R327:W327))</f>
        <v>0</v>
      </c>
      <c r="O327">
        <f>COUNTBLANK(Metadata!B327:G327)=COLUMNS(Metadata!B327:G327)</f>
        <v>0</v>
      </c>
      <c r="P327">
        <v>0</v>
      </c>
      <c r="R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S327">
        <f>IF(Metadata!C327="",FALSE,TRUE)</f>
        <v>0</v>
      </c>
      <c r="T327">
        <f>IF(Metadata!D327="",FALSE,TRUE)</f>
        <v>0</v>
      </c>
      <c r="U327">
        <f>IF(Metadata!E327="",FALSE,TRUE)</f>
        <v>0</v>
      </c>
      <c r="V327">
        <f>AND(IF(Metadata!F327="",FALSE,TRUE),exact(Metadata!F327,"rat gut metagenome"))</f>
        <v>0</v>
      </c>
      <c r="W327">
        <f>AND(IF(Metadata!G327="",FALSE,TRUE),exact(Metadata!G327,"1436733"))</f>
        <v>0</v>
      </c>
    </row>
    <row r="328" spans="1:23">
      <c r="A328" s="4">
        <f>IF(B328=" "," ",HYPERLINK(CONCATENATE("#metadata!",ADDRESS(INDEX($M$2:$M$1001,MATCH(ROWS($K$2:K328),$K$2:$K$1001,0),0),1)),INDEX($P$2:$P$1001,MATCH(ROWS($K$2:K328),$K$2:$K$1001,0),0)))</f>
        <v>0</v>
      </c>
      <c r="B328" s="3">
        <f>IF(OR(INDEX($L$2:$L$1001,MATCH(ROWS($K$2:K328),$K$2:$K$1001,0),1)&gt;=100000,INDEX($R$1005:$W$1005,1,MATCH(COLUMNS($R$1006:R1006),$R$1006:$W$1006,0))&gt;=100000), " ",IF(INDEX($R$2:$W$1001,MATCH(ROWS($K$2:K328),$K$2:$K$1001,0),MATCH(COLUMNS($R$1006:R1006),$R$1006:$W$1006,0)), HYPERLINK("#",""), HYPERLINK(CONCATENATE("#Metadata!", ADDRESS(INDEX($M$2:$M$1001,MATCH(ROWS($K$2:K328),$K$2:$K$1001,0),0), INDEX($R$1004:$W$1004,1,MATCH(COLUMNS($R$1006:R1006),$R$1006:$W$1006,0)))),"Fix")))</f>
        <v>0</v>
      </c>
      <c r="C328" s="3">
        <f>IF(OR(INDEX($L$2:$L$1001,MATCH(ROWS($K$2:K328),$K$2:$K$1001,0),1)&gt;=100000,INDEX($R$1005:$W$1005,1,MATCH(COLUMNS($R$1006:S1006),$R$1006:$W$1006,0))&gt;=100000), " ",IF(INDEX($R$2:$W$1001,MATCH(ROWS($K$2:K328),$K$2:$K$1001,0),MATCH(COLUMNS($R$1006:S1006),$R$1006:$W$1006,0)), HYPERLINK("#",""), HYPERLINK(CONCATENATE("#Metadata!", ADDRESS(INDEX($M$2:$M$1001,MATCH(ROWS($K$2:K328),$K$2:$K$1001,0),0), INDEX($R$1004:$W$1004,1,MATCH(COLUMNS($R$1006:S1006),$R$1006:$W$1006,0)))),"Fix")))</f>
        <v>0</v>
      </c>
      <c r="D328" s="3">
        <f>IF(OR(INDEX($L$2:$L$1001,MATCH(ROWS($K$2:K328),$K$2:$K$1001,0),1)&gt;=100000,INDEX($R$1005:$W$1005,1,MATCH(COLUMNS($R$1006:T1006),$R$1006:$W$1006,0))&gt;=100000), " ",IF(INDEX($R$2:$W$1001,MATCH(ROWS($K$2:K328),$K$2:$K$1001,0),MATCH(COLUMNS($R$1006:T1006),$R$1006:$W$1006,0)), HYPERLINK("#",""), HYPERLINK(CONCATENATE("#Metadata!", ADDRESS(INDEX($M$2:$M$1001,MATCH(ROWS($K$2:K328),$K$2:$K$1001,0),0), INDEX($R$1004:$W$1004,1,MATCH(COLUMNS($R$1006:T1006),$R$1006:$W$1006,0)))),"Fix")))</f>
        <v>0</v>
      </c>
      <c r="E328" s="3">
        <f>IF(OR(INDEX($L$2:$L$1001,MATCH(ROWS($K$2:K328),$K$2:$K$1001,0),1)&gt;=100000,INDEX($R$1005:$W$1005,1,MATCH(COLUMNS($R$1006:U1006),$R$1006:$W$1006,0))&gt;=100000), " ",IF(INDEX($R$2:$W$1001,MATCH(ROWS($K$2:K328),$K$2:$K$1001,0),MATCH(COLUMNS($R$1006:U1006),$R$1006:$W$1006,0)), HYPERLINK("#",""), HYPERLINK(CONCATENATE("#Metadata!", ADDRESS(INDEX($M$2:$M$1001,MATCH(ROWS($K$2:K328),$K$2:$K$1001,0),0), INDEX($R$1004:$W$1004,1,MATCH(COLUMNS($R$1006:U1006),$R$1006:$W$1006,0)))),"Fix")))</f>
        <v>0</v>
      </c>
      <c r="F328" s="3">
        <f>IF(OR(INDEX($L$2:$L$1001,MATCH(ROWS($K$2:K328),$K$2:$K$1001,0),1)&gt;=100000,INDEX($R$1005:$W$1005,1,MATCH(COLUMNS($R$1006:V1006),$R$1006:$W$1006,0))&gt;=100000), " ",IF(INDEX($R$2:$W$1001,MATCH(ROWS($K$2:K328),$K$2:$K$1001,0),MATCH(COLUMNS($R$1006:V1006),$R$1006:$W$1006,0)), HYPERLINK("#",""), HYPERLINK(CONCATENATE("#Metadata!", ADDRESS(INDEX($M$2:$M$1001,MATCH(ROWS($K$2:K328),$K$2:$K$1001,0),0), INDEX($R$1004:$W$1004,1,MATCH(COLUMNS($R$1006:V1006),$R$1006:$W$1006,0)))),"Fix")))</f>
        <v>0</v>
      </c>
      <c r="G328" s="3">
        <f>IF(OR(INDEX($L$2:$L$1001,MATCH(ROWS($K$2:K328),$K$2:$K$1001,0),1)&gt;=100000,INDEX($R$1005:$W$1005,1,MATCH(COLUMNS($R$1006:W1006),$R$1006:$W$1006,0))&gt;=100000), " ",IF(INDEX($R$2:$W$1001,MATCH(ROWS($K$2:K328),$K$2:$K$1001,0),MATCH(COLUMNS($R$1006:W1006),$R$1006:$W$1006,0)), HYPERLINK("#",""), HYPERLINK(CONCATENATE("#Metadata!", ADDRESS(INDEX($M$2:$M$1001,MATCH(ROWS($K$2:K328),$K$2:$K$1001,0),0), INDEX($R$1004:$W$1004,1,MATCH(COLUMNS($R$1006:W1006),$R$1006:$W$1006,0)))),"Fix")))</f>
        <v>0</v>
      </c>
      <c r="K328">
        <v>0</v>
      </c>
      <c r="L328">
        <v>0</v>
      </c>
      <c r="M328">
        <v>0</v>
      </c>
      <c r="N328">
        <f>IF(O328,TRUE,AND(R328:W328))</f>
        <v>0</v>
      </c>
      <c r="O328">
        <f>COUNTBLANK(Metadata!B328:G328)=COLUMNS(Metadata!B328:G328)</f>
        <v>0</v>
      </c>
      <c r="P328">
        <v>0</v>
      </c>
      <c r="R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S328">
        <f>IF(Metadata!C328="",FALSE,TRUE)</f>
        <v>0</v>
      </c>
      <c r="T328">
        <f>IF(Metadata!D328="",FALSE,TRUE)</f>
        <v>0</v>
      </c>
      <c r="U328">
        <f>IF(Metadata!E328="",FALSE,TRUE)</f>
        <v>0</v>
      </c>
      <c r="V328">
        <f>AND(IF(Metadata!F328="",FALSE,TRUE),exact(Metadata!F328,"rat gut metagenome"))</f>
        <v>0</v>
      </c>
      <c r="W328">
        <f>AND(IF(Metadata!G328="",FALSE,TRUE),exact(Metadata!G328,"1436733"))</f>
        <v>0</v>
      </c>
    </row>
    <row r="329" spans="1:23">
      <c r="A329" s="4">
        <f>IF(B329=" "," ",HYPERLINK(CONCATENATE("#metadata!",ADDRESS(INDEX($M$2:$M$1001,MATCH(ROWS($K$2:K329),$K$2:$K$1001,0),0),1)),INDEX($P$2:$P$1001,MATCH(ROWS($K$2:K329),$K$2:$K$1001,0),0)))</f>
        <v>0</v>
      </c>
      <c r="B329" s="3">
        <f>IF(OR(INDEX($L$2:$L$1001,MATCH(ROWS($K$2:K329),$K$2:$K$1001,0),1)&gt;=100000,INDEX($R$1005:$W$1005,1,MATCH(COLUMNS($R$1006:R1006),$R$1006:$W$1006,0))&gt;=100000), " ",IF(INDEX($R$2:$W$1001,MATCH(ROWS($K$2:K329),$K$2:$K$1001,0),MATCH(COLUMNS($R$1006:R1006),$R$1006:$W$1006,0)), HYPERLINK("#",""), HYPERLINK(CONCATENATE("#Metadata!", ADDRESS(INDEX($M$2:$M$1001,MATCH(ROWS($K$2:K329),$K$2:$K$1001,0),0), INDEX($R$1004:$W$1004,1,MATCH(COLUMNS($R$1006:R1006),$R$1006:$W$1006,0)))),"Fix")))</f>
        <v>0</v>
      </c>
      <c r="C329" s="3">
        <f>IF(OR(INDEX($L$2:$L$1001,MATCH(ROWS($K$2:K329),$K$2:$K$1001,0),1)&gt;=100000,INDEX($R$1005:$W$1005,1,MATCH(COLUMNS($R$1006:S1006),$R$1006:$W$1006,0))&gt;=100000), " ",IF(INDEX($R$2:$W$1001,MATCH(ROWS($K$2:K329),$K$2:$K$1001,0),MATCH(COLUMNS($R$1006:S1006),$R$1006:$W$1006,0)), HYPERLINK("#",""), HYPERLINK(CONCATENATE("#Metadata!", ADDRESS(INDEX($M$2:$M$1001,MATCH(ROWS($K$2:K329),$K$2:$K$1001,0),0), INDEX($R$1004:$W$1004,1,MATCH(COLUMNS($R$1006:S1006),$R$1006:$W$1006,0)))),"Fix")))</f>
        <v>0</v>
      </c>
      <c r="D329" s="3">
        <f>IF(OR(INDEX($L$2:$L$1001,MATCH(ROWS($K$2:K329),$K$2:$K$1001,0),1)&gt;=100000,INDEX($R$1005:$W$1005,1,MATCH(COLUMNS($R$1006:T1006),$R$1006:$W$1006,0))&gt;=100000), " ",IF(INDEX($R$2:$W$1001,MATCH(ROWS($K$2:K329),$K$2:$K$1001,0),MATCH(COLUMNS($R$1006:T1006),$R$1006:$W$1006,0)), HYPERLINK("#",""), HYPERLINK(CONCATENATE("#Metadata!", ADDRESS(INDEX($M$2:$M$1001,MATCH(ROWS($K$2:K329),$K$2:$K$1001,0),0), INDEX($R$1004:$W$1004,1,MATCH(COLUMNS($R$1006:T1006),$R$1006:$W$1006,0)))),"Fix")))</f>
        <v>0</v>
      </c>
      <c r="E329" s="3">
        <f>IF(OR(INDEX($L$2:$L$1001,MATCH(ROWS($K$2:K329),$K$2:$K$1001,0),1)&gt;=100000,INDEX($R$1005:$W$1005,1,MATCH(COLUMNS($R$1006:U1006),$R$1006:$W$1006,0))&gt;=100000), " ",IF(INDEX($R$2:$W$1001,MATCH(ROWS($K$2:K329),$K$2:$K$1001,0),MATCH(COLUMNS($R$1006:U1006),$R$1006:$W$1006,0)), HYPERLINK("#",""), HYPERLINK(CONCATENATE("#Metadata!", ADDRESS(INDEX($M$2:$M$1001,MATCH(ROWS($K$2:K329),$K$2:$K$1001,0),0), INDEX($R$1004:$W$1004,1,MATCH(COLUMNS($R$1006:U1006),$R$1006:$W$1006,0)))),"Fix")))</f>
        <v>0</v>
      </c>
      <c r="F329" s="3">
        <f>IF(OR(INDEX($L$2:$L$1001,MATCH(ROWS($K$2:K329),$K$2:$K$1001,0),1)&gt;=100000,INDEX($R$1005:$W$1005,1,MATCH(COLUMNS($R$1006:V1006),$R$1006:$W$1006,0))&gt;=100000), " ",IF(INDEX($R$2:$W$1001,MATCH(ROWS($K$2:K329),$K$2:$K$1001,0),MATCH(COLUMNS($R$1006:V1006),$R$1006:$W$1006,0)), HYPERLINK("#",""), HYPERLINK(CONCATENATE("#Metadata!", ADDRESS(INDEX($M$2:$M$1001,MATCH(ROWS($K$2:K329),$K$2:$K$1001,0),0), INDEX($R$1004:$W$1004,1,MATCH(COLUMNS($R$1006:V1006),$R$1006:$W$1006,0)))),"Fix")))</f>
        <v>0</v>
      </c>
      <c r="G329" s="3">
        <f>IF(OR(INDEX($L$2:$L$1001,MATCH(ROWS($K$2:K329),$K$2:$K$1001,0),1)&gt;=100000,INDEX($R$1005:$W$1005,1,MATCH(COLUMNS($R$1006:W1006),$R$1006:$W$1006,0))&gt;=100000), " ",IF(INDEX($R$2:$W$1001,MATCH(ROWS($K$2:K329),$K$2:$K$1001,0),MATCH(COLUMNS($R$1006:W1006),$R$1006:$W$1006,0)), HYPERLINK("#",""), HYPERLINK(CONCATENATE("#Metadata!", ADDRESS(INDEX($M$2:$M$1001,MATCH(ROWS($K$2:K329),$K$2:$K$1001,0),0), INDEX($R$1004:$W$1004,1,MATCH(COLUMNS($R$1006:W1006),$R$1006:$W$1006,0)))),"Fix")))</f>
        <v>0</v>
      </c>
      <c r="K329">
        <v>0</v>
      </c>
      <c r="L329">
        <v>0</v>
      </c>
      <c r="M329">
        <v>0</v>
      </c>
      <c r="N329">
        <f>IF(O329,TRUE,AND(R329:W329))</f>
        <v>0</v>
      </c>
      <c r="O329">
        <f>COUNTBLANK(Metadata!B329:G329)=COLUMNS(Metadata!B329:G329)</f>
        <v>0</v>
      </c>
      <c r="P329">
        <v>0</v>
      </c>
      <c r="R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S329">
        <f>IF(Metadata!C329="",FALSE,TRUE)</f>
        <v>0</v>
      </c>
      <c r="T329">
        <f>IF(Metadata!D329="",FALSE,TRUE)</f>
        <v>0</v>
      </c>
      <c r="U329">
        <f>IF(Metadata!E329="",FALSE,TRUE)</f>
        <v>0</v>
      </c>
      <c r="V329">
        <f>AND(IF(Metadata!F329="",FALSE,TRUE),exact(Metadata!F329,"rat gut metagenome"))</f>
        <v>0</v>
      </c>
      <c r="W329">
        <f>AND(IF(Metadata!G329="",FALSE,TRUE),exact(Metadata!G329,"1436733"))</f>
        <v>0</v>
      </c>
    </row>
    <row r="330" spans="1:23">
      <c r="A330" s="4">
        <f>IF(B330=" "," ",HYPERLINK(CONCATENATE("#metadata!",ADDRESS(INDEX($M$2:$M$1001,MATCH(ROWS($K$2:K330),$K$2:$K$1001,0),0),1)),INDEX($P$2:$P$1001,MATCH(ROWS($K$2:K330),$K$2:$K$1001,0),0)))</f>
        <v>0</v>
      </c>
      <c r="B330" s="3">
        <f>IF(OR(INDEX($L$2:$L$1001,MATCH(ROWS($K$2:K330),$K$2:$K$1001,0),1)&gt;=100000,INDEX($R$1005:$W$1005,1,MATCH(COLUMNS($R$1006:R1006),$R$1006:$W$1006,0))&gt;=100000), " ",IF(INDEX($R$2:$W$1001,MATCH(ROWS($K$2:K330),$K$2:$K$1001,0),MATCH(COLUMNS($R$1006:R1006),$R$1006:$W$1006,0)), HYPERLINK("#",""), HYPERLINK(CONCATENATE("#Metadata!", ADDRESS(INDEX($M$2:$M$1001,MATCH(ROWS($K$2:K330),$K$2:$K$1001,0),0), INDEX($R$1004:$W$1004,1,MATCH(COLUMNS($R$1006:R1006),$R$1006:$W$1006,0)))),"Fix")))</f>
        <v>0</v>
      </c>
      <c r="C330" s="3">
        <f>IF(OR(INDEX($L$2:$L$1001,MATCH(ROWS($K$2:K330),$K$2:$K$1001,0),1)&gt;=100000,INDEX($R$1005:$W$1005,1,MATCH(COLUMNS($R$1006:S1006),$R$1006:$W$1006,0))&gt;=100000), " ",IF(INDEX($R$2:$W$1001,MATCH(ROWS($K$2:K330),$K$2:$K$1001,0),MATCH(COLUMNS($R$1006:S1006),$R$1006:$W$1006,0)), HYPERLINK("#",""), HYPERLINK(CONCATENATE("#Metadata!", ADDRESS(INDEX($M$2:$M$1001,MATCH(ROWS($K$2:K330),$K$2:$K$1001,0),0), INDEX($R$1004:$W$1004,1,MATCH(COLUMNS($R$1006:S1006),$R$1006:$W$1006,0)))),"Fix")))</f>
        <v>0</v>
      </c>
      <c r="D330" s="3">
        <f>IF(OR(INDEX($L$2:$L$1001,MATCH(ROWS($K$2:K330),$K$2:$K$1001,0),1)&gt;=100000,INDEX($R$1005:$W$1005,1,MATCH(COLUMNS($R$1006:T1006),$R$1006:$W$1006,0))&gt;=100000), " ",IF(INDEX($R$2:$W$1001,MATCH(ROWS($K$2:K330),$K$2:$K$1001,0),MATCH(COLUMNS($R$1006:T1006),$R$1006:$W$1006,0)), HYPERLINK("#",""), HYPERLINK(CONCATENATE("#Metadata!", ADDRESS(INDEX($M$2:$M$1001,MATCH(ROWS($K$2:K330),$K$2:$K$1001,0),0), INDEX($R$1004:$W$1004,1,MATCH(COLUMNS($R$1006:T1006),$R$1006:$W$1006,0)))),"Fix")))</f>
        <v>0</v>
      </c>
      <c r="E330" s="3">
        <f>IF(OR(INDEX($L$2:$L$1001,MATCH(ROWS($K$2:K330),$K$2:$K$1001,0),1)&gt;=100000,INDEX($R$1005:$W$1005,1,MATCH(COLUMNS($R$1006:U1006),$R$1006:$W$1006,0))&gt;=100000), " ",IF(INDEX($R$2:$W$1001,MATCH(ROWS($K$2:K330),$K$2:$K$1001,0),MATCH(COLUMNS($R$1006:U1006),$R$1006:$W$1006,0)), HYPERLINK("#",""), HYPERLINK(CONCATENATE("#Metadata!", ADDRESS(INDEX($M$2:$M$1001,MATCH(ROWS($K$2:K330),$K$2:$K$1001,0),0), INDEX($R$1004:$W$1004,1,MATCH(COLUMNS($R$1006:U1006),$R$1006:$W$1006,0)))),"Fix")))</f>
        <v>0</v>
      </c>
      <c r="F330" s="3">
        <f>IF(OR(INDEX($L$2:$L$1001,MATCH(ROWS($K$2:K330),$K$2:$K$1001,0),1)&gt;=100000,INDEX($R$1005:$W$1005,1,MATCH(COLUMNS($R$1006:V1006),$R$1006:$W$1006,0))&gt;=100000), " ",IF(INDEX($R$2:$W$1001,MATCH(ROWS($K$2:K330),$K$2:$K$1001,0),MATCH(COLUMNS($R$1006:V1006),$R$1006:$W$1006,0)), HYPERLINK("#",""), HYPERLINK(CONCATENATE("#Metadata!", ADDRESS(INDEX($M$2:$M$1001,MATCH(ROWS($K$2:K330),$K$2:$K$1001,0),0), INDEX($R$1004:$W$1004,1,MATCH(COLUMNS($R$1006:V1006),$R$1006:$W$1006,0)))),"Fix")))</f>
        <v>0</v>
      </c>
      <c r="G330" s="3">
        <f>IF(OR(INDEX($L$2:$L$1001,MATCH(ROWS($K$2:K330),$K$2:$K$1001,0),1)&gt;=100000,INDEX($R$1005:$W$1005,1,MATCH(COLUMNS($R$1006:W1006),$R$1006:$W$1006,0))&gt;=100000), " ",IF(INDEX($R$2:$W$1001,MATCH(ROWS($K$2:K330),$K$2:$K$1001,0),MATCH(COLUMNS($R$1006:W1006),$R$1006:$W$1006,0)), HYPERLINK("#",""), HYPERLINK(CONCATENATE("#Metadata!", ADDRESS(INDEX($M$2:$M$1001,MATCH(ROWS($K$2:K330),$K$2:$K$1001,0),0), INDEX($R$1004:$W$1004,1,MATCH(COLUMNS($R$1006:W1006),$R$1006:$W$1006,0)))),"Fix")))</f>
        <v>0</v>
      </c>
      <c r="K330">
        <v>0</v>
      </c>
      <c r="L330">
        <v>0</v>
      </c>
      <c r="M330">
        <v>0</v>
      </c>
      <c r="N330">
        <f>IF(O330,TRUE,AND(R330:W330))</f>
        <v>0</v>
      </c>
      <c r="O330">
        <f>COUNTBLANK(Metadata!B330:G330)=COLUMNS(Metadata!B330:G330)</f>
        <v>0</v>
      </c>
      <c r="P330">
        <v>0</v>
      </c>
      <c r="R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S330">
        <f>IF(Metadata!C330="",FALSE,TRUE)</f>
        <v>0</v>
      </c>
      <c r="T330">
        <f>IF(Metadata!D330="",FALSE,TRUE)</f>
        <v>0</v>
      </c>
      <c r="U330">
        <f>IF(Metadata!E330="",FALSE,TRUE)</f>
        <v>0</v>
      </c>
      <c r="V330">
        <f>AND(IF(Metadata!F330="",FALSE,TRUE),exact(Metadata!F330,"rat gut metagenome"))</f>
        <v>0</v>
      </c>
      <c r="W330">
        <f>AND(IF(Metadata!G330="",FALSE,TRUE),exact(Metadata!G330,"1436733"))</f>
        <v>0</v>
      </c>
    </row>
    <row r="331" spans="1:23">
      <c r="A331" s="4">
        <f>IF(B331=" "," ",HYPERLINK(CONCATENATE("#metadata!",ADDRESS(INDEX($M$2:$M$1001,MATCH(ROWS($K$2:K331),$K$2:$K$1001,0),0),1)),INDEX($P$2:$P$1001,MATCH(ROWS($K$2:K331),$K$2:$K$1001,0),0)))</f>
        <v>0</v>
      </c>
      <c r="B331" s="3">
        <f>IF(OR(INDEX($L$2:$L$1001,MATCH(ROWS($K$2:K331),$K$2:$K$1001,0),1)&gt;=100000,INDEX($R$1005:$W$1005,1,MATCH(COLUMNS($R$1006:R1006),$R$1006:$W$1006,0))&gt;=100000), " ",IF(INDEX($R$2:$W$1001,MATCH(ROWS($K$2:K331),$K$2:$K$1001,0),MATCH(COLUMNS($R$1006:R1006),$R$1006:$W$1006,0)), HYPERLINK("#",""), HYPERLINK(CONCATENATE("#Metadata!", ADDRESS(INDEX($M$2:$M$1001,MATCH(ROWS($K$2:K331),$K$2:$K$1001,0),0), INDEX($R$1004:$W$1004,1,MATCH(COLUMNS($R$1006:R1006),$R$1006:$W$1006,0)))),"Fix")))</f>
        <v>0</v>
      </c>
      <c r="C331" s="3">
        <f>IF(OR(INDEX($L$2:$L$1001,MATCH(ROWS($K$2:K331),$K$2:$K$1001,0),1)&gt;=100000,INDEX($R$1005:$W$1005,1,MATCH(COLUMNS($R$1006:S1006),$R$1006:$W$1006,0))&gt;=100000), " ",IF(INDEX($R$2:$W$1001,MATCH(ROWS($K$2:K331),$K$2:$K$1001,0),MATCH(COLUMNS($R$1006:S1006),$R$1006:$W$1006,0)), HYPERLINK("#",""), HYPERLINK(CONCATENATE("#Metadata!", ADDRESS(INDEX($M$2:$M$1001,MATCH(ROWS($K$2:K331),$K$2:$K$1001,0),0), INDEX($R$1004:$W$1004,1,MATCH(COLUMNS($R$1006:S1006),$R$1006:$W$1006,0)))),"Fix")))</f>
        <v>0</v>
      </c>
      <c r="D331" s="3">
        <f>IF(OR(INDEX($L$2:$L$1001,MATCH(ROWS($K$2:K331),$K$2:$K$1001,0),1)&gt;=100000,INDEX($R$1005:$W$1005,1,MATCH(COLUMNS($R$1006:T1006),$R$1006:$W$1006,0))&gt;=100000), " ",IF(INDEX($R$2:$W$1001,MATCH(ROWS($K$2:K331),$K$2:$K$1001,0),MATCH(COLUMNS($R$1006:T1006),$R$1006:$W$1006,0)), HYPERLINK("#",""), HYPERLINK(CONCATENATE("#Metadata!", ADDRESS(INDEX($M$2:$M$1001,MATCH(ROWS($K$2:K331),$K$2:$K$1001,0),0), INDEX($R$1004:$W$1004,1,MATCH(COLUMNS($R$1006:T1006),$R$1006:$W$1006,0)))),"Fix")))</f>
        <v>0</v>
      </c>
      <c r="E331" s="3">
        <f>IF(OR(INDEX($L$2:$L$1001,MATCH(ROWS($K$2:K331),$K$2:$K$1001,0),1)&gt;=100000,INDEX($R$1005:$W$1005,1,MATCH(COLUMNS($R$1006:U1006),$R$1006:$W$1006,0))&gt;=100000), " ",IF(INDEX($R$2:$W$1001,MATCH(ROWS($K$2:K331),$K$2:$K$1001,0),MATCH(COLUMNS($R$1006:U1006),$R$1006:$W$1006,0)), HYPERLINK("#",""), HYPERLINK(CONCATENATE("#Metadata!", ADDRESS(INDEX($M$2:$M$1001,MATCH(ROWS($K$2:K331),$K$2:$K$1001,0),0), INDEX($R$1004:$W$1004,1,MATCH(COLUMNS($R$1006:U1006),$R$1006:$W$1006,0)))),"Fix")))</f>
        <v>0</v>
      </c>
      <c r="F331" s="3">
        <f>IF(OR(INDEX($L$2:$L$1001,MATCH(ROWS($K$2:K331),$K$2:$K$1001,0),1)&gt;=100000,INDEX($R$1005:$W$1005,1,MATCH(COLUMNS($R$1006:V1006),$R$1006:$W$1006,0))&gt;=100000), " ",IF(INDEX($R$2:$W$1001,MATCH(ROWS($K$2:K331),$K$2:$K$1001,0),MATCH(COLUMNS($R$1006:V1006),$R$1006:$W$1006,0)), HYPERLINK("#",""), HYPERLINK(CONCATENATE("#Metadata!", ADDRESS(INDEX($M$2:$M$1001,MATCH(ROWS($K$2:K331),$K$2:$K$1001,0),0), INDEX($R$1004:$W$1004,1,MATCH(COLUMNS($R$1006:V1006),$R$1006:$W$1006,0)))),"Fix")))</f>
        <v>0</v>
      </c>
      <c r="G331" s="3">
        <f>IF(OR(INDEX($L$2:$L$1001,MATCH(ROWS($K$2:K331),$K$2:$K$1001,0),1)&gt;=100000,INDEX($R$1005:$W$1005,1,MATCH(COLUMNS($R$1006:W1006),$R$1006:$W$1006,0))&gt;=100000), " ",IF(INDEX($R$2:$W$1001,MATCH(ROWS($K$2:K331),$K$2:$K$1001,0),MATCH(COLUMNS($R$1006:W1006),$R$1006:$W$1006,0)), HYPERLINK("#",""), HYPERLINK(CONCATENATE("#Metadata!", ADDRESS(INDEX($M$2:$M$1001,MATCH(ROWS($K$2:K331),$K$2:$K$1001,0),0), INDEX($R$1004:$W$1004,1,MATCH(COLUMNS($R$1006:W1006),$R$1006:$W$1006,0)))),"Fix")))</f>
        <v>0</v>
      </c>
      <c r="K331">
        <v>0</v>
      </c>
      <c r="L331">
        <v>0</v>
      </c>
      <c r="M331">
        <v>0</v>
      </c>
      <c r="N331">
        <f>IF(O331,TRUE,AND(R331:W331))</f>
        <v>0</v>
      </c>
      <c r="O331">
        <f>COUNTBLANK(Metadata!B331:G331)=COLUMNS(Metadata!B331:G331)</f>
        <v>0</v>
      </c>
      <c r="P331">
        <v>0</v>
      </c>
      <c r="R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S331">
        <f>IF(Metadata!C331="",FALSE,TRUE)</f>
        <v>0</v>
      </c>
      <c r="T331">
        <f>IF(Metadata!D331="",FALSE,TRUE)</f>
        <v>0</v>
      </c>
      <c r="U331">
        <f>IF(Metadata!E331="",FALSE,TRUE)</f>
        <v>0</v>
      </c>
      <c r="V331">
        <f>AND(IF(Metadata!F331="",FALSE,TRUE),exact(Metadata!F331,"rat gut metagenome"))</f>
        <v>0</v>
      </c>
      <c r="W331">
        <f>AND(IF(Metadata!G331="",FALSE,TRUE),exact(Metadata!G331,"1436733"))</f>
        <v>0</v>
      </c>
    </row>
    <row r="332" spans="1:23">
      <c r="A332" s="4">
        <f>IF(B332=" "," ",HYPERLINK(CONCATENATE("#metadata!",ADDRESS(INDEX($M$2:$M$1001,MATCH(ROWS($K$2:K332),$K$2:$K$1001,0),0),1)),INDEX($P$2:$P$1001,MATCH(ROWS($K$2:K332),$K$2:$K$1001,0),0)))</f>
        <v>0</v>
      </c>
      <c r="B332" s="3">
        <f>IF(OR(INDEX($L$2:$L$1001,MATCH(ROWS($K$2:K332),$K$2:$K$1001,0),1)&gt;=100000,INDEX($R$1005:$W$1005,1,MATCH(COLUMNS($R$1006:R1006),$R$1006:$W$1006,0))&gt;=100000), " ",IF(INDEX($R$2:$W$1001,MATCH(ROWS($K$2:K332),$K$2:$K$1001,0),MATCH(COLUMNS($R$1006:R1006),$R$1006:$W$1006,0)), HYPERLINK("#",""), HYPERLINK(CONCATENATE("#Metadata!", ADDRESS(INDEX($M$2:$M$1001,MATCH(ROWS($K$2:K332),$K$2:$K$1001,0),0), INDEX($R$1004:$W$1004,1,MATCH(COLUMNS($R$1006:R1006),$R$1006:$W$1006,0)))),"Fix")))</f>
        <v>0</v>
      </c>
      <c r="C332" s="3">
        <f>IF(OR(INDEX($L$2:$L$1001,MATCH(ROWS($K$2:K332),$K$2:$K$1001,0),1)&gt;=100000,INDEX($R$1005:$W$1005,1,MATCH(COLUMNS($R$1006:S1006),$R$1006:$W$1006,0))&gt;=100000), " ",IF(INDEX($R$2:$W$1001,MATCH(ROWS($K$2:K332),$K$2:$K$1001,0),MATCH(COLUMNS($R$1006:S1006),$R$1006:$W$1006,0)), HYPERLINK("#",""), HYPERLINK(CONCATENATE("#Metadata!", ADDRESS(INDEX($M$2:$M$1001,MATCH(ROWS($K$2:K332),$K$2:$K$1001,0),0), INDEX($R$1004:$W$1004,1,MATCH(COLUMNS($R$1006:S1006),$R$1006:$W$1006,0)))),"Fix")))</f>
        <v>0</v>
      </c>
      <c r="D332" s="3">
        <f>IF(OR(INDEX($L$2:$L$1001,MATCH(ROWS($K$2:K332),$K$2:$K$1001,0),1)&gt;=100000,INDEX($R$1005:$W$1005,1,MATCH(COLUMNS($R$1006:T1006),$R$1006:$W$1006,0))&gt;=100000), " ",IF(INDEX($R$2:$W$1001,MATCH(ROWS($K$2:K332),$K$2:$K$1001,0),MATCH(COLUMNS($R$1006:T1006),$R$1006:$W$1006,0)), HYPERLINK("#",""), HYPERLINK(CONCATENATE("#Metadata!", ADDRESS(INDEX($M$2:$M$1001,MATCH(ROWS($K$2:K332),$K$2:$K$1001,0),0), INDEX($R$1004:$W$1004,1,MATCH(COLUMNS($R$1006:T1006),$R$1006:$W$1006,0)))),"Fix")))</f>
        <v>0</v>
      </c>
      <c r="E332" s="3">
        <f>IF(OR(INDEX($L$2:$L$1001,MATCH(ROWS($K$2:K332),$K$2:$K$1001,0),1)&gt;=100000,INDEX($R$1005:$W$1005,1,MATCH(COLUMNS($R$1006:U1006),$R$1006:$W$1006,0))&gt;=100000), " ",IF(INDEX($R$2:$W$1001,MATCH(ROWS($K$2:K332),$K$2:$K$1001,0),MATCH(COLUMNS($R$1006:U1006),$R$1006:$W$1006,0)), HYPERLINK("#",""), HYPERLINK(CONCATENATE("#Metadata!", ADDRESS(INDEX($M$2:$M$1001,MATCH(ROWS($K$2:K332),$K$2:$K$1001,0),0), INDEX($R$1004:$W$1004,1,MATCH(COLUMNS($R$1006:U1006),$R$1006:$W$1006,0)))),"Fix")))</f>
        <v>0</v>
      </c>
      <c r="F332" s="3">
        <f>IF(OR(INDEX($L$2:$L$1001,MATCH(ROWS($K$2:K332),$K$2:$K$1001,0),1)&gt;=100000,INDEX($R$1005:$W$1005,1,MATCH(COLUMNS($R$1006:V1006),$R$1006:$W$1006,0))&gt;=100000), " ",IF(INDEX($R$2:$W$1001,MATCH(ROWS($K$2:K332),$K$2:$K$1001,0),MATCH(COLUMNS($R$1006:V1006),$R$1006:$W$1006,0)), HYPERLINK("#",""), HYPERLINK(CONCATENATE("#Metadata!", ADDRESS(INDEX($M$2:$M$1001,MATCH(ROWS($K$2:K332),$K$2:$K$1001,0),0), INDEX($R$1004:$W$1004,1,MATCH(COLUMNS($R$1006:V1006),$R$1006:$W$1006,0)))),"Fix")))</f>
        <v>0</v>
      </c>
      <c r="G332" s="3">
        <f>IF(OR(INDEX($L$2:$L$1001,MATCH(ROWS($K$2:K332),$K$2:$K$1001,0),1)&gt;=100000,INDEX($R$1005:$W$1005,1,MATCH(COLUMNS($R$1006:W1006),$R$1006:$W$1006,0))&gt;=100000), " ",IF(INDEX($R$2:$W$1001,MATCH(ROWS($K$2:K332),$K$2:$K$1001,0),MATCH(COLUMNS($R$1006:W1006),$R$1006:$W$1006,0)), HYPERLINK("#",""), HYPERLINK(CONCATENATE("#Metadata!", ADDRESS(INDEX($M$2:$M$1001,MATCH(ROWS($K$2:K332),$K$2:$K$1001,0),0), INDEX($R$1004:$W$1004,1,MATCH(COLUMNS($R$1006:W1006),$R$1006:$W$1006,0)))),"Fix")))</f>
        <v>0</v>
      </c>
      <c r="K332">
        <v>0</v>
      </c>
      <c r="L332">
        <v>0</v>
      </c>
      <c r="M332">
        <v>0</v>
      </c>
      <c r="N332">
        <f>IF(O332,TRUE,AND(R332:W332))</f>
        <v>0</v>
      </c>
      <c r="O332">
        <f>COUNTBLANK(Metadata!B332:G332)=COLUMNS(Metadata!B332:G332)</f>
        <v>0</v>
      </c>
      <c r="P332">
        <v>0</v>
      </c>
      <c r="R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S332">
        <f>IF(Metadata!C332="",FALSE,TRUE)</f>
        <v>0</v>
      </c>
      <c r="T332">
        <f>IF(Metadata!D332="",FALSE,TRUE)</f>
        <v>0</v>
      </c>
      <c r="U332">
        <f>IF(Metadata!E332="",FALSE,TRUE)</f>
        <v>0</v>
      </c>
      <c r="V332">
        <f>AND(IF(Metadata!F332="",FALSE,TRUE),exact(Metadata!F332,"rat gut metagenome"))</f>
        <v>0</v>
      </c>
      <c r="W332">
        <f>AND(IF(Metadata!G332="",FALSE,TRUE),exact(Metadata!G332,"1436733"))</f>
        <v>0</v>
      </c>
    </row>
    <row r="333" spans="1:23">
      <c r="A333" s="4">
        <f>IF(B333=" "," ",HYPERLINK(CONCATENATE("#metadata!",ADDRESS(INDEX($M$2:$M$1001,MATCH(ROWS($K$2:K333),$K$2:$K$1001,0),0),1)),INDEX($P$2:$P$1001,MATCH(ROWS($K$2:K333),$K$2:$K$1001,0),0)))</f>
        <v>0</v>
      </c>
      <c r="B333" s="3">
        <f>IF(OR(INDEX($L$2:$L$1001,MATCH(ROWS($K$2:K333),$K$2:$K$1001,0),1)&gt;=100000,INDEX($R$1005:$W$1005,1,MATCH(COLUMNS($R$1006:R1006),$R$1006:$W$1006,0))&gt;=100000), " ",IF(INDEX($R$2:$W$1001,MATCH(ROWS($K$2:K333),$K$2:$K$1001,0),MATCH(COLUMNS($R$1006:R1006),$R$1006:$W$1006,0)), HYPERLINK("#",""), HYPERLINK(CONCATENATE("#Metadata!", ADDRESS(INDEX($M$2:$M$1001,MATCH(ROWS($K$2:K333),$K$2:$K$1001,0),0), INDEX($R$1004:$W$1004,1,MATCH(COLUMNS($R$1006:R1006),$R$1006:$W$1006,0)))),"Fix")))</f>
        <v>0</v>
      </c>
      <c r="C333" s="3">
        <f>IF(OR(INDEX($L$2:$L$1001,MATCH(ROWS($K$2:K333),$K$2:$K$1001,0),1)&gt;=100000,INDEX($R$1005:$W$1005,1,MATCH(COLUMNS($R$1006:S1006),$R$1006:$W$1006,0))&gt;=100000), " ",IF(INDEX($R$2:$W$1001,MATCH(ROWS($K$2:K333),$K$2:$K$1001,0),MATCH(COLUMNS($R$1006:S1006),$R$1006:$W$1006,0)), HYPERLINK("#",""), HYPERLINK(CONCATENATE("#Metadata!", ADDRESS(INDEX($M$2:$M$1001,MATCH(ROWS($K$2:K333),$K$2:$K$1001,0),0), INDEX($R$1004:$W$1004,1,MATCH(COLUMNS($R$1006:S1006),$R$1006:$W$1006,0)))),"Fix")))</f>
        <v>0</v>
      </c>
      <c r="D333" s="3">
        <f>IF(OR(INDEX($L$2:$L$1001,MATCH(ROWS($K$2:K333),$K$2:$K$1001,0),1)&gt;=100000,INDEX($R$1005:$W$1005,1,MATCH(COLUMNS($R$1006:T1006),$R$1006:$W$1006,0))&gt;=100000), " ",IF(INDEX($R$2:$W$1001,MATCH(ROWS($K$2:K333),$K$2:$K$1001,0),MATCH(COLUMNS($R$1006:T1006),$R$1006:$W$1006,0)), HYPERLINK("#",""), HYPERLINK(CONCATENATE("#Metadata!", ADDRESS(INDEX($M$2:$M$1001,MATCH(ROWS($K$2:K333),$K$2:$K$1001,0),0), INDEX($R$1004:$W$1004,1,MATCH(COLUMNS($R$1006:T1006),$R$1006:$W$1006,0)))),"Fix")))</f>
        <v>0</v>
      </c>
      <c r="E333" s="3">
        <f>IF(OR(INDEX($L$2:$L$1001,MATCH(ROWS($K$2:K333),$K$2:$K$1001,0),1)&gt;=100000,INDEX($R$1005:$W$1005,1,MATCH(COLUMNS($R$1006:U1006),$R$1006:$W$1006,0))&gt;=100000), " ",IF(INDEX($R$2:$W$1001,MATCH(ROWS($K$2:K333),$K$2:$K$1001,0),MATCH(COLUMNS($R$1006:U1006),$R$1006:$W$1006,0)), HYPERLINK("#",""), HYPERLINK(CONCATENATE("#Metadata!", ADDRESS(INDEX($M$2:$M$1001,MATCH(ROWS($K$2:K333),$K$2:$K$1001,0),0), INDEX($R$1004:$W$1004,1,MATCH(COLUMNS($R$1006:U1006),$R$1006:$W$1006,0)))),"Fix")))</f>
        <v>0</v>
      </c>
      <c r="F333" s="3">
        <f>IF(OR(INDEX($L$2:$L$1001,MATCH(ROWS($K$2:K333),$K$2:$K$1001,0),1)&gt;=100000,INDEX($R$1005:$W$1005,1,MATCH(COLUMNS($R$1006:V1006),$R$1006:$W$1006,0))&gt;=100000), " ",IF(INDEX($R$2:$W$1001,MATCH(ROWS($K$2:K333),$K$2:$K$1001,0),MATCH(COLUMNS($R$1006:V1006),$R$1006:$W$1006,0)), HYPERLINK("#",""), HYPERLINK(CONCATENATE("#Metadata!", ADDRESS(INDEX($M$2:$M$1001,MATCH(ROWS($K$2:K333),$K$2:$K$1001,0),0), INDEX($R$1004:$W$1004,1,MATCH(COLUMNS($R$1006:V1006),$R$1006:$W$1006,0)))),"Fix")))</f>
        <v>0</v>
      </c>
      <c r="G333" s="3">
        <f>IF(OR(INDEX($L$2:$L$1001,MATCH(ROWS($K$2:K333),$K$2:$K$1001,0),1)&gt;=100000,INDEX($R$1005:$W$1005,1,MATCH(COLUMNS($R$1006:W1006),$R$1006:$W$1006,0))&gt;=100000), " ",IF(INDEX($R$2:$W$1001,MATCH(ROWS($K$2:K333),$K$2:$K$1001,0),MATCH(COLUMNS($R$1006:W1006),$R$1006:$W$1006,0)), HYPERLINK("#",""), HYPERLINK(CONCATENATE("#Metadata!", ADDRESS(INDEX($M$2:$M$1001,MATCH(ROWS($K$2:K333),$K$2:$K$1001,0),0), INDEX($R$1004:$W$1004,1,MATCH(COLUMNS($R$1006:W1006),$R$1006:$W$1006,0)))),"Fix")))</f>
        <v>0</v>
      </c>
      <c r="K333">
        <v>0</v>
      </c>
      <c r="L333">
        <v>0</v>
      </c>
      <c r="M333">
        <v>0</v>
      </c>
      <c r="N333">
        <f>IF(O333,TRUE,AND(R333:W333))</f>
        <v>0</v>
      </c>
      <c r="O333">
        <f>COUNTBLANK(Metadata!B333:G333)=COLUMNS(Metadata!B333:G333)</f>
        <v>0</v>
      </c>
      <c r="P333">
        <v>0</v>
      </c>
      <c r="R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S333">
        <f>IF(Metadata!C333="",FALSE,TRUE)</f>
        <v>0</v>
      </c>
      <c r="T333">
        <f>IF(Metadata!D333="",FALSE,TRUE)</f>
        <v>0</v>
      </c>
      <c r="U333">
        <f>IF(Metadata!E333="",FALSE,TRUE)</f>
        <v>0</v>
      </c>
      <c r="V333">
        <f>AND(IF(Metadata!F333="",FALSE,TRUE),exact(Metadata!F333,"rat gut metagenome"))</f>
        <v>0</v>
      </c>
      <c r="W333">
        <f>AND(IF(Metadata!G333="",FALSE,TRUE),exact(Metadata!G333,"1436733"))</f>
        <v>0</v>
      </c>
    </row>
    <row r="334" spans="1:23">
      <c r="A334" s="4">
        <f>IF(B334=" "," ",HYPERLINK(CONCATENATE("#metadata!",ADDRESS(INDEX($M$2:$M$1001,MATCH(ROWS($K$2:K334),$K$2:$K$1001,0),0),1)),INDEX($P$2:$P$1001,MATCH(ROWS($K$2:K334),$K$2:$K$1001,0),0)))</f>
        <v>0</v>
      </c>
      <c r="B334" s="3">
        <f>IF(OR(INDEX($L$2:$L$1001,MATCH(ROWS($K$2:K334),$K$2:$K$1001,0),1)&gt;=100000,INDEX($R$1005:$W$1005,1,MATCH(COLUMNS($R$1006:R1006),$R$1006:$W$1006,0))&gt;=100000), " ",IF(INDEX($R$2:$W$1001,MATCH(ROWS($K$2:K334),$K$2:$K$1001,0),MATCH(COLUMNS($R$1006:R1006),$R$1006:$W$1006,0)), HYPERLINK("#",""), HYPERLINK(CONCATENATE("#Metadata!", ADDRESS(INDEX($M$2:$M$1001,MATCH(ROWS($K$2:K334),$K$2:$K$1001,0),0), INDEX($R$1004:$W$1004,1,MATCH(COLUMNS($R$1006:R1006),$R$1006:$W$1006,0)))),"Fix")))</f>
        <v>0</v>
      </c>
      <c r="C334" s="3">
        <f>IF(OR(INDEX($L$2:$L$1001,MATCH(ROWS($K$2:K334),$K$2:$K$1001,0),1)&gt;=100000,INDEX($R$1005:$W$1005,1,MATCH(COLUMNS($R$1006:S1006),$R$1006:$W$1006,0))&gt;=100000), " ",IF(INDEX($R$2:$W$1001,MATCH(ROWS($K$2:K334),$K$2:$K$1001,0),MATCH(COLUMNS($R$1006:S1006),$R$1006:$W$1006,0)), HYPERLINK("#",""), HYPERLINK(CONCATENATE("#Metadata!", ADDRESS(INDEX($M$2:$M$1001,MATCH(ROWS($K$2:K334),$K$2:$K$1001,0),0), INDEX($R$1004:$W$1004,1,MATCH(COLUMNS($R$1006:S1006),$R$1006:$W$1006,0)))),"Fix")))</f>
        <v>0</v>
      </c>
      <c r="D334" s="3">
        <f>IF(OR(INDEX($L$2:$L$1001,MATCH(ROWS($K$2:K334),$K$2:$K$1001,0),1)&gt;=100000,INDEX($R$1005:$W$1005,1,MATCH(COLUMNS($R$1006:T1006),$R$1006:$W$1006,0))&gt;=100000), " ",IF(INDEX($R$2:$W$1001,MATCH(ROWS($K$2:K334),$K$2:$K$1001,0),MATCH(COLUMNS($R$1006:T1006),$R$1006:$W$1006,0)), HYPERLINK("#",""), HYPERLINK(CONCATENATE("#Metadata!", ADDRESS(INDEX($M$2:$M$1001,MATCH(ROWS($K$2:K334),$K$2:$K$1001,0),0), INDEX($R$1004:$W$1004,1,MATCH(COLUMNS($R$1006:T1006),$R$1006:$W$1006,0)))),"Fix")))</f>
        <v>0</v>
      </c>
      <c r="E334" s="3">
        <f>IF(OR(INDEX($L$2:$L$1001,MATCH(ROWS($K$2:K334),$K$2:$K$1001,0),1)&gt;=100000,INDEX($R$1005:$W$1005,1,MATCH(COLUMNS($R$1006:U1006),$R$1006:$W$1006,0))&gt;=100000), " ",IF(INDEX($R$2:$W$1001,MATCH(ROWS($K$2:K334),$K$2:$K$1001,0),MATCH(COLUMNS($R$1006:U1006),$R$1006:$W$1006,0)), HYPERLINK("#",""), HYPERLINK(CONCATENATE("#Metadata!", ADDRESS(INDEX($M$2:$M$1001,MATCH(ROWS($K$2:K334),$K$2:$K$1001,0),0), INDEX($R$1004:$W$1004,1,MATCH(COLUMNS($R$1006:U1006),$R$1006:$W$1006,0)))),"Fix")))</f>
        <v>0</v>
      </c>
      <c r="F334" s="3">
        <f>IF(OR(INDEX($L$2:$L$1001,MATCH(ROWS($K$2:K334),$K$2:$K$1001,0),1)&gt;=100000,INDEX($R$1005:$W$1005,1,MATCH(COLUMNS($R$1006:V1006),$R$1006:$W$1006,0))&gt;=100000), " ",IF(INDEX($R$2:$W$1001,MATCH(ROWS($K$2:K334),$K$2:$K$1001,0),MATCH(COLUMNS($R$1006:V1006),$R$1006:$W$1006,0)), HYPERLINK("#",""), HYPERLINK(CONCATENATE("#Metadata!", ADDRESS(INDEX($M$2:$M$1001,MATCH(ROWS($K$2:K334),$K$2:$K$1001,0),0), INDEX($R$1004:$W$1004,1,MATCH(COLUMNS($R$1006:V1006),$R$1006:$W$1006,0)))),"Fix")))</f>
        <v>0</v>
      </c>
      <c r="G334" s="3">
        <f>IF(OR(INDEX($L$2:$L$1001,MATCH(ROWS($K$2:K334),$K$2:$K$1001,0),1)&gt;=100000,INDEX($R$1005:$W$1005,1,MATCH(COLUMNS($R$1006:W1006),$R$1006:$W$1006,0))&gt;=100000), " ",IF(INDEX($R$2:$W$1001,MATCH(ROWS($K$2:K334),$K$2:$K$1001,0),MATCH(COLUMNS($R$1006:W1006),$R$1006:$W$1006,0)), HYPERLINK("#",""), HYPERLINK(CONCATENATE("#Metadata!", ADDRESS(INDEX($M$2:$M$1001,MATCH(ROWS($K$2:K334),$K$2:$K$1001,0),0), INDEX($R$1004:$W$1004,1,MATCH(COLUMNS($R$1006:W1006),$R$1006:$W$1006,0)))),"Fix")))</f>
        <v>0</v>
      </c>
      <c r="K334">
        <v>0</v>
      </c>
      <c r="L334">
        <v>0</v>
      </c>
      <c r="M334">
        <v>0</v>
      </c>
      <c r="N334">
        <f>IF(O334,TRUE,AND(R334:W334))</f>
        <v>0</v>
      </c>
      <c r="O334">
        <f>COUNTBLANK(Metadata!B334:G334)=COLUMNS(Metadata!B334:G334)</f>
        <v>0</v>
      </c>
      <c r="P334">
        <v>0</v>
      </c>
      <c r="R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S334">
        <f>IF(Metadata!C334="",FALSE,TRUE)</f>
        <v>0</v>
      </c>
      <c r="T334">
        <f>IF(Metadata!D334="",FALSE,TRUE)</f>
        <v>0</v>
      </c>
      <c r="U334">
        <f>IF(Metadata!E334="",FALSE,TRUE)</f>
        <v>0</v>
      </c>
      <c r="V334">
        <f>AND(IF(Metadata!F334="",FALSE,TRUE),exact(Metadata!F334,"rat gut metagenome"))</f>
        <v>0</v>
      </c>
      <c r="W334">
        <f>AND(IF(Metadata!G334="",FALSE,TRUE),exact(Metadata!G334,"1436733"))</f>
        <v>0</v>
      </c>
    </row>
    <row r="335" spans="1:23">
      <c r="A335" s="4">
        <f>IF(B335=" "," ",HYPERLINK(CONCATENATE("#metadata!",ADDRESS(INDEX($M$2:$M$1001,MATCH(ROWS($K$2:K335),$K$2:$K$1001,0),0),1)),INDEX($P$2:$P$1001,MATCH(ROWS($K$2:K335),$K$2:$K$1001,0),0)))</f>
        <v>0</v>
      </c>
      <c r="B335" s="3">
        <f>IF(OR(INDEX($L$2:$L$1001,MATCH(ROWS($K$2:K335),$K$2:$K$1001,0),1)&gt;=100000,INDEX($R$1005:$W$1005,1,MATCH(COLUMNS($R$1006:R1006),$R$1006:$W$1006,0))&gt;=100000), " ",IF(INDEX($R$2:$W$1001,MATCH(ROWS($K$2:K335),$K$2:$K$1001,0),MATCH(COLUMNS($R$1006:R1006),$R$1006:$W$1006,0)), HYPERLINK("#",""), HYPERLINK(CONCATENATE("#Metadata!", ADDRESS(INDEX($M$2:$M$1001,MATCH(ROWS($K$2:K335),$K$2:$K$1001,0),0), INDEX($R$1004:$W$1004,1,MATCH(COLUMNS($R$1006:R1006),$R$1006:$W$1006,0)))),"Fix")))</f>
        <v>0</v>
      </c>
      <c r="C335" s="3">
        <f>IF(OR(INDEX($L$2:$L$1001,MATCH(ROWS($K$2:K335),$K$2:$K$1001,0),1)&gt;=100000,INDEX($R$1005:$W$1005,1,MATCH(COLUMNS($R$1006:S1006),$R$1006:$W$1006,0))&gt;=100000), " ",IF(INDEX($R$2:$W$1001,MATCH(ROWS($K$2:K335),$K$2:$K$1001,0),MATCH(COLUMNS($R$1006:S1006),$R$1006:$W$1006,0)), HYPERLINK("#",""), HYPERLINK(CONCATENATE("#Metadata!", ADDRESS(INDEX($M$2:$M$1001,MATCH(ROWS($K$2:K335),$K$2:$K$1001,0),0), INDEX($R$1004:$W$1004,1,MATCH(COLUMNS($R$1006:S1006),$R$1006:$W$1006,0)))),"Fix")))</f>
        <v>0</v>
      </c>
      <c r="D335" s="3">
        <f>IF(OR(INDEX($L$2:$L$1001,MATCH(ROWS($K$2:K335),$K$2:$K$1001,0),1)&gt;=100000,INDEX($R$1005:$W$1005,1,MATCH(COLUMNS($R$1006:T1006),$R$1006:$W$1006,0))&gt;=100000), " ",IF(INDEX($R$2:$W$1001,MATCH(ROWS($K$2:K335),$K$2:$K$1001,0),MATCH(COLUMNS($R$1006:T1006),$R$1006:$W$1006,0)), HYPERLINK("#",""), HYPERLINK(CONCATENATE("#Metadata!", ADDRESS(INDEX($M$2:$M$1001,MATCH(ROWS($K$2:K335),$K$2:$K$1001,0),0), INDEX($R$1004:$W$1004,1,MATCH(COLUMNS($R$1006:T1006),$R$1006:$W$1006,0)))),"Fix")))</f>
        <v>0</v>
      </c>
      <c r="E335" s="3">
        <f>IF(OR(INDEX($L$2:$L$1001,MATCH(ROWS($K$2:K335),$K$2:$K$1001,0),1)&gt;=100000,INDEX($R$1005:$W$1005,1,MATCH(COLUMNS($R$1006:U1006),$R$1006:$W$1006,0))&gt;=100000), " ",IF(INDEX($R$2:$W$1001,MATCH(ROWS($K$2:K335),$K$2:$K$1001,0),MATCH(COLUMNS($R$1006:U1006),$R$1006:$W$1006,0)), HYPERLINK("#",""), HYPERLINK(CONCATENATE("#Metadata!", ADDRESS(INDEX($M$2:$M$1001,MATCH(ROWS($K$2:K335),$K$2:$K$1001,0),0), INDEX($R$1004:$W$1004,1,MATCH(COLUMNS($R$1006:U1006),$R$1006:$W$1006,0)))),"Fix")))</f>
        <v>0</v>
      </c>
      <c r="F335" s="3">
        <f>IF(OR(INDEX($L$2:$L$1001,MATCH(ROWS($K$2:K335),$K$2:$K$1001,0),1)&gt;=100000,INDEX($R$1005:$W$1005,1,MATCH(COLUMNS($R$1006:V1006),$R$1006:$W$1006,0))&gt;=100000), " ",IF(INDEX($R$2:$W$1001,MATCH(ROWS($K$2:K335),$K$2:$K$1001,0),MATCH(COLUMNS($R$1006:V1006),$R$1006:$W$1006,0)), HYPERLINK("#",""), HYPERLINK(CONCATENATE("#Metadata!", ADDRESS(INDEX($M$2:$M$1001,MATCH(ROWS($K$2:K335),$K$2:$K$1001,0),0), INDEX($R$1004:$W$1004,1,MATCH(COLUMNS($R$1006:V1006),$R$1006:$W$1006,0)))),"Fix")))</f>
        <v>0</v>
      </c>
      <c r="G335" s="3">
        <f>IF(OR(INDEX($L$2:$L$1001,MATCH(ROWS($K$2:K335),$K$2:$K$1001,0),1)&gt;=100000,INDEX($R$1005:$W$1005,1,MATCH(COLUMNS($R$1006:W1006),$R$1006:$W$1006,0))&gt;=100000), " ",IF(INDEX($R$2:$W$1001,MATCH(ROWS($K$2:K335),$K$2:$K$1001,0),MATCH(COLUMNS($R$1006:W1006),$R$1006:$W$1006,0)), HYPERLINK("#",""), HYPERLINK(CONCATENATE("#Metadata!", ADDRESS(INDEX($M$2:$M$1001,MATCH(ROWS($K$2:K335),$K$2:$K$1001,0),0), INDEX($R$1004:$W$1004,1,MATCH(COLUMNS($R$1006:W1006),$R$1006:$W$1006,0)))),"Fix")))</f>
        <v>0</v>
      </c>
      <c r="K335">
        <v>0</v>
      </c>
      <c r="L335">
        <v>0</v>
      </c>
      <c r="M335">
        <v>0</v>
      </c>
      <c r="N335">
        <f>IF(O335,TRUE,AND(R335:W335))</f>
        <v>0</v>
      </c>
      <c r="O335">
        <f>COUNTBLANK(Metadata!B335:G335)=COLUMNS(Metadata!B335:G335)</f>
        <v>0</v>
      </c>
      <c r="P335">
        <v>0</v>
      </c>
      <c r="R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S335">
        <f>IF(Metadata!C335="",FALSE,TRUE)</f>
        <v>0</v>
      </c>
      <c r="T335">
        <f>IF(Metadata!D335="",FALSE,TRUE)</f>
        <v>0</v>
      </c>
      <c r="U335">
        <f>IF(Metadata!E335="",FALSE,TRUE)</f>
        <v>0</v>
      </c>
      <c r="V335">
        <f>AND(IF(Metadata!F335="",FALSE,TRUE),exact(Metadata!F335,"rat gut metagenome"))</f>
        <v>0</v>
      </c>
      <c r="W335">
        <f>AND(IF(Metadata!G335="",FALSE,TRUE),exact(Metadata!G335,"1436733"))</f>
        <v>0</v>
      </c>
    </row>
    <row r="336" spans="1:23">
      <c r="A336" s="4">
        <f>IF(B336=" "," ",HYPERLINK(CONCATENATE("#metadata!",ADDRESS(INDEX($M$2:$M$1001,MATCH(ROWS($K$2:K336),$K$2:$K$1001,0),0),1)),INDEX($P$2:$P$1001,MATCH(ROWS($K$2:K336),$K$2:$K$1001,0),0)))</f>
        <v>0</v>
      </c>
      <c r="B336" s="3">
        <f>IF(OR(INDEX($L$2:$L$1001,MATCH(ROWS($K$2:K336),$K$2:$K$1001,0),1)&gt;=100000,INDEX($R$1005:$W$1005,1,MATCH(COLUMNS($R$1006:R1006),$R$1006:$W$1006,0))&gt;=100000), " ",IF(INDEX($R$2:$W$1001,MATCH(ROWS($K$2:K336),$K$2:$K$1001,0),MATCH(COLUMNS($R$1006:R1006),$R$1006:$W$1006,0)), HYPERLINK("#",""), HYPERLINK(CONCATENATE("#Metadata!", ADDRESS(INDEX($M$2:$M$1001,MATCH(ROWS($K$2:K336),$K$2:$K$1001,0),0), INDEX($R$1004:$W$1004,1,MATCH(COLUMNS($R$1006:R1006),$R$1006:$W$1006,0)))),"Fix")))</f>
        <v>0</v>
      </c>
      <c r="C336" s="3">
        <f>IF(OR(INDEX($L$2:$L$1001,MATCH(ROWS($K$2:K336),$K$2:$K$1001,0),1)&gt;=100000,INDEX($R$1005:$W$1005,1,MATCH(COLUMNS($R$1006:S1006),$R$1006:$W$1006,0))&gt;=100000), " ",IF(INDEX($R$2:$W$1001,MATCH(ROWS($K$2:K336),$K$2:$K$1001,0),MATCH(COLUMNS($R$1006:S1006),$R$1006:$W$1006,0)), HYPERLINK("#",""), HYPERLINK(CONCATENATE("#Metadata!", ADDRESS(INDEX($M$2:$M$1001,MATCH(ROWS($K$2:K336),$K$2:$K$1001,0),0), INDEX($R$1004:$W$1004,1,MATCH(COLUMNS($R$1006:S1006),$R$1006:$W$1006,0)))),"Fix")))</f>
        <v>0</v>
      </c>
      <c r="D336" s="3">
        <f>IF(OR(INDEX($L$2:$L$1001,MATCH(ROWS($K$2:K336),$K$2:$K$1001,0),1)&gt;=100000,INDEX($R$1005:$W$1005,1,MATCH(COLUMNS($R$1006:T1006),$R$1006:$W$1006,0))&gt;=100000), " ",IF(INDEX($R$2:$W$1001,MATCH(ROWS($K$2:K336),$K$2:$K$1001,0),MATCH(COLUMNS($R$1006:T1006),$R$1006:$W$1006,0)), HYPERLINK("#",""), HYPERLINK(CONCATENATE("#Metadata!", ADDRESS(INDEX($M$2:$M$1001,MATCH(ROWS($K$2:K336),$K$2:$K$1001,0),0), INDEX($R$1004:$W$1004,1,MATCH(COLUMNS($R$1006:T1006),$R$1006:$W$1006,0)))),"Fix")))</f>
        <v>0</v>
      </c>
      <c r="E336" s="3">
        <f>IF(OR(INDEX($L$2:$L$1001,MATCH(ROWS($K$2:K336),$K$2:$K$1001,0),1)&gt;=100000,INDEX($R$1005:$W$1005,1,MATCH(COLUMNS($R$1006:U1006),$R$1006:$W$1006,0))&gt;=100000), " ",IF(INDEX($R$2:$W$1001,MATCH(ROWS($K$2:K336),$K$2:$K$1001,0),MATCH(COLUMNS($R$1006:U1006),$R$1006:$W$1006,0)), HYPERLINK("#",""), HYPERLINK(CONCATENATE("#Metadata!", ADDRESS(INDEX($M$2:$M$1001,MATCH(ROWS($K$2:K336),$K$2:$K$1001,0),0), INDEX($R$1004:$W$1004,1,MATCH(COLUMNS($R$1006:U1006),$R$1006:$W$1006,0)))),"Fix")))</f>
        <v>0</v>
      </c>
      <c r="F336" s="3">
        <f>IF(OR(INDEX($L$2:$L$1001,MATCH(ROWS($K$2:K336),$K$2:$K$1001,0),1)&gt;=100000,INDEX($R$1005:$W$1005,1,MATCH(COLUMNS($R$1006:V1006),$R$1006:$W$1006,0))&gt;=100000), " ",IF(INDEX($R$2:$W$1001,MATCH(ROWS($K$2:K336),$K$2:$K$1001,0),MATCH(COLUMNS($R$1006:V1006),$R$1006:$W$1006,0)), HYPERLINK("#",""), HYPERLINK(CONCATENATE("#Metadata!", ADDRESS(INDEX($M$2:$M$1001,MATCH(ROWS($K$2:K336),$K$2:$K$1001,0),0), INDEX($R$1004:$W$1004,1,MATCH(COLUMNS($R$1006:V1006),$R$1006:$W$1006,0)))),"Fix")))</f>
        <v>0</v>
      </c>
      <c r="G336" s="3">
        <f>IF(OR(INDEX($L$2:$L$1001,MATCH(ROWS($K$2:K336),$K$2:$K$1001,0),1)&gt;=100000,INDEX($R$1005:$W$1005,1,MATCH(COLUMNS($R$1006:W1006),$R$1006:$W$1006,0))&gt;=100000), " ",IF(INDEX($R$2:$W$1001,MATCH(ROWS($K$2:K336),$K$2:$K$1001,0),MATCH(COLUMNS($R$1006:W1006),$R$1006:$W$1006,0)), HYPERLINK("#",""), HYPERLINK(CONCATENATE("#Metadata!", ADDRESS(INDEX($M$2:$M$1001,MATCH(ROWS($K$2:K336),$K$2:$K$1001,0),0), INDEX($R$1004:$W$1004,1,MATCH(COLUMNS($R$1006:W1006),$R$1006:$W$1006,0)))),"Fix")))</f>
        <v>0</v>
      </c>
      <c r="K336">
        <v>0</v>
      </c>
      <c r="L336">
        <v>0</v>
      </c>
      <c r="M336">
        <v>0</v>
      </c>
      <c r="N336">
        <f>IF(O336,TRUE,AND(R336:W336))</f>
        <v>0</v>
      </c>
      <c r="O336">
        <f>COUNTBLANK(Metadata!B336:G336)=COLUMNS(Metadata!B336:G336)</f>
        <v>0</v>
      </c>
      <c r="P336">
        <v>0</v>
      </c>
      <c r="R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S336">
        <f>IF(Metadata!C336="",FALSE,TRUE)</f>
        <v>0</v>
      </c>
      <c r="T336">
        <f>IF(Metadata!D336="",FALSE,TRUE)</f>
        <v>0</v>
      </c>
      <c r="U336">
        <f>IF(Metadata!E336="",FALSE,TRUE)</f>
        <v>0</v>
      </c>
      <c r="V336">
        <f>AND(IF(Metadata!F336="",FALSE,TRUE),exact(Metadata!F336,"rat gut metagenome"))</f>
        <v>0</v>
      </c>
      <c r="W336">
        <f>AND(IF(Metadata!G336="",FALSE,TRUE),exact(Metadata!G336,"1436733"))</f>
        <v>0</v>
      </c>
    </row>
    <row r="337" spans="1:23">
      <c r="A337" s="4">
        <f>IF(B337=" "," ",HYPERLINK(CONCATENATE("#metadata!",ADDRESS(INDEX($M$2:$M$1001,MATCH(ROWS($K$2:K337),$K$2:$K$1001,0),0),1)),INDEX($P$2:$P$1001,MATCH(ROWS($K$2:K337),$K$2:$K$1001,0),0)))</f>
        <v>0</v>
      </c>
      <c r="B337" s="3">
        <f>IF(OR(INDEX($L$2:$L$1001,MATCH(ROWS($K$2:K337),$K$2:$K$1001,0),1)&gt;=100000,INDEX($R$1005:$W$1005,1,MATCH(COLUMNS($R$1006:R1006),$R$1006:$W$1006,0))&gt;=100000), " ",IF(INDEX($R$2:$W$1001,MATCH(ROWS($K$2:K337),$K$2:$K$1001,0),MATCH(COLUMNS($R$1006:R1006),$R$1006:$W$1006,0)), HYPERLINK("#",""), HYPERLINK(CONCATENATE("#Metadata!", ADDRESS(INDEX($M$2:$M$1001,MATCH(ROWS($K$2:K337),$K$2:$K$1001,0),0), INDEX($R$1004:$W$1004,1,MATCH(COLUMNS($R$1006:R1006),$R$1006:$W$1006,0)))),"Fix")))</f>
        <v>0</v>
      </c>
      <c r="C337" s="3">
        <f>IF(OR(INDEX($L$2:$L$1001,MATCH(ROWS($K$2:K337),$K$2:$K$1001,0),1)&gt;=100000,INDEX($R$1005:$W$1005,1,MATCH(COLUMNS($R$1006:S1006),$R$1006:$W$1006,0))&gt;=100000), " ",IF(INDEX($R$2:$W$1001,MATCH(ROWS($K$2:K337),$K$2:$K$1001,0),MATCH(COLUMNS($R$1006:S1006),$R$1006:$W$1006,0)), HYPERLINK("#",""), HYPERLINK(CONCATENATE("#Metadata!", ADDRESS(INDEX($M$2:$M$1001,MATCH(ROWS($K$2:K337),$K$2:$K$1001,0),0), INDEX($R$1004:$W$1004,1,MATCH(COLUMNS($R$1006:S1006),$R$1006:$W$1006,0)))),"Fix")))</f>
        <v>0</v>
      </c>
      <c r="D337" s="3">
        <f>IF(OR(INDEX($L$2:$L$1001,MATCH(ROWS($K$2:K337),$K$2:$K$1001,0),1)&gt;=100000,INDEX($R$1005:$W$1005,1,MATCH(COLUMNS($R$1006:T1006),$R$1006:$W$1006,0))&gt;=100000), " ",IF(INDEX($R$2:$W$1001,MATCH(ROWS($K$2:K337),$K$2:$K$1001,0),MATCH(COLUMNS($R$1006:T1006),$R$1006:$W$1006,0)), HYPERLINK("#",""), HYPERLINK(CONCATENATE("#Metadata!", ADDRESS(INDEX($M$2:$M$1001,MATCH(ROWS($K$2:K337),$K$2:$K$1001,0),0), INDEX($R$1004:$W$1004,1,MATCH(COLUMNS($R$1006:T1006),$R$1006:$W$1006,0)))),"Fix")))</f>
        <v>0</v>
      </c>
      <c r="E337" s="3">
        <f>IF(OR(INDEX($L$2:$L$1001,MATCH(ROWS($K$2:K337),$K$2:$K$1001,0),1)&gt;=100000,INDEX($R$1005:$W$1005,1,MATCH(COLUMNS($R$1006:U1006),$R$1006:$W$1006,0))&gt;=100000), " ",IF(INDEX($R$2:$W$1001,MATCH(ROWS($K$2:K337),$K$2:$K$1001,0),MATCH(COLUMNS($R$1006:U1006),$R$1006:$W$1006,0)), HYPERLINK("#",""), HYPERLINK(CONCATENATE("#Metadata!", ADDRESS(INDEX($M$2:$M$1001,MATCH(ROWS($K$2:K337),$K$2:$K$1001,0),0), INDEX($R$1004:$W$1004,1,MATCH(COLUMNS($R$1006:U1006),$R$1006:$W$1006,0)))),"Fix")))</f>
        <v>0</v>
      </c>
      <c r="F337" s="3">
        <f>IF(OR(INDEX($L$2:$L$1001,MATCH(ROWS($K$2:K337),$K$2:$K$1001,0),1)&gt;=100000,INDEX($R$1005:$W$1005,1,MATCH(COLUMNS($R$1006:V1006),$R$1006:$W$1006,0))&gt;=100000), " ",IF(INDEX($R$2:$W$1001,MATCH(ROWS($K$2:K337),$K$2:$K$1001,0),MATCH(COLUMNS($R$1006:V1006),$R$1006:$W$1006,0)), HYPERLINK("#",""), HYPERLINK(CONCATENATE("#Metadata!", ADDRESS(INDEX($M$2:$M$1001,MATCH(ROWS($K$2:K337),$K$2:$K$1001,0),0), INDEX($R$1004:$W$1004,1,MATCH(COLUMNS($R$1006:V1006),$R$1006:$W$1006,0)))),"Fix")))</f>
        <v>0</v>
      </c>
      <c r="G337" s="3">
        <f>IF(OR(INDEX($L$2:$L$1001,MATCH(ROWS($K$2:K337),$K$2:$K$1001,0),1)&gt;=100000,INDEX($R$1005:$W$1005,1,MATCH(COLUMNS($R$1006:W1006),$R$1006:$W$1006,0))&gt;=100000), " ",IF(INDEX($R$2:$W$1001,MATCH(ROWS($K$2:K337),$K$2:$K$1001,0),MATCH(COLUMNS($R$1006:W1006),$R$1006:$W$1006,0)), HYPERLINK("#",""), HYPERLINK(CONCATENATE("#Metadata!", ADDRESS(INDEX($M$2:$M$1001,MATCH(ROWS($K$2:K337),$K$2:$K$1001,0),0), INDEX($R$1004:$W$1004,1,MATCH(COLUMNS($R$1006:W1006),$R$1006:$W$1006,0)))),"Fix")))</f>
        <v>0</v>
      </c>
      <c r="K337">
        <v>0</v>
      </c>
      <c r="L337">
        <v>0</v>
      </c>
      <c r="M337">
        <v>0</v>
      </c>
      <c r="N337">
        <f>IF(O337,TRUE,AND(R337:W337))</f>
        <v>0</v>
      </c>
      <c r="O337">
        <f>COUNTBLANK(Metadata!B337:G337)=COLUMNS(Metadata!B337:G337)</f>
        <v>0</v>
      </c>
      <c r="P337">
        <v>0</v>
      </c>
      <c r="R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S337">
        <f>IF(Metadata!C337="",FALSE,TRUE)</f>
        <v>0</v>
      </c>
      <c r="T337">
        <f>IF(Metadata!D337="",FALSE,TRUE)</f>
        <v>0</v>
      </c>
      <c r="U337">
        <f>IF(Metadata!E337="",FALSE,TRUE)</f>
        <v>0</v>
      </c>
      <c r="V337">
        <f>AND(IF(Metadata!F337="",FALSE,TRUE),exact(Metadata!F337,"rat gut metagenome"))</f>
        <v>0</v>
      </c>
      <c r="W337">
        <f>AND(IF(Metadata!G337="",FALSE,TRUE),exact(Metadata!G337,"1436733"))</f>
        <v>0</v>
      </c>
    </row>
    <row r="338" spans="1:23">
      <c r="A338" s="4">
        <f>IF(B338=" "," ",HYPERLINK(CONCATENATE("#metadata!",ADDRESS(INDEX($M$2:$M$1001,MATCH(ROWS($K$2:K338),$K$2:$K$1001,0),0),1)),INDEX($P$2:$P$1001,MATCH(ROWS($K$2:K338),$K$2:$K$1001,0),0)))</f>
        <v>0</v>
      </c>
      <c r="B338" s="3">
        <f>IF(OR(INDEX($L$2:$L$1001,MATCH(ROWS($K$2:K338),$K$2:$K$1001,0),1)&gt;=100000,INDEX($R$1005:$W$1005,1,MATCH(COLUMNS($R$1006:R1006),$R$1006:$W$1006,0))&gt;=100000), " ",IF(INDEX($R$2:$W$1001,MATCH(ROWS($K$2:K338),$K$2:$K$1001,0),MATCH(COLUMNS($R$1006:R1006),$R$1006:$W$1006,0)), HYPERLINK("#",""), HYPERLINK(CONCATENATE("#Metadata!", ADDRESS(INDEX($M$2:$M$1001,MATCH(ROWS($K$2:K338),$K$2:$K$1001,0),0), INDEX($R$1004:$W$1004,1,MATCH(COLUMNS($R$1006:R1006),$R$1006:$W$1006,0)))),"Fix")))</f>
        <v>0</v>
      </c>
      <c r="C338" s="3">
        <f>IF(OR(INDEX($L$2:$L$1001,MATCH(ROWS($K$2:K338),$K$2:$K$1001,0),1)&gt;=100000,INDEX($R$1005:$W$1005,1,MATCH(COLUMNS($R$1006:S1006),$R$1006:$W$1006,0))&gt;=100000), " ",IF(INDEX($R$2:$W$1001,MATCH(ROWS($K$2:K338),$K$2:$K$1001,0),MATCH(COLUMNS($R$1006:S1006),$R$1006:$W$1006,0)), HYPERLINK("#",""), HYPERLINK(CONCATENATE("#Metadata!", ADDRESS(INDEX($M$2:$M$1001,MATCH(ROWS($K$2:K338),$K$2:$K$1001,0),0), INDEX($R$1004:$W$1004,1,MATCH(COLUMNS($R$1006:S1006),$R$1006:$W$1006,0)))),"Fix")))</f>
        <v>0</v>
      </c>
      <c r="D338" s="3">
        <f>IF(OR(INDEX($L$2:$L$1001,MATCH(ROWS($K$2:K338),$K$2:$K$1001,0),1)&gt;=100000,INDEX($R$1005:$W$1005,1,MATCH(COLUMNS($R$1006:T1006),$R$1006:$W$1006,0))&gt;=100000), " ",IF(INDEX($R$2:$W$1001,MATCH(ROWS($K$2:K338),$K$2:$K$1001,0),MATCH(COLUMNS($R$1006:T1006),$R$1006:$W$1006,0)), HYPERLINK("#",""), HYPERLINK(CONCATENATE("#Metadata!", ADDRESS(INDEX($M$2:$M$1001,MATCH(ROWS($K$2:K338),$K$2:$K$1001,0),0), INDEX($R$1004:$W$1004,1,MATCH(COLUMNS($R$1006:T1006),$R$1006:$W$1006,0)))),"Fix")))</f>
        <v>0</v>
      </c>
      <c r="E338" s="3">
        <f>IF(OR(INDEX($L$2:$L$1001,MATCH(ROWS($K$2:K338),$K$2:$K$1001,0),1)&gt;=100000,INDEX($R$1005:$W$1005,1,MATCH(COLUMNS($R$1006:U1006),$R$1006:$W$1006,0))&gt;=100000), " ",IF(INDEX($R$2:$W$1001,MATCH(ROWS($K$2:K338),$K$2:$K$1001,0),MATCH(COLUMNS($R$1006:U1006),$R$1006:$W$1006,0)), HYPERLINK("#",""), HYPERLINK(CONCATENATE("#Metadata!", ADDRESS(INDEX($M$2:$M$1001,MATCH(ROWS($K$2:K338),$K$2:$K$1001,0),0), INDEX($R$1004:$W$1004,1,MATCH(COLUMNS($R$1006:U1006),$R$1006:$W$1006,0)))),"Fix")))</f>
        <v>0</v>
      </c>
      <c r="F338" s="3">
        <f>IF(OR(INDEX($L$2:$L$1001,MATCH(ROWS($K$2:K338),$K$2:$K$1001,0),1)&gt;=100000,INDEX($R$1005:$W$1005,1,MATCH(COLUMNS($R$1006:V1006),$R$1006:$W$1006,0))&gt;=100000), " ",IF(INDEX($R$2:$W$1001,MATCH(ROWS($K$2:K338),$K$2:$K$1001,0),MATCH(COLUMNS($R$1006:V1006),$R$1006:$W$1006,0)), HYPERLINK("#",""), HYPERLINK(CONCATENATE("#Metadata!", ADDRESS(INDEX($M$2:$M$1001,MATCH(ROWS($K$2:K338),$K$2:$K$1001,0),0), INDEX($R$1004:$W$1004,1,MATCH(COLUMNS($R$1006:V1006),$R$1006:$W$1006,0)))),"Fix")))</f>
        <v>0</v>
      </c>
      <c r="G338" s="3">
        <f>IF(OR(INDEX($L$2:$L$1001,MATCH(ROWS($K$2:K338),$K$2:$K$1001,0),1)&gt;=100000,INDEX($R$1005:$W$1005,1,MATCH(COLUMNS($R$1006:W1006),$R$1006:$W$1006,0))&gt;=100000), " ",IF(INDEX($R$2:$W$1001,MATCH(ROWS($K$2:K338),$K$2:$K$1001,0),MATCH(COLUMNS($R$1006:W1006),$R$1006:$W$1006,0)), HYPERLINK("#",""), HYPERLINK(CONCATENATE("#Metadata!", ADDRESS(INDEX($M$2:$M$1001,MATCH(ROWS($K$2:K338),$K$2:$K$1001,0),0), INDEX($R$1004:$W$1004,1,MATCH(COLUMNS($R$1006:W1006),$R$1006:$W$1006,0)))),"Fix")))</f>
        <v>0</v>
      </c>
      <c r="K338">
        <v>0</v>
      </c>
      <c r="L338">
        <v>0</v>
      </c>
      <c r="M338">
        <v>0</v>
      </c>
      <c r="N338">
        <f>IF(O338,TRUE,AND(R338:W338))</f>
        <v>0</v>
      </c>
      <c r="O338">
        <f>COUNTBLANK(Metadata!B338:G338)=COLUMNS(Metadata!B338:G338)</f>
        <v>0</v>
      </c>
      <c r="P338">
        <v>0</v>
      </c>
      <c r="R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S338">
        <f>IF(Metadata!C338="",FALSE,TRUE)</f>
        <v>0</v>
      </c>
      <c r="T338">
        <f>IF(Metadata!D338="",FALSE,TRUE)</f>
        <v>0</v>
      </c>
      <c r="U338">
        <f>IF(Metadata!E338="",FALSE,TRUE)</f>
        <v>0</v>
      </c>
      <c r="V338">
        <f>AND(IF(Metadata!F338="",FALSE,TRUE),exact(Metadata!F338,"rat gut metagenome"))</f>
        <v>0</v>
      </c>
      <c r="W338">
        <f>AND(IF(Metadata!G338="",FALSE,TRUE),exact(Metadata!G338,"1436733"))</f>
        <v>0</v>
      </c>
    </row>
    <row r="339" spans="1:23">
      <c r="A339" s="4">
        <f>IF(B339=" "," ",HYPERLINK(CONCATENATE("#metadata!",ADDRESS(INDEX($M$2:$M$1001,MATCH(ROWS($K$2:K339),$K$2:$K$1001,0),0),1)),INDEX($P$2:$P$1001,MATCH(ROWS($K$2:K339),$K$2:$K$1001,0),0)))</f>
        <v>0</v>
      </c>
      <c r="B339" s="3">
        <f>IF(OR(INDEX($L$2:$L$1001,MATCH(ROWS($K$2:K339),$K$2:$K$1001,0),1)&gt;=100000,INDEX($R$1005:$W$1005,1,MATCH(COLUMNS($R$1006:R1006),$R$1006:$W$1006,0))&gt;=100000), " ",IF(INDEX($R$2:$W$1001,MATCH(ROWS($K$2:K339),$K$2:$K$1001,0),MATCH(COLUMNS($R$1006:R1006),$R$1006:$W$1006,0)), HYPERLINK("#",""), HYPERLINK(CONCATENATE("#Metadata!", ADDRESS(INDEX($M$2:$M$1001,MATCH(ROWS($K$2:K339),$K$2:$K$1001,0),0), INDEX($R$1004:$W$1004,1,MATCH(COLUMNS($R$1006:R1006),$R$1006:$W$1006,0)))),"Fix")))</f>
        <v>0</v>
      </c>
      <c r="C339" s="3">
        <f>IF(OR(INDEX($L$2:$L$1001,MATCH(ROWS($K$2:K339),$K$2:$K$1001,0),1)&gt;=100000,INDEX($R$1005:$W$1005,1,MATCH(COLUMNS($R$1006:S1006),$R$1006:$W$1006,0))&gt;=100000), " ",IF(INDEX($R$2:$W$1001,MATCH(ROWS($K$2:K339),$K$2:$K$1001,0),MATCH(COLUMNS($R$1006:S1006),$R$1006:$W$1006,0)), HYPERLINK("#",""), HYPERLINK(CONCATENATE("#Metadata!", ADDRESS(INDEX($M$2:$M$1001,MATCH(ROWS($K$2:K339),$K$2:$K$1001,0),0), INDEX($R$1004:$W$1004,1,MATCH(COLUMNS($R$1006:S1006),$R$1006:$W$1006,0)))),"Fix")))</f>
        <v>0</v>
      </c>
      <c r="D339" s="3">
        <f>IF(OR(INDEX($L$2:$L$1001,MATCH(ROWS($K$2:K339),$K$2:$K$1001,0),1)&gt;=100000,INDEX($R$1005:$W$1005,1,MATCH(COLUMNS($R$1006:T1006),$R$1006:$W$1006,0))&gt;=100000), " ",IF(INDEX($R$2:$W$1001,MATCH(ROWS($K$2:K339),$K$2:$K$1001,0),MATCH(COLUMNS($R$1006:T1006),$R$1006:$W$1006,0)), HYPERLINK("#",""), HYPERLINK(CONCATENATE("#Metadata!", ADDRESS(INDEX($M$2:$M$1001,MATCH(ROWS($K$2:K339),$K$2:$K$1001,0),0), INDEX($R$1004:$W$1004,1,MATCH(COLUMNS($R$1006:T1006),$R$1006:$W$1006,0)))),"Fix")))</f>
        <v>0</v>
      </c>
      <c r="E339" s="3">
        <f>IF(OR(INDEX($L$2:$L$1001,MATCH(ROWS($K$2:K339),$K$2:$K$1001,0),1)&gt;=100000,INDEX($R$1005:$W$1005,1,MATCH(COLUMNS($R$1006:U1006),$R$1006:$W$1006,0))&gt;=100000), " ",IF(INDEX($R$2:$W$1001,MATCH(ROWS($K$2:K339),$K$2:$K$1001,0),MATCH(COLUMNS($R$1006:U1006),$R$1006:$W$1006,0)), HYPERLINK("#",""), HYPERLINK(CONCATENATE("#Metadata!", ADDRESS(INDEX($M$2:$M$1001,MATCH(ROWS($K$2:K339),$K$2:$K$1001,0),0), INDEX($R$1004:$W$1004,1,MATCH(COLUMNS($R$1006:U1006),$R$1006:$W$1006,0)))),"Fix")))</f>
        <v>0</v>
      </c>
      <c r="F339" s="3">
        <f>IF(OR(INDEX($L$2:$L$1001,MATCH(ROWS($K$2:K339),$K$2:$K$1001,0),1)&gt;=100000,INDEX($R$1005:$W$1005,1,MATCH(COLUMNS($R$1006:V1006),$R$1006:$W$1006,0))&gt;=100000), " ",IF(INDEX($R$2:$W$1001,MATCH(ROWS($K$2:K339),$K$2:$K$1001,0),MATCH(COLUMNS($R$1006:V1006),$R$1006:$W$1006,0)), HYPERLINK("#",""), HYPERLINK(CONCATENATE("#Metadata!", ADDRESS(INDEX($M$2:$M$1001,MATCH(ROWS($K$2:K339),$K$2:$K$1001,0),0), INDEX($R$1004:$W$1004,1,MATCH(COLUMNS($R$1006:V1006),$R$1006:$W$1006,0)))),"Fix")))</f>
        <v>0</v>
      </c>
      <c r="G339" s="3">
        <f>IF(OR(INDEX($L$2:$L$1001,MATCH(ROWS($K$2:K339),$K$2:$K$1001,0),1)&gt;=100000,INDEX($R$1005:$W$1005,1,MATCH(COLUMNS($R$1006:W1006),$R$1006:$W$1006,0))&gt;=100000), " ",IF(INDEX($R$2:$W$1001,MATCH(ROWS($K$2:K339),$K$2:$K$1001,0),MATCH(COLUMNS($R$1006:W1006),$R$1006:$W$1006,0)), HYPERLINK("#",""), HYPERLINK(CONCATENATE("#Metadata!", ADDRESS(INDEX($M$2:$M$1001,MATCH(ROWS($K$2:K339),$K$2:$K$1001,0),0), INDEX($R$1004:$W$1004,1,MATCH(COLUMNS($R$1006:W1006),$R$1006:$W$1006,0)))),"Fix")))</f>
        <v>0</v>
      </c>
      <c r="K339">
        <v>0</v>
      </c>
      <c r="L339">
        <v>0</v>
      </c>
      <c r="M339">
        <v>0</v>
      </c>
      <c r="N339">
        <f>IF(O339,TRUE,AND(R339:W339))</f>
        <v>0</v>
      </c>
      <c r="O339">
        <f>COUNTBLANK(Metadata!B339:G339)=COLUMNS(Metadata!B339:G339)</f>
        <v>0</v>
      </c>
      <c r="P339">
        <v>0</v>
      </c>
      <c r="R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S339">
        <f>IF(Metadata!C339="",FALSE,TRUE)</f>
        <v>0</v>
      </c>
      <c r="T339">
        <f>IF(Metadata!D339="",FALSE,TRUE)</f>
        <v>0</v>
      </c>
      <c r="U339">
        <f>IF(Metadata!E339="",FALSE,TRUE)</f>
        <v>0</v>
      </c>
      <c r="V339">
        <f>AND(IF(Metadata!F339="",FALSE,TRUE),exact(Metadata!F339,"rat gut metagenome"))</f>
        <v>0</v>
      </c>
      <c r="W339">
        <f>AND(IF(Metadata!G339="",FALSE,TRUE),exact(Metadata!G339,"1436733"))</f>
        <v>0</v>
      </c>
    </row>
    <row r="340" spans="1:23">
      <c r="A340" s="4">
        <f>IF(B340=" "," ",HYPERLINK(CONCATENATE("#metadata!",ADDRESS(INDEX($M$2:$M$1001,MATCH(ROWS($K$2:K340),$K$2:$K$1001,0),0),1)),INDEX($P$2:$P$1001,MATCH(ROWS($K$2:K340),$K$2:$K$1001,0),0)))</f>
        <v>0</v>
      </c>
      <c r="B340" s="3">
        <f>IF(OR(INDEX($L$2:$L$1001,MATCH(ROWS($K$2:K340),$K$2:$K$1001,0),1)&gt;=100000,INDEX($R$1005:$W$1005,1,MATCH(COLUMNS($R$1006:R1006),$R$1006:$W$1006,0))&gt;=100000), " ",IF(INDEX($R$2:$W$1001,MATCH(ROWS($K$2:K340),$K$2:$K$1001,0),MATCH(COLUMNS($R$1006:R1006),$R$1006:$W$1006,0)), HYPERLINK("#",""), HYPERLINK(CONCATENATE("#Metadata!", ADDRESS(INDEX($M$2:$M$1001,MATCH(ROWS($K$2:K340),$K$2:$K$1001,0),0), INDEX($R$1004:$W$1004,1,MATCH(COLUMNS($R$1006:R1006),$R$1006:$W$1006,0)))),"Fix")))</f>
        <v>0</v>
      </c>
      <c r="C340" s="3">
        <f>IF(OR(INDEX($L$2:$L$1001,MATCH(ROWS($K$2:K340),$K$2:$K$1001,0),1)&gt;=100000,INDEX($R$1005:$W$1005,1,MATCH(COLUMNS($R$1006:S1006),$R$1006:$W$1006,0))&gt;=100000), " ",IF(INDEX($R$2:$W$1001,MATCH(ROWS($K$2:K340),$K$2:$K$1001,0),MATCH(COLUMNS($R$1006:S1006),$R$1006:$W$1006,0)), HYPERLINK("#",""), HYPERLINK(CONCATENATE("#Metadata!", ADDRESS(INDEX($M$2:$M$1001,MATCH(ROWS($K$2:K340),$K$2:$K$1001,0),0), INDEX($R$1004:$W$1004,1,MATCH(COLUMNS($R$1006:S1006),$R$1006:$W$1006,0)))),"Fix")))</f>
        <v>0</v>
      </c>
      <c r="D340" s="3">
        <f>IF(OR(INDEX($L$2:$L$1001,MATCH(ROWS($K$2:K340),$K$2:$K$1001,0),1)&gt;=100000,INDEX($R$1005:$W$1005,1,MATCH(COLUMNS($R$1006:T1006),$R$1006:$W$1006,0))&gt;=100000), " ",IF(INDEX($R$2:$W$1001,MATCH(ROWS($K$2:K340),$K$2:$K$1001,0),MATCH(COLUMNS($R$1006:T1006),$R$1006:$W$1006,0)), HYPERLINK("#",""), HYPERLINK(CONCATENATE("#Metadata!", ADDRESS(INDEX($M$2:$M$1001,MATCH(ROWS($K$2:K340),$K$2:$K$1001,0),0), INDEX($R$1004:$W$1004,1,MATCH(COLUMNS($R$1006:T1006),$R$1006:$W$1006,0)))),"Fix")))</f>
        <v>0</v>
      </c>
      <c r="E340" s="3">
        <f>IF(OR(INDEX($L$2:$L$1001,MATCH(ROWS($K$2:K340),$K$2:$K$1001,0),1)&gt;=100000,INDEX($R$1005:$W$1005,1,MATCH(COLUMNS($R$1006:U1006),$R$1006:$W$1006,0))&gt;=100000), " ",IF(INDEX($R$2:$W$1001,MATCH(ROWS($K$2:K340),$K$2:$K$1001,0),MATCH(COLUMNS($R$1006:U1006),$R$1006:$W$1006,0)), HYPERLINK("#",""), HYPERLINK(CONCATENATE("#Metadata!", ADDRESS(INDEX($M$2:$M$1001,MATCH(ROWS($K$2:K340),$K$2:$K$1001,0),0), INDEX($R$1004:$W$1004,1,MATCH(COLUMNS($R$1006:U1006),$R$1006:$W$1006,0)))),"Fix")))</f>
        <v>0</v>
      </c>
      <c r="F340" s="3">
        <f>IF(OR(INDEX($L$2:$L$1001,MATCH(ROWS($K$2:K340),$K$2:$K$1001,0),1)&gt;=100000,INDEX($R$1005:$W$1005,1,MATCH(COLUMNS($R$1006:V1006),$R$1006:$W$1006,0))&gt;=100000), " ",IF(INDEX($R$2:$W$1001,MATCH(ROWS($K$2:K340),$K$2:$K$1001,0),MATCH(COLUMNS($R$1006:V1006),$R$1006:$W$1006,0)), HYPERLINK("#",""), HYPERLINK(CONCATENATE("#Metadata!", ADDRESS(INDEX($M$2:$M$1001,MATCH(ROWS($K$2:K340),$K$2:$K$1001,0),0), INDEX($R$1004:$W$1004,1,MATCH(COLUMNS($R$1006:V1006),$R$1006:$W$1006,0)))),"Fix")))</f>
        <v>0</v>
      </c>
      <c r="G340" s="3">
        <f>IF(OR(INDEX($L$2:$L$1001,MATCH(ROWS($K$2:K340),$K$2:$K$1001,0),1)&gt;=100000,INDEX($R$1005:$W$1005,1,MATCH(COLUMNS($R$1006:W1006),$R$1006:$W$1006,0))&gt;=100000), " ",IF(INDEX($R$2:$W$1001,MATCH(ROWS($K$2:K340),$K$2:$K$1001,0),MATCH(COLUMNS($R$1006:W1006),$R$1006:$W$1006,0)), HYPERLINK("#",""), HYPERLINK(CONCATENATE("#Metadata!", ADDRESS(INDEX($M$2:$M$1001,MATCH(ROWS($K$2:K340),$K$2:$K$1001,0),0), INDEX($R$1004:$W$1004,1,MATCH(COLUMNS($R$1006:W1006),$R$1006:$W$1006,0)))),"Fix")))</f>
        <v>0</v>
      </c>
      <c r="K340">
        <v>0</v>
      </c>
      <c r="L340">
        <v>0</v>
      </c>
      <c r="M340">
        <v>0</v>
      </c>
      <c r="N340">
        <f>IF(O340,TRUE,AND(R340:W340))</f>
        <v>0</v>
      </c>
      <c r="O340">
        <f>COUNTBLANK(Metadata!B340:G340)=COLUMNS(Metadata!B340:G340)</f>
        <v>0</v>
      </c>
      <c r="P340">
        <v>0</v>
      </c>
      <c r="R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S340">
        <f>IF(Metadata!C340="",FALSE,TRUE)</f>
        <v>0</v>
      </c>
      <c r="T340">
        <f>IF(Metadata!D340="",FALSE,TRUE)</f>
        <v>0</v>
      </c>
      <c r="U340">
        <f>IF(Metadata!E340="",FALSE,TRUE)</f>
        <v>0</v>
      </c>
      <c r="V340">
        <f>AND(IF(Metadata!F340="",FALSE,TRUE),exact(Metadata!F340,"rat gut metagenome"))</f>
        <v>0</v>
      </c>
      <c r="W340">
        <f>AND(IF(Metadata!G340="",FALSE,TRUE),exact(Metadata!G340,"1436733"))</f>
        <v>0</v>
      </c>
    </row>
    <row r="341" spans="1:23">
      <c r="A341" s="4">
        <f>IF(B341=" "," ",HYPERLINK(CONCATENATE("#metadata!",ADDRESS(INDEX($M$2:$M$1001,MATCH(ROWS($K$2:K341),$K$2:$K$1001,0),0),1)),INDEX($P$2:$P$1001,MATCH(ROWS($K$2:K341),$K$2:$K$1001,0),0)))</f>
        <v>0</v>
      </c>
      <c r="B341" s="3">
        <f>IF(OR(INDEX($L$2:$L$1001,MATCH(ROWS($K$2:K341),$K$2:$K$1001,0),1)&gt;=100000,INDEX($R$1005:$W$1005,1,MATCH(COLUMNS($R$1006:R1006),$R$1006:$W$1006,0))&gt;=100000), " ",IF(INDEX($R$2:$W$1001,MATCH(ROWS($K$2:K341),$K$2:$K$1001,0),MATCH(COLUMNS($R$1006:R1006),$R$1006:$W$1006,0)), HYPERLINK("#",""), HYPERLINK(CONCATENATE("#Metadata!", ADDRESS(INDEX($M$2:$M$1001,MATCH(ROWS($K$2:K341),$K$2:$K$1001,0),0), INDEX($R$1004:$W$1004,1,MATCH(COLUMNS($R$1006:R1006),$R$1006:$W$1006,0)))),"Fix")))</f>
        <v>0</v>
      </c>
      <c r="C341" s="3">
        <f>IF(OR(INDEX($L$2:$L$1001,MATCH(ROWS($K$2:K341),$K$2:$K$1001,0),1)&gt;=100000,INDEX($R$1005:$W$1005,1,MATCH(COLUMNS($R$1006:S1006),$R$1006:$W$1006,0))&gt;=100000), " ",IF(INDEX($R$2:$W$1001,MATCH(ROWS($K$2:K341),$K$2:$K$1001,0),MATCH(COLUMNS($R$1006:S1006),$R$1006:$W$1006,0)), HYPERLINK("#",""), HYPERLINK(CONCATENATE("#Metadata!", ADDRESS(INDEX($M$2:$M$1001,MATCH(ROWS($K$2:K341),$K$2:$K$1001,0),0), INDEX($R$1004:$W$1004,1,MATCH(COLUMNS($R$1006:S1006),$R$1006:$W$1006,0)))),"Fix")))</f>
        <v>0</v>
      </c>
      <c r="D341" s="3">
        <f>IF(OR(INDEX($L$2:$L$1001,MATCH(ROWS($K$2:K341),$K$2:$K$1001,0),1)&gt;=100000,INDEX($R$1005:$W$1005,1,MATCH(COLUMNS($R$1006:T1006),$R$1006:$W$1006,0))&gt;=100000), " ",IF(INDEX($R$2:$W$1001,MATCH(ROWS($K$2:K341),$K$2:$K$1001,0),MATCH(COLUMNS($R$1006:T1006),$R$1006:$W$1006,0)), HYPERLINK("#",""), HYPERLINK(CONCATENATE("#Metadata!", ADDRESS(INDEX($M$2:$M$1001,MATCH(ROWS($K$2:K341),$K$2:$K$1001,0),0), INDEX($R$1004:$W$1004,1,MATCH(COLUMNS($R$1006:T1006),$R$1006:$W$1006,0)))),"Fix")))</f>
        <v>0</v>
      </c>
      <c r="E341" s="3">
        <f>IF(OR(INDEX($L$2:$L$1001,MATCH(ROWS($K$2:K341),$K$2:$K$1001,0),1)&gt;=100000,INDEX($R$1005:$W$1005,1,MATCH(COLUMNS($R$1006:U1006),$R$1006:$W$1006,0))&gt;=100000), " ",IF(INDEX($R$2:$W$1001,MATCH(ROWS($K$2:K341),$K$2:$K$1001,0),MATCH(COLUMNS($R$1006:U1006),$R$1006:$W$1006,0)), HYPERLINK("#",""), HYPERLINK(CONCATENATE("#Metadata!", ADDRESS(INDEX($M$2:$M$1001,MATCH(ROWS($K$2:K341),$K$2:$K$1001,0),0), INDEX($R$1004:$W$1004,1,MATCH(COLUMNS($R$1006:U1006),$R$1006:$W$1006,0)))),"Fix")))</f>
        <v>0</v>
      </c>
      <c r="F341" s="3">
        <f>IF(OR(INDEX($L$2:$L$1001,MATCH(ROWS($K$2:K341),$K$2:$K$1001,0),1)&gt;=100000,INDEX($R$1005:$W$1005,1,MATCH(COLUMNS($R$1006:V1006),$R$1006:$W$1006,0))&gt;=100000), " ",IF(INDEX($R$2:$W$1001,MATCH(ROWS($K$2:K341),$K$2:$K$1001,0),MATCH(COLUMNS($R$1006:V1006),$R$1006:$W$1006,0)), HYPERLINK("#",""), HYPERLINK(CONCATENATE("#Metadata!", ADDRESS(INDEX($M$2:$M$1001,MATCH(ROWS($K$2:K341),$K$2:$K$1001,0),0), INDEX($R$1004:$W$1004,1,MATCH(COLUMNS($R$1006:V1006),$R$1006:$W$1006,0)))),"Fix")))</f>
        <v>0</v>
      </c>
      <c r="G341" s="3">
        <f>IF(OR(INDEX($L$2:$L$1001,MATCH(ROWS($K$2:K341),$K$2:$K$1001,0),1)&gt;=100000,INDEX($R$1005:$W$1005,1,MATCH(COLUMNS($R$1006:W1006),$R$1006:$W$1006,0))&gt;=100000), " ",IF(INDEX($R$2:$W$1001,MATCH(ROWS($K$2:K341),$K$2:$K$1001,0),MATCH(COLUMNS($R$1006:W1006),$R$1006:$W$1006,0)), HYPERLINK("#",""), HYPERLINK(CONCATENATE("#Metadata!", ADDRESS(INDEX($M$2:$M$1001,MATCH(ROWS($K$2:K341),$K$2:$K$1001,0),0), INDEX($R$1004:$W$1004,1,MATCH(COLUMNS($R$1006:W1006),$R$1006:$W$1006,0)))),"Fix")))</f>
        <v>0</v>
      </c>
      <c r="K341">
        <v>0</v>
      </c>
      <c r="L341">
        <v>0</v>
      </c>
      <c r="M341">
        <v>0</v>
      </c>
      <c r="N341">
        <f>IF(O341,TRUE,AND(R341:W341))</f>
        <v>0</v>
      </c>
      <c r="O341">
        <f>COUNTBLANK(Metadata!B341:G341)=COLUMNS(Metadata!B341:G341)</f>
        <v>0</v>
      </c>
      <c r="P341">
        <v>0</v>
      </c>
      <c r="R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S341">
        <f>IF(Metadata!C341="",FALSE,TRUE)</f>
        <v>0</v>
      </c>
      <c r="T341">
        <f>IF(Metadata!D341="",FALSE,TRUE)</f>
        <v>0</v>
      </c>
      <c r="U341">
        <f>IF(Metadata!E341="",FALSE,TRUE)</f>
        <v>0</v>
      </c>
      <c r="V341">
        <f>AND(IF(Metadata!F341="",FALSE,TRUE),exact(Metadata!F341,"rat gut metagenome"))</f>
        <v>0</v>
      </c>
      <c r="W341">
        <f>AND(IF(Metadata!G341="",FALSE,TRUE),exact(Metadata!G341,"1436733"))</f>
        <v>0</v>
      </c>
    </row>
    <row r="342" spans="1:23">
      <c r="A342" s="4">
        <f>IF(B342=" "," ",HYPERLINK(CONCATENATE("#metadata!",ADDRESS(INDEX($M$2:$M$1001,MATCH(ROWS($K$2:K342),$K$2:$K$1001,0),0),1)),INDEX($P$2:$P$1001,MATCH(ROWS($K$2:K342),$K$2:$K$1001,0),0)))</f>
        <v>0</v>
      </c>
      <c r="B342" s="3">
        <f>IF(OR(INDEX($L$2:$L$1001,MATCH(ROWS($K$2:K342),$K$2:$K$1001,0),1)&gt;=100000,INDEX($R$1005:$W$1005,1,MATCH(COLUMNS($R$1006:R1006),$R$1006:$W$1006,0))&gt;=100000), " ",IF(INDEX($R$2:$W$1001,MATCH(ROWS($K$2:K342),$K$2:$K$1001,0),MATCH(COLUMNS($R$1006:R1006),$R$1006:$W$1006,0)), HYPERLINK("#",""), HYPERLINK(CONCATENATE("#Metadata!", ADDRESS(INDEX($M$2:$M$1001,MATCH(ROWS($K$2:K342),$K$2:$K$1001,0),0), INDEX($R$1004:$W$1004,1,MATCH(COLUMNS($R$1006:R1006),$R$1006:$W$1006,0)))),"Fix")))</f>
        <v>0</v>
      </c>
      <c r="C342" s="3">
        <f>IF(OR(INDEX($L$2:$L$1001,MATCH(ROWS($K$2:K342),$K$2:$K$1001,0),1)&gt;=100000,INDEX($R$1005:$W$1005,1,MATCH(COLUMNS($R$1006:S1006),$R$1006:$W$1006,0))&gt;=100000), " ",IF(INDEX($R$2:$W$1001,MATCH(ROWS($K$2:K342),$K$2:$K$1001,0),MATCH(COLUMNS($R$1006:S1006),$R$1006:$W$1006,0)), HYPERLINK("#",""), HYPERLINK(CONCATENATE("#Metadata!", ADDRESS(INDEX($M$2:$M$1001,MATCH(ROWS($K$2:K342),$K$2:$K$1001,0),0), INDEX($R$1004:$W$1004,1,MATCH(COLUMNS($R$1006:S1006),$R$1006:$W$1006,0)))),"Fix")))</f>
        <v>0</v>
      </c>
      <c r="D342" s="3">
        <f>IF(OR(INDEX($L$2:$L$1001,MATCH(ROWS($K$2:K342),$K$2:$K$1001,0),1)&gt;=100000,INDEX($R$1005:$W$1005,1,MATCH(COLUMNS($R$1006:T1006),$R$1006:$W$1006,0))&gt;=100000), " ",IF(INDEX($R$2:$W$1001,MATCH(ROWS($K$2:K342),$K$2:$K$1001,0),MATCH(COLUMNS($R$1006:T1006),$R$1006:$W$1006,0)), HYPERLINK("#",""), HYPERLINK(CONCATENATE("#Metadata!", ADDRESS(INDEX($M$2:$M$1001,MATCH(ROWS($K$2:K342),$K$2:$K$1001,0),0), INDEX($R$1004:$W$1004,1,MATCH(COLUMNS($R$1006:T1006),$R$1006:$W$1006,0)))),"Fix")))</f>
        <v>0</v>
      </c>
      <c r="E342" s="3">
        <f>IF(OR(INDEX($L$2:$L$1001,MATCH(ROWS($K$2:K342),$K$2:$K$1001,0),1)&gt;=100000,INDEX($R$1005:$W$1005,1,MATCH(COLUMNS($R$1006:U1006),$R$1006:$W$1006,0))&gt;=100000), " ",IF(INDEX($R$2:$W$1001,MATCH(ROWS($K$2:K342),$K$2:$K$1001,0),MATCH(COLUMNS($R$1006:U1006),$R$1006:$W$1006,0)), HYPERLINK("#",""), HYPERLINK(CONCATENATE("#Metadata!", ADDRESS(INDEX($M$2:$M$1001,MATCH(ROWS($K$2:K342),$K$2:$K$1001,0),0), INDEX($R$1004:$W$1004,1,MATCH(COLUMNS($R$1006:U1006),$R$1006:$W$1006,0)))),"Fix")))</f>
        <v>0</v>
      </c>
      <c r="F342" s="3">
        <f>IF(OR(INDEX($L$2:$L$1001,MATCH(ROWS($K$2:K342),$K$2:$K$1001,0),1)&gt;=100000,INDEX($R$1005:$W$1005,1,MATCH(COLUMNS($R$1006:V1006),$R$1006:$W$1006,0))&gt;=100000), " ",IF(INDEX($R$2:$W$1001,MATCH(ROWS($K$2:K342),$K$2:$K$1001,0),MATCH(COLUMNS($R$1006:V1006),$R$1006:$W$1006,0)), HYPERLINK("#",""), HYPERLINK(CONCATENATE("#Metadata!", ADDRESS(INDEX($M$2:$M$1001,MATCH(ROWS($K$2:K342),$K$2:$K$1001,0),0), INDEX($R$1004:$W$1004,1,MATCH(COLUMNS($R$1006:V1006),$R$1006:$W$1006,0)))),"Fix")))</f>
        <v>0</v>
      </c>
      <c r="G342" s="3">
        <f>IF(OR(INDEX($L$2:$L$1001,MATCH(ROWS($K$2:K342),$K$2:$K$1001,0),1)&gt;=100000,INDEX($R$1005:$W$1005,1,MATCH(COLUMNS($R$1006:W1006),$R$1006:$W$1006,0))&gt;=100000), " ",IF(INDEX($R$2:$W$1001,MATCH(ROWS($K$2:K342),$K$2:$K$1001,0),MATCH(COLUMNS($R$1006:W1006),$R$1006:$W$1006,0)), HYPERLINK("#",""), HYPERLINK(CONCATENATE("#Metadata!", ADDRESS(INDEX($M$2:$M$1001,MATCH(ROWS($K$2:K342),$K$2:$K$1001,0),0), INDEX($R$1004:$W$1004,1,MATCH(COLUMNS($R$1006:W1006),$R$1006:$W$1006,0)))),"Fix")))</f>
        <v>0</v>
      </c>
      <c r="K342">
        <v>0</v>
      </c>
      <c r="L342">
        <v>0</v>
      </c>
      <c r="M342">
        <v>0</v>
      </c>
      <c r="N342">
        <f>IF(O342,TRUE,AND(R342:W342))</f>
        <v>0</v>
      </c>
      <c r="O342">
        <f>COUNTBLANK(Metadata!B342:G342)=COLUMNS(Metadata!B342:G342)</f>
        <v>0</v>
      </c>
      <c r="P342">
        <v>0</v>
      </c>
      <c r="R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S342">
        <f>IF(Metadata!C342="",FALSE,TRUE)</f>
        <v>0</v>
      </c>
      <c r="T342">
        <f>IF(Metadata!D342="",FALSE,TRUE)</f>
        <v>0</v>
      </c>
      <c r="U342">
        <f>IF(Metadata!E342="",FALSE,TRUE)</f>
        <v>0</v>
      </c>
      <c r="V342">
        <f>AND(IF(Metadata!F342="",FALSE,TRUE),exact(Metadata!F342,"rat gut metagenome"))</f>
        <v>0</v>
      </c>
      <c r="W342">
        <f>AND(IF(Metadata!G342="",FALSE,TRUE),exact(Metadata!G342,"1436733"))</f>
        <v>0</v>
      </c>
    </row>
    <row r="343" spans="1:23">
      <c r="A343" s="4">
        <f>IF(B343=" "," ",HYPERLINK(CONCATENATE("#metadata!",ADDRESS(INDEX($M$2:$M$1001,MATCH(ROWS($K$2:K343),$K$2:$K$1001,0),0),1)),INDEX($P$2:$P$1001,MATCH(ROWS($K$2:K343),$K$2:$K$1001,0),0)))</f>
        <v>0</v>
      </c>
      <c r="B343" s="3">
        <f>IF(OR(INDEX($L$2:$L$1001,MATCH(ROWS($K$2:K343),$K$2:$K$1001,0),1)&gt;=100000,INDEX($R$1005:$W$1005,1,MATCH(COLUMNS($R$1006:R1006),$R$1006:$W$1006,0))&gt;=100000), " ",IF(INDEX($R$2:$W$1001,MATCH(ROWS($K$2:K343),$K$2:$K$1001,0),MATCH(COLUMNS($R$1006:R1006),$R$1006:$W$1006,0)), HYPERLINK("#",""), HYPERLINK(CONCATENATE("#Metadata!", ADDRESS(INDEX($M$2:$M$1001,MATCH(ROWS($K$2:K343),$K$2:$K$1001,0),0), INDEX($R$1004:$W$1004,1,MATCH(COLUMNS($R$1006:R1006),$R$1006:$W$1006,0)))),"Fix")))</f>
        <v>0</v>
      </c>
      <c r="C343" s="3">
        <f>IF(OR(INDEX($L$2:$L$1001,MATCH(ROWS($K$2:K343),$K$2:$K$1001,0),1)&gt;=100000,INDEX($R$1005:$W$1005,1,MATCH(COLUMNS($R$1006:S1006),$R$1006:$W$1006,0))&gt;=100000), " ",IF(INDEX($R$2:$W$1001,MATCH(ROWS($K$2:K343),$K$2:$K$1001,0),MATCH(COLUMNS($R$1006:S1006),$R$1006:$W$1006,0)), HYPERLINK("#",""), HYPERLINK(CONCATENATE("#Metadata!", ADDRESS(INDEX($M$2:$M$1001,MATCH(ROWS($K$2:K343),$K$2:$K$1001,0),0), INDEX($R$1004:$W$1004,1,MATCH(COLUMNS($R$1006:S1006),$R$1006:$W$1006,0)))),"Fix")))</f>
        <v>0</v>
      </c>
      <c r="D343" s="3">
        <f>IF(OR(INDEX($L$2:$L$1001,MATCH(ROWS($K$2:K343),$K$2:$K$1001,0),1)&gt;=100000,INDEX($R$1005:$W$1005,1,MATCH(COLUMNS($R$1006:T1006),$R$1006:$W$1006,0))&gt;=100000), " ",IF(INDEX($R$2:$W$1001,MATCH(ROWS($K$2:K343),$K$2:$K$1001,0),MATCH(COLUMNS($R$1006:T1006),$R$1006:$W$1006,0)), HYPERLINK("#",""), HYPERLINK(CONCATENATE("#Metadata!", ADDRESS(INDEX($M$2:$M$1001,MATCH(ROWS($K$2:K343),$K$2:$K$1001,0),0), INDEX($R$1004:$W$1004,1,MATCH(COLUMNS($R$1006:T1006),$R$1006:$W$1006,0)))),"Fix")))</f>
        <v>0</v>
      </c>
      <c r="E343" s="3">
        <f>IF(OR(INDEX($L$2:$L$1001,MATCH(ROWS($K$2:K343),$K$2:$K$1001,0),1)&gt;=100000,INDEX($R$1005:$W$1005,1,MATCH(COLUMNS($R$1006:U1006),$R$1006:$W$1006,0))&gt;=100000), " ",IF(INDEX($R$2:$W$1001,MATCH(ROWS($K$2:K343),$K$2:$K$1001,0),MATCH(COLUMNS($R$1006:U1006),$R$1006:$W$1006,0)), HYPERLINK("#",""), HYPERLINK(CONCATENATE("#Metadata!", ADDRESS(INDEX($M$2:$M$1001,MATCH(ROWS($K$2:K343),$K$2:$K$1001,0),0), INDEX($R$1004:$W$1004,1,MATCH(COLUMNS($R$1006:U1006),$R$1006:$W$1006,0)))),"Fix")))</f>
        <v>0</v>
      </c>
      <c r="F343" s="3">
        <f>IF(OR(INDEX($L$2:$L$1001,MATCH(ROWS($K$2:K343),$K$2:$K$1001,0),1)&gt;=100000,INDEX($R$1005:$W$1005,1,MATCH(COLUMNS($R$1006:V1006),$R$1006:$W$1006,0))&gt;=100000), " ",IF(INDEX($R$2:$W$1001,MATCH(ROWS($K$2:K343),$K$2:$K$1001,0),MATCH(COLUMNS($R$1006:V1006),$R$1006:$W$1006,0)), HYPERLINK("#",""), HYPERLINK(CONCATENATE("#Metadata!", ADDRESS(INDEX($M$2:$M$1001,MATCH(ROWS($K$2:K343),$K$2:$K$1001,0),0), INDEX($R$1004:$W$1004,1,MATCH(COLUMNS($R$1006:V1006),$R$1006:$W$1006,0)))),"Fix")))</f>
        <v>0</v>
      </c>
      <c r="G343" s="3">
        <f>IF(OR(INDEX($L$2:$L$1001,MATCH(ROWS($K$2:K343),$K$2:$K$1001,0),1)&gt;=100000,INDEX($R$1005:$W$1005,1,MATCH(COLUMNS($R$1006:W1006),$R$1006:$W$1006,0))&gt;=100000), " ",IF(INDEX($R$2:$W$1001,MATCH(ROWS($K$2:K343),$K$2:$K$1001,0),MATCH(COLUMNS($R$1006:W1006),$R$1006:$W$1006,0)), HYPERLINK("#",""), HYPERLINK(CONCATENATE("#Metadata!", ADDRESS(INDEX($M$2:$M$1001,MATCH(ROWS($K$2:K343),$K$2:$K$1001,0),0), INDEX($R$1004:$W$1004,1,MATCH(COLUMNS($R$1006:W1006),$R$1006:$W$1006,0)))),"Fix")))</f>
        <v>0</v>
      </c>
      <c r="K343">
        <v>0</v>
      </c>
      <c r="L343">
        <v>0</v>
      </c>
      <c r="M343">
        <v>0</v>
      </c>
      <c r="N343">
        <f>IF(O343,TRUE,AND(R343:W343))</f>
        <v>0</v>
      </c>
      <c r="O343">
        <f>COUNTBLANK(Metadata!B343:G343)=COLUMNS(Metadata!B343:G343)</f>
        <v>0</v>
      </c>
      <c r="P343">
        <v>0</v>
      </c>
      <c r="R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S343">
        <f>IF(Metadata!C343="",FALSE,TRUE)</f>
        <v>0</v>
      </c>
      <c r="T343">
        <f>IF(Metadata!D343="",FALSE,TRUE)</f>
        <v>0</v>
      </c>
      <c r="U343">
        <f>IF(Metadata!E343="",FALSE,TRUE)</f>
        <v>0</v>
      </c>
      <c r="V343">
        <f>AND(IF(Metadata!F343="",FALSE,TRUE),exact(Metadata!F343,"rat gut metagenome"))</f>
        <v>0</v>
      </c>
      <c r="W343">
        <f>AND(IF(Metadata!G343="",FALSE,TRUE),exact(Metadata!G343,"1436733"))</f>
        <v>0</v>
      </c>
    </row>
    <row r="344" spans="1:23">
      <c r="A344" s="4">
        <f>IF(B344=" "," ",HYPERLINK(CONCATENATE("#metadata!",ADDRESS(INDEX($M$2:$M$1001,MATCH(ROWS($K$2:K344),$K$2:$K$1001,0),0),1)),INDEX($P$2:$P$1001,MATCH(ROWS($K$2:K344),$K$2:$K$1001,0),0)))</f>
        <v>0</v>
      </c>
      <c r="B344" s="3">
        <f>IF(OR(INDEX($L$2:$L$1001,MATCH(ROWS($K$2:K344),$K$2:$K$1001,0),1)&gt;=100000,INDEX($R$1005:$W$1005,1,MATCH(COLUMNS($R$1006:R1006),$R$1006:$W$1006,0))&gt;=100000), " ",IF(INDEX($R$2:$W$1001,MATCH(ROWS($K$2:K344),$K$2:$K$1001,0),MATCH(COLUMNS($R$1006:R1006),$R$1006:$W$1006,0)), HYPERLINK("#",""), HYPERLINK(CONCATENATE("#Metadata!", ADDRESS(INDEX($M$2:$M$1001,MATCH(ROWS($K$2:K344),$K$2:$K$1001,0),0), INDEX($R$1004:$W$1004,1,MATCH(COLUMNS($R$1006:R1006),$R$1006:$W$1006,0)))),"Fix")))</f>
        <v>0</v>
      </c>
      <c r="C344" s="3">
        <f>IF(OR(INDEX($L$2:$L$1001,MATCH(ROWS($K$2:K344),$K$2:$K$1001,0),1)&gt;=100000,INDEX($R$1005:$W$1005,1,MATCH(COLUMNS($R$1006:S1006),$R$1006:$W$1006,0))&gt;=100000), " ",IF(INDEX($R$2:$W$1001,MATCH(ROWS($K$2:K344),$K$2:$K$1001,0),MATCH(COLUMNS($R$1006:S1006),$R$1006:$W$1006,0)), HYPERLINK("#",""), HYPERLINK(CONCATENATE("#Metadata!", ADDRESS(INDEX($M$2:$M$1001,MATCH(ROWS($K$2:K344),$K$2:$K$1001,0),0), INDEX($R$1004:$W$1004,1,MATCH(COLUMNS($R$1006:S1006),$R$1006:$W$1006,0)))),"Fix")))</f>
        <v>0</v>
      </c>
      <c r="D344" s="3">
        <f>IF(OR(INDEX($L$2:$L$1001,MATCH(ROWS($K$2:K344),$K$2:$K$1001,0),1)&gt;=100000,INDEX($R$1005:$W$1005,1,MATCH(COLUMNS($R$1006:T1006),$R$1006:$W$1006,0))&gt;=100000), " ",IF(INDEX($R$2:$W$1001,MATCH(ROWS($K$2:K344),$K$2:$K$1001,0),MATCH(COLUMNS($R$1006:T1006),$R$1006:$W$1006,0)), HYPERLINK("#",""), HYPERLINK(CONCATENATE("#Metadata!", ADDRESS(INDEX($M$2:$M$1001,MATCH(ROWS($K$2:K344),$K$2:$K$1001,0),0), INDEX($R$1004:$W$1004,1,MATCH(COLUMNS($R$1006:T1006),$R$1006:$W$1006,0)))),"Fix")))</f>
        <v>0</v>
      </c>
      <c r="E344" s="3">
        <f>IF(OR(INDEX($L$2:$L$1001,MATCH(ROWS($K$2:K344),$K$2:$K$1001,0),1)&gt;=100000,INDEX($R$1005:$W$1005,1,MATCH(COLUMNS($R$1006:U1006),$R$1006:$W$1006,0))&gt;=100000), " ",IF(INDEX($R$2:$W$1001,MATCH(ROWS($K$2:K344),$K$2:$K$1001,0),MATCH(COLUMNS($R$1006:U1006),$R$1006:$W$1006,0)), HYPERLINK("#",""), HYPERLINK(CONCATENATE("#Metadata!", ADDRESS(INDEX($M$2:$M$1001,MATCH(ROWS($K$2:K344),$K$2:$K$1001,0),0), INDEX($R$1004:$W$1004,1,MATCH(COLUMNS($R$1006:U1006),$R$1006:$W$1006,0)))),"Fix")))</f>
        <v>0</v>
      </c>
      <c r="F344" s="3">
        <f>IF(OR(INDEX($L$2:$L$1001,MATCH(ROWS($K$2:K344),$K$2:$K$1001,0),1)&gt;=100000,INDEX($R$1005:$W$1005,1,MATCH(COLUMNS($R$1006:V1006),$R$1006:$W$1006,0))&gt;=100000), " ",IF(INDEX($R$2:$W$1001,MATCH(ROWS($K$2:K344),$K$2:$K$1001,0),MATCH(COLUMNS($R$1006:V1006),$R$1006:$W$1006,0)), HYPERLINK("#",""), HYPERLINK(CONCATENATE("#Metadata!", ADDRESS(INDEX($M$2:$M$1001,MATCH(ROWS($K$2:K344),$K$2:$K$1001,0),0), INDEX($R$1004:$W$1004,1,MATCH(COLUMNS($R$1006:V1006),$R$1006:$W$1006,0)))),"Fix")))</f>
        <v>0</v>
      </c>
      <c r="G344" s="3">
        <f>IF(OR(INDEX($L$2:$L$1001,MATCH(ROWS($K$2:K344),$K$2:$K$1001,0),1)&gt;=100000,INDEX($R$1005:$W$1005,1,MATCH(COLUMNS($R$1006:W1006),$R$1006:$W$1006,0))&gt;=100000), " ",IF(INDEX($R$2:$W$1001,MATCH(ROWS($K$2:K344),$K$2:$K$1001,0),MATCH(COLUMNS($R$1006:W1006),$R$1006:$W$1006,0)), HYPERLINK("#",""), HYPERLINK(CONCATENATE("#Metadata!", ADDRESS(INDEX($M$2:$M$1001,MATCH(ROWS($K$2:K344),$K$2:$K$1001,0),0), INDEX($R$1004:$W$1004,1,MATCH(COLUMNS($R$1006:W1006),$R$1006:$W$1006,0)))),"Fix")))</f>
        <v>0</v>
      </c>
      <c r="K344">
        <v>0</v>
      </c>
      <c r="L344">
        <v>0</v>
      </c>
      <c r="M344">
        <v>0</v>
      </c>
      <c r="N344">
        <f>IF(O344,TRUE,AND(R344:W344))</f>
        <v>0</v>
      </c>
      <c r="O344">
        <f>COUNTBLANK(Metadata!B344:G344)=COLUMNS(Metadata!B344:G344)</f>
        <v>0</v>
      </c>
      <c r="P344">
        <v>0</v>
      </c>
      <c r="R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S344">
        <f>IF(Metadata!C344="",FALSE,TRUE)</f>
        <v>0</v>
      </c>
      <c r="T344">
        <f>IF(Metadata!D344="",FALSE,TRUE)</f>
        <v>0</v>
      </c>
      <c r="U344">
        <f>IF(Metadata!E344="",FALSE,TRUE)</f>
        <v>0</v>
      </c>
      <c r="V344">
        <f>AND(IF(Metadata!F344="",FALSE,TRUE),exact(Metadata!F344,"rat gut metagenome"))</f>
        <v>0</v>
      </c>
      <c r="W344">
        <f>AND(IF(Metadata!G344="",FALSE,TRUE),exact(Metadata!G344,"1436733"))</f>
        <v>0</v>
      </c>
    </row>
    <row r="345" spans="1:23">
      <c r="A345" s="4">
        <f>IF(B345=" "," ",HYPERLINK(CONCATENATE("#metadata!",ADDRESS(INDEX($M$2:$M$1001,MATCH(ROWS($K$2:K345),$K$2:$K$1001,0),0),1)),INDEX($P$2:$P$1001,MATCH(ROWS($K$2:K345),$K$2:$K$1001,0),0)))</f>
        <v>0</v>
      </c>
      <c r="B345" s="3">
        <f>IF(OR(INDEX($L$2:$L$1001,MATCH(ROWS($K$2:K345),$K$2:$K$1001,0),1)&gt;=100000,INDEX($R$1005:$W$1005,1,MATCH(COLUMNS($R$1006:R1006),$R$1006:$W$1006,0))&gt;=100000), " ",IF(INDEX($R$2:$W$1001,MATCH(ROWS($K$2:K345),$K$2:$K$1001,0),MATCH(COLUMNS($R$1006:R1006),$R$1006:$W$1006,0)), HYPERLINK("#",""), HYPERLINK(CONCATENATE("#Metadata!", ADDRESS(INDEX($M$2:$M$1001,MATCH(ROWS($K$2:K345),$K$2:$K$1001,0),0), INDEX($R$1004:$W$1004,1,MATCH(COLUMNS($R$1006:R1006),$R$1006:$W$1006,0)))),"Fix")))</f>
        <v>0</v>
      </c>
      <c r="C345" s="3">
        <f>IF(OR(INDEX($L$2:$L$1001,MATCH(ROWS($K$2:K345),$K$2:$K$1001,0),1)&gt;=100000,INDEX($R$1005:$W$1005,1,MATCH(COLUMNS($R$1006:S1006),$R$1006:$W$1006,0))&gt;=100000), " ",IF(INDEX($R$2:$W$1001,MATCH(ROWS($K$2:K345),$K$2:$K$1001,0),MATCH(COLUMNS($R$1006:S1006),$R$1006:$W$1006,0)), HYPERLINK("#",""), HYPERLINK(CONCATENATE("#Metadata!", ADDRESS(INDEX($M$2:$M$1001,MATCH(ROWS($K$2:K345),$K$2:$K$1001,0),0), INDEX($R$1004:$W$1004,1,MATCH(COLUMNS($R$1006:S1006),$R$1006:$W$1006,0)))),"Fix")))</f>
        <v>0</v>
      </c>
      <c r="D345" s="3">
        <f>IF(OR(INDEX($L$2:$L$1001,MATCH(ROWS($K$2:K345),$K$2:$K$1001,0),1)&gt;=100000,INDEX($R$1005:$W$1005,1,MATCH(COLUMNS($R$1006:T1006),$R$1006:$W$1006,0))&gt;=100000), " ",IF(INDEX($R$2:$W$1001,MATCH(ROWS($K$2:K345),$K$2:$K$1001,0),MATCH(COLUMNS($R$1006:T1006),$R$1006:$W$1006,0)), HYPERLINK("#",""), HYPERLINK(CONCATENATE("#Metadata!", ADDRESS(INDEX($M$2:$M$1001,MATCH(ROWS($K$2:K345),$K$2:$K$1001,0),0), INDEX($R$1004:$W$1004,1,MATCH(COLUMNS($R$1006:T1006),$R$1006:$W$1006,0)))),"Fix")))</f>
        <v>0</v>
      </c>
      <c r="E345" s="3">
        <f>IF(OR(INDEX($L$2:$L$1001,MATCH(ROWS($K$2:K345),$K$2:$K$1001,0),1)&gt;=100000,INDEX($R$1005:$W$1005,1,MATCH(COLUMNS($R$1006:U1006),$R$1006:$W$1006,0))&gt;=100000), " ",IF(INDEX($R$2:$W$1001,MATCH(ROWS($K$2:K345),$K$2:$K$1001,0),MATCH(COLUMNS($R$1006:U1006),$R$1006:$W$1006,0)), HYPERLINK("#",""), HYPERLINK(CONCATENATE("#Metadata!", ADDRESS(INDEX($M$2:$M$1001,MATCH(ROWS($K$2:K345),$K$2:$K$1001,0),0), INDEX($R$1004:$W$1004,1,MATCH(COLUMNS($R$1006:U1006),$R$1006:$W$1006,0)))),"Fix")))</f>
        <v>0</v>
      </c>
      <c r="F345" s="3">
        <f>IF(OR(INDEX($L$2:$L$1001,MATCH(ROWS($K$2:K345),$K$2:$K$1001,0),1)&gt;=100000,INDEX($R$1005:$W$1005,1,MATCH(COLUMNS($R$1006:V1006),$R$1006:$W$1006,0))&gt;=100000), " ",IF(INDEX($R$2:$W$1001,MATCH(ROWS($K$2:K345),$K$2:$K$1001,0),MATCH(COLUMNS($R$1006:V1006),$R$1006:$W$1006,0)), HYPERLINK("#",""), HYPERLINK(CONCATENATE("#Metadata!", ADDRESS(INDEX($M$2:$M$1001,MATCH(ROWS($K$2:K345),$K$2:$K$1001,0),0), INDEX($R$1004:$W$1004,1,MATCH(COLUMNS($R$1006:V1006),$R$1006:$W$1006,0)))),"Fix")))</f>
        <v>0</v>
      </c>
      <c r="G345" s="3">
        <f>IF(OR(INDEX($L$2:$L$1001,MATCH(ROWS($K$2:K345),$K$2:$K$1001,0),1)&gt;=100000,INDEX($R$1005:$W$1005,1,MATCH(COLUMNS($R$1006:W1006),$R$1006:$W$1006,0))&gt;=100000), " ",IF(INDEX($R$2:$W$1001,MATCH(ROWS($K$2:K345),$K$2:$K$1001,0),MATCH(COLUMNS($R$1006:W1006),$R$1006:$W$1006,0)), HYPERLINK("#",""), HYPERLINK(CONCATENATE("#Metadata!", ADDRESS(INDEX($M$2:$M$1001,MATCH(ROWS($K$2:K345),$K$2:$K$1001,0),0), INDEX($R$1004:$W$1004,1,MATCH(COLUMNS($R$1006:W1006),$R$1006:$W$1006,0)))),"Fix")))</f>
        <v>0</v>
      </c>
      <c r="K345">
        <v>0</v>
      </c>
      <c r="L345">
        <v>0</v>
      </c>
      <c r="M345">
        <v>0</v>
      </c>
      <c r="N345">
        <f>IF(O345,TRUE,AND(R345:W345))</f>
        <v>0</v>
      </c>
      <c r="O345">
        <f>COUNTBLANK(Metadata!B345:G345)=COLUMNS(Metadata!B345:G345)</f>
        <v>0</v>
      </c>
      <c r="P345">
        <v>0</v>
      </c>
      <c r="R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S345">
        <f>IF(Metadata!C345="",FALSE,TRUE)</f>
        <v>0</v>
      </c>
      <c r="T345">
        <f>IF(Metadata!D345="",FALSE,TRUE)</f>
        <v>0</v>
      </c>
      <c r="U345">
        <f>IF(Metadata!E345="",FALSE,TRUE)</f>
        <v>0</v>
      </c>
      <c r="V345">
        <f>AND(IF(Metadata!F345="",FALSE,TRUE),exact(Metadata!F345,"rat gut metagenome"))</f>
        <v>0</v>
      </c>
      <c r="W345">
        <f>AND(IF(Metadata!G345="",FALSE,TRUE),exact(Metadata!G345,"1436733"))</f>
        <v>0</v>
      </c>
    </row>
    <row r="346" spans="1:23">
      <c r="A346" s="4">
        <f>IF(B346=" "," ",HYPERLINK(CONCATENATE("#metadata!",ADDRESS(INDEX($M$2:$M$1001,MATCH(ROWS($K$2:K346),$K$2:$K$1001,0),0),1)),INDEX($P$2:$P$1001,MATCH(ROWS($K$2:K346),$K$2:$K$1001,0),0)))</f>
        <v>0</v>
      </c>
      <c r="B346" s="3">
        <f>IF(OR(INDEX($L$2:$L$1001,MATCH(ROWS($K$2:K346),$K$2:$K$1001,0),1)&gt;=100000,INDEX($R$1005:$W$1005,1,MATCH(COLUMNS($R$1006:R1006),$R$1006:$W$1006,0))&gt;=100000), " ",IF(INDEX($R$2:$W$1001,MATCH(ROWS($K$2:K346),$K$2:$K$1001,0),MATCH(COLUMNS($R$1006:R1006),$R$1006:$W$1006,0)), HYPERLINK("#",""), HYPERLINK(CONCATENATE("#Metadata!", ADDRESS(INDEX($M$2:$M$1001,MATCH(ROWS($K$2:K346),$K$2:$K$1001,0),0), INDEX($R$1004:$W$1004,1,MATCH(COLUMNS($R$1006:R1006),$R$1006:$W$1006,0)))),"Fix")))</f>
        <v>0</v>
      </c>
      <c r="C346" s="3">
        <f>IF(OR(INDEX($L$2:$L$1001,MATCH(ROWS($K$2:K346),$K$2:$K$1001,0),1)&gt;=100000,INDEX($R$1005:$W$1005,1,MATCH(COLUMNS($R$1006:S1006),$R$1006:$W$1006,0))&gt;=100000), " ",IF(INDEX($R$2:$W$1001,MATCH(ROWS($K$2:K346),$K$2:$K$1001,0),MATCH(COLUMNS($R$1006:S1006),$R$1006:$W$1006,0)), HYPERLINK("#",""), HYPERLINK(CONCATENATE("#Metadata!", ADDRESS(INDEX($M$2:$M$1001,MATCH(ROWS($K$2:K346),$K$2:$K$1001,0),0), INDEX($R$1004:$W$1004,1,MATCH(COLUMNS($R$1006:S1006),$R$1006:$W$1006,0)))),"Fix")))</f>
        <v>0</v>
      </c>
      <c r="D346" s="3">
        <f>IF(OR(INDEX($L$2:$L$1001,MATCH(ROWS($K$2:K346),$K$2:$K$1001,0),1)&gt;=100000,INDEX($R$1005:$W$1005,1,MATCH(COLUMNS($R$1006:T1006),$R$1006:$W$1006,0))&gt;=100000), " ",IF(INDEX($R$2:$W$1001,MATCH(ROWS($K$2:K346),$K$2:$K$1001,0),MATCH(COLUMNS($R$1006:T1006),$R$1006:$W$1006,0)), HYPERLINK("#",""), HYPERLINK(CONCATENATE("#Metadata!", ADDRESS(INDEX($M$2:$M$1001,MATCH(ROWS($K$2:K346),$K$2:$K$1001,0),0), INDEX($R$1004:$W$1004,1,MATCH(COLUMNS($R$1006:T1006),$R$1006:$W$1006,0)))),"Fix")))</f>
        <v>0</v>
      </c>
      <c r="E346" s="3">
        <f>IF(OR(INDEX($L$2:$L$1001,MATCH(ROWS($K$2:K346),$K$2:$K$1001,0),1)&gt;=100000,INDEX($R$1005:$W$1005,1,MATCH(COLUMNS($R$1006:U1006),$R$1006:$W$1006,0))&gt;=100000), " ",IF(INDEX($R$2:$W$1001,MATCH(ROWS($K$2:K346),$K$2:$K$1001,0),MATCH(COLUMNS($R$1006:U1006),$R$1006:$W$1006,0)), HYPERLINK("#",""), HYPERLINK(CONCATENATE("#Metadata!", ADDRESS(INDEX($M$2:$M$1001,MATCH(ROWS($K$2:K346),$K$2:$K$1001,0),0), INDEX($R$1004:$W$1004,1,MATCH(COLUMNS($R$1006:U1006),$R$1006:$W$1006,0)))),"Fix")))</f>
        <v>0</v>
      </c>
      <c r="F346" s="3">
        <f>IF(OR(INDEX($L$2:$L$1001,MATCH(ROWS($K$2:K346),$K$2:$K$1001,0),1)&gt;=100000,INDEX($R$1005:$W$1005,1,MATCH(COLUMNS($R$1006:V1006),$R$1006:$W$1006,0))&gt;=100000), " ",IF(INDEX($R$2:$W$1001,MATCH(ROWS($K$2:K346),$K$2:$K$1001,0),MATCH(COLUMNS($R$1006:V1006),$R$1006:$W$1006,0)), HYPERLINK("#",""), HYPERLINK(CONCATENATE("#Metadata!", ADDRESS(INDEX($M$2:$M$1001,MATCH(ROWS($K$2:K346),$K$2:$K$1001,0),0), INDEX($R$1004:$W$1004,1,MATCH(COLUMNS($R$1006:V1006),$R$1006:$W$1006,0)))),"Fix")))</f>
        <v>0</v>
      </c>
      <c r="G346" s="3">
        <f>IF(OR(INDEX($L$2:$L$1001,MATCH(ROWS($K$2:K346),$K$2:$K$1001,0),1)&gt;=100000,INDEX($R$1005:$W$1005,1,MATCH(COLUMNS($R$1006:W1006),$R$1006:$W$1006,0))&gt;=100000), " ",IF(INDEX($R$2:$W$1001,MATCH(ROWS($K$2:K346),$K$2:$K$1001,0),MATCH(COLUMNS($R$1006:W1006),$R$1006:$W$1006,0)), HYPERLINK("#",""), HYPERLINK(CONCATENATE("#Metadata!", ADDRESS(INDEX($M$2:$M$1001,MATCH(ROWS($K$2:K346),$K$2:$K$1001,0),0), INDEX($R$1004:$W$1004,1,MATCH(COLUMNS($R$1006:W1006),$R$1006:$W$1006,0)))),"Fix")))</f>
        <v>0</v>
      </c>
      <c r="K346">
        <v>0</v>
      </c>
      <c r="L346">
        <v>0</v>
      </c>
      <c r="M346">
        <v>0</v>
      </c>
      <c r="N346">
        <f>IF(O346,TRUE,AND(R346:W346))</f>
        <v>0</v>
      </c>
      <c r="O346">
        <f>COUNTBLANK(Metadata!B346:G346)=COLUMNS(Metadata!B346:G346)</f>
        <v>0</v>
      </c>
      <c r="P346">
        <v>0</v>
      </c>
      <c r="R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S346">
        <f>IF(Metadata!C346="",FALSE,TRUE)</f>
        <v>0</v>
      </c>
      <c r="T346">
        <f>IF(Metadata!D346="",FALSE,TRUE)</f>
        <v>0</v>
      </c>
      <c r="U346">
        <f>IF(Metadata!E346="",FALSE,TRUE)</f>
        <v>0</v>
      </c>
      <c r="V346">
        <f>AND(IF(Metadata!F346="",FALSE,TRUE),exact(Metadata!F346,"rat gut metagenome"))</f>
        <v>0</v>
      </c>
      <c r="W346">
        <f>AND(IF(Metadata!G346="",FALSE,TRUE),exact(Metadata!G346,"1436733"))</f>
        <v>0</v>
      </c>
    </row>
    <row r="347" spans="1:23">
      <c r="A347" s="4">
        <f>IF(B347=" "," ",HYPERLINK(CONCATENATE("#metadata!",ADDRESS(INDEX($M$2:$M$1001,MATCH(ROWS($K$2:K347),$K$2:$K$1001,0),0),1)),INDEX($P$2:$P$1001,MATCH(ROWS($K$2:K347),$K$2:$K$1001,0),0)))</f>
        <v>0</v>
      </c>
      <c r="B347" s="3">
        <f>IF(OR(INDEX($L$2:$L$1001,MATCH(ROWS($K$2:K347),$K$2:$K$1001,0),1)&gt;=100000,INDEX($R$1005:$W$1005,1,MATCH(COLUMNS($R$1006:R1006),$R$1006:$W$1006,0))&gt;=100000), " ",IF(INDEX($R$2:$W$1001,MATCH(ROWS($K$2:K347),$K$2:$K$1001,0),MATCH(COLUMNS($R$1006:R1006),$R$1006:$W$1006,0)), HYPERLINK("#",""), HYPERLINK(CONCATENATE("#Metadata!", ADDRESS(INDEX($M$2:$M$1001,MATCH(ROWS($K$2:K347),$K$2:$K$1001,0),0), INDEX($R$1004:$W$1004,1,MATCH(COLUMNS($R$1006:R1006),$R$1006:$W$1006,0)))),"Fix")))</f>
        <v>0</v>
      </c>
      <c r="C347" s="3">
        <f>IF(OR(INDEX($L$2:$L$1001,MATCH(ROWS($K$2:K347),$K$2:$K$1001,0),1)&gt;=100000,INDEX($R$1005:$W$1005,1,MATCH(COLUMNS($R$1006:S1006),$R$1006:$W$1006,0))&gt;=100000), " ",IF(INDEX($R$2:$W$1001,MATCH(ROWS($K$2:K347),$K$2:$K$1001,0),MATCH(COLUMNS($R$1006:S1006),$R$1006:$W$1006,0)), HYPERLINK("#",""), HYPERLINK(CONCATENATE("#Metadata!", ADDRESS(INDEX($M$2:$M$1001,MATCH(ROWS($K$2:K347),$K$2:$K$1001,0),0), INDEX($R$1004:$W$1004,1,MATCH(COLUMNS($R$1006:S1006),$R$1006:$W$1006,0)))),"Fix")))</f>
        <v>0</v>
      </c>
      <c r="D347" s="3">
        <f>IF(OR(INDEX($L$2:$L$1001,MATCH(ROWS($K$2:K347),$K$2:$K$1001,0),1)&gt;=100000,INDEX($R$1005:$W$1005,1,MATCH(COLUMNS($R$1006:T1006),$R$1006:$W$1006,0))&gt;=100000), " ",IF(INDEX($R$2:$W$1001,MATCH(ROWS($K$2:K347),$K$2:$K$1001,0),MATCH(COLUMNS($R$1006:T1006),$R$1006:$W$1006,0)), HYPERLINK("#",""), HYPERLINK(CONCATENATE("#Metadata!", ADDRESS(INDEX($M$2:$M$1001,MATCH(ROWS($K$2:K347),$K$2:$K$1001,0),0), INDEX($R$1004:$W$1004,1,MATCH(COLUMNS($R$1006:T1006),$R$1006:$W$1006,0)))),"Fix")))</f>
        <v>0</v>
      </c>
      <c r="E347" s="3">
        <f>IF(OR(INDEX($L$2:$L$1001,MATCH(ROWS($K$2:K347),$K$2:$K$1001,0),1)&gt;=100000,INDEX($R$1005:$W$1005,1,MATCH(COLUMNS($R$1006:U1006),$R$1006:$W$1006,0))&gt;=100000), " ",IF(INDEX($R$2:$W$1001,MATCH(ROWS($K$2:K347),$K$2:$K$1001,0),MATCH(COLUMNS($R$1006:U1006),$R$1006:$W$1006,0)), HYPERLINK("#",""), HYPERLINK(CONCATENATE("#Metadata!", ADDRESS(INDEX($M$2:$M$1001,MATCH(ROWS($K$2:K347),$K$2:$K$1001,0),0), INDEX($R$1004:$W$1004,1,MATCH(COLUMNS($R$1006:U1006),$R$1006:$W$1006,0)))),"Fix")))</f>
        <v>0</v>
      </c>
      <c r="F347" s="3">
        <f>IF(OR(INDEX($L$2:$L$1001,MATCH(ROWS($K$2:K347),$K$2:$K$1001,0),1)&gt;=100000,INDEX($R$1005:$W$1005,1,MATCH(COLUMNS($R$1006:V1006),$R$1006:$W$1006,0))&gt;=100000), " ",IF(INDEX($R$2:$W$1001,MATCH(ROWS($K$2:K347),$K$2:$K$1001,0),MATCH(COLUMNS($R$1006:V1006),$R$1006:$W$1006,0)), HYPERLINK("#",""), HYPERLINK(CONCATENATE("#Metadata!", ADDRESS(INDEX($M$2:$M$1001,MATCH(ROWS($K$2:K347),$K$2:$K$1001,0),0), INDEX($R$1004:$W$1004,1,MATCH(COLUMNS($R$1006:V1006),$R$1006:$W$1006,0)))),"Fix")))</f>
        <v>0</v>
      </c>
      <c r="G347" s="3">
        <f>IF(OR(INDEX($L$2:$L$1001,MATCH(ROWS($K$2:K347),$K$2:$K$1001,0),1)&gt;=100000,INDEX($R$1005:$W$1005,1,MATCH(COLUMNS($R$1006:W1006),$R$1006:$W$1006,0))&gt;=100000), " ",IF(INDEX($R$2:$W$1001,MATCH(ROWS($K$2:K347),$K$2:$K$1001,0),MATCH(COLUMNS($R$1006:W1006),$R$1006:$W$1006,0)), HYPERLINK("#",""), HYPERLINK(CONCATENATE("#Metadata!", ADDRESS(INDEX($M$2:$M$1001,MATCH(ROWS($K$2:K347),$K$2:$K$1001,0),0), INDEX($R$1004:$W$1004,1,MATCH(COLUMNS($R$1006:W1006),$R$1006:$W$1006,0)))),"Fix")))</f>
        <v>0</v>
      </c>
      <c r="K347">
        <v>0</v>
      </c>
      <c r="L347">
        <v>0</v>
      </c>
      <c r="M347">
        <v>0</v>
      </c>
      <c r="N347">
        <f>IF(O347,TRUE,AND(R347:W347))</f>
        <v>0</v>
      </c>
      <c r="O347">
        <f>COUNTBLANK(Metadata!B347:G347)=COLUMNS(Metadata!B347:G347)</f>
        <v>0</v>
      </c>
      <c r="P347">
        <v>0</v>
      </c>
      <c r="R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S347">
        <f>IF(Metadata!C347="",FALSE,TRUE)</f>
        <v>0</v>
      </c>
      <c r="T347">
        <f>IF(Metadata!D347="",FALSE,TRUE)</f>
        <v>0</v>
      </c>
      <c r="U347">
        <f>IF(Metadata!E347="",FALSE,TRUE)</f>
        <v>0</v>
      </c>
      <c r="V347">
        <f>AND(IF(Metadata!F347="",FALSE,TRUE),exact(Metadata!F347,"rat gut metagenome"))</f>
        <v>0</v>
      </c>
      <c r="W347">
        <f>AND(IF(Metadata!G347="",FALSE,TRUE),exact(Metadata!G347,"1436733"))</f>
        <v>0</v>
      </c>
    </row>
    <row r="348" spans="1:23">
      <c r="A348" s="4">
        <f>IF(B348=" "," ",HYPERLINK(CONCATENATE("#metadata!",ADDRESS(INDEX($M$2:$M$1001,MATCH(ROWS($K$2:K348),$K$2:$K$1001,0),0),1)),INDEX($P$2:$P$1001,MATCH(ROWS($K$2:K348),$K$2:$K$1001,0),0)))</f>
        <v>0</v>
      </c>
      <c r="B348" s="3">
        <f>IF(OR(INDEX($L$2:$L$1001,MATCH(ROWS($K$2:K348),$K$2:$K$1001,0),1)&gt;=100000,INDEX($R$1005:$W$1005,1,MATCH(COLUMNS($R$1006:R1006),$R$1006:$W$1006,0))&gt;=100000), " ",IF(INDEX($R$2:$W$1001,MATCH(ROWS($K$2:K348),$K$2:$K$1001,0),MATCH(COLUMNS($R$1006:R1006),$R$1006:$W$1006,0)), HYPERLINK("#",""), HYPERLINK(CONCATENATE("#Metadata!", ADDRESS(INDEX($M$2:$M$1001,MATCH(ROWS($K$2:K348),$K$2:$K$1001,0),0), INDEX($R$1004:$W$1004,1,MATCH(COLUMNS($R$1006:R1006),$R$1006:$W$1006,0)))),"Fix")))</f>
        <v>0</v>
      </c>
      <c r="C348" s="3">
        <f>IF(OR(INDEX($L$2:$L$1001,MATCH(ROWS($K$2:K348),$K$2:$K$1001,0),1)&gt;=100000,INDEX($R$1005:$W$1005,1,MATCH(COLUMNS($R$1006:S1006),$R$1006:$W$1006,0))&gt;=100000), " ",IF(INDEX($R$2:$W$1001,MATCH(ROWS($K$2:K348),$K$2:$K$1001,0),MATCH(COLUMNS($R$1006:S1006),$R$1006:$W$1006,0)), HYPERLINK("#",""), HYPERLINK(CONCATENATE("#Metadata!", ADDRESS(INDEX($M$2:$M$1001,MATCH(ROWS($K$2:K348),$K$2:$K$1001,0),0), INDEX($R$1004:$W$1004,1,MATCH(COLUMNS($R$1006:S1006),$R$1006:$W$1006,0)))),"Fix")))</f>
        <v>0</v>
      </c>
      <c r="D348" s="3">
        <f>IF(OR(INDEX($L$2:$L$1001,MATCH(ROWS($K$2:K348),$K$2:$K$1001,0),1)&gt;=100000,INDEX($R$1005:$W$1005,1,MATCH(COLUMNS($R$1006:T1006),$R$1006:$W$1006,0))&gt;=100000), " ",IF(INDEX($R$2:$W$1001,MATCH(ROWS($K$2:K348),$K$2:$K$1001,0),MATCH(COLUMNS($R$1006:T1006),$R$1006:$W$1006,0)), HYPERLINK("#",""), HYPERLINK(CONCATENATE("#Metadata!", ADDRESS(INDEX($M$2:$M$1001,MATCH(ROWS($K$2:K348),$K$2:$K$1001,0),0), INDEX($R$1004:$W$1004,1,MATCH(COLUMNS($R$1006:T1006),$R$1006:$W$1006,0)))),"Fix")))</f>
        <v>0</v>
      </c>
      <c r="E348" s="3">
        <f>IF(OR(INDEX($L$2:$L$1001,MATCH(ROWS($K$2:K348),$K$2:$K$1001,0),1)&gt;=100000,INDEX($R$1005:$W$1005,1,MATCH(COLUMNS($R$1006:U1006),$R$1006:$W$1006,0))&gt;=100000), " ",IF(INDEX($R$2:$W$1001,MATCH(ROWS($K$2:K348),$K$2:$K$1001,0),MATCH(COLUMNS($R$1006:U1006),$R$1006:$W$1006,0)), HYPERLINK("#",""), HYPERLINK(CONCATENATE("#Metadata!", ADDRESS(INDEX($M$2:$M$1001,MATCH(ROWS($K$2:K348),$K$2:$K$1001,0),0), INDEX($R$1004:$W$1004,1,MATCH(COLUMNS($R$1006:U1006),$R$1006:$W$1006,0)))),"Fix")))</f>
        <v>0</v>
      </c>
      <c r="F348" s="3">
        <f>IF(OR(INDEX($L$2:$L$1001,MATCH(ROWS($K$2:K348),$K$2:$K$1001,0),1)&gt;=100000,INDEX($R$1005:$W$1005,1,MATCH(COLUMNS($R$1006:V1006),$R$1006:$W$1006,0))&gt;=100000), " ",IF(INDEX($R$2:$W$1001,MATCH(ROWS($K$2:K348),$K$2:$K$1001,0),MATCH(COLUMNS($R$1006:V1006),$R$1006:$W$1006,0)), HYPERLINK("#",""), HYPERLINK(CONCATENATE("#Metadata!", ADDRESS(INDEX($M$2:$M$1001,MATCH(ROWS($K$2:K348),$K$2:$K$1001,0),0), INDEX($R$1004:$W$1004,1,MATCH(COLUMNS($R$1006:V1006),$R$1006:$W$1006,0)))),"Fix")))</f>
        <v>0</v>
      </c>
      <c r="G348" s="3">
        <f>IF(OR(INDEX($L$2:$L$1001,MATCH(ROWS($K$2:K348),$K$2:$K$1001,0),1)&gt;=100000,INDEX($R$1005:$W$1005,1,MATCH(COLUMNS($R$1006:W1006),$R$1006:$W$1006,0))&gt;=100000), " ",IF(INDEX($R$2:$W$1001,MATCH(ROWS($K$2:K348),$K$2:$K$1001,0),MATCH(COLUMNS($R$1006:W1006),$R$1006:$W$1006,0)), HYPERLINK("#",""), HYPERLINK(CONCATENATE("#Metadata!", ADDRESS(INDEX($M$2:$M$1001,MATCH(ROWS($K$2:K348),$K$2:$K$1001,0),0), INDEX($R$1004:$W$1004,1,MATCH(COLUMNS($R$1006:W1006),$R$1006:$W$1006,0)))),"Fix")))</f>
        <v>0</v>
      </c>
      <c r="K348">
        <v>0</v>
      </c>
      <c r="L348">
        <v>0</v>
      </c>
      <c r="M348">
        <v>0</v>
      </c>
      <c r="N348">
        <f>IF(O348,TRUE,AND(R348:W348))</f>
        <v>0</v>
      </c>
      <c r="O348">
        <f>COUNTBLANK(Metadata!B348:G348)=COLUMNS(Metadata!B348:G348)</f>
        <v>0</v>
      </c>
      <c r="P348">
        <v>0</v>
      </c>
      <c r="R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S348">
        <f>IF(Metadata!C348="",FALSE,TRUE)</f>
        <v>0</v>
      </c>
      <c r="T348">
        <f>IF(Metadata!D348="",FALSE,TRUE)</f>
        <v>0</v>
      </c>
      <c r="U348">
        <f>IF(Metadata!E348="",FALSE,TRUE)</f>
        <v>0</v>
      </c>
      <c r="V348">
        <f>AND(IF(Metadata!F348="",FALSE,TRUE),exact(Metadata!F348,"rat gut metagenome"))</f>
        <v>0</v>
      </c>
      <c r="W348">
        <f>AND(IF(Metadata!G348="",FALSE,TRUE),exact(Metadata!G348,"1436733"))</f>
        <v>0</v>
      </c>
    </row>
    <row r="349" spans="1:23">
      <c r="A349" s="4">
        <f>IF(B349=" "," ",HYPERLINK(CONCATENATE("#metadata!",ADDRESS(INDEX($M$2:$M$1001,MATCH(ROWS($K$2:K349),$K$2:$K$1001,0),0),1)),INDEX($P$2:$P$1001,MATCH(ROWS($K$2:K349),$K$2:$K$1001,0),0)))</f>
        <v>0</v>
      </c>
      <c r="B349" s="3">
        <f>IF(OR(INDEX($L$2:$L$1001,MATCH(ROWS($K$2:K349),$K$2:$K$1001,0),1)&gt;=100000,INDEX($R$1005:$W$1005,1,MATCH(COLUMNS($R$1006:R1006),$R$1006:$W$1006,0))&gt;=100000), " ",IF(INDEX($R$2:$W$1001,MATCH(ROWS($K$2:K349),$K$2:$K$1001,0),MATCH(COLUMNS($R$1006:R1006),$R$1006:$W$1006,0)), HYPERLINK("#",""), HYPERLINK(CONCATENATE("#Metadata!", ADDRESS(INDEX($M$2:$M$1001,MATCH(ROWS($K$2:K349),$K$2:$K$1001,0),0), INDEX($R$1004:$W$1004,1,MATCH(COLUMNS($R$1006:R1006),$R$1006:$W$1006,0)))),"Fix")))</f>
        <v>0</v>
      </c>
      <c r="C349" s="3">
        <f>IF(OR(INDEX($L$2:$L$1001,MATCH(ROWS($K$2:K349),$K$2:$K$1001,0),1)&gt;=100000,INDEX($R$1005:$W$1005,1,MATCH(COLUMNS($R$1006:S1006),$R$1006:$W$1006,0))&gt;=100000), " ",IF(INDEX($R$2:$W$1001,MATCH(ROWS($K$2:K349),$K$2:$K$1001,0),MATCH(COLUMNS($R$1006:S1006),$R$1006:$W$1006,0)), HYPERLINK("#",""), HYPERLINK(CONCATENATE("#Metadata!", ADDRESS(INDEX($M$2:$M$1001,MATCH(ROWS($K$2:K349),$K$2:$K$1001,0),0), INDEX($R$1004:$W$1004,1,MATCH(COLUMNS($R$1006:S1006),$R$1006:$W$1006,0)))),"Fix")))</f>
        <v>0</v>
      </c>
      <c r="D349" s="3">
        <f>IF(OR(INDEX($L$2:$L$1001,MATCH(ROWS($K$2:K349),$K$2:$K$1001,0),1)&gt;=100000,INDEX($R$1005:$W$1005,1,MATCH(COLUMNS($R$1006:T1006),$R$1006:$W$1006,0))&gt;=100000), " ",IF(INDEX($R$2:$W$1001,MATCH(ROWS($K$2:K349),$K$2:$K$1001,0),MATCH(COLUMNS($R$1006:T1006),$R$1006:$W$1006,0)), HYPERLINK("#",""), HYPERLINK(CONCATENATE("#Metadata!", ADDRESS(INDEX($M$2:$M$1001,MATCH(ROWS($K$2:K349),$K$2:$K$1001,0),0), INDEX($R$1004:$W$1004,1,MATCH(COLUMNS($R$1006:T1006),$R$1006:$W$1006,0)))),"Fix")))</f>
        <v>0</v>
      </c>
      <c r="E349" s="3">
        <f>IF(OR(INDEX($L$2:$L$1001,MATCH(ROWS($K$2:K349),$K$2:$K$1001,0),1)&gt;=100000,INDEX($R$1005:$W$1005,1,MATCH(COLUMNS($R$1006:U1006),$R$1006:$W$1006,0))&gt;=100000), " ",IF(INDEX($R$2:$W$1001,MATCH(ROWS($K$2:K349),$K$2:$K$1001,0),MATCH(COLUMNS($R$1006:U1006),$R$1006:$W$1006,0)), HYPERLINK("#",""), HYPERLINK(CONCATENATE("#Metadata!", ADDRESS(INDEX($M$2:$M$1001,MATCH(ROWS($K$2:K349),$K$2:$K$1001,0),0), INDEX($R$1004:$W$1004,1,MATCH(COLUMNS($R$1006:U1006),$R$1006:$W$1006,0)))),"Fix")))</f>
        <v>0</v>
      </c>
      <c r="F349" s="3">
        <f>IF(OR(INDEX($L$2:$L$1001,MATCH(ROWS($K$2:K349),$K$2:$K$1001,0),1)&gt;=100000,INDEX($R$1005:$W$1005,1,MATCH(COLUMNS($R$1006:V1006),$R$1006:$W$1006,0))&gt;=100000), " ",IF(INDEX($R$2:$W$1001,MATCH(ROWS($K$2:K349),$K$2:$K$1001,0),MATCH(COLUMNS($R$1006:V1006),$R$1006:$W$1006,0)), HYPERLINK("#",""), HYPERLINK(CONCATENATE("#Metadata!", ADDRESS(INDEX($M$2:$M$1001,MATCH(ROWS($K$2:K349),$K$2:$K$1001,0),0), INDEX($R$1004:$W$1004,1,MATCH(COLUMNS($R$1006:V1006),$R$1006:$W$1006,0)))),"Fix")))</f>
        <v>0</v>
      </c>
      <c r="G349" s="3">
        <f>IF(OR(INDEX($L$2:$L$1001,MATCH(ROWS($K$2:K349),$K$2:$K$1001,0),1)&gt;=100000,INDEX($R$1005:$W$1005,1,MATCH(COLUMNS($R$1006:W1006),$R$1006:$W$1006,0))&gt;=100000), " ",IF(INDEX($R$2:$W$1001,MATCH(ROWS($K$2:K349),$K$2:$K$1001,0),MATCH(COLUMNS($R$1006:W1006),$R$1006:$W$1006,0)), HYPERLINK("#",""), HYPERLINK(CONCATENATE("#Metadata!", ADDRESS(INDEX($M$2:$M$1001,MATCH(ROWS($K$2:K349),$K$2:$K$1001,0),0), INDEX($R$1004:$W$1004,1,MATCH(COLUMNS($R$1006:W1006),$R$1006:$W$1006,0)))),"Fix")))</f>
        <v>0</v>
      </c>
      <c r="K349">
        <v>0</v>
      </c>
      <c r="L349">
        <v>0</v>
      </c>
      <c r="M349">
        <v>0</v>
      </c>
      <c r="N349">
        <f>IF(O349,TRUE,AND(R349:W349))</f>
        <v>0</v>
      </c>
      <c r="O349">
        <f>COUNTBLANK(Metadata!B349:G349)=COLUMNS(Metadata!B349:G349)</f>
        <v>0</v>
      </c>
      <c r="P349">
        <v>0</v>
      </c>
      <c r="R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S349">
        <f>IF(Metadata!C349="",FALSE,TRUE)</f>
        <v>0</v>
      </c>
      <c r="T349">
        <f>IF(Metadata!D349="",FALSE,TRUE)</f>
        <v>0</v>
      </c>
      <c r="U349">
        <f>IF(Metadata!E349="",FALSE,TRUE)</f>
        <v>0</v>
      </c>
      <c r="V349">
        <f>AND(IF(Metadata!F349="",FALSE,TRUE),exact(Metadata!F349,"rat gut metagenome"))</f>
        <v>0</v>
      </c>
      <c r="W349">
        <f>AND(IF(Metadata!G349="",FALSE,TRUE),exact(Metadata!G349,"1436733"))</f>
        <v>0</v>
      </c>
    </row>
    <row r="350" spans="1:23">
      <c r="A350" s="4">
        <f>IF(B350=" "," ",HYPERLINK(CONCATENATE("#metadata!",ADDRESS(INDEX($M$2:$M$1001,MATCH(ROWS($K$2:K350),$K$2:$K$1001,0),0),1)),INDEX($P$2:$P$1001,MATCH(ROWS($K$2:K350),$K$2:$K$1001,0),0)))</f>
        <v>0</v>
      </c>
      <c r="B350" s="3">
        <f>IF(OR(INDEX($L$2:$L$1001,MATCH(ROWS($K$2:K350),$K$2:$K$1001,0),1)&gt;=100000,INDEX($R$1005:$W$1005,1,MATCH(COLUMNS($R$1006:R1006),$R$1006:$W$1006,0))&gt;=100000), " ",IF(INDEX($R$2:$W$1001,MATCH(ROWS($K$2:K350),$K$2:$K$1001,0),MATCH(COLUMNS($R$1006:R1006),$R$1006:$W$1006,0)), HYPERLINK("#",""), HYPERLINK(CONCATENATE("#Metadata!", ADDRESS(INDEX($M$2:$M$1001,MATCH(ROWS($K$2:K350),$K$2:$K$1001,0),0), INDEX($R$1004:$W$1004,1,MATCH(COLUMNS($R$1006:R1006),$R$1006:$W$1006,0)))),"Fix")))</f>
        <v>0</v>
      </c>
      <c r="C350" s="3">
        <f>IF(OR(INDEX($L$2:$L$1001,MATCH(ROWS($K$2:K350),$K$2:$K$1001,0),1)&gt;=100000,INDEX($R$1005:$W$1005,1,MATCH(COLUMNS($R$1006:S1006),$R$1006:$W$1006,0))&gt;=100000), " ",IF(INDEX($R$2:$W$1001,MATCH(ROWS($K$2:K350),$K$2:$K$1001,0),MATCH(COLUMNS($R$1006:S1006),$R$1006:$W$1006,0)), HYPERLINK("#",""), HYPERLINK(CONCATENATE("#Metadata!", ADDRESS(INDEX($M$2:$M$1001,MATCH(ROWS($K$2:K350),$K$2:$K$1001,0),0), INDEX($R$1004:$W$1004,1,MATCH(COLUMNS($R$1006:S1006),$R$1006:$W$1006,0)))),"Fix")))</f>
        <v>0</v>
      </c>
      <c r="D350" s="3">
        <f>IF(OR(INDEX($L$2:$L$1001,MATCH(ROWS($K$2:K350),$K$2:$K$1001,0),1)&gt;=100000,INDEX($R$1005:$W$1005,1,MATCH(COLUMNS($R$1006:T1006),$R$1006:$W$1006,0))&gt;=100000), " ",IF(INDEX($R$2:$W$1001,MATCH(ROWS($K$2:K350),$K$2:$K$1001,0),MATCH(COLUMNS($R$1006:T1006),$R$1006:$W$1006,0)), HYPERLINK("#",""), HYPERLINK(CONCATENATE("#Metadata!", ADDRESS(INDEX($M$2:$M$1001,MATCH(ROWS($K$2:K350),$K$2:$K$1001,0),0), INDEX($R$1004:$W$1004,1,MATCH(COLUMNS($R$1006:T1006),$R$1006:$W$1006,0)))),"Fix")))</f>
        <v>0</v>
      </c>
      <c r="E350" s="3">
        <f>IF(OR(INDEX($L$2:$L$1001,MATCH(ROWS($K$2:K350),$K$2:$K$1001,0),1)&gt;=100000,INDEX($R$1005:$W$1005,1,MATCH(COLUMNS($R$1006:U1006),$R$1006:$W$1006,0))&gt;=100000), " ",IF(INDEX($R$2:$W$1001,MATCH(ROWS($K$2:K350),$K$2:$K$1001,0),MATCH(COLUMNS($R$1006:U1006),$R$1006:$W$1006,0)), HYPERLINK("#",""), HYPERLINK(CONCATENATE("#Metadata!", ADDRESS(INDEX($M$2:$M$1001,MATCH(ROWS($K$2:K350),$K$2:$K$1001,0),0), INDEX($R$1004:$W$1004,1,MATCH(COLUMNS($R$1006:U1006),$R$1006:$W$1006,0)))),"Fix")))</f>
        <v>0</v>
      </c>
      <c r="F350" s="3">
        <f>IF(OR(INDEX($L$2:$L$1001,MATCH(ROWS($K$2:K350),$K$2:$K$1001,0),1)&gt;=100000,INDEX($R$1005:$W$1005,1,MATCH(COLUMNS($R$1006:V1006),$R$1006:$W$1006,0))&gt;=100000), " ",IF(INDEX($R$2:$W$1001,MATCH(ROWS($K$2:K350),$K$2:$K$1001,0),MATCH(COLUMNS($R$1006:V1006),$R$1006:$W$1006,0)), HYPERLINK("#",""), HYPERLINK(CONCATENATE("#Metadata!", ADDRESS(INDEX($M$2:$M$1001,MATCH(ROWS($K$2:K350),$K$2:$K$1001,0),0), INDEX($R$1004:$W$1004,1,MATCH(COLUMNS($R$1006:V1006),$R$1006:$W$1006,0)))),"Fix")))</f>
        <v>0</v>
      </c>
      <c r="G350" s="3">
        <f>IF(OR(INDEX($L$2:$L$1001,MATCH(ROWS($K$2:K350),$K$2:$K$1001,0),1)&gt;=100000,INDEX($R$1005:$W$1005,1,MATCH(COLUMNS($R$1006:W1006),$R$1006:$W$1006,0))&gt;=100000), " ",IF(INDEX($R$2:$W$1001,MATCH(ROWS($K$2:K350),$K$2:$K$1001,0),MATCH(COLUMNS($R$1006:W1006),$R$1006:$W$1006,0)), HYPERLINK("#",""), HYPERLINK(CONCATENATE("#Metadata!", ADDRESS(INDEX($M$2:$M$1001,MATCH(ROWS($K$2:K350),$K$2:$K$1001,0),0), INDEX($R$1004:$W$1004,1,MATCH(COLUMNS($R$1006:W1006),$R$1006:$W$1006,0)))),"Fix")))</f>
        <v>0</v>
      </c>
      <c r="K350">
        <v>0</v>
      </c>
      <c r="L350">
        <v>0</v>
      </c>
      <c r="M350">
        <v>0</v>
      </c>
      <c r="N350">
        <f>IF(O350,TRUE,AND(R350:W350))</f>
        <v>0</v>
      </c>
      <c r="O350">
        <f>COUNTBLANK(Metadata!B350:G350)=COLUMNS(Metadata!B350:G350)</f>
        <v>0</v>
      </c>
      <c r="P350">
        <v>0</v>
      </c>
      <c r="R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S350">
        <f>IF(Metadata!C350="",FALSE,TRUE)</f>
        <v>0</v>
      </c>
      <c r="T350">
        <f>IF(Metadata!D350="",FALSE,TRUE)</f>
        <v>0</v>
      </c>
      <c r="U350">
        <f>IF(Metadata!E350="",FALSE,TRUE)</f>
        <v>0</v>
      </c>
      <c r="V350">
        <f>AND(IF(Metadata!F350="",FALSE,TRUE),exact(Metadata!F350,"rat gut metagenome"))</f>
        <v>0</v>
      </c>
      <c r="W350">
        <f>AND(IF(Metadata!G350="",FALSE,TRUE),exact(Metadata!G350,"1436733"))</f>
        <v>0</v>
      </c>
    </row>
    <row r="351" spans="1:23">
      <c r="A351" s="4">
        <f>IF(B351=" "," ",HYPERLINK(CONCATENATE("#metadata!",ADDRESS(INDEX($M$2:$M$1001,MATCH(ROWS($K$2:K351),$K$2:$K$1001,0),0),1)),INDEX($P$2:$P$1001,MATCH(ROWS($K$2:K351),$K$2:$K$1001,0),0)))</f>
        <v>0</v>
      </c>
      <c r="B351" s="3">
        <f>IF(OR(INDEX($L$2:$L$1001,MATCH(ROWS($K$2:K351),$K$2:$K$1001,0),1)&gt;=100000,INDEX($R$1005:$W$1005,1,MATCH(COLUMNS($R$1006:R1006),$R$1006:$W$1006,0))&gt;=100000), " ",IF(INDEX($R$2:$W$1001,MATCH(ROWS($K$2:K351),$K$2:$K$1001,0),MATCH(COLUMNS($R$1006:R1006),$R$1006:$W$1006,0)), HYPERLINK("#",""), HYPERLINK(CONCATENATE("#Metadata!", ADDRESS(INDEX($M$2:$M$1001,MATCH(ROWS($K$2:K351),$K$2:$K$1001,0),0), INDEX($R$1004:$W$1004,1,MATCH(COLUMNS($R$1006:R1006),$R$1006:$W$1006,0)))),"Fix")))</f>
        <v>0</v>
      </c>
      <c r="C351" s="3">
        <f>IF(OR(INDEX($L$2:$L$1001,MATCH(ROWS($K$2:K351),$K$2:$K$1001,0),1)&gt;=100000,INDEX($R$1005:$W$1005,1,MATCH(COLUMNS($R$1006:S1006),$R$1006:$W$1006,0))&gt;=100000), " ",IF(INDEX($R$2:$W$1001,MATCH(ROWS($K$2:K351),$K$2:$K$1001,0),MATCH(COLUMNS($R$1006:S1006),$R$1006:$W$1006,0)), HYPERLINK("#",""), HYPERLINK(CONCATENATE("#Metadata!", ADDRESS(INDEX($M$2:$M$1001,MATCH(ROWS($K$2:K351),$K$2:$K$1001,0),0), INDEX($R$1004:$W$1004,1,MATCH(COLUMNS($R$1006:S1006),$R$1006:$W$1006,0)))),"Fix")))</f>
        <v>0</v>
      </c>
      <c r="D351" s="3">
        <f>IF(OR(INDEX($L$2:$L$1001,MATCH(ROWS($K$2:K351),$K$2:$K$1001,0),1)&gt;=100000,INDEX($R$1005:$W$1005,1,MATCH(COLUMNS($R$1006:T1006),$R$1006:$W$1006,0))&gt;=100000), " ",IF(INDEX($R$2:$W$1001,MATCH(ROWS($K$2:K351),$K$2:$K$1001,0),MATCH(COLUMNS($R$1006:T1006),$R$1006:$W$1006,0)), HYPERLINK("#",""), HYPERLINK(CONCATENATE("#Metadata!", ADDRESS(INDEX($M$2:$M$1001,MATCH(ROWS($K$2:K351),$K$2:$K$1001,0),0), INDEX($R$1004:$W$1004,1,MATCH(COLUMNS($R$1006:T1006),$R$1006:$W$1006,0)))),"Fix")))</f>
        <v>0</v>
      </c>
      <c r="E351" s="3">
        <f>IF(OR(INDEX($L$2:$L$1001,MATCH(ROWS($K$2:K351),$K$2:$K$1001,0),1)&gt;=100000,INDEX($R$1005:$W$1005,1,MATCH(COLUMNS($R$1006:U1006),$R$1006:$W$1006,0))&gt;=100000), " ",IF(INDEX($R$2:$W$1001,MATCH(ROWS($K$2:K351),$K$2:$K$1001,0),MATCH(COLUMNS($R$1006:U1006),$R$1006:$W$1006,0)), HYPERLINK("#",""), HYPERLINK(CONCATENATE("#Metadata!", ADDRESS(INDEX($M$2:$M$1001,MATCH(ROWS($K$2:K351),$K$2:$K$1001,0),0), INDEX($R$1004:$W$1004,1,MATCH(COLUMNS($R$1006:U1006),$R$1006:$W$1006,0)))),"Fix")))</f>
        <v>0</v>
      </c>
      <c r="F351" s="3">
        <f>IF(OR(INDEX($L$2:$L$1001,MATCH(ROWS($K$2:K351),$K$2:$K$1001,0),1)&gt;=100000,INDEX($R$1005:$W$1005,1,MATCH(COLUMNS($R$1006:V1006),$R$1006:$W$1006,0))&gt;=100000), " ",IF(INDEX($R$2:$W$1001,MATCH(ROWS($K$2:K351),$K$2:$K$1001,0),MATCH(COLUMNS($R$1006:V1006),$R$1006:$W$1006,0)), HYPERLINK("#",""), HYPERLINK(CONCATENATE("#Metadata!", ADDRESS(INDEX($M$2:$M$1001,MATCH(ROWS($K$2:K351),$K$2:$K$1001,0),0), INDEX($R$1004:$W$1004,1,MATCH(COLUMNS($R$1006:V1006),$R$1006:$W$1006,0)))),"Fix")))</f>
        <v>0</v>
      </c>
      <c r="G351" s="3">
        <f>IF(OR(INDEX($L$2:$L$1001,MATCH(ROWS($K$2:K351),$K$2:$K$1001,0),1)&gt;=100000,INDEX($R$1005:$W$1005,1,MATCH(COLUMNS($R$1006:W1006),$R$1006:$W$1006,0))&gt;=100000), " ",IF(INDEX($R$2:$W$1001,MATCH(ROWS($K$2:K351),$K$2:$K$1001,0),MATCH(COLUMNS($R$1006:W1006),$R$1006:$W$1006,0)), HYPERLINK("#",""), HYPERLINK(CONCATENATE("#Metadata!", ADDRESS(INDEX($M$2:$M$1001,MATCH(ROWS($K$2:K351),$K$2:$K$1001,0),0), INDEX($R$1004:$W$1004,1,MATCH(COLUMNS($R$1006:W1006),$R$1006:$W$1006,0)))),"Fix")))</f>
        <v>0</v>
      </c>
      <c r="K351">
        <v>0</v>
      </c>
      <c r="L351">
        <v>0</v>
      </c>
      <c r="M351">
        <v>0</v>
      </c>
      <c r="N351">
        <f>IF(O351,TRUE,AND(R351:W351))</f>
        <v>0</v>
      </c>
      <c r="O351">
        <f>COUNTBLANK(Metadata!B351:G351)=COLUMNS(Metadata!B351:G351)</f>
        <v>0</v>
      </c>
      <c r="P351">
        <v>0</v>
      </c>
      <c r="R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S351">
        <f>IF(Metadata!C351="",FALSE,TRUE)</f>
        <v>0</v>
      </c>
      <c r="T351">
        <f>IF(Metadata!D351="",FALSE,TRUE)</f>
        <v>0</v>
      </c>
      <c r="U351">
        <f>IF(Metadata!E351="",FALSE,TRUE)</f>
        <v>0</v>
      </c>
      <c r="V351">
        <f>AND(IF(Metadata!F351="",FALSE,TRUE),exact(Metadata!F351,"rat gut metagenome"))</f>
        <v>0</v>
      </c>
      <c r="W351">
        <f>AND(IF(Metadata!G351="",FALSE,TRUE),exact(Metadata!G351,"1436733"))</f>
        <v>0</v>
      </c>
    </row>
    <row r="352" spans="1:23">
      <c r="A352" s="4">
        <f>IF(B352=" "," ",HYPERLINK(CONCATENATE("#metadata!",ADDRESS(INDEX($M$2:$M$1001,MATCH(ROWS($K$2:K352),$K$2:$K$1001,0),0),1)),INDEX($P$2:$P$1001,MATCH(ROWS($K$2:K352),$K$2:$K$1001,0),0)))</f>
        <v>0</v>
      </c>
      <c r="B352" s="3">
        <f>IF(OR(INDEX($L$2:$L$1001,MATCH(ROWS($K$2:K352),$K$2:$K$1001,0),1)&gt;=100000,INDEX($R$1005:$W$1005,1,MATCH(COLUMNS($R$1006:R1006),$R$1006:$W$1006,0))&gt;=100000), " ",IF(INDEX($R$2:$W$1001,MATCH(ROWS($K$2:K352),$K$2:$K$1001,0),MATCH(COLUMNS($R$1006:R1006),$R$1006:$W$1006,0)), HYPERLINK("#",""), HYPERLINK(CONCATENATE("#Metadata!", ADDRESS(INDEX($M$2:$M$1001,MATCH(ROWS($K$2:K352),$K$2:$K$1001,0),0), INDEX($R$1004:$W$1004,1,MATCH(COLUMNS($R$1006:R1006),$R$1006:$W$1006,0)))),"Fix")))</f>
        <v>0</v>
      </c>
      <c r="C352" s="3">
        <f>IF(OR(INDEX($L$2:$L$1001,MATCH(ROWS($K$2:K352),$K$2:$K$1001,0),1)&gt;=100000,INDEX($R$1005:$W$1005,1,MATCH(COLUMNS($R$1006:S1006),$R$1006:$W$1006,0))&gt;=100000), " ",IF(INDEX($R$2:$W$1001,MATCH(ROWS($K$2:K352),$K$2:$K$1001,0),MATCH(COLUMNS($R$1006:S1006),$R$1006:$W$1006,0)), HYPERLINK("#",""), HYPERLINK(CONCATENATE("#Metadata!", ADDRESS(INDEX($M$2:$M$1001,MATCH(ROWS($K$2:K352),$K$2:$K$1001,0),0), INDEX($R$1004:$W$1004,1,MATCH(COLUMNS($R$1006:S1006),$R$1006:$W$1006,0)))),"Fix")))</f>
        <v>0</v>
      </c>
      <c r="D352" s="3">
        <f>IF(OR(INDEX($L$2:$L$1001,MATCH(ROWS($K$2:K352),$K$2:$K$1001,0),1)&gt;=100000,INDEX($R$1005:$W$1005,1,MATCH(COLUMNS($R$1006:T1006),$R$1006:$W$1006,0))&gt;=100000), " ",IF(INDEX($R$2:$W$1001,MATCH(ROWS($K$2:K352),$K$2:$K$1001,0),MATCH(COLUMNS($R$1006:T1006),$R$1006:$W$1006,0)), HYPERLINK("#",""), HYPERLINK(CONCATENATE("#Metadata!", ADDRESS(INDEX($M$2:$M$1001,MATCH(ROWS($K$2:K352),$K$2:$K$1001,0),0), INDEX($R$1004:$W$1004,1,MATCH(COLUMNS($R$1006:T1006),$R$1006:$W$1006,0)))),"Fix")))</f>
        <v>0</v>
      </c>
      <c r="E352" s="3">
        <f>IF(OR(INDEX($L$2:$L$1001,MATCH(ROWS($K$2:K352),$K$2:$K$1001,0),1)&gt;=100000,INDEX($R$1005:$W$1005,1,MATCH(COLUMNS($R$1006:U1006),$R$1006:$W$1006,0))&gt;=100000), " ",IF(INDEX($R$2:$W$1001,MATCH(ROWS($K$2:K352),$K$2:$K$1001,0),MATCH(COLUMNS($R$1006:U1006),$R$1006:$W$1006,0)), HYPERLINK("#",""), HYPERLINK(CONCATENATE("#Metadata!", ADDRESS(INDEX($M$2:$M$1001,MATCH(ROWS($K$2:K352),$K$2:$K$1001,0),0), INDEX($R$1004:$W$1004,1,MATCH(COLUMNS($R$1006:U1006),$R$1006:$W$1006,0)))),"Fix")))</f>
        <v>0</v>
      </c>
      <c r="F352" s="3">
        <f>IF(OR(INDEX($L$2:$L$1001,MATCH(ROWS($K$2:K352),$K$2:$K$1001,0),1)&gt;=100000,INDEX($R$1005:$W$1005,1,MATCH(COLUMNS($R$1006:V1006),$R$1006:$W$1006,0))&gt;=100000), " ",IF(INDEX($R$2:$W$1001,MATCH(ROWS($K$2:K352),$K$2:$K$1001,0),MATCH(COLUMNS($R$1006:V1006),$R$1006:$W$1006,0)), HYPERLINK("#",""), HYPERLINK(CONCATENATE("#Metadata!", ADDRESS(INDEX($M$2:$M$1001,MATCH(ROWS($K$2:K352),$K$2:$K$1001,0),0), INDEX($R$1004:$W$1004,1,MATCH(COLUMNS($R$1006:V1006),$R$1006:$W$1006,0)))),"Fix")))</f>
        <v>0</v>
      </c>
      <c r="G352" s="3">
        <f>IF(OR(INDEX($L$2:$L$1001,MATCH(ROWS($K$2:K352),$K$2:$K$1001,0),1)&gt;=100000,INDEX($R$1005:$W$1005,1,MATCH(COLUMNS($R$1006:W1006),$R$1006:$W$1006,0))&gt;=100000), " ",IF(INDEX($R$2:$W$1001,MATCH(ROWS($K$2:K352),$K$2:$K$1001,0),MATCH(COLUMNS($R$1006:W1006),$R$1006:$W$1006,0)), HYPERLINK("#",""), HYPERLINK(CONCATENATE("#Metadata!", ADDRESS(INDEX($M$2:$M$1001,MATCH(ROWS($K$2:K352),$K$2:$K$1001,0),0), INDEX($R$1004:$W$1004,1,MATCH(COLUMNS($R$1006:W1006),$R$1006:$W$1006,0)))),"Fix")))</f>
        <v>0</v>
      </c>
      <c r="K352">
        <v>0</v>
      </c>
      <c r="L352">
        <v>0</v>
      </c>
      <c r="M352">
        <v>0</v>
      </c>
      <c r="N352">
        <f>IF(O352,TRUE,AND(R352:W352))</f>
        <v>0</v>
      </c>
      <c r="O352">
        <f>COUNTBLANK(Metadata!B352:G352)=COLUMNS(Metadata!B352:G352)</f>
        <v>0</v>
      </c>
      <c r="P352">
        <v>0</v>
      </c>
      <c r="R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S352">
        <f>IF(Metadata!C352="",FALSE,TRUE)</f>
        <v>0</v>
      </c>
      <c r="T352">
        <f>IF(Metadata!D352="",FALSE,TRUE)</f>
        <v>0</v>
      </c>
      <c r="U352">
        <f>IF(Metadata!E352="",FALSE,TRUE)</f>
        <v>0</v>
      </c>
      <c r="V352">
        <f>AND(IF(Metadata!F352="",FALSE,TRUE),exact(Metadata!F352,"rat gut metagenome"))</f>
        <v>0</v>
      </c>
      <c r="W352">
        <f>AND(IF(Metadata!G352="",FALSE,TRUE),exact(Metadata!G352,"1436733"))</f>
        <v>0</v>
      </c>
    </row>
    <row r="353" spans="1:23">
      <c r="A353" s="4">
        <f>IF(B353=" "," ",HYPERLINK(CONCATENATE("#metadata!",ADDRESS(INDEX($M$2:$M$1001,MATCH(ROWS($K$2:K353),$K$2:$K$1001,0),0),1)),INDEX($P$2:$P$1001,MATCH(ROWS($K$2:K353),$K$2:$K$1001,0),0)))</f>
        <v>0</v>
      </c>
      <c r="B353" s="3">
        <f>IF(OR(INDEX($L$2:$L$1001,MATCH(ROWS($K$2:K353),$K$2:$K$1001,0),1)&gt;=100000,INDEX($R$1005:$W$1005,1,MATCH(COLUMNS($R$1006:R1006),$R$1006:$W$1006,0))&gt;=100000), " ",IF(INDEX($R$2:$W$1001,MATCH(ROWS($K$2:K353),$K$2:$K$1001,0),MATCH(COLUMNS($R$1006:R1006),$R$1006:$W$1006,0)), HYPERLINK("#",""), HYPERLINK(CONCATENATE("#Metadata!", ADDRESS(INDEX($M$2:$M$1001,MATCH(ROWS($K$2:K353),$K$2:$K$1001,0),0), INDEX($R$1004:$W$1004,1,MATCH(COLUMNS($R$1006:R1006),$R$1006:$W$1006,0)))),"Fix")))</f>
        <v>0</v>
      </c>
      <c r="C353" s="3">
        <f>IF(OR(INDEX($L$2:$L$1001,MATCH(ROWS($K$2:K353),$K$2:$K$1001,0),1)&gt;=100000,INDEX($R$1005:$W$1005,1,MATCH(COLUMNS($R$1006:S1006),$R$1006:$W$1006,0))&gt;=100000), " ",IF(INDEX($R$2:$W$1001,MATCH(ROWS($K$2:K353),$K$2:$K$1001,0),MATCH(COLUMNS($R$1006:S1006),$R$1006:$W$1006,0)), HYPERLINK("#",""), HYPERLINK(CONCATENATE("#Metadata!", ADDRESS(INDEX($M$2:$M$1001,MATCH(ROWS($K$2:K353),$K$2:$K$1001,0),0), INDEX($R$1004:$W$1004,1,MATCH(COLUMNS($R$1006:S1006),$R$1006:$W$1006,0)))),"Fix")))</f>
        <v>0</v>
      </c>
      <c r="D353" s="3">
        <f>IF(OR(INDEX($L$2:$L$1001,MATCH(ROWS($K$2:K353),$K$2:$K$1001,0),1)&gt;=100000,INDEX($R$1005:$W$1005,1,MATCH(COLUMNS($R$1006:T1006),$R$1006:$W$1006,0))&gt;=100000), " ",IF(INDEX($R$2:$W$1001,MATCH(ROWS($K$2:K353),$K$2:$K$1001,0),MATCH(COLUMNS($R$1006:T1006),$R$1006:$W$1006,0)), HYPERLINK("#",""), HYPERLINK(CONCATENATE("#Metadata!", ADDRESS(INDEX($M$2:$M$1001,MATCH(ROWS($K$2:K353),$K$2:$K$1001,0),0), INDEX($R$1004:$W$1004,1,MATCH(COLUMNS($R$1006:T1006),$R$1006:$W$1006,0)))),"Fix")))</f>
        <v>0</v>
      </c>
      <c r="E353" s="3">
        <f>IF(OR(INDEX($L$2:$L$1001,MATCH(ROWS($K$2:K353),$K$2:$K$1001,0),1)&gt;=100000,INDEX($R$1005:$W$1005,1,MATCH(COLUMNS($R$1006:U1006),$R$1006:$W$1006,0))&gt;=100000), " ",IF(INDEX($R$2:$W$1001,MATCH(ROWS($K$2:K353),$K$2:$K$1001,0),MATCH(COLUMNS($R$1006:U1006),$R$1006:$W$1006,0)), HYPERLINK("#",""), HYPERLINK(CONCATENATE("#Metadata!", ADDRESS(INDEX($M$2:$M$1001,MATCH(ROWS($K$2:K353),$K$2:$K$1001,0),0), INDEX($R$1004:$W$1004,1,MATCH(COLUMNS($R$1006:U1006),$R$1006:$W$1006,0)))),"Fix")))</f>
        <v>0</v>
      </c>
      <c r="F353" s="3">
        <f>IF(OR(INDEX($L$2:$L$1001,MATCH(ROWS($K$2:K353),$K$2:$K$1001,0),1)&gt;=100000,INDEX($R$1005:$W$1005,1,MATCH(COLUMNS($R$1006:V1006),$R$1006:$W$1006,0))&gt;=100000), " ",IF(INDEX($R$2:$W$1001,MATCH(ROWS($K$2:K353),$K$2:$K$1001,0),MATCH(COLUMNS($R$1006:V1006),$R$1006:$W$1006,0)), HYPERLINK("#",""), HYPERLINK(CONCATENATE("#Metadata!", ADDRESS(INDEX($M$2:$M$1001,MATCH(ROWS($K$2:K353),$K$2:$K$1001,0),0), INDEX($R$1004:$W$1004,1,MATCH(COLUMNS($R$1006:V1006),$R$1006:$W$1006,0)))),"Fix")))</f>
        <v>0</v>
      </c>
      <c r="G353" s="3">
        <f>IF(OR(INDEX($L$2:$L$1001,MATCH(ROWS($K$2:K353),$K$2:$K$1001,0),1)&gt;=100000,INDEX($R$1005:$W$1005,1,MATCH(COLUMNS($R$1006:W1006),$R$1006:$W$1006,0))&gt;=100000), " ",IF(INDEX($R$2:$W$1001,MATCH(ROWS($K$2:K353),$K$2:$K$1001,0),MATCH(COLUMNS($R$1006:W1006),$R$1006:$W$1006,0)), HYPERLINK("#",""), HYPERLINK(CONCATENATE("#Metadata!", ADDRESS(INDEX($M$2:$M$1001,MATCH(ROWS($K$2:K353),$K$2:$K$1001,0),0), INDEX($R$1004:$W$1004,1,MATCH(COLUMNS($R$1006:W1006),$R$1006:$W$1006,0)))),"Fix")))</f>
        <v>0</v>
      </c>
      <c r="K353">
        <v>0</v>
      </c>
      <c r="L353">
        <v>0</v>
      </c>
      <c r="M353">
        <v>0</v>
      </c>
      <c r="N353">
        <f>IF(O353,TRUE,AND(R353:W353))</f>
        <v>0</v>
      </c>
      <c r="O353">
        <f>COUNTBLANK(Metadata!B353:G353)=COLUMNS(Metadata!B353:G353)</f>
        <v>0</v>
      </c>
      <c r="P353">
        <v>0</v>
      </c>
      <c r="R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S353">
        <f>IF(Metadata!C353="",FALSE,TRUE)</f>
        <v>0</v>
      </c>
      <c r="T353">
        <f>IF(Metadata!D353="",FALSE,TRUE)</f>
        <v>0</v>
      </c>
      <c r="U353">
        <f>IF(Metadata!E353="",FALSE,TRUE)</f>
        <v>0</v>
      </c>
      <c r="V353">
        <f>AND(IF(Metadata!F353="",FALSE,TRUE),exact(Metadata!F353,"rat gut metagenome"))</f>
        <v>0</v>
      </c>
      <c r="W353">
        <f>AND(IF(Metadata!G353="",FALSE,TRUE),exact(Metadata!G353,"1436733"))</f>
        <v>0</v>
      </c>
    </row>
    <row r="354" spans="1:23">
      <c r="A354" s="4">
        <f>IF(B354=" "," ",HYPERLINK(CONCATENATE("#metadata!",ADDRESS(INDEX($M$2:$M$1001,MATCH(ROWS($K$2:K354),$K$2:$K$1001,0),0),1)),INDEX($P$2:$P$1001,MATCH(ROWS($K$2:K354),$K$2:$K$1001,0),0)))</f>
        <v>0</v>
      </c>
      <c r="B354" s="3">
        <f>IF(OR(INDEX($L$2:$L$1001,MATCH(ROWS($K$2:K354),$K$2:$K$1001,0),1)&gt;=100000,INDEX($R$1005:$W$1005,1,MATCH(COLUMNS($R$1006:R1006),$R$1006:$W$1006,0))&gt;=100000), " ",IF(INDEX($R$2:$W$1001,MATCH(ROWS($K$2:K354),$K$2:$K$1001,0),MATCH(COLUMNS($R$1006:R1006),$R$1006:$W$1006,0)), HYPERLINK("#",""), HYPERLINK(CONCATENATE("#Metadata!", ADDRESS(INDEX($M$2:$M$1001,MATCH(ROWS($K$2:K354),$K$2:$K$1001,0),0), INDEX($R$1004:$W$1004,1,MATCH(COLUMNS($R$1006:R1006),$R$1006:$W$1006,0)))),"Fix")))</f>
        <v>0</v>
      </c>
      <c r="C354" s="3">
        <f>IF(OR(INDEX($L$2:$L$1001,MATCH(ROWS($K$2:K354),$K$2:$K$1001,0),1)&gt;=100000,INDEX($R$1005:$W$1005,1,MATCH(COLUMNS($R$1006:S1006),$R$1006:$W$1006,0))&gt;=100000), " ",IF(INDEX($R$2:$W$1001,MATCH(ROWS($K$2:K354),$K$2:$K$1001,0),MATCH(COLUMNS($R$1006:S1006),$R$1006:$W$1006,0)), HYPERLINK("#",""), HYPERLINK(CONCATENATE("#Metadata!", ADDRESS(INDEX($M$2:$M$1001,MATCH(ROWS($K$2:K354),$K$2:$K$1001,0),0), INDEX($R$1004:$W$1004,1,MATCH(COLUMNS($R$1006:S1006),$R$1006:$W$1006,0)))),"Fix")))</f>
        <v>0</v>
      </c>
      <c r="D354" s="3">
        <f>IF(OR(INDEX($L$2:$L$1001,MATCH(ROWS($K$2:K354),$K$2:$K$1001,0),1)&gt;=100000,INDEX($R$1005:$W$1005,1,MATCH(COLUMNS($R$1006:T1006),$R$1006:$W$1006,0))&gt;=100000), " ",IF(INDEX($R$2:$W$1001,MATCH(ROWS($K$2:K354),$K$2:$K$1001,0),MATCH(COLUMNS($R$1006:T1006),$R$1006:$W$1006,0)), HYPERLINK("#",""), HYPERLINK(CONCATENATE("#Metadata!", ADDRESS(INDEX($M$2:$M$1001,MATCH(ROWS($K$2:K354),$K$2:$K$1001,0),0), INDEX($R$1004:$W$1004,1,MATCH(COLUMNS($R$1006:T1006),$R$1006:$W$1006,0)))),"Fix")))</f>
        <v>0</v>
      </c>
      <c r="E354" s="3">
        <f>IF(OR(INDEX($L$2:$L$1001,MATCH(ROWS($K$2:K354),$K$2:$K$1001,0),1)&gt;=100000,INDEX($R$1005:$W$1005,1,MATCH(COLUMNS($R$1006:U1006),$R$1006:$W$1006,0))&gt;=100000), " ",IF(INDEX($R$2:$W$1001,MATCH(ROWS($K$2:K354),$K$2:$K$1001,0),MATCH(COLUMNS($R$1006:U1006),$R$1006:$W$1006,0)), HYPERLINK("#",""), HYPERLINK(CONCATENATE("#Metadata!", ADDRESS(INDEX($M$2:$M$1001,MATCH(ROWS($K$2:K354),$K$2:$K$1001,0),0), INDEX($R$1004:$W$1004,1,MATCH(COLUMNS($R$1006:U1006),$R$1006:$W$1006,0)))),"Fix")))</f>
        <v>0</v>
      </c>
      <c r="F354" s="3">
        <f>IF(OR(INDEX($L$2:$L$1001,MATCH(ROWS($K$2:K354),$K$2:$K$1001,0),1)&gt;=100000,INDEX($R$1005:$W$1005,1,MATCH(COLUMNS($R$1006:V1006),$R$1006:$W$1006,0))&gt;=100000), " ",IF(INDEX($R$2:$W$1001,MATCH(ROWS($K$2:K354),$K$2:$K$1001,0),MATCH(COLUMNS($R$1006:V1006),$R$1006:$W$1006,0)), HYPERLINK("#",""), HYPERLINK(CONCATENATE("#Metadata!", ADDRESS(INDEX($M$2:$M$1001,MATCH(ROWS($K$2:K354),$K$2:$K$1001,0),0), INDEX($R$1004:$W$1004,1,MATCH(COLUMNS($R$1006:V1006),$R$1006:$W$1006,0)))),"Fix")))</f>
        <v>0</v>
      </c>
      <c r="G354" s="3">
        <f>IF(OR(INDEX($L$2:$L$1001,MATCH(ROWS($K$2:K354),$K$2:$K$1001,0),1)&gt;=100000,INDEX($R$1005:$W$1005,1,MATCH(COLUMNS($R$1006:W1006),$R$1006:$W$1006,0))&gt;=100000), " ",IF(INDEX($R$2:$W$1001,MATCH(ROWS($K$2:K354),$K$2:$K$1001,0),MATCH(COLUMNS($R$1006:W1006),$R$1006:$W$1006,0)), HYPERLINK("#",""), HYPERLINK(CONCATENATE("#Metadata!", ADDRESS(INDEX($M$2:$M$1001,MATCH(ROWS($K$2:K354),$K$2:$K$1001,0),0), INDEX($R$1004:$W$1004,1,MATCH(COLUMNS($R$1006:W1006),$R$1006:$W$1006,0)))),"Fix")))</f>
        <v>0</v>
      </c>
      <c r="K354">
        <v>0</v>
      </c>
      <c r="L354">
        <v>0</v>
      </c>
      <c r="M354">
        <v>0</v>
      </c>
      <c r="N354">
        <f>IF(O354,TRUE,AND(R354:W354))</f>
        <v>0</v>
      </c>
      <c r="O354">
        <f>COUNTBLANK(Metadata!B354:G354)=COLUMNS(Metadata!B354:G354)</f>
        <v>0</v>
      </c>
      <c r="P354">
        <v>0</v>
      </c>
      <c r="R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S354">
        <f>IF(Metadata!C354="",FALSE,TRUE)</f>
        <v>0</v>
      </c>
      <c r="T354">
        <f>IF(Metadata!D354="",FALSE,TRUE)</f>
        <v>0</v>
      </c>
      <c r="U354">
        <f>IF(Metadata!E354="",FALSE,TRUE)</f>
        <v>0</v>
      </c>
      <c r="V354">
        <f>AND(IF(Metadata!F354="",FALSE,TRUE),exact(Metadata!F354,"rat gut metagenome"))</f>
        <v>0</v>
      </c>
      <c r="W354">
        <f>AND(IF(Metadata!G354="",FALSE,TRUE),exact(Metadata!G354,"1436733"))</f>
        <v>0</v>
      </c>
    </row>
    <row r="355" spans="1:23">
      <c r="A355" s="4">
        <f>IF(B355=" "," ",HYPERLINK(CONCATENATE("#metadata!",ADDRESS(INDEX($M$2:$M$1001,MATCH(ROWS($K$2:K355),$K$2:$K$1001,0),0),1)),INDEX($P$2:$P$1001,MATCH(ROWS($K$2:K355),$K$2:$K$1001,0),0)))</f>
        <v>0</v>
      </c>
      <c r="B355" s="3">
        <f>IF(OR(INDEX($L$2:$L$1001,MATCH(ROWS($K$2:K355),$K$2:$K$1001,0),1)&gt;=100000,INDEX($R$1005:$W$1005,1,MATCH(COLUMNS($R$1006:R1006),$R$1006:$W$1006,0))&gt;=100000), " ",IF(INDEX($R$2:$W$1001,MATCH(ROWS($K$2:K355),$K$2:$K$1001,0),MATCH(COLUMNS($R$1006:R1006),$R$1006:$W$1006,0)), HYPERLINK("#",""), HYPERLINK(CONCATENATE("#Metadata!", ADDRESS(INDEX($M$2:$M$1001,MATCH(ROWS($K$2:K355),$K$2:$K$1001,0),0), INDEX($R$1004:$W$1004,1,MATCH(COLUMNS($R$1006:R1006),$R$1006:$W$1006,0)))),"Fix")))</f>
        <v>0</v>
      </c>
      <c r="C355" s="3">
        <f>IF(OR(INDEX($L$2:$L$1001,MATCH(ROWS($K$2:K355),$K$2:$K$1001,0),1)&gt;=100000,INDEX($R$1005:$W$1005,1,MATCH(COLUMNS($R$1006:S1006),$R$1006:$W$1006,0))&gt;=100000), " ",IF(INDEX($R$2:$W$1001,MATCH(ROWS($K$2:K355),$K$2:$K$1001,0),MATCH(COLUMNS($R$1006:S1006),$R$1006:$W$1006,0)), HYPERLINK("#",""), HYPERLINK(CONCATENATE("#Metadata!", ADDRESS(INDEX($M$2:$M$1001,MATCH(ROWS($K$2:K355),$K$2:$K$1001,0),0), INDEX($R$1004:$W$1004,1,MATCH(COLUMNS($R$1006:S1006),$R$1006:$W$1006,0)))),"Fix")))</f>
        <v>0</v>
      </c>
      <c r="D355" s="3">
        <f>IF(OR(INDEX($L$2:$L$1001,MATCH(ROWS($K$2:K355),$K$2:$K$1001,0),1)&gt;=100000,INDEX($R$1005:$W$1005,1,MATCH(COLUMNS($R$1006:T1006),$R$1006:$W$1006,0))&gt;=100000), " ",IF(INDEX($R$2:$W$1001,MATCH(ROWS($K$2:K355),$K$2:$K$1001,0),MATCH(COLUMNS($R$1006:T1006),$R$1006:$W$1006,0)), HYPERLINK("#",""), HYPERLINK(CONCATENATE("#Metadata!", ADDRESS(INDEX($M$2:$M$1001,MATCH(ROWS($K$2:K355),$K$2:$K$1001,0),0), INDEX($R$1004:$W$1004,1,MATCH(COLUMNS($R$1006:T1006),$R$1006:$W$1006,0)))),"Fix")))</f>
        <v>0</v>
      </c>
      <c r="E355" s="3">
        <f>IF(OR(INDEX($L$2:$L$1001,MATCH(ROWS($K$2:K355),$K$2:$K$1001,0),1)&gt;=100000,INDEX($R$1005:$W$1005,1,MATCH(COLUMNS($R$1006:U1006),$R$1006:$W$1006,0))&gt;=100000), " ",IF(INDEX($R$2:$W$1001,MATCH(ROWS($K$2:K355),$K$2:$K$1001,0),MATCH(COLUMNS($R$1006:U1006),$R$1006:$W$1006,0)), HYPERLINK("#",""), HYPERLINK(CONCATENATE("#Metadata!", ADDRESS(INDEX($M$2:$M$1001,MATCH(ROWS($K$2:K355),$K$2:$K$1001,0),0), INDEX($R$1004:$W$1004,1,MATCH(COLUMNS($R$1006:U1006),$R$1006:$W$1006,0)))),"Fix")))</f>
        <v>0</v>
      </c>
      <c r="F355" s="3">
        <f>IF(OR(INDEX($L$2:$L$1001,MATCH(ROWS($K$2:K355),$K$2:$K$1001,0),1)&gt;=100000,INDEX($R$1005:$W$1005,1,MATCH(COLUMNS($R$1006:V1006),$R$1006:$W$1006,0))&gt;=100000), " ",IF(INDEX($R$2:$W$1001,MATCH(ROWS($K$2:K355),$K$2:$K$1001,0),MATCH(COLUMNS($R$1006:V1006),$R$1006:$W$1006,0)), HYPERLINK("#",""), HYPERLINK(CONCATENATE("#Metadata!", ADDRESS(INDEX($M$2:$M$1001,MATCH(ROWS($K$2:K355),$K$2:$K$1001,0),0), INDEX($R$1004:$W$1004,1,MATCH(COLUMNS($R$1006:V1006),$R$1006:$W$1006,0)))),"Fix")))</f>
        <v>0</v>
      </c>
      <c r="G355" s="3">
        <f>IF(OR(INDEX($L$2:$L$1001,MATCH(ROWS($K$2:K355),$K$2:$K$1001,0),1)&gt;=100000,INDEX($R$1005:$W$1005,1,MATCH(COLUMNS($R$1006:W1006),$R$1006:$W$1006,0))&gt;=100000), " ",IF(INDEX($R$2:$W$1001,MATCH(ROWS($K$2:K355),$K$2:$K$1001,0),MATCH(COLUMNS($R$1006:W1006),$R$1006:$W$1006,0)), HYPERLINK("#",""), HYPERLINK(CONCATENATE("#Metadata!", ADDRESS(INDEX($M$2:$M$1001,MATCH(ROWS($K$2:K355),$K$2:$K$1001,0),0), INDEX($R$1004:$W$1004,1,MATCH(COLUMNS($R$1006:W1006),$R$1006:$W$1006,0)))),"Fix")))</f>
        <v>0</v>
      </c>
      <c r="K355">
        <v>0</v>
      </c>
      <c r="L355">
        <v>0</v>
      </c>
      <c r="M355">
        <v>0</v>
      </c>
      <c r="N355">
        <f>IF(O355,TRUE,AND(R355:W355))</f>
        <v>0</v>
      </c>
      <c r="O355">
        <f>COUNTBLANK(Metadata!B355:G355)=COLUMNS(Metadata!B355:G355)</f>
        <v>0</v>
      </c>
      <c r="P355">
        <v>0</v>
      </c>
      <c r="R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S355">
        <f>IF(Metadata!C355="",FALSE,TRUE)</f>
        <v>0</v>
      </c>
      <c r="T355">
        <f>IF(Metadata!D355="",FALSE,TRUE)</f>
        <v>0</v>
      </c>
      <c r="U355">
        <f>IF(Metadata!E355="",FALSE,TRUE)</f>
        <v>0</v>
      </c>
      <c r="V355">
        <f>AND(IF(Metadata!F355="",FALSE,TRUE),exact(Metadata!F355,"rat gut metagenome"))</f>
        <v>0</v>
      </c>
      <c r="W355">
        <f>AND(IF(Metadata!G355="",FALSE,TRUE),exact(Metadata!G355,"1436733"))</f>
        <v>0</v>
      </c>
    </row>
    <row r="356" spans="1:23">
      <c r="A356" s="4">
        <f>IF(B356=" "," ",HYPERLINK(CONCATENATE("#metadata!",ADDRESS(INDEX($M$2:$M$1001,MATCH(ROWS($K$2:K356),$K$2:$K$1001,0),0),1)),INDEX($P$2:$P$1001,MATCH(ROWS($K$2:K356),$K$2:$K$1001,0),0)))</f>
        <v>0</v>
      </c>
      <c r="B356" s="3">
        <f>IF(OR(INDEX($L$2:$L$1001,MATCH(ROWS($K$2:K356),$K$2:$K$1001,0),1)&gt;=100000,INDEX($R$1005:$W$1005,1,MATCH(COLUMNS($R$1006:R1006),$R$1006:$W$1006,0))&gt;=100000), " ",IF(INDEX($R$2:$W$1001,MATCH(ROWS($K$2:K356),$K$2:$K$1001,0),MATCH(COLUMNS($R$1006:R1006),$R$1006:$W$1006,0)), HYPERLINK("#",""), HYPERLINK(CONCATENATE("#Metadata!", ADDRESS(INDEX($M$2:$M$1001,MATCH(ROWS($K$2:K356),$K$2:$K$1001,0),0), INDEX($R$1004:$W$1004,1,MATCH(COLUMNS($R$1006:R1006),$R$1006:$W$1006,0)))),"Fix")))</f>
        <v>0</v>
      </c>
      <c r="C356" s="3">
        <f>IF(OR(INDEX($L$2:$L$1001,MATCH(ROWS($K$2:K356),$K$2:$K$1001,0),1)&gt;=100000,INDEX($R$1005:$W$1005,1,MATCH(COLUMNS($R$1006:S1006),$R$1006:$W$1006,0))&gt;=100000), " ",IF(INDEX($R$2:$W$1001,MATCH(ROWS($K$2:K356),$K$2:$K$1001,0),MATCH(COLUMNS($R$1006:S1006),$R$1006:$W$1006,0)), HYPERLINK("#",""), HYPERLINK(CONCATENATE("#Metadata!", ADDRESS(INDEX($M$2:$M$1001,MATCH(ROWS($K$2:K356),$K$2:$K$1001,0),0), INDEX($R$1004:$W$1004,1,MATCH(COLUMNS($R$1006:S1006),$R$1006:$W$1006,0)))),"Fix")))</f>
        <v>0</v>
      </c>
      <c r="D356" s="3">
        <f>IF(OR(INDEX($L$2:$L$1001,MATCH(ROWS($K$2:K356),$K$2:$K$1001,0),1)&gt;=100000,INDEX($R$1005:$W$1005,1,MATCH(COLUMNS($R$1006:T1006),$R$1006:$W$1006,0))&gt;=100000), " ",IF(INDEX($R$2:$W$1001,MATCH(ROWS($K$2:K356),$K$2:$K$1001,0),MATCH(COLUMNS($R$1006:T1006),$R$1006:$W$1006,0)), HYPERLINK("#",""), HYPERLINK(CONCATENATE("#Metadata!", ADDRESS(INDEX($M$2:$M$1001,MATCH(ROWS($K$2:K356),$K$2:$K$1001,0),0), INDEX($R$1004:$W$1004,1,MATCH(COLUMNS($R$1006:T1006),$R$1006:$W$1006,0)))),"Fix")))</f>
        <v>0</v>
      </c>
      <c r="E356" s="3">
        <f>IF(OR(INDEX($L$2:$L$1001,MATCH(ROWS($K$2:K356),$K$2:$K$1001,0),1)&gt;=100000,INDEX($R$1005:$W$1005,1,MATCH(COLUMNS($R$1006:U1006),$R$1006:$W$1006,0))&gt;=100000), " ",IF(INDEX($R$2:$W$1001,MATCH(ROWS($K$2:K356),$K$2:$K$1001,0),MATCH(COLUMNS($R$1006:U1006),$R$1006:$W$1006,0)), HYPERLINK("#",""), HYPERLINK(CONCATENATE("#Metadata!", ADDRESS(INDEX($M$2:$M$1001,MATCH(ROWS($K$2:K356),$K$2:$K$1001,0),0), INDEX($R$1004:$W$1004,1,MATCH(COLUMNS($R$1006:U1006),$R$1006:$W$1006,0)))),"Fix")))</f>
        <v>0</v>
      </c>
      <c r="F356" s="3">
        <f>IF(OR(INDEX($L$2:$L$1001,MATCH(ROWS($K$2:K356),$K$2:$K$1001,0),1)&gt;=100000,INDEX($R$1005:$W$1005,1,MATCH(COLUMNS($R$1006:V1006),$R$1006:$W$1006,0))&gt;=100000), " ",IF(INDEX($R$2:$W$1001,MATCH(ROWS($K$2:K356),$K$2:$K$1001,0),MATCH(COLUMNS($R$1006:V1006),$R$1006:$W$1006,0)), HYPERLINK("#",""), HYPERLINK(CONCATENATE("#Metadata!", ADDRESS(INDEX($M$2:$M$1001,MATCH(ROWS($K$2:K356),$K$2:$K$1001,0),0), INDEX($R$1004:$W$1004,1,MATCH(COLUMNS($R$1006:V1006),$R$1006:$W$1006,0)))),"Fix")))</f>
        <v>0</v>
      </c>
      <c r="G356" s="3">
        <f>IF(OR(INDEX($L$2:$L$1001,MATCH(ROWS($K$2:K356),$K$2:$K$1001,0),1)&gt;=100000,INDEX($R$1005:$W$1005,1,MATCH(COLUMNS($R$1006:W1006),$R$1006:$W$1006,0))&gt;=100000), " ",IF(INDEX($R$2:$W$1001,MATCH(ROWS($K$2:K356),$K$2:$K$1001,0),MATCH(COLUMNS($R$1006:W1006),$R$1006:$W$1006,0)), HYPERLINK("#",""), HYPERLINK(CONCATENATE("#Metadata!", ADDRESS(INDEX($M$2:$M$1001,MATCH(ROWS($K$2:K356),$K$2:$K$1001,0),0), INDEX($R$1004:$W$1004,1,MATCH(COLUMNS($R$1006:W1006),$R$1006:$W$1006,0)))),"Fix")))</f>
        <v>0</v>
      </c>
      <c r="K356">
        <v>0</v>
      </c>
      <c r="L356">
        <v>0</v>
      </c>
      <c r="M356">
        <v>0</v>
      </c>
      <c r="N356">
        <f>IF(O356,TRUE,AND(R356:W356))</f>
        <v>0</v>
      </c>
      <c r="O356">
        <f>COUNTBLANK(Metadata!B356:G356)=COLUMNS(Metadata!B356:G356)</f>
        <v>0</v>
      </c>
      <c r="P356">
        <v>0</v>
      </c>
      <c r="R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S356">
        <f>IF(Metadata!C356="",FALSE,TRUE)</f>
        <v>0</v>
      </c>
      <c r="T356">
        <f>IF(Metadata!D356="",FALSE,TRUE)</f>
        <v>0</v>
      </c>
      <c r="U356">
        <f>IF(Metadata!E356="",FALSE,TRUE)</f>
        <v>0</v>
      </c>
      <c r="V356">
        <f>AND(IF(Metadata!F356="",FALSE,TRUE),exact(Metadata!F356,"rat gut metagenome"))</f>
        <v>0</v>
      </c>
      <c r="W356">
        <f>AND(IF(Metadata!G356="",FALSE,TRUE),exact(Metadata!G356,"1436733"))</f>
        <v>0</v>
      </c>
    </row>
    <row r="357" spans="1:23">
      <c r="A357" s="4">
        <f>IF(B357=" "," ",HYPERLINK(CONCATENATE("#metadata!",ADDRESS(INDEX($M$2:$M$1001,MATCH(ROWS($K$2:K357),$K$2:$K$1001,0),0),1)),INDEX($P$2:$P$1001,MATCH(ROWS($K$2:K357),$K$2:$K$1001,0),0)))</f>
        <v>0</v>
      </c>
      <c r="B357" s="3">
        <f>IF(OR(INDEX($L$2:$L$1001,MATCH(ROWS($K$2:K357),$K$2:$K$1001,0),1)&gt;=100000,INDEX($R$1005:$W$1005,1,MATCH(COLUMNS($R$1006:R1006),$R$1006:$W$1006,0))&gt;=100000), " ",IF(INDEX($R$2:$W$1001,MATCH(ROWS($K$2:K357),$K$2:$K$1001,0),MATCH(COLUMNS($R$1006:R1006),$R$1006:$W$1006,0)), HYPERLINK("#",""), HYPERLINK(CONCATENATE("#Metadata!", ADDRESS(INDEX($M$2:$M$1001,MATCH(ROWS($K$2:K357),$K$2:$K$1001,0),0), INDEX($R$1004:$W$1004,1,MATCH(COLUMNS($R$1006:R1006),$R$1006:$W$1006,0)))),"Fix")))</f>
        <v>0</v>
      </c>
      <c r="C357" s="3">
        <f>IF(OR(INDEX($L$2:$L$1001,MATCH(ROWS($K$2:K357),$K$2:$K$1001,0),1)&gt;=100000,INDEX($R$1005:$W$1005,1,MATCH(COLUMNS($R$1006:S1006),$R$1006:$W$1006,0))&gt;=100000), " ",IF(INDEX($R$2:$W$1001,MATCH(ROWS($K$2:K357),$K$2:$K$1001,0),MATCH(COLUMNS($R$1006:S1006),$R$1006:$W$1006,0)), HYPERLINK("#",""), HYPERLINK(CONCATENATE("#Metadata!", ADDRESS(INDEX($M$2:$M$1001,MATCH(ROWS($K$2:K357),$K$2:$K$1001,0),0), INDEX($R$1004:$W$1004,1,MATCH(COLUMNS($R$1006:S1006),$R$1006:$W$1006,0)))),"Fix")))</f>
        <v>0</v>
      </c>
      <c r="D357" s="3">
        <f>IF(OR(INDEX($L$2:$L$1001,MATCH(ROWS($K$2:K357),$K$2:$K$1001,0),1)&gt;=100000,INDEX($R$1005:$W$1005,1,MATCH(COLUMNS($R$1006:T1006),$R$1006:$W$1006,0))&gt;=100000), " ",IF(INDEX($R$2:$W$1001,MATCH(ROWS($K$2:K357),$K$2:$K$1001,0),MATCH(COLUMNS($R$1006:T1006),$R$1006:$W$1006,0)), HYPERLINK("#",""), HYPERLINK(CONCATENATE("#Metadata!", ADDRESS(INDEX($M$2:$M$1001,MATCH(ROWS($K$2:K357),$K$2:$K$1001,0),0), INDEX($R$1004:$W$1004,1,MATCH(COLUMNS($R$1006:T1006),$R$1006:$W$1006,0)))),"Fix")))</f>
        <v>0</v>
      </c>
      <c r="E357" s="3">
        <f>IF(OR(INDEX($L$2:$L$1001,MATCH(ROWS($K$2:K357),$K$2:$K$1001,0),1)&gt;=100000,INDEX($R$1005:$W$1005,1,MATCH(COLUMNS($R$1006:U1006),$R$1006:$W$1006,0))&gt;=100000), " ",IF(INDEX($R$2:$W$1001,MATCH(ROWS($K$2:K357),$K$2:$K$1001,0),MATCH(COLUMNS($R$1006:U1006),$R$1006:$W$1006,0)), HYPERLINK("#",""), HYPERLINK(CONCATENATE("#Metadata!", ADDRESS(INDEX($M$2:$M$1001,MATCH(ROWS($K$2:K357),$K$2:$K$1001,0),0), INDEX($R$1004:$W$1004,1,MATCH(COLUMNS($R$1006:U1006),$R$1006:$W$1006,0)))),"Fix")))</f>
        <v>0</v>
      </c>
      <c r="F357" s="3">
        <f>IF(OR(INDEX($L$2:$L$1001,MATCH(ROWS($K$2:K357),$K$2:$K$1001,0),1)&gt;=100000,INDEX($R$1005:$W$1005,1,MATCH(COLUMNS($R$1006:V1006),$R$1006:$W$1006,0))&gt;=100000), " ",IF(INDEX($R$2:$W$1001,MATCH(ROWS($K$2:K357),$K$2:$K$1001,0),MATCH(COLUMNS($R$1006:V1006),$R$1006:$W$1006,0)), HYPERLINK("#",""), HYPERLINK(CONCATENATE("#Metadata!", ADDRESS(INDEX($M$2:$M$1001,MATCH(ROWS($K$2:K357),$K$2:$K$1001,0),0), INDEX($R$1004:$W$1004,1,MATCH(COLUMNS($R$1006:V1006),$R$1006:$W$1006,0)))),"Fix")))</f>
        <v>0</v>
      </c>
      <c r="G357" s="3">
        <f>IF(OR(INDEX($L$2:$L$1001,MATCH(ROWS($K$2:K357),$K$2:$K$1001,0),1)&gt;=100000,INDEX($R$1005:$W$1005,1,MATCH(COLUMNS($R$1006:W1006),$R$1006:$W$1006,0))&gt;=100000), " ",IF(INDEX($R$2:$W$1001,MATCH(ROWS($K$2:K357),$K$2:$K$1001,0),MATCH(COLUMNS($R$1006:W1006),$R$1006:$W$1006,0)), HYPERLINK("#",""), HYPERLINK(CONCATENATE("#Metadata!", ADDRESS(INDEX($M$2:$M$1001,MATCH(ROWS($K$2:K357),$K$2:$K$1001,0),0), INDEX($R$1004:$W$1004,1,MATCH(COLUMNS($R$1006:W1006),$R$1006:$W$1006,0)))),"Fix")))</f>
        <v>0</v>
      </c>
      <c r="K357">
        <v>0</v>
      </c>
      <c r="L357">
        <v>0</v>
      </c>
      <c r="M357">
        <v>0</v>
      </c>
      <c r="N357">
        <f>IF(O357,TRUE,AND(R357:W357))</f>
        <v>0</v>
      </c>
      <c r="O357">
        <f>COUNTBLANK(Metadata!B357:G357)=COLUMNS(Metadata!B357:G357)</f>
        <v>0</v>
      </c>
      <c r="P357">
        <v>0</v>
      </c>
      <c r="R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S357">
        <f>IF(Metadata!C357="",FALSE,TRUE)</f>
        <v>0</v>
      </c>
      <c r="T357">
        <f>IF(Metadata!D357="",FALSE,TRUE)</f>
        <v>0</v>
      </c>
      <c r="U357">
        <f>IF(Metadata!E357="",FALSE,TRUE)</f>
        <v>0</v>
      </c>
      <c r="V357">
        <f>AND(IF(Metadata!F357="",FALSE,TRUE),exact(Metadata!F357,"rat gut metagenome"))</f>
        <v>0</v>
      </c>
      <c r="W357">
        <f>AND(IF(Metadata!G357="",FALSE,TRUE),exact(Metadata!G357,"1436733"))</f>
        <v>0</v>
      </c>
    </row>
    <row r="358" spans="1:23">
      <c r="A358" s="4">
        <f>IF(B358=" "," ",HYPERLINK(CONCATENATE("#metadata!",ADDRESS(INDEX($M$2:$M$1001,MATCH(ROWS($K$2:K358),$K$2:$K$1001,0),0),1)),INDEX($P$2:$P$1001,MATCH(ROWS($K$2:K358),$K$2:$K$1001,0),0)))</f>
        <v>0</v>
      </c>
      <c r="B358" s="3">
        <f>IF(OR(INDEX($L$2:$L$1001,MATCH(ROWS($K$2:K358),$K$2:$K$1001,0),1)&gt;=100000,INDEX($R$1005:$W$1005,1,MATCH(COLUMNS($R$1006:R1006),$R$1006:$W$1006,0))&gt;=100000), " ",IF(INDEX($R$2:$W$1001,MATCH(ROWS($K$2:K358),$K$2:$K$1001,0),MATCH(COLUMNS($R$1006:R1006),$R$1006:$W$1006,0)), HYPERLINK("#",""), HYPERLINK(CONCATENATE("#Metadata!", ADDRESS(INDEX($M$2:$M$1001,MATCH(ROWS($K$2:K358),$K$2:$K$1001,0),0), INDEX($R$1004:$W$1004,1,MATCH(COLUMNS($R$1006:R1006),$R$1006:$W$1006,0)))),"Fix")))</f>
        <v>0</v>
      </c>
      <c r="C358" s="3">
        <f>IF(OR(INDEX($L$2:$L$1001,MATCH(ROWS($K$2:K358),$K$2:$K$1001,0),1)&gt;=100000,INDEX($R$1005:$W$1005,1,MATCH(COLUMNS($R$1006:S1006),$R$1006:$W$1006,0))&gt;=100000), " ",IF(INDEX($R$2:$W$1001,MATCH(ROWS($K$2:K358),$K$2:$K$1001,0),MATCH(COLUMNS($R$1006:S1006),$R$1006:$W$1006,0)), HYPERLINK("#",""), HYPERLINK(CONCATENATE("#Metadata!", ADDRESS(INDEX($M$2:$M$1001,MATCH(ROWS($K$2:K358),$K$2:$K$1001,0),0), INDEX($R$1004:$W$1004,1,MATCH(COLUMNS($R$1006:S1006),$R$1006:$W$1006,0)))),"Fix")))</f>
        <v>0</v>
      </c>
      <c r="D358" s="3">
        <f>IF(OR(INDEX($L$2:$L$1001,MATCH(ROWS($K$2:K358),$K$2:$K$1001,0),1)&gt;=100000,INDEX($R$1005:$W$1005,1,MATCH(COLUMNS($R$1006:T1006),$R$1006:$W$1006,0))&gt;=100000), " ",IF(INDEX($R$2:$W$1001,MATCH(ROWS($K$2:K358),$K$2:$K$1001,0),MATCH(COLUMNS($R$1006:T1006),$R$1006:$W$1006,0)), HYPERLINK("#",""), HYPERLINK(CONCATENATE("#Metadata!", ADDRESS(INDEX($M$2:$M$1001,MATCH(ROWS($K$2:K358),$K$2:$K$1001,0),0), INDEX($R$1004:$W$1004,1,MATCH(COLUMNS($R$1006:T1006),$R$1006:$W$1006,0)))),"Fix")))</f>
        <v>0</v>
      </c>
      <c r="E358" s="3">
        <f>IF(OR(INDEX($L$2:$L$1001,MATCH(ROWS($K$2:K358),$K$2:$K$1001,0),1)&gt;=100000,INDEX($R$1005:$W$1005,1,MATCH(COLUMNS($R$1006:U1006),$R$1006:$W$1006,0))&gt;=100000), " ",IF(INDEX($R$2:$W$1001,MATCH(ROWS($K$2:K358),$K$2:$K$1001,0),MATCH(COLUMNS($R$1006:U1006),$R$1006:$W$1006,0)), HYPERLINK("#",""), HYPERLINK(CONCATENATE("#Metadata!", ADDRESS(INDEX($M$2:$M$1001,MATCH(ROWS($K$2:K358),$K$2:$K$1001,0),0), INDEX($R$1004:$W$1004,1,MATCH(COLUMNS($R$1006:U1006),$R$1006:$W$1006,0)))),"Fix")))</f>
        <v>0</v>
      </c>
      <c r="F358" s="3">
        <f>IF(OR(INDEX($L$2:$L$1001,MATCH(ROWS($K$2:K358),$K$2:$K$1001,0),1)&gt;=100000,INDEX($R$1005:$W$1005,1,MATCH(COLUMNS($R$1006:V1006),$R$1006:$W$1006,0))&gt;=100000), " ",IF(INDEX($R$2:$W$1001,MATCH(ROWS($K$2:K358),$K$2:$K$1001,0),MATCH(COLUMNS($R$1006:V1006),$R$1006:$W$1006,0)), HYPERLINK("#",""), HYPERLINK(CONCATENATE("#Metadata!", ADDRESS(INDEX($M$2:$M$1001,MATCH(ROWS($K$2:K358),$K$2:$K$1001,0),0), INDEX($R$1004:$W$1004,1,MATCH(COLUMNS($R$1006:V1006),$R$1006:$W$1006,0)))),"Fix")))</f>
        <v>0</v>
      </c>
      <c r="G358" s="3">
        <f>IF(OR(INDEX($L$2:$L$1001,MATCH(ROWS($K$2:K358),$K$2:$K$1001,0),1)&gt;=100000,INDEX($R$1005:$W$1005,1,MATCH(COLUMNS($R$1006:W1006),$R$1006:$W$1006,0))&gt;=100000), " ",IF(INDEX($R$2:$W$1001,MATCH(ROWS($K$2:K358),$K$2:$K$1001,0),MATCH(COLUMNS($R$1006:W1006),$R$1006:$W$1006,0)), HYPERLINK("#",""), HYPERLINK(CONCATENATE("#Metadata!", ADDRESS(INDEX($M$2:$M$1001,MATCH(ROWS($K$2:K358),$K$2:$K$1001,0),0), INDEX($R$1004:$W$1004,1,MATCH(COLUMNS($R$1006:W1006),$R$1006:$W$1006,0)))),"Fix")))</f>
        <v>0</v>
      </c>
      <c r="K358">
        <v>0</v>
      </c>
      <c r="L358">
        <v>0</v>
      </c>
      <c r="M358">
        <v>0</v>
      </c>
      <c r="N358">
        <f>IF(O358,TRUE,AND(R358:W358))</f>
        <v>0</v>
      </c>
      <c r="O358">
        <f>COUNTBLANK(Metadata!B358:G358)=COLUMNS(Metadata!B358:G358)</f>
        <v>0</v>
      </c>
      <c r="P358">
        <v>0</v>
      </c>
      <c r="R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S358">
        <f>IF(Metadata!C358="",FALSE,TRUE)</f>
        <v>0</v>
      </c>
      <c r="T358">
        <f>IF(Metadata!D358="",FALSE,TRUE)</f>
        <v>0</v>
      </c>
      <c r="U358">
        <f>IF(Metadata!E358="",FALSE,TRUE)</f>
        <v>0</v>
      </c>
      <c r="V358">
        <f>AND(IF(Metadata!F358="",FALSE,TRUE),exact(Metadata!F358,"rat gut metagenome"))</f>
        <v>0</v>
      </c>
      <c r="W358">
        <f>AND(IF(Metadata!G358="",FALSE,TRUE),exact(Metadata!G358,"1436733"))</f>
        <v>0</v>
      </c>
    </row>
    <row r="359" spans="1:23">
      <c r="A359" s="4">
        <f>IF(B359=" "," ",HYPERLINK(CONCATENATE("#metadata!",ADDRESS(INDEX($M$2:$M$1001,MATCH(ROWS($K$2:K359),$K$2:$K$1001,0),0),1)),INDEX($P$2:$P$1001,MATCH(ROWS($K$2:K359),$K$2:$K$1001,0),0)))</f>
        <v>0</v>
      </c>
      <c r="B359" s="3">
        <f>IF(OR(INDEX($L$2:$L$1001,MATCH(ROWS($K$2:K359),$K$2:$K$1001,0),1)&gt;=100000,INDEX($R$1005:$W$1005,1,MATCH(COLUMNS($R$1006:R1006),$R$1006:$W$1006,0))&gt;=100000), " ",IF(INDEX($R$2:$W$1001,MATCH(ROWS($K$2:K359),$K$2:$K$1001,0),MATCH(COLUMNS($R$1006:R1006),$R$1006:$W$1006,0)), HYPERLINK("#",""), HYPERLINK(CONCATENATE("#Metadata!", ADDRESS(INDEX($M$2:$M$1001,MATCH(ROWS($K$2:K359),$K$2:$K$1001,0),0), INDEX($R$1004:$W$1004,1,MATCH(COLUMNS($R$1006:R1006),$R$1006:$W$1006,0)))),"Fix")))</f>
        <v>0</v>
      </c>
      <c r="C359" s="3">
        <f>IF(OR(INDEX($L$2:$L$1001,MATCH(ROWS($K$2:K359),$K$2:$K$1001,0),1)&gt;=100000,INDEX($R$1005:$W$1005,1,MATCH(COLUMNS($R$1006:S1006),$R$1006:$W$1006,0))&gt;=100000), " ",IF(INDEX($R$2:$W$1001,MATCH(ROWS($K$2:K359),$K$2:$K$1001,0),MATCH(COLUMNS($R$1006:S1006),$R$1006:$W$1006,0)), HYPERLINK("#",""), HYPERLINK(CONCATENATE("#Metadata!", ADDRESS(INDEX($M$2:$M$1001,MATCH(ROWS($K$2:K359),$K$2:$K$1001,0),0), INDEX($R$1004:$W$1004,1,MATCH(COLUMNS($R$1006:S1006),$R$1006:$W$1006,0)))),"Fix")))</f>
        <v>0</v>
      </c>
      <c r="D359" s="3">
        <f>IF(OR(INDEX($L$2:$L$1001,MATCH(ROWS($K$2:K359),$K$2:$K$1001,0),1)&gt;=100000,INDEX($R$1005:$W$1005,1,MATCH(COLUMNS($R$1006:T1006),$R$1006:$W$1006,0))&gt;=100000), " ",IF(INDEX($R$2:$W$1001,MATCH(ROWS($K$2:K359),$K$2:$K$1001,0),MATCH(COLUMNS($R$1006:T1006),$R$1006:$W$1006,0)), HYPERLINK("#",""), HYPERLINK(CONCATENATE("#Metadata!", ADDRESS(INDEX($M$2:$M$1001,MATCH(ROWS($K$2:K359),$K$2:$K$1001,0),0), INDEX($R$1004:$W$1004,1,MATCH(COLUMNS($R$1006:T1006),$R$1006:$W$1006,0)))),"Fix")))</f>
        <v>0</v>
      </c>
      <c r="E359" s="3">
        <f>IF(OR(INDEX($L$2:$L$1001,MATCH(ROWS($K$2:K359),$K$2:$K$1001,0),1)&gt;=100000,INDEX($R$1005:$W$1005,1,MATCH(COLUMNS($R$1006:U1006),$R$1006:$W$1006,0))&gt;=100000), " ",IF(INDEX($R$2:$W$1001,MATCH(ROWS($K$2:K359),$K$2:$K$1001,0),MATCH(COLUMNS($R$1006:U1006),$R$1006:$W$1006,0)), HYPERLINK("#",""), HYPERLINK(CONCATENATE("#Metadata!", ADDRESS(INDEX($M$2:$M$1001,MATCH(ROWS($K$2:K359),$K$2:$K$1001,0),0), INDEX($R$1004:$W$1004,1,MATCH(COLUMNS($R$1006:U1006),$R$1006:$W$1006,0)))),"Fix")))</f>
        <v>0</v>
      </c>
      <c r="F359" s="3">
        <f>IF(OR(INDEX($L$2:$L$1001,MATCH(ROWS($K$2:K359),$K$2:$K$1001,0),1)&gt;=100000,INDEX($R$1005:$W$1005,1,MATCH(COLUMNS($R$1006:V1006),$R$1006:$W$1006,0))&gt;=100000), " ",IF(INDEX($R$2:$W$1001,MATCH(ROWS($K$2:K359),$K$2:$K$1001,0),MATCH(COLUMNS($R$1006:V1006),$R$1006:$W$1006,0)), HYPERLINK("#",""), HYPERLINK(CONCATENATE("#Metadata!", ADDRESS(INDEX($M$2:$M$1001,MATCH(ROWS($K$2:K359),$K$2:$K$1001,0),0), INDEX($R$1004:$W$1004,1,MATCH(COLUMNS($R$1006:V1006),$R$1006:$W$1006,0)))),"Fix")))</f>
        <v>0</v>
      </c>
      <c r="G359" s="3">
        <f>IF(OR(INDEX($L$2:$L$1001,MATCH(ROWS($K$2:K359),$K$2:$K$1001,0),1)&gt;=100000,INDEX($R$1005:$W$1005,1,MATCH(COLUMNS($R$1006:W1006),$R$1006:$W$1006,0))&gt;=100000), " ",IF(INDEX($R$2:$W$1001,MATCH(ROWS($K$2:K359),$K$2:$K$1001,0),MATCH(COLUMNS($R$1006:W1006),$R$1006:$W$1006,0)), HYPERLINK("#",""), HYPERLINK(CONCATENATE("#Metadata!", ADDRESS(INDEX($M$2:$M$1001,MATCH(ROWS($K$2:K359),$K$2:$K$1001,0),0), INDEX($R$1004:$W$1004,1,MATCH(COLUMNS($R$1006:W1006),$R$1006:$W$1006,0)))),"Fix")))</f>
        <v>0</v>
      </c>
      <c r="K359">
        <v>0</v>
      </c>
      <c r="L359">
        <v>0</v>
      </c>
      <c r="M359">
        <v>0</v>
      </c>
      <c r="N359">
        <f>IF(O359,TRUE,AND(R359:W359))</f>
        <v>0</v>
      </c>
      <c r="O359">
        <f>COUNTBLANK(Metadata!B359:G359)=COLUMNS(Metadata!B359:G359)</f>
        <v>0</v>
      </c>
      <c r="P359">
        <v>0</v>
      </c>
      <c r="R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S359">
        <f>IF(Metadata!C359="",FALSE,TRUE)</f>
        <v>0</v>
      </c>
      <c r="T359">
        <f>IF(Metadata!D359="",FALSE,TRUE)</f>
        <v>0</v>
      </c>
      <c r="U359">
        <f>IF(Metadata!E359="",FALSE,TRUE)</f>
        <v>0</v>
      </c>
      <c r="V359">
        <f>AND(IF(Metadata!F359="",FALSE,TRUE),exact(Metadata!F359,"rat gut metagenome"))</f>
        <v>0</v>
      </c>
      <c r="W359">
        <f>AND(IF(Metadata!G359="",FALSE,TRUE),exact(Metadata!G359,"1436733"))</f>
        <v>0</v>
      </c>
    </row>
    <row r="360" spans="1:23">
      <c r="A360" s="4">
        <f>IF(B360=" "," ",HYPERLINK(CONCATENATE("#metadata!",ADDRESS(INDEX($M$2:$M$1001,MATCH(ROWS($K$2:K360),$K$2:$K$1001,0),0),1)),INDEX($P$2:$P$1001,MATCH(ROWS($K$2:K360),$K$2:$K$1001,0),0)))</f>
        <v>0</v>
      </c>
      <c r="B360" s="3">
        <f>IF(OR(INDEX($L$2:$L$1001,MATCH(ROWS($K$2:K360),$K$2:$K$1001,0),1)&gt;=100000,INDEX($R$1005:$W$1005,1,MATCH(COLUMNS($R$1006:R1006),$R$1006:$W$1006,0))&gt;=100000), " ",IF(INDEX($R$2:$W$1001,MATCH(ROWS($K$2:K360),$K$2:$K$1001,0),MATCH(COLUMNS($R$1006:R1006),$R$1006:$W$1006,0)), HYPERLINK("#",""), HYPERLINK(CONCATENATE("#Metadata!", ADDRESS(INDEX($M$2:$M$1001,MATCH(ROWS($K$2:K360),$K$2:$K$1001,0),0), INDEX($R$1004:$W$1004,1,MATCH(COLUMNS($R$1006:R1006),$R$1006:$W$1006,0)))),"Fix")))</f>
        <v>0</v>
      </c>
      <c r="C360" s="3">
        <f>IF(OR(INDEX($L$2:$L$1001,MATCH(ROWS($K$2:K360),$K$2:$K$1001,0),1)&gt;=100000,INDEX($R$1005:$W$1005,1,MATCH(COLUMNS($R$1006:S1006),$R$1006:$W$1006,0))&gt;=100000), " ",IF(INDEX($R$2:$W$1001,MATCH(ROWS($K$2:K360),$K$2:$K$1001,0),MATCH(COLUMNS($R$1006:S1006),$R$1006:$W$1006,0)), HYPERLINK("#",""), HYPERLINK(CONCATENATE("#Metadata!", ADDRESS(INDEX($M$2:$M$1001,MATCH(ROWS($K$2:K360),$K$2:$K$1001,0),0), INDEX($R$1004:$W$1004,1,MATCH(COLUMNS($R$1006:S1006),$R$1006:$W$1006,0)))),"Fix")))</f>
        <v>0</v>
      </c>
      <c r="D360" s="3">
        <f>IF(OR(INDEX($L$2:$L$1001,MATCH(ROWS($K$2:K360),$K$2:$K$1001,0),1)&gt;=100000,INDEX($R$1005:$W$1005,1,MATCH(COLUMNS($R$1006:T1006),$R$1006:$W$1006,0))&gt;=100000), " ",IF(INDEX($R$2:$W$1001,MATCH(ROWS($K$2:K360),$K$2:$K$1001,0),MATCH(COLUMNS($R$1006:T1006),$R$1006:$W$1006,0)), HYPERLINK("#",""), HYPERLINK(CONCATENATE("#Metadata!", ADDRESS(INDEX($M$2:$M$1001,MATCH(ROWS($K$2:K360),$K$2:$K$1001,0),0), INDEX($R$1004:$W$1004,1,MATCH(COLUMNS($R$1006:T1006),$R$1006:$W$1006,0)))),"Fix")))</f>
        <v>0</v>
      </c>
      <c r="E360" s="3">
        <f>IF(OR(INDEX($L$2:$L$1001,MATCH(ROWS($K$2:K360),$K$2:$K$1001,0),1)&gt;=100000,INDEX($R$1005:$W$1005,1,MATCH(COLUMNS($R$1006:U1006),$R$1006:$W$1006,0))&gt;=100000), " ",IF(INDEX($R$2:$W$1001,MATCH(ROWS($K$2:K360),$K$2:$K$1001,0),MATCH(COLUMNS($R$1006:U1006),$R$1006:$W$1006,0)), HYPERLINK("#",""), HYPERLINK(CONCATENATE("#Metadata!", ADDRESS(INDEX($M$2:$M$1001,MATCH(ROWS($K$2:K360),$K$2:$K$1001,0),0), INDEX($R$1004:$W$1004,1,MATCH(COLUMNS($R$1006:U1006),$R$1006:$W$1006,0)))),"Fix")))</f>
        <v>0</v>
      </c>
      <c r="F360" s="3">
        <f>IF(OR(INDEX($L$2:$L$1001,MATCH(ROWS($K$2:K360),$K$2:$K$1001,0),1)&gt;=100000,INDEX($R$1005:$W$1005,1,MATCH(COLUMNS($R$1006:V1006),$R$1006:$W$1006,0))&gt;=100000), " ",IF(INDEX($R$2:$W$1001,MATCH(ROWS($K$2:K360),$K$2:$K$1001,0),MATCH(COLUMNS($R$1006:V1006),$R$1006:$W$1006,0)), HYPERLINK("#",""), HYPERLINK(CONCATENATE("#Metadata!", ADDRESS(INDEX($M$2:$M$1001,MATCH(ROWS($K$2:K360),$K$2:$K$1001,0),0), INDEX($R$1004:$W$1004,1,MATCH(COLUMNS($R$1006:V1006),$R$1006:$W$1006,0)))),"Fix")))</f>
        <v>0</v>
      </c>
      <c r="G360" s="3">
        <f>IF(OR(INDEX($L$2:$L$1001,MATCH(ROWS($K$2:K360),$K$2:$K$1001,0),1)&gt;=100000,INDEX($R$1005:$W$1005,1,MATCH(COLUMNS($R$1006:W1006),$R$1006:$W$1006,0))&gt;=100000), " ",IF(INDEX($R$2:$W$1001,MATCH(ROWS($K$2:K360),$K$2:$K$1001,0),MATCH(COLUMNS($R$1006:W1006),$R$1006:$W$1006,0)), HYPERLINK("#",""), HYPERLINK(CONCATENATE("#Metadata!", ADDRESS(INDEX($M$2:$M$1001,MATCH(ROWS($K$2:K360),$K$2:$K$1001,0),0), INDEX($R$1004:$W$1004,1,MATCH(COLUMNS($R$1006:W1006),$R$1006:$W$1006,0)))),"Fix")))</f>
        <v>0</v>
      </c>
      <c r="K360">
        <v>0</v>
      </c>
      <c r="L360">
        <v>0</v>
      </c>
      <c r="M360">
        <v>0</v>
      </c>
      <c r="N360">
        <f>IF(O360,TRUE,AND(R360:W360))</f>
        <v>0</v>
      </c>
      <c r="O360">
        <f>COUNTBLANK(Metadata!B360:G360)=COLUMNS(Metadata!B360:G360)</f>
        <v>0</v>
      </c>
      <c r="P360">
        <v>0</v>
      </c>
      <c r="R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S360">
        <f>IF(Metadata!C360="",FALSE,TRUE)</f>
        <v>0</v>
      </c>
      <c r="T360">
        <f>IF(Metadata!D360="",FALSE,TRUE)</f>
        <v>0</v>
      </c>
      <c r="U360">
        <f>IF(Metadata!E360="",FALSE,TRUE)</f>
        <v>0</v>
      </c>
      <c r="V360">
        <f>AND(IF(Metadata!F360="",FALSE,TRUE),exact(Metadata!F360,"rat gut metagenome"))</f>
        <v>0</v>
      </c>
      <c r="W360">
        <f>AND(IF(Metadata!G360="",FALSE,TRUE),exact(Metadata!G360,"1436733"))</f>
        <v>0</v>
      </c>
    </row>
    <row r="361" spans="1:23">
      <c r="A361" s="4">
        <f>IF(B361=" "," ",HYPERLINK(CONCATENATE("#metadata!",ADDRESS(INDEX($M$2:$M$1001,MATCH(ROWS($K$2:K361),$K$2:$K$1001,0),0),1)),INDEX($P$2:$P$1001,MATCH(ROWS($K$2:K361),$K$2:$K$1001,0),0)))</f>
        <v>0</v>
      </c>
      <c r="B361" s="3">
        <f>IF(OR(INDEX($L$2:$L$1001,MATCH(ROWS($K$2:K361),$K$2:$K$1001,0),1)&gt;=100000,INDEX($R$1005:$W$1005,1,MATCH(COLUMNS($R$1006:R1006),$R$1006:$W$1006,0))&gt;=100000), " ",IF(INDEX($R$2:$W$1001,MATCH(ROWS($K$2:K361),$K$2:$K$1001,0),MATCH(COLUMNS($R$1006:R1006),$R$1006:$W$1006,0)), HYPERLINK("#",""), HYPERLINK(CONCATENATE("#Metadata!", ADDRESS(INDEX($M$2:$M$1001,MATCH(ROWS($K$2:K361),$K$2:$K$1001,0),0), INDEX($R$1004:$W$1004,1,MATCH(COLUMNS($R$1006:R1006),$R$1006:$W$1006,0)))),"Fix")))</f>
        <v>0</v>
      </c>
      <c r="C361" s="3">
        <f>IF(OR(INDEX($L$2:$L$1001,MATCH(ROWS($K$2:K361),$K$2:$K$1001,0),1)&gt;=100000,INDEX($R$1005:$W$1005,1,MATCH(COLUMNS($R$1006:S1006),$R$1006:$W$1006,0))&gt;=100000), " ",IF(INDEX($R$2:$W$1001,MATCH(ROWS($K$2:K361),$K$2:$K$1001,0),MATCH(COLUMNS($R$1006:S1006),$R$1006:$W$1006,0)), HYPERLINK("#",""), HYPERLINK(CONCATENATE("#Metadata!", ADDRESS(INDEX($M$2:$M$1001,MATCH(ROWS($K$2:K361),$K$2:$K$1001,0),0), INDEX($R$1004:$W$1004,1,MATCH(COLUMNS($R$1006:S1006),$R$1006:$W$1006,0)))),"Fix")))</f>
        <v>0</v>
      </c>
      <c r="D361" s="3">
        <f>IF(OR(INDEX($L$2:$L$1001,MATCH(ROWS($K$2:K361),$K$2:$K$1001,0),1)&gt;=100000,INDEX($R$1005:$W$1005,1,MATCH(COLUMNS($R$1006:T1006),$R$1006:$W$1006,0))&gt;=100000), " ",IF(INDEX($R$2:$W$1001,MATCH(ROWS($K$2:K361),$K$2:$K$1001,0),MATCH(COLUMNS($R$1006:T1006),$R$1006:$W$1006,0)), HYPERLINK("#",""), HYPERLINK(CONCATENATE("#Metadata!", ADDRESS(INDEX($M$2:$M$1001,MATCH(ROWS($K$2:K361),$K$2:$K$1001,0),0), INDEX($R$1004:$W$1004,1,MATCH(COLUMNS($R$1006:T1006),$R$1006:$W$1006,0)))),"Fix")))</f>
        <v>0</v>
      </c>
      <c r="E361" s="3">
        <f>IF(OR(INDEX($L$2:$L$1001,MATCH(ROWS($K$2:K361),$K$2:$K$1001,0),1)&gt;=100000,INDEX($R$1005:$W$1005,1,MATCH(COLUMNS($R$1006:U1006),$R$1006:$W$1006,0))&gt;=100000), " ",IF(INDEX($R$2:$W$1001,MATCH(ROWS($K$2:K361),$K$2:$K$1001,0),MATCH(COLUMNS($R$1006:U1006),$R$1006:$W$1006,0)), HYPERLINK("#",""), HYPERLINK(CONCATENATE("#Metadata!", ADDRESS(INDEX($M$2:$M$1001,MATCH(ROWS($K$2:K361),$K$2:$K$1001,0),0), INDEX($R$1004:$W$1004,1,MATCH(COLUMNS($R$1006:U1006),$R$1006:$W$1006,0)))),"Fix")))</f>
        <v>0</v>
      </c>
      <c r="F361" s="3">
        <f>IF(OR(INDEX($L$2:$L$1001,MATCH(ROWS($K$2:K361),$K$2:$K$1001,0),1)&gt;=100000,INDEX($R$1005:$W$1005,1,MATCH(COLUMNS($R$1006:V1006),$R$1006:$W$1006,0))&gt;=100000), " ",IF(INDEX($R$2:$W$1001,MATCH(ROWS($K$2:K361),$K$2:$K$1001,0),MATCH(COLUMNS($R$1006:V1006),$R$1006:$W$1006,0)), HYPERLINK("#",""), HYPERLINK(CONCATENATE("#Metadata!", ADDRESS(INDEX($M$2:$M$1001,MATCH(ROWS($K$2:K361),$K$2:$K$1001,0),0), INDEX($R$1004:$W$1004,1,MATCH(COLUMNS($R$1006:V1006),$R$1006:$W$1006,0)))),"Fix")))</f>
        <v>0</v>
      </c>
      <c r="G361" s="3">
        <f>IF(OR(INDEX($L$2:$L$1001,MATCH(ROWS($K$2:K361),$K$2:$K$1001,0),1)&gt;=100000,INDEX($R$1005:$W$1005,1,MATCH(COLUMNS($R$1006:W1006),$R$1006:$W$1006,0))&gt;=100000), " ",IF(INDEX($R$2:$W$1001,MATCH(ROWS($K$2:K361),$K$2:$K$1001,0),MATCH(COLUMNS($R$1006:W1006),$R$1006:$W$1006,0)), HYPERLINK("#",""), HYPERLINK(CONCATENATE("#Metadata!", ADDRESS(INDEX($M$2:$M$1001,MATCH(ROWS($K$2:K361),$K$2:$K$1001,0),0), INDEX($R$1004:$W$1004,1,MATCH(COLUMNS($R$1006:W1006),$R$1006:$W$1006,0)))),"Fix")))</f>
        <v>0</v>
      </c>
      <c r="K361">
        <v>0</v>
      </c>
      <c r="L361">
        <v>0</v>
      </c>
      <c r="M361">
        <v>0</v>
      </c>
      <c r="N361">
        <f>IF(O361,TRUE,AND(R361:W361))</f>
        <v>0</v>
      </c>
      <c r="O361">
        <f>COUNTBLANK(Metadata!B361:G361)=COLUMNS(Metadata!B361:G361)</f>
        <v>0</v>
      </c>
      <c r="P361">
        <v>0</v>
      </c>
      <c r="R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S361">
        <f>IF(Metadata!C361="",FALSE,TRUE)</f>
        <v>0</v>
      </c>
      <c r="T361">
        <f>IF(Metadata!D361="",FALSE,TRUE)</f>
        <v>0</v>
      </c>
      <c r="U361">
        <f>IF(Metadata!E361="",FALSE,TRUE)</f>
        <v>0</v>
      </c>
      <c r="V361">
        <f>AND(IF(Metadata!F361="",FALSE,TRUE),exact(Metadata!F361,"rat gut metagenome"))</f>
        <v>0</v>
      </c>
      <c r="W361">
        <f>AND(IF(Metadata!G361="",FALSE,TRUE),exact(Metadata!G361,"1436733"))</f>
        <v>0</v>
      </c>
    </row>
    <row r="362" spans="1:23">
      <c r="A362" s="4">
        <f>IF(B362=" "," ",HYPERLINK(CONCATENATE("#metadata!",ADDRESS(INDEX($M$2:$M$1001,MATCH(ROWS($K$2:K362),$K$2:$K$1001,0),0),1)),INDEX($P$2:$P$1001,MATCH(ROWS($K$2:K362),$K$2:$K$1001,0),0)))</f>
        <v>0</v>
      </c>
      <c r="B362" s="3">
        <f>IF(OR(INDEX($L$2:$L$1001,MATCH(ROWS($K$2:K362),$K$2:$K$1001,0),1)&gt;=100000,INDEX($R$1005:$W$1005,1,MATCH(COLUMNS($R$1006:R1006),$R$1006:$W$1006,0))&gt;=100000), " ",IF(INDEX($R$2:$W$1001,MATCH(ROWS($K$2:K362),$K$2:$K$1001,0),MATCH(COLUMNS($R$1006:R1006),$R$1006:$W$1006,0)), HYPERLINK("#",""), HYPERLINK(CONCATENATE("#Metadata!", ADDRESS(INDEX($M$2:$M$1001,MATCH(ROWS($K$2:K362),$K$2:$K$1001,0),0), INDEX($R$1004:$W$1004,1,MATCH(COLUMNS($R$1006:R1006),$R$1006:$W$1006,0)))),"Fix")))</f>
        <v>0</v>
      </c>
      <c r="C362" s="3">
        <f>IF(OR(INDEX($L$2:$L$1001,MATCH(ROWS($K$2:K362),$K$2:$K$1001,0),1)&gt;=100000,INDEX($R$1005:$W$1005,1,MATCH(COLUMNS($R$1006:S1006),$R$1006:$W$1006,0))&gt;=100000), " ",IF(INDEX($R$2:$W$1001,MATCH(ROWS($K$2:K362),$K$2:$K$1001,0),MATCH(COLUMNS($R$1006:S1006),$R$1006:$W$1006,0)), HYPERLINK("#",""), HYPERLINK(CONCATENATE("#Metadata!", ADDRESS(INDEX($M$2:$M$1001,MATCH(ROWS($K$2:K362),$K$2:$K$1001,0),0), INDEX($R$1004:$W$1004,1,MATCH(COLUMNS($R$1006:S1006),$R$1006:$W$1006,0)))),"Fix")))</f>
        <v>0</v>
      </c>
      <c r="D362" s="3">
        <f>IF(OR(INDEX($L$2:$L$1001,MATCH(ROWS($K$2:K362),$K$2:$K$1001,0),1)&gt;=100000,INDEX($R$1005:$W$1005,1,MATCH(COLUMNS($R$1006:T1006),$R$1006:$W$1006,0))&gt;=100000), " ",IF(INDEX($R$2:$W$1001,MATCH(ROWS($K$2:K362),$K$2:$K$1001,0),MATCH(COLUMNS($R$1006:T1006),$R$1006:$W$1006,0)), HYPERLINK("#",""), HYPERLINK(CONCATENATE("#Metadata!", ADDRESS(INDEX($M$2:$M$1001,MATCH(ROWS($K$2:K362),$K$2:$K$1001,0),0), INDEX($R$1004:$W$1004,1,MATCH(COLUMNS($R$1006:T1006),$R$1006:$W$1006,0)))),"Fix")))</f>
        <v>0</v>
      </c>
      <c r="E362" s="3">
        <f>IF(OR(INDEX($L$2:$L$1001,MATCH(ROWS($K$2:K362),$K$2:$K$1001,0),1)&gt;=100000,INDEX($R$1005:$W$1005,1,MATCH(COLUMNS($R$1006:U1006),$R$1006:$W$1006,0))&gt;=100000), " ",IF(INDEX($R$2:$W$1001,MATCH(ROWS($K$2:K362),$K$2:$K$1001,0),MATCH(COLUMNS($R$1006:U1006),$R$1006:$W$1006,0)), HYPERLINK("#",""), HYPERLINK(CONCATENATE("#Metadata!", ADDRESS(INDEX($M$2:$M$1001,MATCH(ROWS($K$2:K362),$K$2:$K$1001,0),0), INDEX($R$1004:$W$1004,1,MATCH(COLUMNS($R$1006:U1006),$R$1006:$W$1006,0)))),"Fix")))</f>
        <v>0</v>
      </c>
      <c r="F362" s="3">
        <f>IF(OR(INDEX($L$2:$L$1001,MATCH(ROWS($K$2:K362),$K$2:$K$1001,0),1)&gt;=100000,INDEX($R$1005:$W$1005,1,MATCH(COLUMNS($R$1006:V1006),$R$1006:$W$1006,0))&gt;=100000), " ",IF(INDEX($R$2:$W$1001,MATCH(ROWS($K$2:K362),$K$2:$K$1001,0),MATCH(COLUMNS($R$1006:V1006),$R$1006:$W$1006,0)), HYPERLINK("#",""), HYPERLINK(CONCATENATE("#Metadata!", ADDRESS(INDEX($M$2:$M$1001,MATCH(ROWS($K$2:K362),$K$2:$K$1001,0),0), INDEX($R$1004:$W$1004,1,MATCH(COLUMNS($R$1006:V1006),$R$1006:$W$1006,0)))),"Fix")))</f>
        <v>0</v>
      </c>
      <c r="G362" s="3">
        <f>IF(OR(INDEX($L$2:$L$1001,MATCH(ROWS($K$2:K362),$K$2:$K$1001,0),1)&gt;=100000,INDEX($R$1005:$W$1005,1,MATCH(COLUMNS($R$1006:W1006),$R$1006:$W$1006,0))&gt;=100000), " ",IF(INDEX($R$2:$W$1001,MATCH(ROWS($K$2:K362),$K$2:$K$1001,0),MATCH(COLUMNS($R$1006:W1006),$R$1006:$W$1006,0)), HYPERLINK("#",""), HYPERLINK(CONCATENATE("#Metadata!", ADDRESS(INDEX($M$2:$M$1001,MATCH(ROWS($K$2:K362),$K$2:$K$1001,0),0), INDEX($R$1004:$W$1004,1,MATCH(COLUMNS($R$1006:W1006),$R$1006:$W$1006,0)))),"Fix")))</f>
        <v>0</v>
      </c>
      <c r="K362">
        <v>0</v>
      </c>
      <c r="L362">
        <v>0</v>
      </c>
      <c r="M362">
        <v>0</v>
      </c>
      <c r="N362">
        <f>IF(O362,TRUE,AND(R362:W362))</f>
        <v>0</v>
      </c>
      <c r="O362">
        <f>COUNTBLANK(Metadata!B362:G362)=COLUMNS(Metadata!B362:G362)</f>
        <v>0</v>
      </c>
      <c r="P362">
        <v>0</v>
      </c>
      <c r="R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S362">
        <f>IF(Metadata!C362="",FALSE,TRUE)</f>
        <v>0</v>
      </c>
      <c r="T362">
        <f>IF(Metadata!D362="",FALSE,TRUE)</f>
        <v>0</v>
      </c>
      <c r="U362">
        <f>IF(Metadata!E362="",FALSE,TRUE)</f>
        <v>0</v>
      </c>
      <c r="V362">
        <f>AND(IF(Metadata!F362="",FALSE,TRUE),exact(Metadata!F362,"rat gut metagenome"))</f>
        <v>0</v>
      </c>
      <c r="W362">
        <f>AND(IF(Metadata!G362="",FALSE,TRUE),exact(Metadata!G362,"1436733"))</f>
        <v>0</v>
      </c>
    </row>
    <row r="363" spans="1:23">
      <c r="A363" s="4">
        <f>IF(B363=" "," ",HYPERLINK(CONCATENATE("#metadata!",ADDRESS(INDEX($M$2:$M$1001,MATCH(ROWS($K$2:K363),$K$2:$K$1001,0),0),1)),INDEX($P$2:$P$1001,MATCH(ROWS($K$2:K363),$K$2:$K$1001,0),0)))</f>
        <v>0</v>
      </c>
      <c r="B363" s="3">
        <f>IF(OR(INDEX($L$2:$L$1001,MATCH(ROWS($K$2:K363),$K$2:$K$1001,0),1)&gt;=100000,INDEX($R$1005:$W$1005,1,MATCH(COLUMNS($R$1006:R1006),$R$1006:$W$1006,0))&gt;=100000), " ",IF(INDEX($R$2:$W$1001,MATCH(ROWS($K$2:K363),$K$2:$K$1001,0),MATCH(COLUMNS($R$1006:R1006),$R$1006:$W$1006,0)), HYPERLINK("#",""), HYPERLINK(CONCATENATE("#Metadata!", ADDRESS(INDEX($M$2:$M$1001,MATCH(ROWS($K$2:K363),$K$2:$K$1001,0),0), INDEX($R$1004:$W$1004,1,MATCH(COLUMNS($R$1006:R1006),$R$1006:$W$1006,0)))),"Fix")))</f>
        <v>0</v>
      </c>
      <c r="C363" s="3">
        <f>IF(OR(INDEX($L$2:$L$1001,MATCH(ROWS($K$2:K363),$K$2:$K$1001,0),1)&gt;=100000,INDEX($R$1005:$W$1005,1,MATCH(COLUMNS($R$1006:S1006),$R$1006:$W$1006,0))&gt;=100000), " ",IF(INDEX($R$2:$W$1001,MATCH(ROWS($K$2:K363),$K$2:$K$1001,0),MATCH(COLUMNS($R$1006:S1006),$R$1006:$W$1006,0)), HYPERLINK("#",""), HYPERLINK(CONCATENATE("#Metadata!", ADDRESS(INDEX($M$2:$M$1001,MATCH(ROWS($K$2:K363),$K$2:$K$1001,0),0), INDEX($R$1004:$W$1004,1,MATCH(COLUMNS($R$1006:S1006),$R$1006:$W$1006,0)))),"Fix")))</f>
        <v>0</v>
      </c>
      <c r="D363" s="3">
        <f>IF(OR(INDEX($L$2:$L$1001,MATCH(ROWS($K$2:K363),$K$2:$K$1001,0),1)&gt;=100000,INDEX($R$1005:$W$1005,1,MATCH(COLUMNS($R$1006:T1006),$R$1006:$W$1006,0))&gt;=100000), " ",IF(INDEX($R$2:$W$1001,MATCH(ROWS($K$2:K363),$K$2:$K$1001,0),MATCH(COLUMNS($R$1006:T1006),$R$1006:$W$1006,0)), HYPERLINK("#",""), HYPERLINK(CONCATENATE("#Metadata!", ADDRESS(INDEX($M$2:$M$1001,MATCH(ROWS($K$2:K363),$K$2:$K$1001,0),0), INDEX($R$1004:$W$1004,1,MATCH(COLUMNS($R$1006:T1006),$R$1006:$W$1006,0)))),"Fix")))</f>
        <v>0</v>
      </c>
      <c r="E363" s="3">
        <f>IF(OR(INDEX($L$2:$L$1001,MATCH(ROWS($K$2:K363),$K$2:$K$1001,0),1)&gt;=100000,INDEX($R$1005:$W$1005,1,MATCH(COLUMNS($R$1006:U1006),$R$1006:$W$1006,0))&gt;=100000), " ",IF(INDEX($R$2:$W$1001,MATCH(ROWS($K$2:K363),$K$2:$K$1001,0),MATCH(COLUMNS($R$1006:U1006),$R$1006:$W$1006,0)), HYPERLINK("#",""), HYPERLINK(CONCATENATE("#Metadata!", ADDRESS(INDEX($M$2:$M$1001,MATCH(ROWS($K$2:K363),$K$2:$K$1001,0),0), INDEX($R$1004:$W$1004,1,MATCH(COLUMNS($R$1006:U1006),$R$1006:$W$1006,0)))),"Fix")))</f>
        <v>0</v>
      </c>
      <c r="F363" s="3">
        <f>IF(OR(INDEX($L$2:$L$1001,MATCH(ROWS($K$2:K363),$K$2:$K$1001,0),1)&gt;=100000,INDEX($R$1005:$W$1005,1,MATCH(COLUMNS($R$1006:V1006),$R$1006:$W$1006,0))&gt;=100000), " ",IF(INDEX($R$2:$W$1001,MATCH(ROWS($K$2:K363),$K$2:$K$1001,0),MATCH(COLUMNS($R$1006:V1006),$R$1006:$W$1006,0)), HYPERLINK("#",""), HYPERLINK(CONCATENATE("#Metadata!", ADDRESS(INDEX($M$2:$M$1001,MATCH(ROWS($K$2:K363),$K$2:$K$1001,0),0), INDEX($R$1004:$W$1004,1,MATCH(COLUMNS($R$1006:V1006),$R$1006:$W$1006,0)))),"Fix")))</f>
        <v>0</v>
      </c>
      <c r="G363" s="3">
        <f>IF(OR(INDEX($L$2:$L$1001,MATCH(ROWS($K$2:K363),$K$2:$K$1001,0),1)&gt;=100000,INDEX($R$1005:$W$1005,1,MATCH(COLUMNS($R$1006:W1006),$R$1006:$W$1006,0))&gt;=100000), " ",IF(INDEX($R$2:$W$1001,MATCH(ROWS($K$2:K363),$K$2:$K$1001,0),MATCH(COLUMNS($R$1006:W1006),$R$1006:$W$1006,0)), HYPERLINK("#",""), HYPERLINK(CONCATENATE("#Metadata!", ADDRESS(INDEX($M$2:$M$1001,MATCH(ROWS($K$2:K363),$K$2:$K$1001,0),0), INDEX($R$1004:$W$1004,1,MATCH(COLUMNS($R$1006:W1006),$R$1006:$W$1006,0)))),"Fix")))</f>
        <v>0</v>
      </c>
      <c r="K363">
        <v>0</v>
      </c>
      <c r="L363">
        <v>0</v>
      </c>
      <c r="M363">
        <v>0</v>
      </c>
      <c r="N363">
        <f>IF(O363,TRUE,AND(R363:W363))</f>
        <v>0</v>
      </c>
      <c r="O363">
        <f>COUNTBLANK(Metadata!B363:G363)=COLUMNS(Metadata!B363:G363)</f>
        <v>0</v>
      </c>
      <c r="P363">
        <v>0</v>
      </c>
      <c r="R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S363">
        <f>IF(Metadata!C363="",FALSE,TRUE)</f>
        <v>0</v>
      </c>
      <c r="T363">
        <f>IF(Metadata!D363="",FALSE,TRUE)</f>
        <v>0</v>
      </c>
      <c r="U363">
        <f>IF(Metadata!E363="",FALSE,TRUE)</f>
        <v>0</v>
      </c>
      <c r="V363">
        <f>AND(IF(Metadata!F363="",FALSE,TRUE),exact(Metadata!F363,"rat gut metagenome"))</f>
        <v>0</v>
      </c>
      <c r="W363">
        <f>AND(IF(Metadata!G363="",FALSE,TRUE),exact(Metadata!G363,"1436733"))</f>
        <v>0</v>
      </c>
    </row>
    <row r="364" spans="1:23">
      <c r="A364" s="4">
        <f>IF(B364=" "," ",HYPERLINK(CONCATENATE("#metadata!",ADDRESS(INDEX($M$2:$M$1001,MATCH(ROWS($K$2:K364),$K$2:$K$1001,0),0),1)),INDEX($P$2:$P$1001,MATCH(ROWS($K$2:K364),$K$2:$K$1001,0),0)))</f>
        <v>0</v>
      </c>
      <c r="B364" s="3">
        <f>IF(OR(INDEX($L$2:$L$1001,MATCH(ROWS($K$2:K364),$K$2:$K$1001,0),1)&gt;=100000,INDEX($R$1005:$W$1005,1,MATCH(COLUMNS($R$1006:R1006),$R$1006:$W$1006,0))&gt;=100000), " ",IF(INDEX($R$2:$W$1001,MATCH(ROWS($K$2:K364),$K$2:$K$1001,0),MATCH(COLUMNS($R$1006:R1006),$R$1006:$W$1006,0)), HYPERLINK("#",""), HYPERLINK(CONCATENATE("#Metadata!", ADDRESS(INDEX($M$2:$M$1001,MATCH(ROWS($K$2:K364),$K$2:$K$1001,0),0), INDEX($R$1004:$W$1004,1,MATCH(COLUMNS($R$1006:R1006),$R$1006:$W$1006,0)))),"Fix")))</f>
        <v>0</v>
      </c>
      <c r="C364" s="3">
        <f>IF(OR(INDEX($L$2:$L$1001,MATCH(ROWS($K$2:K364),$K$2:$K$1001,0),1)&gt;=100000,INDEX($R$1005:$W$1005,1,MATCH(COLUMNS($R$1006:S1006),$R$1006:$W$1006,0))&gt;=100000), " ",IF(INDEX($R$2:$W$1001,MATCH(ROWS($K$2:K364),$K$2:$K$1001,0),MATCH(COLUMNS($R$1006:S1006),$R$1006:$W$1006,0)), HYPERLINK("#",""), HYPERLINK(CONCATENATE("#Metadata!", ADDRESS(INDEX($M$2:$M$1001,MATCH(ROWS($K$2:K364),$K$2:$K$1001,0),0), INDEX($R$1004:$W$1004,1,MATCH(COLUMNS($R$1006:S1006),$R$1006:$W$1006,0)))),"Fix")))</f>
        <v>0</v>
      </c>
      <c r="D364" s="3">
        <f>IF(OR(INDEX($L$2:$L$1001,MATCH(ROWS($K$2:K364),$K$2:$K$1001,0),1)&gt;=100000,INDEX($R$1005:$W$1005,1,MATCH(COLUMNS($R$1006:T1006),$R$1006:$W$1006,0))&gt;=100000), " ",IF(INDEX($R$2:$W$1001,MATCH(ROWS($K$2:K364),$K$2:$K$1001,0),MATCH(COLUMNS($R$1006:T1006),$R$1006:$W$1006,0)), HYPERLINK("#",""), HYPERLINK(CONCATENATE("#Metadata!", ADDRESS(INDEX($M$2:$M$1001,MATCH(ROWS($K$2:K364),$K$2:$K$1001,0),0), INDEX($R$1004:$W$1004,1,MATCH(COLUMNS($R$1006:T1006),$R$1006:$W$1006,0)))),"Fix")))</f>
        <v>0</v>
      </c>
      <c r="E364" s="3">
        <f>IF(OR(INDEX($L$2:$L$1001,MATCH(ROWS($K$2:K364),$K$2:$K$1001,0),1)&gt;=100000,INDEX($R$1005:$W$1005,1,MATCH(COLUMNS($R$1006:U1006),$R$1006:$W$1006,0))&gt;=100000), " ",IF(INDEX($R$2:$W$1001,MATCH(ROWS($K$2:K364),$K$2:$K$1001,0),MATCH(COLUMNS($R$1006:U1006),$R$1006:$W$1006,0)), HYPERLINK("#",""), HYPERLINK(CONCATENATE("#Metadata!", ADDRESS(INDEX($M$2:$M$1001,MATCH(ROWS($K$2:K364),$K$2:$K$1001,0),0), INDEX($R$1004:$W$1004,1,MATCH(COLUMNS($R$1006:U1006),$R$1006:$W$1006,0)))),"Fix")))</f>
        <v>0</v>
      </c>
      <c r="F364" s="3">
        <f>IF(OR(INDEX($L$2:$L$1001,MATCH(ROWS($K$2:K364),$K$2:$K$1001,0),1)&gt;=100000,INDEX($R$1005:$W$1005,1,MATCH(COLUMNS($R$1006:V1006),$R$1006:$W$1006,0))&gt;=100000), " ",IF(INDEX($R$2:$W$1001,MATCH(ROWS($K$2:K364),$K$2:$K$1001,0),MATCH(COLUMNS($R$1006:V1006),$R$1006:$W$1006,0)), HYPERLINK("#",""), HYPERLINK(CONCATENATE("#Metadata!", ADDRESS(INDEX($M$2:$M$1001,MATCH(ROWS($K$2:K364),$K$2:$K$1001,0),0), INDEX($R$1004:$W$1004,1,MATCH(COLUMNS($R$1006:V1006),$R$1006:$W$1006,0)))),"Fix")))</f>
        <v>0</v>
      </c>
      <c r="G364" s="3">
        <f>IF(OR(INDEX($L$2:$L$1001,MATCH(ROWS($K$2:K364),$K$2:$K$1001,0),1)&gt;=100000,INDEX($R$1005:$W$1005,1,MATCH(COLUMNS($R$1006:W1006),$R$1006:$W$1006,0))&gt;=100000), " ",IF(INDEX($R$2:$W$1001,MATCH(ROWS($K$2:K364),$K$2:$K$1001,0),MATCH(COLUMNS($R$1006:W1006),$R$1006:$W$1006,0)), HYPERLINK("#",""), HYPERLINK(CONCATENATE("#Metadata!", ADDRESS(INDEX($M$2:$M$1001,MATCH(ROWS($K$2:K364),$K$2:$K$1001,0),0), INDEX($R$1004:$W$1004,1,MATCH(COLUMNS($R$1006:W1006),$R$1006:$W$1006,0)))),"Fix")))</f>
        <v>0</v>
      </c>
      <c r="K364">
        <v>0</v>
      </c>
      <c r="L364">
        <v>0</v>
      </c>
      <c r="M364">
        <v>0</v>
      </c>
      <c r="N364">
        <f>IF(O364,TRUE,AND(R364:W364))</f>
        <v>0</v>
      </c>
      <c r="O364">
        <f>COUNTBLANK(Metadata!B364:G364)=COLUMNS(Metadata!B364:G364)</f>
        <v>0</v>
      </c>
      <c r="P364">
        <v>0</v>
      </c>
      <c r="R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S364">
        <f>IF(Metadata!C364="",FALSE,TRUE)</f>
        <v>0</v>
      </c>
      <c r="T364">
        <f>IF(Metadata!D364="",FALSE,TRUE)</f>
        <v>0</v>
      </c>
      <c r="U364">
        <f>IF(Metadata!E364="",FALSE,TRUE)</f>
        <v>0</v>
      </c>
      <c r="V364">
        <f>AND(IF(Metadata!F364="",FALSE,TRUE),exact(Metadata!F364,"rat gut metagenome"))</f>
        <v>0</v>
      </c>
      <c r="W364">
        <f>AND(IF(Metadata!G364="",FALSE,TRUE),exact(Metadata!G364,"1436733"))</f>
        <v>0</v>
      </c>
    </row>
    <row r="365" spans="1:23">
      <c r="A365" s="4">
        <f>IF(B365=" "," ",HYPERLINK(CONCATENATE("#metadata!",ADDRESS(INDEX($M$2:$M$1001,MATCH(ROWS($K$2:K365),$K$2:$K$1001,0),0),1)),INDEX($P$2:$P$1001,MATCH(ROWS($K$2:K365),$K$2:$K$1001,0),0)))</f>
        <v>0</v>
      </c>
      <c r="B365" s="3">
        <f>IF(OR(INDEX($L$2:$L$1001,MATCH(ROWS($K$2:K365),$K$2:$K$1001,0),1)&gt;=100000,INDEX($R$1005:$W$1005,1,MATCH(COLUMNS($R$1006:R1006),$R$1006:$W$1006,0))&gt;=100000), " ",IF(INDEX($R$2:$W$1001,MATCH(ROWS($K$2:K365),$K$2:$K$1001,0),MATCH(COLUMNS($R$1006:R1006),$R$1006:$W$1006,0)), HYPERLINK("#",""), HYPERLINK(CONCATENATE("#Metadata!", ADDRESS(INDEX($M$2:$M$1001,MATCH(ROWS($K$2:K365),$K$2:$K$1001,0),0), INDEX($R$1004:$W$1004,1,MATCH(COLUMNS($R$1006:R1006),$R$1006:$W$1006,0)))),"Fix")))</f>
        <v>0</v>
      </c>
      <c r="C365" s="3">
        <f>IF(OR(INDEX($L$2:$L$1001,MATCH(ROWS($K$2:K365),$K$2:$K$1001,0),1)&gt;=100000,INDEX($R$1005:$W$1005,1,MATCH(COLUMNS($R$1006:S1006),$R$1006:$W$1006,0))&gt;=100000), " ",IF(INDEX($R$2:$W$1001,MATCH(ROWS($K$2:K365),$K$2:$K$1001,0),MATCH(COLUMNS($R$1006:S1006),$R$1006:$W$1006,0)), HYPERLINK("#",""), HYPERLINK(CONCATENATE("#Metadata!", ADDRESS(INDEX($M$2:$M$1001,MATCH(ROWS($K$2:K365),$K$2:$K$1001,0),0), INDEX($R$1004:$W$1004,1,MATCH(COLUMNS($R$1006:S1006),$R$1006:$W$1006,0)))),"Fix")))</f>
        <v>0</v>
      </c>
      <c r="D365" s="3">
        <f>IF(OR(INDEX($L$2:$L$1001,MATCH(ROWS($K$2:K365),$K$2:$K$1001,0),1)&gt;=100000,INDEX($R$1005:$W$1005,1,MATCH(COLUMNS($R$1006:T1006),$R$1006:$W$1006,0))&gt;=100000), " ",IF(INDEX($R$2:$W$1001,MATCH(ROWS($K$2:K365),$K$2:$K$1001,0),MATCH(COLUMNS($R$1006:T1006),$R$1006:$W$1006,0)), HYPERLINK("#",""), HYPERLINK(CONCATENATE("#Metadata!", ADDRESS(INDEX($M$2:$M$1001,MATCH(ROWS($K$2:K365),$K$2:$K$1001,0),0), INDEX($R$1004:$W$1004,1,MATCH(COLUMNS($R$1006:T1006),$R$1006:$W$1006,0)))),"Fix")))</f>
        <v>0</v>
      </c>
      <c r="E365" s="3">
        <f>IF(OR(INDEX($L$2:$L$1001,MATCH(ROWS($K$2:K365),$K$2:$K$1001,0),1)&gt;=100000,INDEX($R$1005:$W$1005,1,MATCH(COLUMNS($R$1006:U1006),$R$1006:$W$1006,0))&gt;=100000), " ",IF(INDEX($R$2:$W$1001,MATCH(ROWS($K$2:K365),$K$2:$K$1001,0),MATCH(COLUMNS($R$1006:U1006),$R$1006:$W$1006,0)), HYPERLINK("#",""), HYPERLINK(CONCATENATE("#Metadata!", ADDRESS(INDEX($M$2:$M$1001,MATCH(ROWS($K$2:K365),$K$2:$K$1001,0),0), INDEX($R$1004:$W$1004,1,MATCH(COLUMNS($R$1006:U1006),$R$1006:$W$1006,0)))),"Fix")))</f>
        <v>0</v>
      </c>
      <c r="F365" s="3">
        <f>IF(OR(INDEX($L$2:$L$1001,MATCH(ROWS($K$2:K365),$K$2:$K$1001,0),1)&gt;=100000,INDEX($R$1005:$W$1005,1,MATCH(COLUMNS($R$1006:V1006),$R$1006:$W$1006,0))&gt;=100000), " ",IF(INDEX($R$2:$W$1001,MATCH(ROWS($K$2:K365),$K$2:$K$1001,0),MATCH(COLUMNS($R$1006:V1006),$R$1006:$W$1006,0)), HYPERLINK("#",""), HYPERLINK(CONCATENATE("#Metadata!", ADDRESS(INDEX($M$2:$M$1001,MATCH(ROWS($K$2:K365),$K$2:$K$1001,0),0), INDEX($R$1004:$W$1004,1,MATCH(COLUMNS($R$1006:V1006),$R$1006:$W$1006,0)))),"Fix")))</f>
        <v>0</v>
      </c>
      <c r="G365" s="3">
        <f>IF(OR(INDEX($L$2:$L$1001,MATCH(ROWS($K$2:K365),$K$2:$K$1001,0),1)&gt;=100000,INDEX($R$1005:$W$1005,1,MATCH(COLUMNS($R$1006:W1006),$R$1006:$W$1006,0))&gt;=100000), " ",IF(INDEX($R$2:$W$1001,MATCH(ROWS($K$2:K365),$K$2:$K$1001,0),MATCH(COLUMNS($R$1006:W1006),$R$1006:$W$1006,0)), HYPERLINK("#",""), HYPERLINK(CONCATENATE("#Metadata!", ADDRESS(INDEX($M$2:$M$1001,MATCH(ROWS($K$2:K365),$K$2:$K$1001,0),0), INDEX($R$1004:$W$1004,1,MATCH(COLUMNS($R$1006:W1006),$R$1006:$W$1006,0)))),"Fix")))</f>
        <v>0</v>
      </c>
      <c r="K365">
        <v>0</v>
      </c>
      <c r="L365">
        <v>0</v>
      </c>
      <c r="M365">
        <v>0</v>
      </c>
      <c r="N365">
        <f>IF(O365,TRUE,AND(R365:W365))</f>
        <v>0</v>
      </c>
      <c r="O365">
        <f>COUNTBLANK(Metadata!B365:G365)=COLUMNS(Metadata!B365:G365)</f>
        <v>0</v>
      </c>
      <c r="P365">
        <v>0</v>
      </c>
      <c r="R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S365">
        <f>IF(Metadata!C365="",FALSE,TRUE)</f>
        <v>0</v>
      </c>
      <c r="T365">
        <f>IF(Metadata!D365="",FALSE,TRUE)</f>
        <v>0</v>
      </c>
      <c r="U365">
        <f>IF(Metadata!E365="",FALSE,TRUE)</f>
        <v>0</v>
      </c>
      <c r="V365">
        <f>AND(IF(Metadata!F365="",FALSE,TRUE),exact(Metadata!F365,"rat gut metagenome"))</f>
        <v>0</v>
      </c>
      <c r="W365">
        <f>AND(IF(Metadata!G365="",FALSE,TRUE),exact(Metadata!G365,"1436733"))</f>
        <v>0</v>
      </c>
    </row>
    <row r="366" spans="1:23">
      <c r="A366" s="4">
        <f>IF(B366=" "," ",HYPERLINK(CONCATENATE("#metadata!",ADDRESS(INDEX($M$2:$M$1001,MATCH(ROWS($K$2:K366),$K$2:$K$1001,0),0),1)),INDEX($P$2:$P$1001,MATCH(ROWS($K$2:K366),$K$2:$K$1001,0),0)))</f>
        <v>0</v>
      </c>
      <c r="B366" s="3">
        <f>IF(OR(INDEX($L$2:$L$1001,MATCH(ROWS($K$2:K366),$K$2:$K$1001,0),1)&gt;=100000,INDEX($R$1005:$W$1005,1,MATCH(COLUMNS($R$1006:R1006),$R$1006:$W$1006,0))&gt;=100000), " ",IF(INDEX($R$2:$W$1001,MATCH(ROWS($K$2:K366),$K$2:$K$1001,0),MATCH(COLUMNS($R$1006:R1006),$R$1006:$W$1006,0)), HYPERLINK("#",""), HYPERLINK(CONCATENATE("#Metadata!", ADDRESS(INDEX($M$2:$M$1001,MATCH(ROWS($K$2:K366),$K$2:$K$1001,0),0), INDEX($R$1004:$W$1004,1,MATCH(COLUMNS($R$1006:R1006),$R$1006:$W$1006,0)))),"Fix")))</f>
        <v>0</v>
      </c>
      <c r="C366" s="3">
        <f>IF(OR(INDEX($L$2:$L$1001,MATCH(ROWS($K$2:K366),$K$2:$K$1001,0),1)&gt;=100000,INDEX($R$1005:$W$1005,1,MATCH(COLUMNS($R$1006:S1006),$R$1006:$W$1006,0))&gt;=100000), " ",IF(INDEX($R$2:$W$1001,MATCH(ROWS($K$2:K366),$K$2:$K$1001,0),MATCH(COLUMNS($R$1006:S1006),$R$1006:$W$1006,0)), HYPERLINK("#",""), HYPERLINK(CONCATENATE("#Metadata!", ADDRESS(INDEX($M$2:$M$1001,MATCH(ROWS($K$2:K366),$K$2:$K$1001,0),0), INDEX($R$1004:$W$1004,1,MATCH(COLUMNS($R$1006:S1006),$R$1006:$W$1006,0)))),"Fix")))</f>
        <v>0</v>
      </c>
      <c r="D366" s="3">
        <f>IF(OR(INDEX($L$2:$L$1001,MATCH(ROWS($K$2:K366),$K$2:$K$1001,0),1)&gt;=100000,INDEX($R$1005:$W$1005,1,MATCH(COLUMNS($R$1006:T1006),$R$1006:$W$1006,0))&gt;=100000), " ",IF(INDEX($R$2:$W$1001,MATCH(ROWS($K$2:K366),$K$2:$K$1001,0),MATCH(COLUMNS($R$1006:T1006),$R$1006:$W$1006,0)), HYPERLINK("#",""), HYPERLINK(CONCATENATE("#Metadata!", ADDRESS(INDEX($M$2:$M$1001,MATCH(ROWS($K$2:K366),$K$2:$K$1001,0),0), INDEX($R$1004:$W$1004,1,MATCH(COLUMNS($R$1006:T1006),$R$1006:$W$1006,0)))),"Fix")))</f>
        <v>0</v>
      </c>
      <c r="E366" s="3">
        <f>IF(OR(INDEX($L$2:$L$1001,MATCH(ROWS($K$2:K366),$K$2:$K$1001,0),1)&gt;=100000,INDEX($R$1005:$W$1005,1,MATCH(COLUMNS($R$1006:U1006),$R$1006:$W$1006,0))&gt;=100000), " ",IF(INDEX($R$2:$W$1001,MATCH(ROWS($K$2:K366),$K$2:$K$1001,0),MATCH(COLUMNS($R$1006:U1006),$R$1006:$W$1006,0)), HYPERLINK("#",""), HYPERLINK(CONCATENATE("#Metadata!", ADDRESS(INDEX($M$2:$M$1001,MATCH(ROWS($K$2:K366),$K$2:$K$1001,0),0), INDEX($R$1004:$W$1004,1,MATCH(COLUMNS($R$1006:U1006),$R$1006:$W$1006,0)))),"Fix")))</f>
        <v>0</v>
      </c>
      <c r="F366" s="3">
        <f>IF(OR(INDEX($L$2:$L$1001,MATCH(ROWS($K$2:K366),$K$2:$K$1001,0),1)&gt;=100000,INDEX($R$1005:$W$1005,1,MATCH(COLUMNS($R$1006:V1006),$R$1006:$W$1006,0))&gt;=100000), " ",IF(INDEX($R$2:$W$1001,MATCH(ROWS($K$2:K366),$K$2:$K$1001,0),MATCH(COLUMNS($R$1006:V1006),$R$1006:$W$1006,0)), HYPERLINK("#",""), HYPERLINK(CONCATENATE("#Metadata!", ADDRESS(INDEX($M$2:$M$1001,MATCH(ROWS($K$2:K366),$K$2:$K$1001,0),0), INDEX($R$1004:$W$1004,1,MATCH(COLUMNS($R$1006:V1006),$R$1006:$W$1006,0)))),"Fix")))</f>
        <v>0</v>
      </c>
      <c r="G366" s="3">
        <f>IF(OR(INDEX($L$2:$L$1001,MATCH(ROWS($K$2:K366),$K$2:$K$1001,0),1)&gt;=100000,INDEX($R$1005:$W$1005,1,MATCH(COLUMNS($R$1006:W1006),$R$1006:$W$1006,0))&gt;=100000), " ",IF(INDEX($R$2:$W$1001,MATCH(ROWS($K$2:K366),$K$2:$K$1001,0),MATCH(COLUMNS($R$1006:W1006),$R$1006:$W$1006,0)), HYPERLINK("#",""), HYPERLINK(CONCATENATE("#Metadata!", ADDRESS(INDEX($M$2:$M$1001,MATCH(ROWS($K$2:K366),$K$2:$K$1001,0),0), INDEX($R$1004:$W$1004,1,MATCH(COLUMNS($R$1006:W1006),$R$1006:$W$1006,0)))),"Fix")))</f>
        <v>0</v>
      </c>
      <c r="K366">
        <v>0</v>
      </c>
      <c r="L366">
        <v>0</v>
      </c>
      <c r="M366">
        <v>0</v>
      </c>
      <c r="N366">
        <f>IF(O366,TRUE,AND(R366:W366))</f>
        <v>0</v>
      </c>
      <c r="O366">
        <f>COUNTBLANK(Metadata!B366:G366)=COLUMNS(Metadata!B366:G366)</f>
        <v>0</v>
      </c>
      <c r="P366">
        <v>0</v>
      </c>
      <c r="R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S366">
        <f>IF(Metadata!C366="",FALSE,TRUE)</f>
        <v>0</v>
      </c>
      <c r="T366">
        <f>IF(Metadata!D366="",FALSE,TRUE)</f>
        <v>0</v>
      </c>
      <c r="U366">
        <f>IF(Metadata!E366="",FALSE,TRUE)</f>
        <v>0</v>
      </c>
      <c r="V366">
        <f>AND(IF(Metadata!F366="",FALSE,TRUE),exact(Metadata!F366,"rat gut metagenome"))</f>
        <v>0</v>
      </c>
      <c r="W366">
        <f>AND(IF(Metadata!G366="",FALSE,TRUE),exact(Metadata!G366,"1436733"))</f>
        <v>0</v>
      </c>
    </row>
    <row r="367" spans="1:23">
      <c r="A367" s="4">
        <f>IF(B367=" "," ",HYPERLINK(CONCATENATE("#metadata!",ADDRESS(INDEX($M$2:$M$1001,MATCH(ROWS($K$2:K367),$K$2:$K$1001,0),0),1)),INDEX($P$2:$P$1001,MATCH(ROWS($K$2:K367),$K$2:$K$1001,0),0)))</f>
        <v>0</v>
      </c>
      <c r="B367" s="3">
        <f>IF(OR(INDEX($L$2:$L$1001,MATCH(ROWS($K$2:K367),$K$2:$K$1001,0),1)&gt;=100000,INDEX($R$1005:$W$1005,1,MATCH(COLUMNS($R$1006:R1006),$R$1006:$W$1006,0))&gt;=100000), " ",IF(INDEX($R$2:$W$1001,MATCH(ROWS($K$2:K367),$K$2:$K$1001,0),MATCH(COLUMNS($R$1006:R1006),$R$1006:$W$1006,0)), HYPERLINK("#",""), HYPERLINK(CONCATENATE("#Metadata!", ADDRESS(INDEX($M$2:$M$1001,MATCH(ROWS($K$2:K367),$K$2:$K$1001,0),0), INDEX($R$1004:$W$1004,1,MATCH(COLUMNS($R$1006:R1006),$R$1006:$W$1006,0)))),"Fix")))</f>
        <v>0</v>
      </c>
      <c r="C367" s="3">
        <f>IF(OR(INDEX($L$2:$L$1001,MATCH(ROWS($K$2:K367),$K$2:$K$1001,0),1)&gt;=100000,INDEX($R$1005:$W$1005,1,MATCH(COLUMNS($R$1006:S1006),$R$1006:$W$1006,0))&gt;=100000), " ",IF(INDEX($R$2:$W$1001,MATCH(ROWS($K$2:K367),$K$2:$K$1001,0),MATCH(COLUMNS($R$1006:S1006),$R$1006:$W$1006,0)), HYPERLINK("#",""), HYPERLINK(CONCATENATE("#Metadata!", ADDRESS(INDEX($M$2:$M$1001,MATCH(ROWS($K$2:K367),$K$2:$K$1001,0),0), INDEX($R$1004:$W$1004,1,MATCH(COLUMNS($R$1006:S1006),$R$1006:$W$1006,0)))),"Fix")))</f>
        <v>0</v>
      </c>
      <c r="D367" s="3">
        <f>IF(OR(INDEX($L$2:$L$1001,MATCH(ROWS($K$2:K367),$K$2:$K$1001,0),1)&gt;=100000,INDEX($R$1005:$W$1005,1,MATCH(COLUMNS($R$1006:T1006),$R$1006:$W$1006,0))&gt;=100000), " ",IF(INDEX($R$2:$W$1001,MATCH(ROWS($K$2:K367),$K$2:$K$1001,0),MATCH(COLUMNS($R$1006:T1006),$R$1006:$W$1006,0)), HYPERLINK("#",""), HYPERLINK(CONCATENATE("#Metadata!", ADDRESS(INDEX($M$2:$M$1001,MATCH(ROWS($K$2:K367),$K$2:$K$1001,0),0), INDEX($R$1004:$W$1004,1,MATCH(COLUMNS($R$1006:T1006),$R$1006:$W$1006,0)))),"Fix")))</f>
        <v>0</v>
      </c>
      <c r="E367" s="3">
        <f>IF(OR(INDEX($L$2:$L$1001,MATCH(ROWS($K$2:K367),$K$2:$K$1001,0),1)&gt;=100000,INDEX($R$1005:$W$1005,1,MATCH(COLUMNS($R$1006:U1006),$R$1006:$W$1006,0))&gt;=100000), " ",IF(INDEX($R$2:$W$1001,MATCH(ROWS($K$2:K367),$K$2:$K$1001,0),MATCH(COLUMNS($R$1006:U1006),$R$1006:$W$1006,0)), HYPERLINK("#",""), HYPERLINK(CONCATENATE("#Metadata!", ADDRESS(INDEX($M$2:$M$1001,MATCH(ROWS($K$2:K367),$K$2:$K$1001,0),0), INDEX($R$1004:$W$1004,1,MATCH(COLUMNS($R$1006:U1006),$R$1006:$W$1006,0)))),"Fix")))</f>
        <v>0</v>
      </c>
      <c r="F367" s="3">
        <f>IF(OR(INDEX($L$2:$L$1001,MATCH(ROWS($K$2:K367),$K$2:$K$1001,0),1)&gt;=100000,INDEX($R$1005:$W$1005,1,MATCH(COLUMNS($R$1006:V1006),$R$1006:$W$1006,0))&gt;=100000), " ",IF(INDEX($R$2:$W$1001,MATCH(ROWS($K$2:K367),$K$2:$K$1001,0),MATCH(COLUMNS($R$1006:V1006),$R$1006:$W$1006,0)), HYPERLINK("#",""), HYPERLINK(CONCATENATE("#Metadata!", ADDRESS(INDEX($M$2:$M$1001,MATCH(ROWS($K$2:K367),$K$2:$K$1001,0),0), INDEX($R$1004:$W$1004,1,MATCH(COLUMNS($R$1006:V1006),$R$1006:$W$1006,0)))),"Fix")))</f>
        <v>0</v>
      </c>
      <c r="G367" s="3">
        <f>IF(OR(INDEX($L$2:$L$1001,MATCH(ROWS($K$2:K367),$K$2:$K$1001,0),1)&gt;=100000,INDEX($R$1005:$W$1005,1,MATCH(COLUMNS($R$1006:W1006),$R$1006:$W$1006,0))&gt;=100000), " ",IF(INDEX($R$2:$W$1001,MATCH(ROWS($K$2:K367),$K$2:$K$1001,0),MATCH(COLUMNS($R$1006:W1006),$R$1006:$W$1006,0)), HYPERLINK("#",""), HYPERLINK(CONCATENATE("#Metadata!", ADDRESS(INDEX($M$2:$M$1001,MATCH(ROWS($K$2:K367),$K$2:$K$1001,0),0), INDEX($R$1004:$W$1004,1,MATCH(COLUMNS($R$1006:W1006),$R$1006:$W$1006,0)))),"Fix")))</f>
        <v>0</v>
      </c>
      <c r="K367">
        <v>0</v>
      </c>
      <c r="L367">
        <v>0</v>
      </c>
      <c r="M367">
        <v>0</v>
      </c>
      <c r="N367">
        <f>IF(O367,TRUE,AND(R367:W367))</f>
        <v>0</v>
      </c>
      <c r="O367">
        <f>COUNTBLANK(Metadata!B367:G367)=COLUMNS(Metadata!B367:G367)</f>
        <v>0</v>
      </c>
      <c r="P367">
        <v>0</v>
      </c>
      <c r="R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S367">
        <f>IF(Metadata!C367="",FALSE,TRUE)</f>
        <v>0</v>
      </c>
      <c r="T367">
        <f>IF(Metadata!D367="",FALSE,TRUE)</f>
        <v>0</v>
      </c>
      <c r="U367">
        <f>IF(Metadata!E367="",FALSE,TRUE)</f>
        <v>0</v>
      </c>
      <c r="V367">
        <f>AND(IF(Metadata!F367="",FALSE,TRUE),exact(Metadata!F367,"rat gut metagenome"))</f>
        <v>0</v>
      </c>
      <c r="W367">
        <f>AND(IF(Metadata!G367="",FALSE,TRUE),exact(Metadata!G367,"1436733"))</f>
        <v>0</v>
      </c>
    </row>
    <row r="368" spans="1:23">
      <c r="A368" s="4">
        <f>IF(B368=" "," ",HYPERLINK(CONCATENATE("#metadata!",ADDRESS(INDEX($M$2:$M$1001,MATCH(ROWS($K$2:K368),$K$2:$K$1001,0),0),1)),INDEX($P$2:$P$1001,MATCH(ROWS($K$2:K368),$K$2:$K$1001,0),0)))</f>
        <v>0</v>
      </c>
      <c r="B368" s="3">
        <f>IF(OR(INDEX($L$2:$L$1001,MATCH(ROWS($K$2:K368),$K$2:$K$1001,0),1)&gt;=100000,INDEX($R$1005:$W$1005,1,MATCH(COLUMNS($R$1006:R1006),$R$1006:$W$1006,0))&gt;=100000), " ",IF(INDEX($R$2:$W$1001,MATCH(ROWS($K$2:K368),$K$2:$K$1001,0),MATCH(COLUMNS($R$1006:R1006),$R$1006:$W$1006,0)), HYPERLINK("#",""), HYPERLINK(CONCATENATE("#Metadata!", ADDRESS(INDEX($M$2:$M$1001,MATCH(ROWS($K$2:K368),$K$2:$K$1001,0),0), INDEX($R$1004:$W$1004,1,MATCH(COLUMNS($R$1006:R1006),$R$1006:$W$1006,0)))),"Fix")))</f>
        <v>0</v>
      </c>
      <c r="C368" s="3">
        <f>IF(OR(INDEX($L$2:$L$1001,MATCH(ROWS($K$2:K368),$K$2:$K$1001,0),1)&gt;=100000,INDEX($R$1005:$W$1005,1,MATCH(COLUMNS($R$1006:S1006),$R$1006:$W$1006,0))&gt;=100000), " ",IF(INDEX($R$2:$W$1001,MATCH(ROWS($K$2:K368),$K$2:$K$1001,0),MATCH(COLUMNS($R$1006:S1006),$R$1006:$W$1006,0)), HYPERLINK("#",""), HYPERLINK(CONCATENATE("#Metadata!", ADDRESS(INDEX($M$2:$M$1001,MATCH(ROWS($K$2:K368),$K$2:$K$1001,0),0), INDEX($R$1004:$W$1004,1,MATCH(COLUMNS($R$1006:S1006),$R$1006:$W$1006,0)))),"Fix")))</f>
        <v>0</v>
      </c>
      <c r="D368" s="3">
        <f>IF(OR(INDEX($L$2:$L$1001,MATCH(ROWS($K$2:K368),$K$2:$K$1001,0),1)&gt;=100000,INDEX($R$1005:$W$1005,1,MATCH(COLUMNS($R$1006:T1006),$R$1006:$W$1006,0))&gt;=100000), " ",IF(INDEX($R$2:$W$1001,MATCH(ROWS($K$2:K368),$K$2:$K$1001,0),MATCH(COLUMNS($R$1006:T1006),$R$1006:$W$1006,0)), HYPERLINK("#",""), HYPERLINK(CONCATENATE("#Metadata!", ADDRESS(INDEX($M$2:$M$1001,MATCH(ROWS($K$2:K368),$K$2:$K$1001,0),0), INDEX($R$1004:$W$1004,1,MATCH(COLUMNS($R$1006:T1006),$R$1006:$W$1006,0)))),"Fix")))</f>
        <v>0</v>
      </c>
      <c r="E368" s="3">
        <f>IF(OR(INDEX($L$2:$L$1001,MATCH(ROWS($K$2:K368),$K$2:$K$1001,0),1)&gt;=100000,INDEX($R$1005:$W$1005,1,MATCH(COLUMNS($R$1006:U1006),$R$1006:$W$1006,0))&gt;=100000), " ",IF(INDEX($R$2:$W$1001,MATCH(ROWS($K$2:K368),$K$2:$K$1001,0),MATCH(COLUMNS($R$1006:U1006),$R$1006:$W$1006,0)), HYPERLINK("#",""), HYPERLINK(CONCATENATE("#Metadata!", ADDRESS(INDEX($M$2:$M$1001,MATCH(ROWS($K$2:K368),$K$2:$K$1001,0),0), INDEX($R$1004:$W$1004,1,MATCH(COLUMNS($R$1006:U1006),$R$1006:$W$1006,0)))),"Fix")))</f>
        <v>0</v>
      </c>
      <c r="F368" s="3">
        <f>IF(OR(INDEX($L$2:$L$1001,MATCH(ROWS($K$2:K368),$K$2:$K$1001,0),1)&gt;=100000,INDEX($R$1005:$W$1005,1,MATCH(COLUMNS($R$1006:V1006),$R$1006:$W$1006,0))&gt;=100000), " ",IF(INDEX($R$2:$W$1001,MATCH(ROWS($K$2:K368),$K$2:$K$1001,0),MATCH(COLUMNS($R$1006:V1006),$R$1006:$W$1006,0)), HYPERLINK("#",""), HYPERLINK(CONCATENATE("#Metadata!", ADDRESS(INDEX($M$2:$M$1001,MATCH(ROWS($K$2:K368),$K$2:$K$1001,0),0), INDEX($R$1004:$W$1004,1,MATCH(COLUMNS($R$1006:V1006),$R$1006:$W$1006,0)))),"Fix")))</f>
        <v>0</v>
      </c>
      <c r="G368" s="3">
        <f>IF(OR(INDEX($L$2:$L$1001,MATCH(ROWS($K$2:K368),$K$2:$K$1001,0),1)&gt;=100000,INDEX($R$1005:$W$1005,1,MATCH(COLUMNS($R$1006:W1006),$R$1006:$W$1006,0))&gt;=100000), " ",IF(INDEX($R$2:$W$1001,MATCH(ROWS($K$2:K368),$K$2:$K$1001,0),MATCH(COLUMNS($R$1006:W1006),$R$1006:$W$1006,0)), HYPERLINK("#",""), HYPERLINK(CONCATENATE("#Metadata!", ADDRESS(INDEX($M$2:$M$1001,MATCH(ROWS($K$2:K368),$K$2:$K$1001,0),0), INDEX($R$1004:$W$1004,1,MATCH(COLUMNS($R$1006:W1006),$R$1006:$W$1006,0)))),"Fix")))</f>
        <v>0</v>
      </c>
      <c r="K368">
        <v>0</v>
      </c>
      <c r="L368">
        <v>0</v>
      </c>
      <c r="M368">
        <v>0</v>
      </c>
      <c r="N368">
        <f>IF(O368,TRUE,AND(R368:W368))</f>
        <v>0</v>
      </c>
      <c r="O368">
        <f>COUNTBLANK(Metadata!B368:G368)=COLUMNS(Metadata!B368:G368)</f>
        <v>0</v>
      </c>
      <c r="P368">
        <v>0</v>
      </c>
      <c r="R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S368">
        <f>IF(Metadata!C368="",FALSE,TRUE)</f>
        <v>0</v>
      </c>
      <c r="T368">
        <f>IF(Metadata!D368="",FALSE,TRUE)</f>
        <v>0</v>
      </c>
      <c r="U368">
        <f>IF(Metadata!E368="",FALSE,TRUE)</f>
        <v>0</v>
      </c>
      <c r="V368">
        <f>AND(IF(Metadata!F368="",FALSE,TRUE),exact(Metadata!F368,"rat gut metagenome"))</f>
        <v>0</v>
      </c>
      <c r="W368">
        <f>AND(IF(Metadata!G368="",FALSE,TRUE),exact(Metadata!G368,"1436733"))</f>
        <v>0</v>
      </c>
    </row>
    <row r="369" spans="1:23">
      <c r="A369" s="4">
        <f>IF(B369=" "," ",HYPERLINK(CONCATENATE("#metadata!",ADDRESS(INDEX($M$2:$M$1001,MATCH(ROWS($K$2:K369),$K$2:$K$1001,0),0),1)),INDEX($P$2:$P$1001,MATCH(ROWS($K$2:K369),$K$2:$K$1001,0),0)))</f>
        <v>0</v>
      </c>
      <c r="B369" s="3">
        <f>IF(OR(INDEX($L$2:$L$1001,MATCH(ROWS($K$2:K369),$K$2:$K$1001,0),1)&gt;=100000,INDEX($R$1005:$W$1005,1,MATCH(COLUMNS($R$1006:R1006),$R$1006:$W$1006,0))&gt;=100000), " ",IF(INDEX($R$2:$W$1001,MATCH(ROWS($K$2:K369),$K$2:$K$1001,0),MATCH(COLUMNS($R$1006:R1006),$R$1006:$W$1006,0)), HYPERLINK("#",""), HYPERLINK(CONCATENATE("#Metadata!", ADDRESS(INDEX($M$2:$M$1001,MATCH(ROWS($K$2:K369),$K$2:$K$1001,0),0), INDEX($R$1004:$W$1004,1,MATCH(COLUMNS($R$1006:R1006),$R$1006:$W$1006,0)))),"Fix")))</f>
        <v>0</v>
      </c>
      <c r="C369" s="3">
        <f>IF(OR(INDEX($L$2:$L$1001,MATCH(ROWS($K$2:K369),$K$2:$K$1001,0),1)&gt;=100000,INDEX($R$1005:$W$1005,1,MATCH(COLUMNS($R$1006:S1006),$R$1006:$W$1006,0))&gt;=100000), " ",IF(INDEX($R$2:$W$1001,MATCH(ROWS($K$2:K369),$K$2:$K$1001,0),MATCH(COLUMNS($R$1006:S1006),$R$1006:$W$1006,0)), HYPERLINK("#",""), HYPERLINK(CONCATENATE("#Metadata!", ADDRESS(INDEX($M$2:$M$1001,MATCH(ROWS($K$2:K369),$K$2:$K$1001,0),0), INDEX($R$1004:$W$1004,1,MATCH(COLUMNS($R$1006:S1006),$R$1006:$W$1006,0)))),"Fix")))</f>
        <v>0</v>
      </c>
      <c r="D369" s="3">
        <f>IF(OR(INDEX($L$2:$L$1001,MATCH(ROWS($K$2:K369),$K$2:$K$1001,0),1)&gt;=100000,INDEX($R$1005:$W$1005,1,MATCH(COLUMNS($R$1006:T1006),$R$1006:$W$1006,0))&gt;=100000), " ",IF(INDEX($R$2:$W$1001,MATCH(ROWS($K$2:K369),$K$2:$K$1001,0),MATCH(COLUMNS($R$1006:T1006),$R$1006:$W$1006,0)), HYPERLINK("#",""), HYPERLINK(CONCATENATE("#Metadata!", ADDRESS(INDEX($M$2:$M$1001,MATCH(ROWS($K$2:K369),$K$2:$K$1001,0),0), INDEX($R$1004:$W$1004,1,MATCH(COLUMNS($R$1006:T1006),$R$1006:$W$1006,0)))),"Fix")))</f>
        <v>0</v>
      </c>
      <c r="E369" s="3">
        <f>IF(OR(INDEX($L$2:$L$1001,MATCH(ROWS($K$2:K369),$K$2:$K$1001,0),1)&gt;=100000,INDEX($R$1005:$W$1005,1,MATCH(COLUMNS($R$1006:U1006),$R$1006:$W$1006,0))&gt;=100000), " ",IF(INDEX($R$2:$W$1001,MATCH(ROWS($K$2:K369),$K$2:$K$1001,0),MATCH(COLUMNS($R$1006:U1006),$R$1006:$W$1006,0)), HYPERLINK("#",""), HYPERLINK(CONCATENATE("#Metadata!", ADDRESS(INDEX($M$2:$M$1001,MATCH(ROWS($K$2:K369),$K$2:$K$1001,0),0), INDEX($R$1004:$W$1004,1,MATCH(COLUMNS($R$1006:U1006),$R$1006:$W$1006,0)))),"Fix")))</f>
        <v>0</v>
      </c>
      <c r="F369" s="3">
        <f>IF(OR(INDEX($L$2:$L$1001,MATCH(ROWS($K$2:K369),$K$2:$K$1001,0),1)&gt;=100000,INDEX($R$1005:$W$1005,1,MATCH(COLUMNS($R$1006:V1006),$R$1006:$W$1006,0))&gt;=100000), " ",IF(INDEX($R$2:$W$1001,MATCH(ROWS($K$2:K369),$K$2:$K$1001,0),MATCH(COLUMNS($R$1006:V1006),$R$1006:$W$1006,0)), HYPERLINK("#",""), HYPERLINK(CONCATENATE("#Metadata!", ADDRESS(INDEX($M$2:$M$1001,MATCH(ROWS($K$2:K369),$K$2:$K$1001,0),0), INDEX($R$1004:$W$1004,1,MATCH(COLUMNS($R$1006:V1006),$R$1006:$W$1006,0)))),"Fix")))</f>
        <v>0</v>
      </c>
      <c r="G369" s="3">
        <f>IF(OR(INDEX($L$2:$L$1001,MATCH(ROWS($K$2:K369),$K$2:$K$1001,0),1)&gt;=100000,INDEX($R$1005:$W$1005,1,MATCH(COLUMNS($R$1006:W1006),$R$1006:$W$1006,0))&gt;=100000), " ",IF(INDEX($R$2:$W$1001,MATCH(ROWS($K$2:K369),$K$2:$K$1001,0),MATCH(COLUMNS($R$1006:W1006),$R$1006:$W$1006,0)), HYPERLINK("#",""), HYPERLINK(CONCATENATE("#Metadata!", ADDRESS(INDEX($M$2:$M$1001,MATCH(ROWS($K$2:K369),$K$2:$K$1001,0),0), INDEX($R$1004:$W$1004,1,MATCH(COLUMNS($R$1006:W1006),$R$1006:$W$1006,0)))),"Fix")))</f>
        <v>0</v>
      </c>
      <c r="K369">
        <v>0</v>
      </c>
      <c r="L369">
        <v>0</v>
      </c>
      <c r="M369">
        <v>0</v>
      </c>
      <c r="N369">
        <f>IF(O369,TRUE,AND(R369:W369))</f>
        <v>0</v>
      </c>
      <c r="O369">
        <f>COUNTBLANK(Metadata!B369:G369)=COLUMNS(Metadata!B369:G369)</f>
        <v>0</v>
      </c>
      <c r="P369">
        <v>0</v>
      </c>
      <c r="R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S369">
        <f>IF(Metadata!C369="",FALSE,TRUE)</f>
        <v>0</v>
      </c>
      <c r="T369">
        <f>IF(Metadata!D369="",FALSE,TRUE)</f>
        <v>0</v>
      </c>
      <c r="U369">
        <f>IF(Metadata!E369="",FALSE,TRUE)</f>
        <v>0</v>
      </c>
      <c r="V369">
        <f>AND(IF(Metadata!F369="",FALSE,TRUE),exact(Metadata!F369,"rat gut metagenome"))</f>
        <v>0</v>
      </c>
      <c r="W369">
        <f>AND(IF(Metadata!G369="",FALSE,TRUE),exact(Metadata!G369,"1436733"))</f>
        <v>0</v>
      </c>
    </row>
    <row r="370" spans="1:23">
      <c r="A370" s="4">
        <f>IF(B370=" "," ",HYPERLINK(CONCATENATE("#metadata!",ADDRESS(INDEX($M$2:$M$1001,MATCH(ROWS($K$2:K370),$K$2:$K$1001,0),0),1)),INDEX($P$2:$P$1001,MATCH(ROWS($K$2:K370),$K$2:$K$1001,0),0)))</f>
        <v>0</v>
      </c>
      <c r="B370" s="3">
        <f>IF(OR(INDEX($L$2:$L$1001,MATCH(ROWS($K$2:K370),$K$2:$K$1001,0),1)&gt;=100000,INDEX($R$1005:$W$1005,1,MATCH(COLUMNS($R$1006:R1006),$R$1006:$W$1006,0))&gt;=100000), " ",IF(INDEX($R$2:$W$1001,MATCH(ROWS($K$2:K370),$K$2:$K$1001,0),MATCH(COLUMNS($R$1006:R1006),$R$1006:$W$1006,0)), HYPERLINK("#",""), HYPERLINK(CONCATENATE("#Metadata!", ADDRESS(INDEX($M$2:$M$1001,MATCH(ROWS($K$2:K370),$K$2:$K$1001,0),0), INDEX($R$1004:$W$1004,1,MATCH(COLUMNS($R$1006:R1006),$R$1006:$W$1006,0)))),"Fix")))</f>
        <v>0</v>
      </c>
      <c r="C370" s="3">
        <f>IF(OR(INDEX($L$2:$L$1001,MATCH(ROWS($K$2:K370),$K$2:$K$1001,0),1)&gt;=100000,INDEX($R$1005:$W$1005,1,MATCH(COLUMNS($R$1006:S1006),$R$1006:$W$1006,0))&gt;=100000), " ",IF(INDEX($R$2:$W$1001,MATCH(ROWS($K$2:K370),$K$2:$K$1001,0),MATCH(COLUMNS($R$1006:S1006),$R$1006:$W$1006,0)), HYPERLINK("#",""), HYPERLINK(CONCATENATE("#Metadata!", ADDRESS(INDEX($M$2:$M$1001,MATCH(ROWS($K$2:K370),$K$2:$K$1001,0),0), INDEX($R$1004:$W$1004,1,MATCH(COLUMNS($R$1006:S1006),$R$1006:$W$1006,0)))),"Fix")))</f>
        <v>0</v>
      </c>
      <c r="D370" s="3">
        <f>IF(OR(INDEX($L$2:$L$1001,MATCH(ROWS($K$2:K370),$K$2:$K$1001,0),1)&gt;=100000,INDEX($R$1005:$W$1005,1,MATCH(COLUMNS($R$1006:T1006),$R$1006:$W$1006,0))&gt;=100000), " ",IF(INDEX($R$2:$W$1001,MATCH(ROWS($K$2:K370),$K$2:$K$1001,0),MATCH(COLUMNS($R$1006:T1006),$R$1006:$W$1006,0)), HYPERLINK("#",""), HYPERLINK(CONCATENATE("#Metadata!", ADDRESS(INDEX($M$2:$M$1001,MATCH(ROWS($K$2:K370),$K$2:$K$1001,0),0), INDEX($R$1004:$W$1004,1,MATCH(COLUMNS($R$1006:T1006),$R$1006:$W$1006,0)))),"Fix")))</f>
        <v>0</v>
      </c>
      <c r="E370" s="3">
        <f>IF(OR(INDEX($L$2:$L$1001,MATCH(ROWS($K$2:K370),$K$2:$K$1001,0),1)&gt;=100000,INDEX($R$1005:$W$1005,1,MATCH(COLUMNS($R$1006:U1006),$R$1006:$W$1006,0))&gt;=100000), " ",IF(INDEX($R$2:$W$1001,MATCH(ROWS($K$2:K370),$K$2:$K$1001,0),MATCH(COLUMNS($R$1006:U1006),$R$1006:$W$1006,0)), HYPERLINK("#",""), HYPERLINK(CONCATENATE("#Metadata!", ADDRESS(INDEX($M$2:$M$1001,MATCH(ROWS($K$2:K370),$K$2:$K$1001,0),0), INDEX($R$1004:$W$1004,1,MATCH(COLUMNS($R$1006:U1006),$R$1006:$W$1006,0)))),"Fix")))</f>
        <v>0</v>
      </c>
      <c r="F370" s="3">
        <f>IF(OR(INDEX($L$2:$L$1001,MATCH(ROWS($K$2:K370),$K$2:$K$1001,0),1)&gt;=100000,INDEX($R$1005:$W$1005,1,MATCH(COLUMNS($R$1006:V1006),$R$1006:$W$1006,0))&gt;=100000), " ",IF(INDEX($R$2:$W$1001,MATCH(ROWS($K$2:K370),$K$2:$K$1001,0),MATCH(COLUMNS($R$1006:V1006),$R$1006:$W$1006,0)), HYPERLINK("#",""), HYPERLINK(CONCATENATE("#Metadata!", ADDRESS(INDEX($M$2:$M$1001,MATCH(ROWS($K$2:K370),$K$2:$K$1001,0),0), INDEX($R$1004:$W$1004,1,MATCH(COLUMNS($R$1006:V1006),$R$1006:$W$1006,0)))),"Fix")))</f>
        <v>0</v>
      </c>
      <c r="G370" s="3">
        <f>IF(OR(INDEX($L$2:$L$1001,MATCH(ROWS($K$2:K370),$K$2:$K$1001,0),1)&gt;=100000,INDEX($R$1005:$W$1005,1,MATCH(COLUMNS($R$1006:W1006),$R$1006:$W$1006,0))&gt;=100000), " ",IF(INDEX($R$2:$W$1001,MATCH(ROWS($K$2:K370),$K$2:$K$1001,0),MATCH(COLUMNS($R$1006:W1006),$R$1006:$W$1006,0)), HYPERLINK("#",""), HYPERLINK(CONCATENATE("#Metadata!", ADDRESS(INDEX($M$2:$M$1001,MATCH(ROWS($K$2:K370),$K$2:$K$1001,0),0), INDEX($R$1004:$W$1004,1,MATCH(COLUMNS($R$1006:W1006),$R$1006:$W$1006,0)))),"Fix")))</f>
        <v>0</v>
      </c>
      <c r="K370">
        <v>0</v>
      </c>
      <c r="L370">
        <v>0</v>
      </c>
      <c r="M370">
        <v>0</v>
      </c>
      <c r="N370">
        <f>IF(O370,TRUE,AND(R370:W370))</f>
        <v>0</v>
      </c>
      <c r="O370">
        <f>COUNTBLANK(Metadata!B370:G370)=COLUMNS(Metadata!B370:G370)</f>
        <v>0</v>
      </c>
      <c r="P370">
        <v>0</v>
      </c>
      <c r="R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S370">
        <f>IF(Metadata!C370="",FALSE,TRUE)</f>
        <v>0</v>
      </c>
      <c r="T370">
        <f>IF(Metadata!D370="",FALSE,TRUE)</f>
        <v>0</v>
      </c>
      <c r="U370">
        <f>IF(Metadata!E370="",FALSE,TRUE)</f>
        <v>0</v>
      </c>
      <c r="V370">
        <f>AND(IF(Metadata!F370="",FALSE,TRUE),exact(Metadata!F370,"rat gut metagenome"))</f>
        <v>0</v>
      </c>
      <c r="W370">
        <f>AND(IF(Metadata!G370="",FALSE,TRUE),exact(Metadata!G370,"1436733"))</f>
        <v>0</v>
      </c>
    </row>
    <row r="371" spans="1:23">
      <c r="A371" s="4">
        <f>IF(B371=" "," ",HYPERLINK(CONCATENATE("#metadata!",ADDRESS(INDEX($M$2:$M$1001,MATCH(ROWS($K$2:K371),$K$2:$K$1001,0),0),1)),INDEX($P$2:$P$1001,MATCH(ROWS($K$2:K371),$K$2:$K$1001,0),0)))</f>
        <v>0</v>
      </c>
      <c r="B371" s="3">
        <f>IF(OR(INDEX($L$2:$L$1001,MATCH(ROWS($K$2:K371),$K$2:$K$1001,0),1)&gt;=100000,INDEX($R$1005:$W$1005,1,MATCH(COLUMNS($R$1006:R1006),$R$1006:$W$1006,0))&gt;=100000), " ",IF(INDEX($R$2:$W$1001,MATCH(ROWS($K$2:K371),$K$2:$K$1001,0),MATCH(COLUMNS($R$1006:R1006),$R$1006:$W$1006,0)), HYPERLINK("#",""), HYPERLINK(CONCATENATE("#Metadata!", ADDRESS(INDEX($M$2:$M$1001,MATCH(ROWS($K$2:K371),$K$2:$K$1001,0),0), INDEX($R$1004:$W$1004,1,MATCH(COLUMNS($R$1006:R1006),$R$1006:$W$1006,0)))),"Fix")))</f>
        <v>0</v>
      </c>
      <c r="C371" s="3">
        <f>IF(OR(INDEX($L$2:$L$1001,MATCH(ROWS($K$2:K371),$K$2:$K$1001,0),1)&gt;=100000,INDEX($R$1005:$W$1005,1,MATCH(COLUMNS($R$1006:S1006),$R$1006:$W$1006,0))&gt;=100000), " ",IF(INDEX($R$2:$W$1001,MATCH(ROWS($K$2:K371),$K$2:$K$1001,0),MATCH(COLUMNS($R$1006:S1006),$R$1006:$W$1006,0)), HYPERLINK("#",""), HYPERLINK(CONCATENATE("#Metadata!", ADDRESS(INDEX($M$2:$M$1001,MATCH(ROWS($K$2:K371),$K$2:$K$1001,0),0), INDEX($R$1004:$W$1004,1,MATCH(COLUMNS($R$1006:S1006),$R$1006:$W$1006,0)))),"Fix")))</f>
        <v>0</v>
      </c>
      <c r="D371" s="3">
        <f>IF(OR(INDEX($L$2:$L$1001,MATCH(ROWS($K$2:K371),$K$2:$K$1001,0),1)&gt;=100000,INDEX($R$1005:$W$1005,1,MATCH(COLUMNS($R$1006:T1006),$R$1006:$W$1006,0))&gt;=100000), " ",IF(INDEX($R$2:$W$1001,MATCH(ROWS($K$2:K371),$K$2:$K$1001,0),MATCH(COLUMNS($R$1006:T1006),$R$1006:$W$1006,0)), HYPERLINK("#",""), HYPERLINK(CONCATENATE("#Metadata!", ADDRESS(INDEX($M$2:$M$1001,MATCH(ROWS($K$2:K371),$K$2:$K$1001,0),0), INDEX($R$1004:$W$1004,1,MATCH(COLUMNS($R$1006:T1006),$R$1006:$W$1006,0)))),"Fix")))</f>
        <v>0</v>
      </c>
      <c r="E371" s="3">
        <f>IF(OR(INDEX($L$2:$L$1001,MATCH(ROWS($K$2:K371),$K$2:$K$1001,0),1)&gt;=100000,INDEX($R$1005:$W$1005,1,MATCH(COLUMNS($R$1006:U1006),$R$1006:$W$1006,0))&gt;=100000), " ",IF(INDEX($R$2:$W$1001,MATCH(ROWS($K$2:K371),$K$2:$K$1001,0),MATCH(COLUMNS($R$1006:U1006),$R$1006:$W$1006,0)), HYPERLINK("#",""), HYPERLINK(CONCATENATE("#Metadata!", ADDRESS(INDEX($M$2:$M$1001,MATCH(ROWS($K$2:K371),$K$2:$K$1001,0),0), INDEX($R$1004:$W$1004,1,MATCH(COLUMNS($R$1006:U1006),$R$1006:$W$1006,0)))),"Fix")))</f>
        <v>0</v>
      </c>
      <c r="F371" s="3">
        <f>IF(OR(INDEX($L$2:$L$1001,MATCH(ROWS($K$2:K371),$K$2:$K$1001,0),1)&gt;=100000,INDEX($R$1005:$W$1005,1,MATCH(COLUMNS($R$1006:V1006),$R$1006:$W$1006,0))&gt;=100000), " ",IF(INDEX($R$2:$W$1001,MATCH(ROWS($K$2:K371),$K$2:$K$1001,0),MATCH(COLUMNS($R$1006:V1006),$R$1006:$W$1006,0)), HYPERLINK("#",""), HYPERLINK(CONCATENATE("#Metadata!", ADDRESS(INDEX($M$2:$M$1001,MATCH(ROWS($K$2:K371),$K$2:$K$1001,0),0), INDEX($R$1004:$W$1004,1,MATCH(COLUMNS($R$1006:V1006),$R$1006:$W$1006,0)))),"Fix")))</f>
        <v>0</v>
      </c>
      <c r="G371" s="3">
        <f>IF(OR(INDEX($L$2:$L$1001,MATCH(ROWS($K$2:K371),$K$2:$K$1001,0),1)&gt;=100000,INDEX($R$1005:$W$1005,1,MATCH(COLUMNS($R$1006:W1006),$R$1006:$W$1006,0))&gt;=100000), " ",IF(INDEX($R$2:$W$1001,MATCH(ROWS($K$2:K371),$K$2:$K$1001,0),MATCH(COLUMNS($R$1006:W1006),$R$1006:$W$1006,0)), HYPERLINK("#",""), HYPERLINK(CONCATENATE("#Metadata!", ADDRESS(INDEX($M$2:$M$1001,MATCH(ROWS($K$2:K371),$K$2:$K$1001,0),0), INDEX($R$1004:$W$1004,1,MATCH(COLUMNS($R$1006:W1006),$R$1006:$W$1006,0)))),"Fix")))</f>
        <v>0</v>
      </c>
      <c r="K371">
        <v>0</v>
      </c>
      <c r="L371">
        <v>0</v>
      </c>
      <c r="M371">
        <v>0</v>
      </c>
      <c r="N371">
        <f>IF(O371,TRUE,AND(R371:W371))</f>
        <v>0</v>
      </c>
      <c r="O371">
        <f>COUNTBLANK(Metadata!B371:G371)=COLUMNS(Metadata!B371:G371)</f>
        <v>0</v>
      </c>
      <c r="P371">
        <v>0</v>
      </c>
      <c r="R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S371">
        <f>IF(Metadata!C371="",FALSE,TRUE)</f>
        <v>0</v>
      </c>
      <c r="T371">
        <f>IF(Metadata!D371="",FALSE,TRUE)</f>
        <v>0</v>
      </c>
      <c r="U371">
        <f>IF(Metadata!E371="",FALSE,TRUE)</f>
        <v>0</v>
      </c>
      <c r="V371">
        <f>AND(IF(Metadata!F371="",FALSE,TRUE),exact(Metadata!F371,"rat gut metagenome"))</f>
        <v>0</v>
      </c>
      <c r="W371">
        <f>AND(IF(Metadata!G371="",FALSE,TRUE),exact(Metadata!G371,"1436733"))</f>
        <v>0</v>
      </c>
    </row>
    <row r="372" spans="1:23">
      <c r="A372" s="4">
        <f>IF(B372=" "," ",HYPERLINK(CONCATENATE("#metadata!",ADDRESS(INDEX($M$2:$M$1001,MATCH(ROWS($K$2:K372),$K$2:$K$1001,0),0),1)),INDEX($P$2:$P$1001,MATCH(ROWS($K$2:K372),$K$2:$K$1001,0),0)))</f>
        <v>0</v>
      </c>
      <c r="B372" s="3">
        <f>IF(OR(INDEX($L$2:$L$1001,MATCH(ROWS($K$2:K372),$K$2:$K$1001,0),1)&gt;=100000,INDEX($R$1005:$W$1005,1,MATCH(COLUMNS($R$1006:R1006),$R$1006:$W$1006,0))&gt;=100000), " ",IF(INDEX($R$2:$W$1001,MATCH(ROWS($K$2:K372),$K$2:$K$1001,0),MATCH(COLUMNS($R$1006:R1006),$R$1006:$W$1006,0)), HYPERLINK("#",""), HYPERLINK(CONCATENATE("#Metadata!", ADDRESS(INDEX($M$2:$M$1001,MATCH(ROWS($K$2:K372),$K$2:$K$1001,0),0), INDEX($R$1004:$W$1004,1,MATCH(COLUMNS($R$1006:R1006),$R$1006:$W$1006,0)))),"Fix")))</f>
        <v>0</v>
      </c>
      <c r="C372" s="3">
        <f>IF(OR(INDEX($L$2:$L$1001,MATCH(ROWS($K$2:K372),$K$2:$K$1001,0),1)&gt;=100000,INDEX($R$1005:$W$1005,1,MATCH(COLUMNS($R$1006:S1006),$R$1006:$W$1006,0))&gt;=100000), " ",IF(INDEX($R$2:$W$1001,MATCH(ROWS($K$2:K372),$K$2:$K$1001,0),MATCH(COLUMNS($R$1006:S1006),$R$1006:$W$1006,0)), HYPERLINK("#",""), HYPERLINK(CONCATENATE("#Metadata!", ADDRESS(INDEX($M$2:$M$1001,MATCH(ROWS($K$2:K372),$K$2:$K$1001,0),0), INDEX($R$1004:$W$1004,1,MATCH(COLUMNS($R$1006:S1006),$R$1006:$W$1006,0)))),"Fix")))</f>
        <v>0</v>
      </c>
      <c r="D372" s="3">
        <f>IF(OR(INDEX($L$2:$L$1001,MATCH(ROWS($K$2:K372),$K$2:$K$1001,0),1)&gt;=100000,INDEX($R$1005:$W$1005,1,MATCH(COLUMNS($R$1006:T1006),$R$1006:$W$1006,0))&gt;=100000), " ",IF(INDEX($R$2:$W$1001,MATCH(ROWS($K$2:K372),$K$2:$K$1001,0),MATCH(COLUMNS($R$1006:T1006),$R$1006:$W$1006,0)), HYPERLINK("#",""), HYPERLINK(CONCATENATE("#Metadata!", ADDRESS(INDEX($M$2:$M$1001,MATCH(ROWS($K$2:K372),$K$2:$K$1001,0),0), INDEX($R$1004:$W$1004,1,MATCH(COLUMNS($R$1006:T1006),$R$1006:$W$1006,0)))),"Fix")))</f>
        <v>0</v>
      </c>
      <c r="E372" s="3">
        <f>IF(OR(INDEX($L$2:$L$1001,MATCH(ROWS($K$2:K372),$K$2:$K$1001,0),1)&gt;=100000,INDEX($R$1005:$W$1005,1,MATCH(COLUMNS($R$1006:U1006),$R$1006:$W$1006,0))&gt;=100000), " ",IF(INDEX($R$2:$W$1001,MATCH(ROWS($K$2:K372),$K$2:$K$1001,0),MATCH(COLUMNS($R$1006:U1006),$R$1006:$W$1006,0)), HYPERLINK("#",""), HYPERLINK(CONCATENATE("#Metadata!", ADDRESS(INDEX($M$2:$M$1001,MATCH(ROWS($K$2:K372),$K$2:$K$1001,0),0), INDEX($R$1004:$W$1004,1,MATCH(COLUMNS($R$1006:U1006),$R$1006:$W$1006,0)))),"Fix")))</f>
        <v>0</v>
      </c>
      <c r="F372" s="3">
        <f>IF(OR(INDEX($L$2:$L$1001,MATCH(ROWS($K$2:K372),$K$2:$K$1001,0),1)&gt;=100000,INDEX($R$1005:$W$1005,1,MATCH(COLUMNS($R$1006:V1006),$R$1006:$W$1006,0))&gt;=100000), " ",IF(INDEX($R$2:$W$1001,MATCH(ROWS($K$2:K372),$K$2:$K$1001,0),MATCH(COLUMNS($R$1006:V1006),$R$1006:$W$1006,0)), HYPERLINK("#",""), HYPERLINK(CONCATENATE("#Metadata!", ADDRESS(INDEX($M$2:$M$1001,MATCH(ROWS($K$2:K372),$K$2:$K$1001,0),0), INDEX($R$1004:$W$1004,1,MATCH(COLUMNS($R$1006:V1006),$R$1006:$W$1006,0)))),"Fix")))</f>
        <v>0</v>
      </c>
      <c r="G372" s="3">
        <f>IF(OR(INDEX($L$2:$L$1001,MATCH(ROWS($K$2:K372),$K$2:$K$1001,0),1)&gt;=100000,INDEX($R$1005:$W$1005,1,MATCH(COLUMNS($R$1006:W1006),$R$1006:$W$1006,0))&gt;=100000), " ",IF(INDEX($R$2:$W$1001,MATCH(ROWS($K$2:K372),$K$2:$K$1001,0),MATCH(COLUMNS($R$1006:W1006),$R$1006:$W$1006,0)), HYPERLINK("#",""), HYPERLINK(CONCATENATE("#Metadata!", ADDRESS(INDEX($M$2:$M$1001,MATCH(ROWS($K$2:K372),$K$2:$K$1001,0),0), INDEX($R$1004:$W$1004,1,MATCH(COLUMNS($R$1006:W1006),$R$1006:$W$1006,0)))),"Fix")))</f>
        <v>0</v>
      </c>
      <c r="K372">
        <v>0</v>
      </c>
      <c r="L372">
        <v>0</v>
      </c>
      <c r="M372">
        <v>0</v>
      </c>
      <c r="N372">
        <f>IF(O372,TRUE,AND(R372:W372))</f>
        <v>0</v>
      </c>
      <c r="O372">
        <f>COUNTBLANK(Metadata!B372:G372)=COLUMNS(Metadata!B372:G372)</f>
        <v>0</v>
      </c>
      <c r="P372">
        <v>0</v>
      </c>
      <c r="R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S372">
        <f>IF(Metadata!C372="",FALSE,TRUE)</f>
        <v>0</v>
      </c>
      <c r="T372">
        <f>IF(Metadata!D372="",FALSE,TRUE)</f>
        <v>0</v>
      </c>
      <c r="U372">
        <f>IF(Metadata!E372="",FALSE,TRUE)</f>
        <v>0</v>
      </c>
      <c r="V372">
        <f>AND(IF(Metadata!F372="",FALSE,TRUE),exact(Metadata!F372,"rat gut metagenome"))</f>
        <v>0</v>
      </c>
      <c r="W372">
        <f>AND(IF(Metadata!G372="",FALSE,TRUE),exact(Metadata!G372,"1436733"))</f>
        <v>0</v>
      </c>
    </row>
    <row r="373" spans="1:23">
      <c r="A373" s="4">
        <f>IF(B373=" "," ",HYPERLINK(CONCATENATE("#metadata!",ADDRESS(INDEX($M$2:$M$1001,MATCH(ROWS($K$2:K373),$K$2:$K$1001,0),0),1)),INDEX($P$2:$P$1001,MATCH(ROWS($K$2:K373),$K$2:$K$1001,0),0)))</f>
        <v>0</v>
      </c>
      <c r="B373" s="3">
        <f>IF(OR(INDEX($L$2:$L$1001,MATCH(ROWS($K$2:K373),$K$2:$K$1001,0),1)&gt;=100000,INDEX($R$1005:$W$1005,1,MATCH(COLUMNS($R$1006:R1006),$R$1006:$W$1006,0))&gt;=100000), " ",IF(INDEX($R$2:$W$1001,MATCH(ROWS($K$2:K373),$K$2:$K$1001,0),MATCH(COLUMNS($R$1006:R1006),$R$1006:$W$1006,0)), HYPERLINK("#",""), HYPERLINK(CONCATENATE("#Metadata!", ADDRESS(INDEX($M$2:$M$1001,MATCH(ROWS($K$2:K373),$K$2:$K$1001,0),0), INDEX($R$1004:$W$1004,1,MATCH(COLUMNS($R$1006:R1006),$R$1006:$W$1006,0)))),"Fix")))</f>
        <v>0</v>
      </c>
      <c r="C373" s="3">
        <f>IF(OR(INDEX($L$2:$L$1001,MATCH(ROWS($K$2:K373),$K$2:$K$1001,0),1)&gt;=100000,INDEX($R$1005:$W$1005,1,MATCH(COLUMNS($R$1006:S1006),$R$1006:$W$1006,0))&gt;=100000), " ",IF(INDEX($R$2:$W$1001,MATCH(ROWS($K$2:K373),$K$2:$K$1001,0),MATCH(COLUMNS($R$1006:S1006),$R$1006:$W$1006,0)), HYPERLINK("#",""), HYPERLINK(CONCATENATE("#Metadata!", ADDRESS(INDEX($M$2:$M$1001,MATCH(ROWS($K$2:K373),$K$2:$K$1001,0),0), INDEX($R$1004:$W$1004,1,MATCH(COLUMNS($R$1006:S1006),$R$1006:$W$1006,0)))),"Fix")))</f>
        <v>0</v>
      </c>
      <c r="D373" s="3">
        <f>IF(OR(INDEX($L$2:$L$1001,MATCH(ROWS($K$2:K373),$K$2:$K$1001,0),1)&gt;=100000,INDEX($R$1005:$W$1005,1,MATCH(COLUMNS($R$1006:T1006),$R$1006:$W$1006,0))&gt;=100000), " ",IF(INDEX($R$2:$W$1001,MATCH(ROWS($K$2:K373),$K$2:$K$1001,0),MATCH(COLUMNS($R$1006:T1006),$R$1006:$W$1006,0)), HYPERLINK("#",""), HYPERLINK(CONCATENATE("#Metadata!", ADDRESS(INDEX($M$2:$M$1001,MATCH(ROWS($K$2:K373),$K$2:$K$1001,0),0), INDEX($R$1004:$W$1004,1,MATCH(COLUMNS($R$1006:T1006),$R$1006:$W$1006,0)))),"Fix")))</f>
        <v>0</v>
      </c>
      <c r="E373" s="3">
        <f>IF(OR(INDEX($L$2:$L$1001,MATCH(ROWS($K$2:K373),$K$2:$K$1001,0),1)&gt;=100000,INDEX($R$1005:$W$1005,1,MATCH(COLUMNS($R$1006:U1006),$R$1006:$W$1006,0))&gt;=100000), " ",IF(INDEX($R$2:$W$1001,MATCH(ROWS($K$2:K373),$K$2:$K$1001,0),MATCH(COLUMNS($R$1006:U1006),$R$1006:$W$1006,0)), HYPERLINK("#",""), HYPERLINK(CONCATENATE("#Metadata!", ADDRESS(INDEX($M$2:$M$1001,MATCH(ROWS($K$2:K373),$K$2:$K$1001,0),0), INDEX($R$1004:$W$1004,1,MATCH(COLUMNS($R$1006:U1006),$R$1006:$W$1006,0)))),"Fix")))</f>
        <v>0</v>
      </c>
      <c r="F373" s="3">
        <f>IF(OR(INDEX($L$2:$L$1001,MATCH(ROWS($K$2:K373),$K$2:$K$1001,0),1)&gt;=100000,INDEX($R$1005:$W$1005,1,MATCH(COLUMNS($R$1006:V1006),$R$1006:$W$1006,0))&gt;=100000), " ",IF(INDEX($R$2:$W$1001,MATCH(ROWS($K$2:K373),$K$2:$K$1001,0),MATCH(COLUMNS($R$1006:V1006),$R$1006:$W$1006,0)), HYPERLINK("#",""), HYPERLINK(CONCATENATE("#Metadata!", ADDRESS(INDEX($M$2:$M$1001,MATCH(ROWS($K$2:K373),$K$2:$K$1001,0),0), INDEX($R$1004:$W$1004,1,MATCH(COLUMNS($R$1006:V1006),$R$1006:$W$1006,0)))),"Fix")))</f>
        <v>0</v>
      </c>
      <c r="G373" s="3">
        <f>IF(OR(INDEX($L$2:$L$1001,MATCH(ROWS($K$2:K373),$K$2:$K$1001,0),1)&gt;=100000,INDEX($R$1005:$W$1005,1,MATCH(COLUMNS($R$1006:W1006),$R$1006:$W$1006,0))&gt;=100000), " ",IF(INDEX($R$2:$W$1001,MATCH(ROWS($K$2:K373),$K$2:$K$1001,0),MATCH(COLUMNS($R$1006:W1006),$R$1006:$W$1006,0)), HYPERLINK("#",""), HYPERLINK(CONCATENATE("#Metadata!", ADDRESS(INDEX($M$2:$M$1001,MATCH(ROWS($K$2:K373),$K$2:$K$1001,0),0), INDEX($R$1004:$W$1004,1,MATCH(COLUMNS($R$1006:W1006),$R$1006:$W$1006,0)))),"Fix")))</f>
        <v>0</v>
      </c>
      <c r="K373">
        <v>0</v>
      </c>
      <c r="L373">
        <v>0</v>
      </c>
      <c r="M373">
        <v>0</v>
      </c>
      <c r="N373">
        <f>IF(O373,TRUE,AND(R373:W373))</f>
        <v>0</v>
      </c>
      <c r="O373">
        <f>COUNTBLANK(Metadata!B373:G373)=COLUMNS(Metadata!B373:G373)</f>
        <v>0</v>
      </c>
      <c r="P373">
        <v>0</v>
      </c>
      <c r="R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S373">
        <f>IF(Metadata!C373="",FALSE,TRUE)</f>
        <v>0</v>
      </c>
      <c r="T373">
        <f>IF(Metadata!D373="",FALSE,TRUE)</f>
        <v>0</v>
      </c>
      <c r="U373">
        <f>IF(Metadata!E373="",FALSE,TRUE)</f>
        <v>0</v>
      </c>
      <c r="V373">
        <f>AND(IF(Metadata!F373="",FALSE,TRUE),exact(Metadata!F373,"rat gut metagenome"))</f>
        <v>0</v>
      </c>
      <c r="W373">
        <f>AND(IF(Metadata!G373="",FALSE,TRUE),exact(Metadata!G373,"1436733"))</f>
        <v>0</v>
      </c>
    </row>
    <row r="374" spans="1:23">
      <c r="A374" s="4">
        <f>IF(B374=" "," ",HYPERLINK(CONCATENATE("#metadata!",ADDRESS(INDEX($M$2:$M$1001,MATCH(ROWS($K$2:K374),$K$2:$K$1001,0),0),1)),INDEX($P$2:$P$1001,MATCH(ROWS($K$2:K374),$K$2:$K$1001,0),0)))</f>
        <v>0</v>
      </c>
      <c r="B374" s="3">
        <f>IF(OR(INDEX($L$2:$L$1001,MATCH(ROWS($K$2:K374),$K$2:$K$1001,0),1)&gt;=100000,INDEX($R$1005:$W$1005,1,MATCH(COLUMNS($R$1006:R1006),$R$1006:$W$1006,0))&gt;=100000), " ",IF(INDEX($R$2:$W$1001,MATCH(ROWS($K$2:K374),$K$2:$K$1001,0),MATCH(COLUMNS($R$1006:R1006),$R$1006:$W$1006,0)), HYPERLINK("#",""), HYPERLINK(CONCATENATE("#Metadata!", ADDRESS(INDEX($M$2:$M$1001,MATCH(ROWS($K$2:K374),$K$2:$K$1001,0),0), INDEX($R$1004:$W$1004,1,MATCH(COLUMNS($R$1006:R1006),$R$1006:$W$1006,0)))),"Fix")))</f>
        <v>0</v>
      </c>
      <c r="C374" s="3">
        <f>IF(OR(INDEX($L$2:$L$1001,MATCH(ROWS($K$2:K374),$K$2:$K$1001,0),1)&gt;=100000,INDEX($R$1005:$W$1005,1,MATCH(COLUMNS($R$1006:S1006),$R$1006:$W$1006,0))&gt;=100000), " ",IF(INDEX($R$2:$W$1001,MATCH(ROWS($K$2:K374),$K$2:$K$1001,0),MATCH(COLUMNS($R$1006:S1006),$R$1006:$W$1006,0)), HYPERLINK("#",""), HYPERLINK(CONCATENATE("#Metadata!", ADDRESS(INDEX($M$2:$M$1001,MATCH(ROWS($K$2:K374),$K$2:$K$1001,0),0), INDEX($R$1004:$W$1004,1,MATCH(COLUMNS($R$1006:S1006),$R$1006:$W$1006,0)))),"Fix")))</f>
        <v>0</v>
      </c>
      <c r="D374" s="3">
        <f>IF(OR(INDEX($L$2:$L$1001,MATCH(ROWS($K$2:K374),$K$2:$K$1001,0),1)&gt;=100000,INDEX($R$1005:$W$1005,1,MATCH(COLUMNS($R$1006:T1006),$R$1006:$W$1006,0))&gt;=100000), " ",IF(INDEX($R$2:$W$1001,MATCH(ROWS($K$2:K374),$K$2:$K$1001,0),MATCH(COLUMNS($R$1006:T1006),$R$1006:$W$1006,0)), HYPERLINK("#",""), HYPERLINK(CONCATENATE("#Metadata!", ADDRESS(INDEX($M$2:$M$1001,MATCH(ROWS($K$2:K374),$K$2:$K$1001,0),0), INDEX($R$1004:$W$1004,1,MATCH(COLUMNS($R$1006:T1006),$R$1006:$W$1006,0)))),"Fix")))</f>
        <v>0</v>
      </c>
      <c r="E374" s="3">
        <f>IF(OR(INDEX($L$2:$L$1001,MATCH(ROWS($K$2:K374),$K$2:$K$1001,0),1)&gt;=100000,INDEX($R$1005:$W$1005,1,MATCH(COLUMNS($R$1006:U1006),$R$1006:$W$1006,0))&gt;=100000), " ",IF(INDEX($R$2:$W$1001,MATCH(ROWS($K$2:K374),$K$2:$K$1001,0),MATCH(COLUMNS($R$1006:U1006),$R$1006:$W$1006,0)), HYPERLINK("#",""), HYPERLINK(CONCATENATE("#Metadata!", ADDRESS(INDEX($M$2:$M$1001,MATCH(ROWS($K$2:K374),$K$2:$K$1001,0),0), INDEX($R$1004:$W$1004,1,MATCH(COLUMNS($R$1006:U1006),$R$1006:$W$1006,0)))),"Fix")))</f>
        <v>0</v>
      </c>
      <c r="F374" s="3">
        <f>IF(OR(INDEX($L$2:$L$1001,MATCH(ROWS($K$2:K374),$K$2:$K$1001,0),1)&gt;=100000,INDEX($R$1005:$W$1005,1,MATCH(COLUMNS($R$1006:V1006),$R$1006:$W$1006,0))&gt;=100000), " ",IF(INDEX($R$2:$W$1001,MATCH(ROWS($K$2:K374),$K$2:$K$1001,0),MATCH(COLUMNS($R$1006:V1006),$R$1006:$W$1006,0)), HYPERLINK("#",""), HYPERLINK(CONCATENATE("#Metadata!", ADDRESS(INDEX($M$2:$M$1001,MATCH(ROWS($K$2:K374),$K$2:$K$1001,0),0), INDEX($R$1004:$W$1004,1,MATCH(COLUMNS($R$1006:V1006),$R$1006:$W$1006,0)))),"Fix")))</f>
        <v>0</v>
      </c>
      <c r="G374" s="3">
        <f>IF(OR(INDEX($L$2:$L$1001,MATCH(ROWS($K$2:K374),$K$2:$K$1001,0),1)&gt;=100000,INDEX($R$1005:$W$1005,1,MATCH(COLUMNS($R$1006:W1006),$R$1006:$W$1006,0))&gt;=100000), " ",IF(INDEX($R$2:$W$1001,MATCH(ROWS($K$2:K374),$K$2:$K$1001,0),MATCH(COLUMNS($R$1006:W1006),$R$1006:$W$1006,0)), HYPERLINK("#",""), HYPERLINK(CONCATENATE("#Metadata!", ADDRESS(INDEX($M$2:$M$1001,MATCH(ROWS($K$2:K374),$K$2:$K$1001,0),0), INDEX($R$1004:$W$1004,1,MATCH(COLUMNS($R$1006:W1006),$R$1006:$W$1006,0)))),"Fix")))</f>
        <v>0</v>
      </c>
      <c r="K374">
        <v>0</v>
      </c>
      <c r="L374">
        <v>0</v>
      </c>
      <c r="M374">
        <v>0</v>
      </c>
      <c r="N374">
        <f>IF(O374,TRUE,AND(R374:W374))</f>
        <v>0</v>
      </c>
      <c r="O374">
        <f>COUNTBLANK(Metadata!B374:G374)=COLUMNS(Metadata!B374:G374)</f>
        <v>0</v>
      </c>
      <c r="P374">
        <v>0</v>
      </c>
      <c r="R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S374">
        <f>IF(Metadata!C374="",FALSE,TRUE)</f>
        <v>0</v>
      </c>
      <c r="T374">
        <f>IF(Metadata!D374="",FALSE,TRUE)</f>
        <v>0</v>
      </c>
      <c r="U374">
        <f>IF(Metadata!E374="",FALSE,TRUE)</f>
        <v>0</v>
      </c>
      <c r="V374">
        <f>AND(IF(Metadata!F374="",FALSE,TRUE),exact(Metadata!F374,"rat gut metagenome"))</f>
        <v>0</v>
      </c>
      <c r="W374">
        <f>AND(IF(Metadata!G374="",FALSE,TRUE),exact(Metadata!G374,"1436733"))</f>
        <v>0</v>
      </c>
    </row>
    <row r="375" spans="1:23">
      <c r="A375" s="4">
        <f>IF(B375=" "," ",HYPERLINK(CONCATENATE("#metadata!",ADDRESS(INDEX($M$2:$M$1001,MATCH(ROWS($K$2:K375),$K$2:$K$1001,0),0),1)),INDEX($P$2:$P$1001,MATCH(ROWS($K$2:K375),$K$2:$K$1001,0),0)))</f>
        <v>0</v>
      </c>
      <c r="B375" s="3">
        <f>IF(OR(INDEX($L$2:$L$1001,MATCH(ROWS($K$2:K375),$K$2:$K$1001,0),1)&gt;=100000,INDEX($R$1005:$W$1005,1,MATCH(COLUMNS($R$1006:R1006),$R$1006:$W$1006,0))&gt;=100000), " ",IF(INDEX($R$2:$W$1001,MATCH(ROWS($K$2:K375),$K$2:$K$1001,0),MATCH(COLUMNS($R$1006:R1006),$R$1006:$W$1006,0)), HYPERLINK("#",""), HYPERLINK(CONCATENATE("#Metadata!", ADDRESS(INDEX($M$2:$M$1001,MATCH(ROWS($K$2:K375),$K$2:$K$1001,0),0), INDEX($R$1004:$W$1004,1,MATCH(COLUMNS($R$1006:R1006),$R$1006:$W$1006,0)))),"Fix")))</f>
        <v>0</v>
      </c>
      <c r="C375" s="3">
        <f>IF(OR(INDEX($L$2:$L$1001,MATCH(ROWS($K$2:K375),$K$2:$K$1001,0),1)&gt;=100000,INDEX($R$1005:$W$1005,1,MATCH(COLUMNS($R$1006:S1006),$R$1006:$W$1006,0))&gt;=100000), " ",IF(INDEX($R$2:$W$1001,MATCH(ROWS($K$2:K375),$K$2:$K$1001,0),MATCH(COLUMNS($R$1006:S1006),$R$1006:$W$1006,0)), HYPERLINK("#",""), HYPERLINK(CONCATENATE("#Metadata!", ADDRESS(INDEX($M$2:$M$1001,MATCH(ROWS($K$2:K375),$K$2:$K$1001,0),0), INDEX($R$1004:$W$1004,1,MATCH(COLUMNS($R$1006:S1006),$R$1006:$W$1006,0)))),"Fix")))</f>
        <v>0</v>
      </c>
      <c r="D375" s="3">
        <f>IF(OR(INDEX($L$2:$L$1001,MATCH(ROWS($K$2:K375),$K$2:$K$1001,0),1)&gt;=100000,INDEX($R$1005:$W$1005,1,MATCH(COLUMNS($R$1006:T1006),$R$1006:$W$1006,0))&gt;=100000), " ",IF(INDEX($R$2:$W$1001,MATCH(ROWS($K$2:K375),$K$2:$K$1001,0),MATCH(COLUMNS($R$1006:T1006),$R$1006:$W$1006,0)), HYPERLINK("#",""), HYPERLINK(CONCATENATE("#Metadata!", ADDRESS(INDEX($M$2:$M$1001,MATCH(ROWS($K$2:K375),$K$2:$K$1001,0),0), INDEX($R$1004:$W$1004,1,MATCH(COLUMNS($R$1006:T1006),$R$1006:$W$1006,0)))),"Fix")))</f>
        <v>0</v>
      </c>
      <c r="E375" s="3">
        <f>IF(OR(INDEX($L$2:$L$1001,MATCH(ROWS($K$2:K375),$K$2:$K$1001,0),1)&gt;=100000,INDEX($R$1005:$W$1005,1,MATCH(COLUMNS($R$1006:U1006),$R$1006:$W$1006,0))&gt;=100000), " ",IF(INDEX($R$2:$W$1001,MATCH(ROWS($K$2:K375),$K$2:$K$1001,0),MATCH(COLUMNS($R$1006:U1006),$R$1006:$W$1006,0)), HYPERLINK("#",""), HYPERLINK(CONCATENATE("#Metadata!", ADDRESS(INDEX($M$2:$M$1001,MATCH(ROWS($K$2:K375),$K$2:$K$1001,0),0), INDEX($R$1004:$W$1004,1,MATCH(COLUMNS($R$1006:U1006),$R$1006:$W$1006,0)))),"Fix")))</f>
        <v>0</v>
      </c>
      <c r="F375" s="3">
        <f>IF(OR(INDEX($L$2:$L$1001,MATCH(ROWS($K$2:K375),$K$2:$K$1001,0),1)&gt;=100000,INDEX($R$1005:$W$1005,1,MATCH(COLUMNS($R$1006:V1006),$R$1006:$W$1006,0))&gt;=100000), " ",IF(INDEX($R$2:$W$1001,MATCH(ROWS($K$2:K375),$K$2:$K$1001,0),MATCH(COLUMNS($R$1006:V1006),$R$1006:$W$1006,0)), HYPERLINK("#",""), HYPERLINK(CONCATENATE("#Metadata!", ADDRESS(INDEX($M$2:$M$1001,MATCH(ROWS($K$2:K375),$K$2:$K$1001,0),0), INDEX($R$1004:$W$1004,1,MATCH(COLUMNS($R$1006:V1006),$R$1006:$W$1006,0)))),"Fix")))</f>
        <v>0</v>
      </c>
      <c r="G375" s="3">
        <f>IF(OR(INDEX($L$2:$L$1001,MATCH(ROWS($K$2:K375),$K$2:$K$1001,0),1)&gt;=100000,INDEX($R$1005:$W$1005,1,MATCH(COLUMNS($R$1006:W1006),$R$1006:$W$1006,0))&gt;=100000), " ",IF(INDEX($R$2:$W$1001,MATCH(ROWS($K$2:K375),$K$2:$K$1001,0),MATCH(COLUMNS($R$1006:W1006),$R$1006:$W$1006,0)), HYPERLINK("#",""), HYPERLINK(CONCATENATE("#Metadata!", ADDRESS(INDEX($M$2:$M$1001,MATCH(ROWS($K$2:K375),$K$2:$K$1001,0),0), INDEX($R$1004:$W$1004,1,MATCH(COLUMNS($R$1006:W1006),$R$1006:$W$1006,0)))),"Fix")))</f>
        <v>0</v>
      </c>
      <c r="K375">
        <v>0</v>
      </c>
      <c r="L375">
        <v>0</v>
      </c>
      <c r="M375">
        <v>0</v>
      </c>
      <c r="N375">
        <f>IF(O375,TRUE,AND(R375:W375))</f>
        <v>0</v>
      </c>
      <c r="O375">
        <f>COUNTBLANK(Metadata!B375:G375)=COLUMNS(Metadata!B375:G375)</f>
        <v>0</v>
      </c>
      <c r="P375">
        <v>0</v>
      </c>
      <c r="R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S375">
        <f>IF(Metadata!C375="",FALSE,TRUE)</f>
        <v>0</v>
      </c>
      <c r="T375">
        <f>IF(Metadata!D375="",FALSE,TRUE)</f>
        <v>0</v>
      </c>
      <c r="U375">
        <f>IF(Metadata!E375="",FALSE,TRUE)</f>
        <v>0</v>
      </c>
      <c r="V375">
        <f>AND(IF(Metadata!F375="",FALSE,TRUE),exact(Metadata!F375,"rat gut metagenome"))</f>
        <v>0</v>
      </c>
      <c r="W375">
        <f>AND(IF(Metadata!G375="",FALSE,TRUE),exact(Metadata!G375,"1436733"))</f>
        <v>0</v>
      </c>
    </row>
    <row r="376" spans="1:23">
      <c r="A376" s="4">
        <f>IF(B376=" "," ",HYPERLINK(CONCATENATE("#metadata!",ADDRESS(INDEX($M$2:$M$1001,MATCH(ROWS($K$2:K376),$K$2:$K$1001,0),0),1)),INDEX($P$2:$P$1001,MATCH(ROWS($K$2:K376),$K$2:$K$1001,0),0)))</f>
        <v>0</v>
      </c>
      <c r="B376" s="3">
        <f>IF(OR(INDEX($L$2:$L$1001,MATCH(ROWS($K$2:K376),$K$2:$K$1001,0),1)&gt;=100000,INDEX($R$1005:$W$1005,1,MATCH(COLUMNS($R$1006:R1006),$R$1006:$W$1006,0))&gt;=100000), " ",IF(INDEX($R$2:$W$1001,MATCH(ROWS($K$2:K376),$K$2:$K$1001,0),MATCH(COLUMNS($R$1006:R1006),$R$1006:$W$1006,0)), HYPERLINK("#",""), HYPERLINK(CONCATENATE("#Metadata!", ADDRESS(INDEX($M$2:$M$1001,MATCH(ROWS($K$2:K376),$K$2:$K$1001,0),0), INDEX($R$1004:$W$1004,1,MATCH(COLUMNS($R$1006:R1006),$R$1006:$W$1006,0)))),"Fix")))</f>
        <v>0</v>
      </c>
      <c r="C376" s="3">
        <f>IF(OR(INDEX($L$2:$L$1001,MATCH(ROWS($K$2:K376),$K$2:$K$1001,0),1)&gt;=100000,INDEX($R$1005:$W$1005,1,MATCH(COLUMNS($R$1006:S1006),$R$1006:$W$1006,0))&gt;=100000), " ",IF(INDEX($R$2:$W$1001,MATCH(ROWS($K$2:K376),$K$2:$K$1001,0),MATCH(COLUMNS($R$1006:S1006),$R$1006:$W$1006,0)), HYPERLINK("#",""), HYPERLINK(CONCATENATE("#Metadata!", ADDRESS(INDEX($M$2:$M$1001,MATCH(ROWS($K$2:K376),$K$2:$K$1001,0),0), INDEX($R$1004:$W$1004,1,MATCH(COLUMNS($R$1006:S1006),$R$1006:$W$1006,0)))),"Fix")))</f>
        <v>0</v>
      </c>
      <c r="D376" s="3">
        <f>IF(OR(INDEX($L$2:$L$1001,MATCH(ROWS($K$2:K376),$K$2:$K$1001,0),1)&gt;=100000,INDEX($R$1005:$W$1005,1,MATCH(COLUMNS($R$1006:T1006),$R$1006:$W$1006,0))&gt;=100000), " ",IF(INDEX($R$2:$W$1001,MATCH(ROWS($K$2:K376),$K$2:$K$1001,0),MATCH(COLUMNS($R$1006:T1006),$R$1006:$W$1006,0)), HYPERLINK("#",""), HYPERLINK(CONCATENATE("#Metadata!", ADDRESS(INDEX($M$2:$M$1001,MATCH(ROWS($K$2:K376),$K$2:$K$1001,0),0), INDEX($R$1004:$W$1004,1,MATCH(COLUMNS($R$1006:T1006),$R$1006:$W$1006,0)))),"Fix")))</f>
        <v>0</v>
      </c>
      <c r="E376" s="3">
        <f>IF(OR(INDEX($L$2:$L$1001,MATCH(ROWS($K$2:K376),$K$2:$K$1001,0),1)&gt;=100000,INDEX($R$1005:$W$1005,1,MATCH(COLUMNS($R$1006:U1006),$R$1006:$W$1006,0))&gt;=100000), " ",IF(INDEX($R$2:$W$1001,MATCH(ROWS($K$2:K376),$K$2:$K$1001,0),MATCH(COLUMNS($R$1006:U1006),$R$1006:$W$1006,0)), HYPERLINK("#",""), HYPERLINK(CONCATENATE("#Metadata!", ADDRESS(INDEX($M$2:$M$1001,MATCH(ROWS($K$2:K376),$K$2:$K$1001,0),0), INDEX($R$1004:$W$1004,1,MATCH(COLUMNS($R$1006:U1006),$R$1006:$W$1006,0)))),"Fix")))</f>
        <v>0</v>
      </c>
      <c r="F376" s="3">
        <f>IF(OR(INDEX($L$2:$L$1001,MATCH(ROWS($K$2:K376),$K$2:$K$1001,0),1)&gt;=100000,INDEX($R$1005:$W$1005,1,MATCH(COLUMNS($R$1006:V1006),$R$1006:$W$1006,0))&gt;=100000), " ",IF(INDEX($R$2:$W$1001,MATCH(ROWS($K$2:K376),$K$2:$K$1001,0),MATCH(COLUMNS($R$1006:V1006),$R$1006:$W$1006,0)), HYPERLINK("#",""), HYPERLINK(CONCATENATE("#Metadata!", ADDRESS(INDEX($M$2:$M$1001,MATCH(ROWS($K$2:K376),$K$2:$K$1001,0),0), INDEX($R$1004:$W$1004,1,MATCH(COLUMNS($R$1006:V1006),$R$1006:$W$1006,0)))),"Fix")))</f>
        <v>0</v>
      </c>
      <c r="G376" s="3">
        <f>IF(OR(INDEX($L$2:$L$1001,MATCH(ROWS($K$2:K376),$K$2:$K$1001,0),1)&gt;=100000,INDEX($R$1005:$W$1005,1,MATCH(COLUMNS($R$1006:W1006),$R$1006:$W$1006,0))&gt;=100000), " ",IF(INDEX($R$2:$W$1001,MATCH(ROWS($K$2:K376),$K$2:$K$1001,0),MATCH(COLUMNS($R$1006:W1006),$R$1006:$W$1006,0)), HYPERLINK("#",""), HYPERLINK(CONCATENATE("#Metadata!", ADDRESS(INDEX($M$2:$M$1001,MATCH(ROWS($K$2:K376),$K$2:$K$1001,0),0), INDEX($R$1004:$W$1004,1,MATCH(COLUMNS($R$1006:W1006),$R$1006:$W$1006,0)))),"Fix")))</f>
        <v>0</v>
      </c>
      <c r="K376">
        <v>0</v>
      </c>
      <c r="L376">
        <v>0</v>
      </c>
      <c r="M376">
        <v>0</v>
      </c>
      <c r="N376">
        <f>IF(O376,TRUE,AND(R376:W376))</f>
        <v>0</v>
      </c>
      <c r="O376">
        <f>COUNTBLANK(Metadata!B376:G376)=COLUMNS(Metadata!B376:G376)</f>
        <v>0</v>
      </c>
      <c r="P376">
        <v>0</v>
      </c>
      <c r="R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S376">
        <f>IF(Metadata!C376="",FALSE,TRUE)</f>
        <v>0</v>
      </c>
      <c r="T376">
        <f>IF(Metadata!D376="",FALSE,TRUE)</f>
        <v>0</v>
      </c>
      <c r="U376">
        <f>IF(Metadata!E376="",FALSE,TRUE)</f>
        <v>0</v>
      </c>
      <c r="V376">
        <f>AND(IF(Metadata!F376="",FALSE,TRUE),exact(Metadata!F376,"rat gut metagenome"))</f>
        <v>0</v>
      </c>
      <c r="W376">
        <f>AND(IF(Metadata!G376="",FALSE,TRUE),exact(Metadata!G376,"1436733"))</f>
        <v>0</v>
      </c>
    </row>
    <row r="377" spans="1:23">
      <c r="A377" s="4">
        <f>IF(B377=" "," ",HYPERLINK(CONCATENATE("#metadata!",ADDRESS(INDEX($M$2:$M$1001,MATCH(ROWS($K$2:K377),$K$2:$K$1001,0),0),1)),INDEX($P$2:$P$1001,MATCH(ROWS($K$2:K377),$K$2:$K$1001,0),0)))</f>
        <v>0</v>
      </c>
      <c r="B377" s="3">
        <f>IF(OR(INDEX($L$2:$L$1001,MATCH(ROWS($K$2:K377),$K$2:$K$1001,0),1)&gt;=100000,INDEX($R$1005:$W$1005,1,MATCH(COLUMNS($R$1006:R1006),$R$1006:$W$1006,0))&gt;=100000), " ",IF(INDEX($R$2:$W$1001,MATCH(ROWS($K$2:K377),$K$2:$K$1001,0),MATCH(COLUMNS($R$1006:R1006),$R$1006:$W$1006,0)), HYPERLINK("#",""), HYPERLINK(CONCATENATE("#Metadata!", ADDRESS(INDEX($M$2:$M$1001,MATCH(ROWS($K$2:K377),$K$2:$K$1001,0),0), INDEX($R$1004:$W$1004,1,MATCH(COLUMNS($R$1006:R1006),$R$1006:$W$1006,0)))),"Fix")))</f>
        <v>0</v>
      </c>
      <c r="C377" s="3">
        <f>IF(OR(INDEX($L$2:$L$1001,MATCH(ROWS($K$2:K377),$K$2:$K$1001,0),1)&gt;=100000,INDEX($R$1005:$W$1005,1,MATCH(COLUMNS($R$1006:S1006),$R$1006:$W$1006,0))&gt;=100000), " ",IF(INDEX($R$2:$W$1001,MATCH(ROWS($K$2:K377),$K$2:$K$1001,0),MATCH(COLUMNS($R$1006:S1006),$R$1006:$W$1006,0)), HYPERLINK("#",""), HYPERLINK(CONCATENATE("#Metadata!", ADDRESS(INDEX($M$2:$M$1001,MATCH(ROWS($K$2:K377),$K$2:$K$1001,0),0), INDEX($R$1004:$W$1004,1,MATCH(COLUMNS($R$1006:S1006),$R$1006:$W$1006,0)))),"Fix")))</f>
        <v>0</v>
      </c>
      <c r="D377" s="3">
        <f>IF(OR(INDEX($L$2:$L$1001,MATCH(ROWS($K$2:K377),$K$2:$K$1001,0),1)&gt;=100000,INDEX($R$1005:$W$1005,1,MATCH(COLUMNS($R$1006:T1006),$R$1006:$W$1006,0))&gt;=100000), " ",IF(INDEX($R$2:$W$1001,MATCH(ROWS($K$2:K377),$K$2:$K$1001,0),MATCH(COLUMNS($R$1006:T1006),$R$1006:$W$1006,0)), HYPERLINK("#",""), HYPERLINK(CONCATENATE("#Metadata!", ADDRESS(INDEX($M$2:$M$1001,MATCH(ROWS($K$2:K377),$K$2:$K$1001,0),0), INDEX($R$1004:$W$1004,1,MATCH(COLUMNS($R$1006:T1006),$R$1006:$W$1006,0)))),"Fix")))</f>
        <v>0</v>
      </c>
      <c r="E377" s="3">
        <f>IF(OR(INDEX($L$2:$L$1001,MATCH(ROWS($K$2:K377),$K$2:$K$1001,0),1)&gt;=100000,INDEX($R$1005:$W$1005,1,MATCH(COLUMNS($R$1006:U1006),$R$1006:$W$1006,0))&gt;=100000), " ",IF(INDEX($R$2:$W$1001,MATCH(ROWS($K$2:K377),$K$2:$K$1001,0),MATCH(COLUMNS($R$1006:U1006),$R$1006:$W$1006,0)), HYPERLINK("#",""), HYPERLINK(CONCATENATE("#Metadata!", ADDRESS(INDEX($M$2:$M$1001,MATCH(ROWS($K$2:K377),$K$2:$K$1001,0),0), INDEX($R$1004:$W$1004,1,MATCH(COLUMNS($R$1006:U1006),$R$1006:$W$1006,0)))),"Fix")))</f>
        <v>0</v>
      </c>
      <c r="F377" s="3">
        <f>IF(OR(INDEX($L$2:$L$1001,MATCH(ROWS($K$2:K377),$K$2:$K$1001,0),1)&gt;=100000,INDEX($R$1005:$W$1005,1,MATCH(COLUMNS($R$1006:V1006),$R$1006:$W$1006,0))&gt;=100000), " ",IF(INDEX($R$2:$W$1001,MATCH(ROWS($K$2:K377),$K$2:$K$1001,0),MATCH(COLUMNS($R$1006:V1006),$R$1006:$W$1006,0)), HYPERLINK("#",""), HYPERLINK(CONCATENATE("#Metadata!", ADDRESS(INDEX($M$2:$M$1001,MATCH(ROWS($K$2:K377),$K$2:$K$1001,0),0), INDEX($R$1004:$W$1004,1,MATCH(COLUMNS($R$1006:V1006),$R$1006:$W$1006,0)))),"Fix")))</f>
        <v>0</v>
      </c>
      <c r="G377" s="3">
        <f>IF(OR(INDEX($L$2:$L$1001,MATCH(ROWS($K$2:K377),$K$2:$K$1001,0),1)&gt;=100000,INDEX($R$1005:$W$1005,1,MATCH(COLUMNS($R$1006:W1006),$R$1006:$W$1006,0))&gt;=100000), " ",IF(INDEX($R$2:$W$1001,MATCH(ROWS($K$2:K377),$K$2:$K$1001,0),MATCH(COLUMNS($R$1006:W1006),$R$1006:$W$1006,0)), HYPERLINK("#",""), HYPERLINK(CONCATENATE("#Metadata!", ADDRESS(INDEX($M$2:$M$1001,MATCH(ROWS($K$2:K377),$K$2:$K$1001,0),0), INDEX($R$1004:$W$1004,1,MATCH(COLUMNS($R$1006:W1006),$R$1006:$W$1006,0)))),"Fix")))</f>
        <v>0</v>
      </c>
      <c r="K377">
        <v>0</v>
      </c>
      <c r="L377">
        <v>0</v>
      </c>
      <c r="M377">
        <v>0</v>
      </c>
      <c r="N377">
        <f>IF(O377,TRUE,AND(R377:W377))</f>
        <v>0</v>
      </c>
      <c r="O377">
        <f>COUNTBLANK(Metadata!B377:G377)=COLUMNS(Metadata!B377:G377)</f>
        <v>0</v>
      </c>
      <c r="P377">
        <v>0</v>
      </c>
      <c r="R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S377">
        <f>IF(Metadata!C377="",FALSE,TRUE)</f>
        <v>0</v>
      </c>
      <c r="T377">
        <f>IF(Metadata!D377="",FALSE,TRUE)</f>
        <v>0</v>
      </c>
      <c r="U377">
        <f>IF(Metadata!E377="",FALSE,TRUE)</f>
        <v>0</v>
      </c>
      <c r="V377">
        <f>AND(IF(Metadata!F377="",FALSE,TRUE),exact(Metadata!F377,"rat gut metagenome"))</f>
        <v>0</v>
      </c>
      <c r="W377">
        <f>AND(IF(Metadata!G377="",FALSE,TRUE),exact(Metadata!G377,"1436733"))</f>
        <v>0</v>
      </c>
    </row>
    <row r="378" spans="1:23">
      <c r="A378" s="4">
        <f>IF(B378=" "," ",HYPERLINK(CONCATENATE("#metadata!",ADDRESS(INDEX($M$2:$M$1001,MATCH(ROWS($K$2:K378),$K$2:$K$1001,0),0),1)),INDEX($P$2:$P$1001,MATCH(ROWS($K$2:K378),$K$2:$K$1001,0),0)))</f>
        <v>0</v>
      </c>
      <c r="B378" s="3">
        <f>IF(OR(INDEX($L$2:$L$1001,MATCH(ROWS($K$2:K378),$K$2:$K$1001,0),1)&gt;=100000,INDEX($R$1005:$W$1005,1,MATCH(COLUMNS($R$1006:R1006),$R$1006:$W$1006,0))&gt;=100000), " ",IF(INDEX($R$2:$W$1001,MATCH(ROWS($K$2:K378),$K$2:$K$1001,0),MATCH(COLUMNS($R$1006:R1006),$R$1006:$W$1006,0)), HYPERLINK("#",""), HYPERLINK(CONCATENATE("#Metadata!", ADDRESS(INDEX($M$2:$M$1001,MATCH(ROWS($K$2:K378),$K$2:$K$1001,0),0), INDEX($R$1004:$W$1004,1,MATCH(COLUMNS($R$1006:R1006),$R$1006:$W$1006,0)))),"Fix")))</f>
        <v>0</v>
      </c>
      <c r="C378" s="3">
        <f>IF(OR(INDEX($L$2:$L$1001,MATCH(ROWS($K$2:K378),$K$2:$K$1001,0),1)&gt;=100000,INDEX($R$1005:$W$1005,1,MATCH(COLUMNS($R$1006:S1006),$R$1006:$W$1006,0))&gt;=100000), " ",IF(INDEX($R$2:$W$1001,MATCH(ROWS($K$2:K378),$K$2:$K$1001,0),MATCH(COLUMNS($R$1006:S1006),$R$1006:$W$1006,0)), HYPERLINK("#",""), HYPERLINK(CONCATENATE("#Metadata!", ADDRESS(INDEX($M$2:$M$1001,MATCH(ROWS($K$2:K378),$K$2:$K$1001,0),0), INDEX($R$1004:$W$1004,1,MATCH(COLUMNS($R$1006:S1006),$R$1006:$W$1006,0)))),"Fix")))</f>
        <v>0</v>
      </c>
      <c r="D378" s="3">
        <f>IF(OR(INDEX($L$2:$L$1001,MATCH(ROWS($K$2:K378),$K$2:$K$1001,0),1)&gt;=100000,INDEX($R$1005:$W$1005,1,MATCH(COLUMNS($R$1006:T1006),$R$1006:$W$1006,0))&gt;=100000), " ",IF(INDEX($R$2:$W$1001,MATCH(ROWS($K$2:K378),$K$2:$K$1001,0),MATCH(COLUMNS($R$1006:T1006),$R$1006:$W$1006,0)), HYPERLINK("#",""), HYPERLINK(CONCATENATE("#Metadata!", ADDRESS(INDEX($M$2:$M$1001,MATCH(ROWS($K$2:K378),$K$2:$K$1001,0),0), INDEX($R$1004:$W$1004,1,MATCH(COLUMNS($R$1006:T1006),$R$1006:$W$1006,0)))),"Fix")))</f>
        <v>0</v>
      </c>
      <c r="E378" s="3">
        <f>IF(OR(INDEX($L$2:$L$1001,MATCH(ROWS($K$2:K378),$K$2:$K$1001,0),1)&gt;=100000,INDEX($R$1005:$W$1005,1,MATCH(COLUMNS($R$1006:U1006),$R$1006:$W$1006,0))&gt;=100000), " ",IF(INDEX($R$2:$W$1001,MATCH(ROWS($K$2:K378),$K$2:$K$1001,0),MATCH(COLUMNS($R$1006:U1006),$R$1006:$W$1006,0)), HYPERLINK("#",""), HYPERLINK(CONCATENATE("#Metadata!", ADDRESS(INDEX($M$2:$M$1001,MATCH(ROWS($K$2:K378),$K$2:$K$1001,0),0), INDEX($R$1004:$W$1004,1,MATCH(COLUMNS($R$1006:U1006),$R$1006:$W$1006,0)))),"Fix")))</f>
        <v>0</v>
      </c>
      <c r="F378" s="3">
        <f>IF(OR(INDEX($L$2:$L$1001,MATCH(ROWS($K$2:K378),$K$2:$K$1001,0),1)&gt;=100000,INDEX($R$1005:$W$1005,1,MATCH(COLUMNS($R$1006:V1006),$R$1006:$W$1006,0))&gt;=100000), " ",IF(INDEX($R$2:$W$1001,MATCH(ROWS($K$2:K378),$K$2:$K$1001,0),MATCH(COLUMNS($R$1006:V1006),$R$1006:$W$1006,0)), HYPERLINK("#",""), HYPERLINK(CONCATENATE("#Metadata!", ADDRESS(INDEX($M$2:$M$1001,MATCH(ROWS($K$2:K378),$K$2:$K$1001,0),0), INDEX($R$1004:$W$1004,1,MATCH(COLUMNS($R$1006:V1006),$R$1006:$W$1006,0)))),"Fix")))</f>
        <v>0</v>
      </c>
      <c r="G378" s="3">
        <f>IF(OR(INDEX($L$2:$L$1001,MATCH(ROWS($K$2:K378),$K$2:$K$1001,0),1)&gt;=100000,INDEX($R$1005:$W$1005,1,MATCH(COLUMNS($R$1006:W1006),$R$1006:$W$1006,0))&gt;=100000), " ",IF(INDEX($R$2:$W$1001,MATCH(ROWS($K$2:K378),$K$2:$K$1001,0),MATCH(COLUMNS($R$1006:W1006),$R$1006:$W$1006,0)), HYPERLINK("#",""), HYPERLINK(CONCATENATE("#Metadata!", ADDRESS(INDEX($M$2:$M$1001,MATCH(ROWS($K$2:K378),$K$2:$K$1001,0),0), INDEX($R$1004:$W$1004,1,MATCH(COLUMNS($R$1006:W1006),$R$1006:$W$1006,0)))),"Fix")))</f>
        <v>0</v>
      </c>
      <c r="K378">
        <v>0</v>
      </c>
      <c r="L378">
        <v>0</v>
      </c>
      <c r="M378">
        <v>0</v>
      </c>
      <c r="N378">
        <f>IF(O378,TRUE,AND(R378:W378))</f>
        <v>0</v>
      </c>
      <c r="O378">
        <f>COUNTBLANK(Metadata!B378:G378)=COLUMNS(Metadata!B378:G378)</f>
        <v>0</v>
      </c>
      <c r="P378">
        <v>0</v>
      </c>
      <c r="R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S378">
        <f>IF(Metadata!C378="",FALSE,TRUE)</f>
        <v>0</v>
      </c>
      <c r="T378">
        <f>IF(Metadata!D378="",FALSE,TRUE)</f>
        <v>0</v>
      </c>
      <c r="U378">
        <f>IF(Metadata!E378="",FALSE,TRUE)</f>
        <v>0</v>
      </c>
      <c r="V378">
        <f>AND(IF(Metadata!F378="",FALSE,TRUE),exact(Metadata!F378,"rat gut metagenome"))</f>
        <v>0</v>
      </c>
      <c r="W378">
        <f>AND(IF(Metadata!G378="",FALSE,TRUE),exact(Metadata!G378,"1436733"))</f>
        <v>0</v>
      </c>
    </row>
    <row r="379" spans="1:23">
      <c r="A379" s="4">
        <f>IF(B379=" "," ",HYPERLINK(CONCATENATE("#metadata!",ADDRESS(INDEX($M$2:$M$1001,MATCH(ROWS($K$2:K379),$K$2:$K$1001,0),0),1)),INDEX($P$2:$P$1001,MATCH(ROWS($K$2:K379),$K$2:$K$1001,0),0)))</f>
        <v>0</v>
      </c>
      <c r="B379" s="3">
        <f>IF(OR(INDEX($L$2:$L$1001,MATCH(ROWS($K$2:K379),$K$2:$K$1001,0),1)&gt;=100000,INDEX($R$1005:$W$1005,1,MATCH(COLUMNS($R$1006:R1006),$R$1006:$W$1006,0))&gt;=100000), " ",IF(INDEX($R$2:$W$1001,MATCH(ROWS($K$2:K379),$K$2:$K$1001,0),MATCH(COLUMNS($R$1006:R1006),$R$1006:$W$1006,0)), HYPERLINK("#",""), HYPERLINK(CONCATENATE("#Metadata!", ADDRESS(INDEX($M$2:$M$1001,MATCH(ROWS($K$2:K379),$K$2:$K$1001,0),0), INDEX($R$1004:$W$1004,1,MATCH(COLUMNS($R$1006:R1006),$R$1006:$W$1006,0)))),"Fix")))</f>
        <v>0</v>
      </c>
      <c r="C379" s="3">
        <f>IF(OR(INDEX($L$2:$L$1001,MATCH(ROWS($K$2:K379),$K$2:$K$1001,0),1)&gt;=100000,INDEX($R$1005:$W$1005,1,MATCH(COLUMNS($R$1006:S1006),$R$1006:$W$1006,0))&gt;=100000), " ",IF(INDEX($R$2:$W$1001,MATCH(ROWS($K$2:K379),$K$2:$K$1001,0),MATCH(COLUMNS($R$1006:S1006),$R$1006:$W$1006,0)), HYPERLINK("#",""), HYPERLINK(CONCATENATE("#Metadata!", ADDRESS(INDEX($M$2:$M$1001,MATCH(ROWS($K$2:K379),$K$2:$K$1001,0),0), INDEX($R$1004:$W$1004,1,MATCH(COLUMNS($R$1006:S1006),$R$1006:$W$1006,0)))),"Fix")))</f>
        <v>0</v>
      </c>
      <c r="D379" s="3">
        <f>IF(OR(INDEX($L$2:$L$1001,MATCH(ROWS($K$2:K379),$K$2:$K$1001,0),1)&gt;=100000,INDEX($R$1005:$W$1005,1,MATCH(COLUMNS($R$1006:T1006),$R$1006:$W$1006,0))&gt;=100000), " ",IF(INDEX($R$2:$W$1001,MATCH(ROWS($K$2:K379),$K$2:$K$1001,0),MATCH(COLUMNS($R$1006:T1006),$R$1006:$W$1006,0)), HYPERLINK("#",""), HYPERLINK(CONCATENATE("#Metadata!", ADDRESS(INDEX($M$2:$M$1001,MATCH(ROWS($K$2:K379),$K$2:$K$1001,0),0), INDEX($R$1004:$W$1004,1,MATCH(COLUMNS($R$1006:T1006),$R$1006:$W$1006,0)))),"Fix")))</f>
        <v>0</v>
      </c>
      <c r="E379" s="3">
        <f>IF(OR(INDEX($L$2:$L$1001,MATCH(ROWS($K$2:K379),$K$2:$K$1001,0),1)&gt;=100000,INDEX($R$1005:$W$1005,1,MATCH(COLUMNS($R$1006:U1006),$R$1006:$W$1006,0))&gt;=100000), " ",IF(INDEX($R$2:$W$1001,MATCH(ROWS($K$2:K379),$K$2:$K$1001,0),MATCH(COLUMNS($R$1006:U1006),$R$1006:$W$1006,0)), HYPERLINK("#",""), HYPERLINK(CONCATENATE("#Metadata!", ADDRESS(INDEX($M$2:$M$1001,MATCH(ROWS($K$2:K379),$K$2:$K$1001,0),0), INDEX($R$1004:$W$1004,1,MATCH(COLUMNS($R$1006:U1006),$R$1006:$W$1006,0)))),"Fix")))</f>
        <v>0</v>
      </c>
      <c r="F379" s="3">
        <f>IF(OR(INDEX($L$2:$L$1001,MATCH(ROWS($K$2:K379),$K$2:$K$1001,0),1)&gt;=100000,INDEX($R$1005:$W$1005,1,MATCH(COLUMNS($R$1006:V1006),$R$1006:$W$1006,0))&gt;=100000), " ",IF(INDEX($R$2:$W$1001,MATCH(ROWS($K$2:K379),$K$2:$K$1001,0),MATCH(COLUMNS($R$1006:V1006),$R$1006:$W$1006,0)), HYPERLINK("#",""), HYPERLINK(CONCATENATE("#Metadata!", ADDRESS(INDEX($M$2:$M$1001,MATCH(ROWS($K$2:K379),$K$2:$K$1001,0),0), INDEX($R$1004:$W$1004,1,MATCH(COLUMNS($R$1006:V1006),$R$1006:$W$1006,0)))),"Fix")))</f>
        <v>0</v>
      </c>
      <c r="G379" s="3">
        <f>IF(OR(INDEX($L$2:$L$1001,MATCH(ROWS($K$2:K379),$K$2:$K$1001,0),1)&gt;=100000,INDEX($R$1005:$W$1005,1,MATCH(COLUMNS($R$1006:W1006),$R$1006:$W$1006,0))&gt;=100000), " ",IF(INDEX($R$2:$W$1001,MATCH(ROWS($K$2:K379),$K$2:$K$1001,0),MATCH(COLUMNS($R$1006:W1006),$R$1006:$W$1006,0)), HYPERLINK("#",""), HYPERLINK(CONCATENATE("#Metadata!", ADDRESS(INDEX($M$2:$M$1001,MATCH(ROWS($K$2:K379),$K$2:$K$1001,0),0), INDEX($R$1004:$W$1004,1,MATCH(COLUMNS($R$1006:W1006),$R$1006:$W$1006,0)))),"Fix")))</f>
        <v>0</v>
      </c>
      <c r="K379">
        <v>0</v>
      </c>
      <c r="L379">
        <v>0</v>
      </c>
      <c r="M379">
        <v>0</v>
      </c>
      <c r="N379">
        <f>IF(O379,TRUE,AND(R379:W379))</f>
        <v>0</v>
      </c>
      <c r="O379">
        <f>COUNTBLANK(Metadata!B379:G379)=COLUMNS(Metadata!B379:G379)</f>
        <v>0</v>
      </c>
      <c r="P379">
        <v>0</v>
      </c>
      <c r="R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S379">
        <f>IF(Metadata!C379="",FALSE,TRUE)</f>
        <v>0</v>
      </c>
      <c r="T379">
        <f>IF(Metadata!D379="",FALSE,TRUE)</f>
        <v>0</v>
      </c>
      <c r="U379">
        <f>IF(Metadata!E379="",FALSE,TRUE)</f>
        <v>0</v>
      </c>
      <c r="V379">
        <f>AND(IF(Metadata!F379="",FALSE,TRUE),exact(Metadata!F379,"rat gut metagenome"))</f>
        <v>0</v>
      </c>
      <c r="W379">
        <f>AND(IF(Metadata!G379="",FALSE,TRUE),exact(Metadata!G379,"1436733"))</f>
        <v>0</v>
      </c>
    </row>
    <row r="380" spans="1:23">
      <c r="A380" s="4">
        <f>IF(B380=" "," ",HYPERLINK(CONCATENATE("#metadata!",ADDRESS(INDEX($M$2:$M$1001,MATCH(ROWS($K$2:K380),$K$2:$K$1001,0),0),1)),INDEX($P$2:$P$1001,MATCH(ROWS($K$2:K380),$K$2:$K$1001,0),0)))</f>
        <v>0</v>
      </c>
      <c r="B380" s="3">
        <f>IF(OR(INDEX($L$2:$L$1001,MATCH(ROWS($K$2:K380),$K$2:$K$1001,0),1)&gt;=100000,INDEX($R$1005:$W$1005,1,MATCH(COLUMNS($R$1006:R1006),$R$1006:$W$1006,0))&gt;=100000), " ",IF(INDEX($R$2:$W$1001,MATCH(ROWS($K$2:K380),$K$2:$K$1001,0),MATCH(COLUMNS($R$1006:R1006),$R$1006:$W$1006,0)), HYPERLINK("#",""), HYPERLINK(CONCATENATE("#Metadata!", ADDRESS(INDEX($M$2:$M$1001,MATCH(ROWS($K$2:K380),$K$2:$K$1001,0),0), INDEX($R$1004:$W$1004,1,MATCH(COLUMNS($R$1006:R1006),$R$1006:$W$1006,0)))),"Fix")))</f>
        <v>0</v>
      </c>
      <c r="C380" s="3">
        <f>IF(OR(INDEX($L$2:$L$1001,MATCH(ROWS($K$2:K380),$K$2:$K$1001,0),1)&gt;=100000,INDEX($R$1005:$W$1005,1,MATCH(COLUMNS($R$1006:S1006),$R$1006:$W$1006,0))&gt;=100000), " ",IF(INDEX($R$2:$W$1001,MATCH(ROWS($K$2:K380),$K$2:$K$1001,0),MATCH(COLUMNS($R$1006:S1006),$R$1006:$W$1006,0)), HYPERLINK("#",""), HYPERLINK(CONCATENATE("#Metadata!", ADDRESS(INDEX($M$2:$M$1001,MATCH(ROWS($K$2:K380),$K$2:$K$1001,0),0), INDEX($R$1004:$W$1004,1,MATCH(COLUMNS($R$1006:S1006),$R$1006:$W$1006,0)))),"Fix")))</f>
        <v>0</v>
      </c>
      <c r="D380" s="3">
        <f>IF(OR(INDEX($L$2:$L$1001,MATCH(ROWS($K$2:K380),$K$2:$K$1001,0),1)&gt;=100000,INDEX($R$1005:$W$1005,1,MATCH(COLUMNS($R$1006:T1006),$R$1006:$W$1006,0))&gt;=100000), " ",IF(INDEX($R$2:$W$1001,MATCH(ROWS($K$2:K380),$K$2:$K$1001,0),MATCH(COLUMNS($R$1006:T1006),$R$1006:$W$1006,0)), HYPERLINK("#",""), HYPERLINK(CONCATENATE("#Metadata!", ADDRESS(INDEX($M$2:$M$1001,MATCH(ROWS($K$2:K380),$K$2:$K$1001,0),0), INDEX($R$1004:$W$1004,1,MATCH(COLUMNS($R$1006:T1006),$R$1006:$W$1006,0)))),"Fix")))</f>
        <v>0</v>
      </c>
      <c r="E380" s="3">
        <f>IF(OR(INDEX($L$2:$L$1001,MATCH(ROWS($K$2:K380),$K$2:$K$1001,0),1)&gt;=100000,INDEX($R$1005:$W$1005,1,MATCH(COLUMNS($R$1006:U1006),$R$1006:$W$1006,0))&gt;=100000), " ",IF(INDEX($R$2:$W$1001,MATCH(ROWS($K$2:K380),$K$2:$K$1001,0),MATCH(COLUMNS($R$1006:U1006),$R$1006:$W$1006,0)), HYPERLINK("#",""), HYPERLINK(CONCATENATE("#Metadata!", ADDRESS(INDEX($M$2:$M$1001,MATCH(ROWS($K$2:K380),$K$2:$K$1001,0),0), INDEX($R$1004:$W$1004,1,MATCH(COLUMNS($R$1006:U1006),$R$1006:$W$1006,0)))),"Fix")))</f>
        <v>0</v>
      </c>
      <c r="F380" s="3">
        <f>IF(OR(INDEX($L$2:$L$1001,MATCH(ROWS($K$2:K380),$K$2:$K$1001,0),1)&gt;=100000,INDEX($R$1005:$W$1005,1,MATCH(COLUMNS($R$1006:V1006),$R$1006:$W$1006,0))&gt;=100000), " ",IF(INDEX($R$2:$W$1001,MATCH(ROWS($K$2:K380),$K$2:$K$1001,0),MATCH(COLUMNS($R$1006:V1006),$R$1006:$W$1006,0)), HYPERLINK("#",""), HYPERLINK(CONCATENATE("#Metadata!", ADDRESS(INDEX($M$2:$M$1001,MATCH(ROWS($K$2:K380),$K$2:$K$1001,0),0), INDEX($R$1004:$W$1004,1,MATCH(COLUMNS($R$1006:V1006),$R$1006:$W$1006,0)))),"Fix")))</f>
        <v>0</v>
      </c>
      <c r="G380" s="3">
        <f>IF(OR(INDEX($L$2:$L$1001,MATCH(ROWS($K$2:K380),$K$2:$K$1001,0),1)&gt;=100000,INDEX($R$1005:$W$1005,1,MATCH(COLUMNS($R$1006:W1006),$R$1006:$W$1006,0))&gt;=100000), " ",IF(INDEX($R$2:$W$1001,MATCH(ROWS($K$2:K380),$K$2:$K$1001,0),MATCH(COLUMNS($R$1006:W1006),$R$1006:$W$1006,0)), HYPERLINK("#",""), HYPERLINK(CONCATENATE("#Metadata!", ADDRESS(INDEX($M$2:$M$1001,MATCH(ROWS($K$2:K380),$K$2:$K$1001,0),0), INDEX($R$1004:$W$1004,1,MATCH(COLUMNS($R$1006:W1006),$R$1006:$W$1006,0)))),"Fix")))</f>
        <v>0</v>
      </c>
      <c r="K380">
        <v>0</v>
      </c>
      <c r="L380">
        <v>0</v>
      </c>
      <c r="M380">
        <v>0</v>
      </c>
      <c r="N380">
        <f>IF(O380,TRUE,AND(R380:W380))</f>
        <v>0</v>
      </c>
      <c r="O380">
        <f>COUNTBLANK(Metadata!B380:G380)=COLUMNS(Metadata!B380:G380)</f>
        <v>0</v>
      </c>
      <c r="P380">
        <v>0</v>
      </c>
      <c r="R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S380">
        <f>IF(Metadata!C380="",FALSE,TRUE)</f>
        <v>0</v>
      </c>
      <c r="T380">
        <f>IF(Metadata!D380="",FALSE,TRUE)</f>
        <v>0</v>
      </c>
      <c r="U380">
        <f>IF(Metadata!E380="",FALSE,TRUE)</f>
        <v>0</v>
      </c>
      <c r="V380">
        <f>AND(IF(Metadata!F380="",FALSE,TRUE),exact(Metadata!F380,"rat gut metagenome"))</f>
        <v>0</v>
      </c>
      <c r="W380">
        <f>AND(IF(Metadata!G380="",FALSE,TRUE),exact(Metadata!G380,"1436733"))</f>
        <v>0</v>
      </c>
    </row>
    <row r="381" spans="1:23">
      <c r="A381" s="4">
        <f>IF(B381=" "," ",HYPERLINK(CONCATENATE("#metadata!",ADDRESS(INDEX($M$2:$M$1001,MATCH(ROWS($K$2:K381),$K$2:$K$1001,0),0),1)),INDEX($P$2:$P$1001,MATCH(ROWS($K$2:K381),$K$2:$K$1001,0),0)))</f>
        <v>0</v>
      </c>
      <c r="B381" s="3">
        <f>IF(OR(INDEX($L$2:$L$1001,MATCH(ROWS($K$2:K381),$K$2:$K$1001,0),1)&gt;=100000,INDEX($R$1005:$W$1005,1,MATCH(COLUMNS($R$1006:R1006),$R$1006:$W$1006,0))&gt;=100000), " ",IF(INDEX($R$2:$W$1001,MATCH(ROWS($K$2:K381),$K$2:$K$1001,0),MATCH(COLUMNS($R$1006:R1006),$R$1006:$W$1006,0)), HYPERLINK("#",""), HYPERLINK(CONCATENATE("#Metadata!", ADDRESS(INDEX($M$2:$M$1001,MATCH(ROWS($K$2:K381),$K$2:$K$1001,0),0), INDEX($R$1004:$W$1004,1,MATCH(COLUMNS($R$1006:R1006),$R$1006:$W$1006,0)))),"Fix")))</f>
        <v>0</v>
      </c>
      <c r="C381" s="3">
        <f>IF(OR(INDEX($L$2:$L$1001,MATCH(ROWS($K$2:K381),$K$2:$K$1001,0),1)&gt;=100000,INDEX($R$1005:$W$1005,1,MATCH(COLUMNS($R$1006:S1006),$R$1006:$W$1006,0))&gt;=100000), " ",IF(INDEX($R$2:$W$1001,MATCH(ROWS($K$2:K381),$K$2:$K$1001,0),MATCH(COLUMNS($R$1006:S1006),$R$1006:$W$1006,0)), HYPERLINK("#",""), HYPERLINK(CONCATENATE("#Metadata!", ADDRESS(INDEX($M$2:$M$1001,MATCH(ROWS($K$2:K381),$K$2:$K$1001,0),0), INDEX($R$1004:$W$1004,1,MATCH(COLUMNS($R$1006:S1006),$R$1006:$W$1006,0)))),"Fix")))</f>
        <v>0</v>
      </c>
      <c r="D381" s="3">
        <f>IF(OR(INDEX($L$2:$L$1001,MATCH(ROWS($K$2:K381),$K$2:$K$1001,0),1)&gt;=100000,INDEX($R$1005:$W$1005,1,MATCH(COLUMNS($R$1006:T1006),$R$1006:$W$1006,0))&gt;=100000), " ",IF(INDEX($R$2:$W$1001,MATCH(ROWS($K$2:K381),$K$2:$K$1001,0),MATCH(COLUMNS($R$1006:T1006),$R$1006:$W$1006,0)), HYPERLINK("#",""), HYPERLINK(CONCATENATE("#Metadata!", ADDRESS(INDEX($M$2:$M$1001,MATCH(ROWS($K$2:K381),$K$2:$K$1001,0),0), INDEX($R$1004:$W$1004,1,MATCH(COLUMNS($R$1006:T1006),$R$1006:$W$1006,0)))),"Fix")))</f>
        <v>0</v>
      </c>
      <c r="E381" s="3">
        <f>IF(OR(INDEX($L$2:$L$1001,MATCH(ROWS($K$2:K381),$K$2:$K$1001,0),1)&gt;=100000,INDEX($R$1005:$W$1005,1,MATCH(COLUMNS($R$1006:U1006),$R$1006:$W$1006,0))&gt;=100000), " ",IF(INDEX($R$2:$W$1001,MATCH(ROWS($K$2:K381),$K$2:$K$1001,0),MATCH(COLUMNS($R$1006:U1006),$R$1006:$W$1006,0)), HYPERLINK("#",""), HYPERLINK(CONCATENATE("#Metadata!", ADDRESS(INDEX($M$2:$M$1001,MATCH(ROWS($K$2:K381),$K$2:$K$1001,0),0), INDEX($R$1004:$W$1004,1,MATCH(COLUMNS($R$1006:U1006),$R$1006:$W$1006,0)))),"Fix")))</f>
        <v>0</v>
      </c>
      <c r="F381" s="3">
        <f>IF(OR(INDEX($L$2:$L$1001,MATCH(ROWS($K$2:K381),$K$2:$K$1001,0),1)&gt;=100000,INDEX($R$1005:$W$1005,1,MATCH(COLUMNS($R$1006:V1006),$R$1006:$W$1006,0))&gt;=100000), " ",IF(INDEX($R$2:$W$1001,MATCH(ROWS($K$2:K381),$K$2:$K$1001,0),MATCH(COLUMNS($R$1006:V1006),$R$1006:$W$1006,0)), HYPERLINK("#",""), HYPERLINK(CONCATENATE("#Metadata!", ADDRESS(INDEX($M$2:$M$1001,MATCH(ROWS($K$2:K381),$K$2:$K$1001,0),0), INDEX($R$1004:$W$1004,1,MATCH(COLUMNS($R$1006:V1006),$R$1006:$W$1006,0)))),"Fix")))</f>
        <v>0</v>
      </c>
      <c r="G381" s="3">
        <f>IF(OR(INDEX($L$2:$L$1001,MATCH(ROWS($K$2:K381),$K$2:$K$1001,0),1)&gt;=100000,INDEX($R$1005:$W$1005,1,MATCH(COLUMNS($R$1006:W1006),$R$1006:$W$1006,0))&gt;=100000), " ",IF(INDEX($R$2:$W$1001,MATCH(ROWS($K$2:K381),$K$2:$K$1001,0),MATCH(COLUMNS($R$1006:W1006),$R$1006:$W$1006,0)), HYPERLINK("#",""), HYPERLINK(CONCATENATE("#Metadata!", ADDRESS(INDEX($M$2:$M$1001,MATCH(ROWS($K$2:K381),$K$2:$K$1001,0),0), INDEX($R$1004:$W$1004,1,MATCH(COLUMNS($R$1006:W1006),$R$1006:$W$1006,0)))),"Fix")))</f>
        <v>0</v>
      </c>
      <c r="K381">
        <v>0</v>
      </c>
      <c r="L381">
        <v>0</v>
      </c>
      <c r="M381">
        <v>0</v>
      </c>
      <c r="N381">
        <f>IF(O381,TRUE,AND(R381:W381))</f>
        <v>0</v>
      </c>
      <c r="O381">
        <f>COUNTBLANK(Metadata!B381:G381)=COLUMNS(Metadata!B381:G381)</f>
        <v>0</v>
      </c>
      <c r="P381">
        <v>0</v>
      </c>
      <c r="R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S381">
        <f>IF(Metadata!C381="",FALSE,TRUE)</f>
        <v>0</v>
      </c>
      <c r="T381">
        <f>IF(Metadata!D381="",FALSE,TRUE)</f>
        <v>0</v>
      </c>
      <c r="U381">
        <f>IF(Metadata!E381="",FALSE,TRUE)</f>
        <v>0</v>
      </c>
      <c r="V381">
        <f>AND(IF(Metadata!F381="",FALSE,TRUE),exact(Metadata!F381,"rat gut metagenome"))</f>
        <v>0</v>
      </c>
      <c r="W381">
        <f>AND(IF(Metadata!G381="",FALSE,TRUE),exact(Metadata!G381,"1436733"))</f>
        <v>0</v>
      </c>
    </row>
    <row r="382" spans="1:23">
      <c r="A382" s="4">
        <f>IF(B382=" "," ",HYPERLINK(CONCATENATE("#metadata!",ADDRESS(INDEX($M$2:$M$1001,MATCH(ROWS($K$2:K382),$K$2:$K$1001,0),0),1)),INDEX($P$2:$P$1001,MATCH(ROWS($K$2:K382),$K$2:$K$1001,0),0)))</f>
        <v>0</v>
      </c>
      <c r="B382" s="3">
        <f>IF(OR(INDEX($L$2:$L$1001,MATCH(ROWS($K$2:K382),$K$2:$K$1001,0),1)&gt;=100000,INDEX($R$1005:$W$1005,1,MATCH(COLUMNS($R$1006:R1006),$R$1006:$W$1006,0))&gt;=100000), " ",IF(INDEX($R$2:$W$1001,MATCH(ROWS($K$2:K382),$K$2:$K$1001,0),MATCH(COLUMNS($R$1006:R1006),$R$1006:$W$1006,0)), HYPERLINK("#",""), HYPERLINK(CONCATENATE("#Metadata!", ADDRESS(INDEX($M$2:$M$1001,MATCH(ROWS($K$2:K382),$K$2:$K$1001,0),0), INDEX($R$1004:$W$1004,1,MATCH(COLUMNS($R$1006:R1006),$R$1006:$W$1006,0)))),"Fix")))</f>
        <v>0</v>
      </c>
      <c r="C382" s="3">
        <f>IF(OR(INDEX($L$2:$L$1001,MATCH(ROWS($K$2:K382),$K$2:$K$1001,0),1)&gt;=100000,INDEX($R$1005:$W$1005,1,MATCH(COLUMNS($R$1006:S1006),$R$1006:$W$1006,0))&gt;=100000), " ",IF(INDEX($R$2:$W$1001,MATCH(ROWS($K$2:K382),$K$2:$K$1001,0),MATCH(COLUMNS($R$1006:S1006),$R$1006:$W$1006,0)), HYPERLINK("#",""), HYPERLINK(CONCATENATE("#Metadata!", ADDRESS(INDEX($M$2:$M$1001,MATCH(ROWS($K$2:K382),$K$2:$K$1001,0),0), INDEX($R$1004:$W$1004,1,MATCH(COLUMNS($R$1006:S1006),$R$1006:$W$1006,0)))),"Fix")))</f>
        <v>0</v>
      </c>
      <c r="D382" s="3">
        <f>IF(OR(INDEX($L$2:$L$1001,MATCH(ROWS($K$2:K382),$K$2:$K$1001,0),1)&gt;=100000,INDEX($R$1005:$W$1005,1,MATCH(COLUMNS($R$1006:T1006),$R$1006:$W$1006,0))&gt;=100000), " ",IF(INDEX($R$2:$W$1001,MATCH(ROWS($K$2:K382),$K$2:$K$1001,0),MATCH(COLUMNS($R$1006:T1006),$R$1006:$W$1006,0)), HYPERLINK("#",""), HYPERLINK(CONCATENATE("#Metadata!", ADDRESS(INDEX($M$2:$M$1001,MATCH(ROWS($K$2:K382),$K$2:$K$1001,0),0), INDEX($R$1004:$W$1004,1,MATCH(COLUMNS($R$1006:T1006),$R$1006:$W$1006,0)))),"Fix")))</f>
        <v>0</v>
      </c>
      <c r="E382" s="3">
        <f>IF(OR(INDEX($L$2:$L$1001,MATCH(ROWS($K$2:K382),$K$2:$K$1001,0),1)&gt;=100000,INDEX($R$1005:$W$1005,1,MATCH(COLUMNS($R$1006:U1006),$R$1006:$W$1006,0))&gt;=100000), " ",IF(INDEX($R$2:$W$1001,MATCH(ROWS($K$2:K382),$K$2:$K$1001,0),MATCH(COLUMNS($R$1006:U1006),$R$1006:$W$1006,0)), HYPERLINK("#",""), HYPERLINK(CONCATENATE("#Metadata!", ADDRESS(INDEX($M$2:$M$1001,MATCH(ROWS($K$2:K382),$K$2:$K$1001,0),0), INDEX($R$1004:$W$1004,1,MATCH(COLUMNS($R$1006:U1006),$R$1006:$W$1006,0)))),"Fix")))</f>
        <v>0</v>
      </c>
      <c r="F382" s="3">
        <f>IF(OR(INDEX($L$2:$L$1001,MATCH(ROWS($K$2:K382),$K$2:$K$1001,0),1)&gt;=100000,INDEX($R$1005:$W$1005,1,MATCH(COLUMNS($R$1006:V1006),$R$1006:$W$1006,0))&gt;=100000), " ",IF(INDEX($R$2:$W$1001,MATCH(ROWS($K$2:K382),$K$2:$K$1001,0),MATCH(COLUMNS($R$1006:V1006),$R$1006:$W$1006,0)), HYPERLINK("#",""), HYPERLINK(CONCATENATE("#Metadata!", ADDRESS(INDEX($M$2:$M$1001,MATCH(ROWS($K$2:K382),$K$2:$K$1001,0),0), INDEX($R$1004:$W$1004,1,MATCH(COLUMNS($R$1006:V1006),$R$1006:$W$1006,0)))),"Fix")))</f>
        <v>0</v>
      </c>
      <c r="G382" s="3">
        <f>IF(OR(INDEX($L$2:$L$1001,MATCH(ROWS($K$2:K382),$K$2:$K$1001,0),1)&gt;=100000,INDEX($R$1005:$W$1005,1,MATCH(COLUMNS($R$1006:W1006),$R$1006:$W$1006,0))&gt;=100000), " ",IF(INDEX($R$2:$W$1001,MATCH(ROWS($K$2:K382),$K$2:$K$1001,0),MATCH(COLUMNS($R$1006:W1006),$R$1006:$W$1006,0)), HYPERLINK("#",""), HYPERLINK(CONCATENATE("#Metadata!", ADDRESS(INDEX($M$2:$M$1001,MATCH(ROWS($K$2:K382),$K$2:$K$1001,0),0), INDEX($R$1004:$W$1004,1,MATCH(COLUMNS($R$1006:W1006),$R$1006:$W$1006,0)))),"Fix")))</f>
        <v>0</v>
      </c>
      <c r="K382">
        <v>0</v>
      </c>
      <c r="L382">
        <v>0</v>
      </c>
      <c r="M382">
        <v>0</v>
      </c>
      <c r="N382">
        <f>IF(O382,TRUE,AND(R382:W382))</f>
        <v>0</v>
      </c>
      <c r="O382">
        <f>COUNTBLANK(Metadata!B382:G382)=COLUMNS(Metadata!B382:G382)</f>
        <v>0</v>
      </c>
      <c r="P382">
        <v>0</v>
      </c>
      <c r="R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S382">
        <f>IF(Metadata!C382="",FALSE,TRUE)</f>
        <v>0</v>
      </c>
      <c r="T382">
        <f>IF(Metadata!D382="",FALSE,TRUE)</f>
        <v>0</v>
      </c>
      <c r="U382">
        <f>IF(Metadata!E382="",FALSE,TRUE)</f>
        <v>0</v>
      </c>
      <c r="V382">
        <f>AND(IF(Metadata!F382="",FALSE,TRUE),exact(Metadata!F382,"rat gut metagenome"))</f>
        <v>0</v>
      </c>
      <c r="W382">
        <f>AND(IF(Metadata!G382="",FALSE,TRUE),exact(Metadata!G382,"1436733"))</f>
        <v>0</v>
      </c>
    </row>
    <row r="383" spans="1:23">
      <c r="A383" s="4">
        <f>IF(B383=" "," ",HYPERLINK(CONCATENATE("#metadata!",ADDRESS(INDEX($M$2:$M$1001,MATCH(ROWS($K$2:K383),$K$2:$K$1001,0),0),1)),INDEX($P$2:$P$1001,MATCH(ROWS($K$2:K383),$K$2:$K$1001,0),0)))</f>
        <v>0</v>
      </c>
      <c r="B383" s="3">
        <f>IF(OR(INDEX($L$2:$L$1001,MATCH(ROWS($K$2:K383),$K$2:$K$1001,0),1)&gt;=100000,INDEX($R$1005:$W$1005,1,MATCH(COLUMNS($R$1006:R1006),$R$1006:$W$1006,0))&gt;=100000), " ",IF(INDEX($R$2:$W$1001,MATCH(ROWS($K$2:K383),$K$2:$K$1001,0),MATCH(COLUMNS($R$1006:R1006),$R$1006:$W$1006,0)), HYPERLINK("#",""), HYPERLINK(CONCATENATE("#Metadata!", ADDRESS(INDEX($M$2:$M$1001,MATCH(ROWS($K$2:K383),$K$2:$K$1001,0),0), INDEX($R$1004:$W$1004,1,MATCH(COLUMNS($R$1006:R1006),$R$1006:$W$1006,0)))),"Fix")))</f>
        <v>0</v>
      </c>
      <c r="C383" s="3">
        <f>IF(OR(INDEX($L$2:$L$1001,MATCH(ROWS($K$2:K383),$K$2:$K$1001,0),1)&gt;=100000,INDEX($R$1005:$W$1005,1,MATCH(COLUMNS($R$1006:S1006),$R$1006:$W$1006,0))&gt;=100000), " ",IF(INDEX($R$2:$W$1001,MATCH(ROWS($K$2:K383),$K$2:$K$1001,0),MATCH(COLUMNS($R$1006:S1006),$R$1006:$W$1006,0)), HYPERLINK("#",""), HYPERLINK(CONCATENATE("#Metadata!", ADDRESS(INDEX($M$2:$M$1001,MATCH(ROWS($K$2:K383),$K$2:$K$1001,0),0), INDEX($R$1004:$W$1004,1,MATCH(COLUMNS($R$1006:S1006),$R$1006:$W$1006,0)))),"Fix")))</f>
        <v>0</v>
      </c>
      <c r="D383" s="3">
        <f>IF(OR(INDEX($L$2:$L$1001,MATCH(ROWS($K$2:K383),$K$2:$K$1001,0),1)&gt;=100000,INDEX($R$1005:$W$1005,1,MATCH(COLUMNS($R$1006:T1006),$R$1006:$W$1006,0))&gt;=100000), " ",IF(INDEX($R$2:$W$1001,MATCH(ROWS($K$2:K383),$K$2:$K$1001,0),MATCH(COLUMNS($R$1006:T1006),$R$1006:$W$1006,0)), HYPERLINK("#",""), HYPERLINK(CONCATENATE("#Metadata!", ADDRESS(INDEX($M$2:$M$1001,MATCH(ROWS($K$2:K383),$K$2:$K$1001,0),0), INDEX($R$1004:$W$1004,1,MATCH(COLUMNS($R$1006:T1006),$R$1006:$W$1006,0)))),"Fix")))</f>
        <v>0</v>
      </c>
      <c r="E383" s="3">
        <f>IF(OR(INDEX($L$2:$L$1001,MATCH(ROWS($K$2:K383),$K$2:$K$1001,0),1)&gt;=100000,INDEX($R$1005:$W$1005,1,MATCH(COLUMNS($R$1006:U1006),$R$1006:$W$1006,0))&gt;=100000), " ",IF(INDEX($R$2:$W$1001,MATCH(ROWS($K$2:K383),$K$2:$K$1001,0),MATCH(COLUMNS($R$1006:U1006),$R$1006:$W$1006,0)), HYPERLINK("#",""), HYPERLINK(CONCATENATE("#Metadata!", ADDRESS(INDEX($M$2:$M$1001,MATCH(ROWS($K$2:K383),$K$2:$K$1001,0),0), INDEX($R$1004:$W$1004,1,MATCH(COLUMNS($R$1006:U1006),$R$1006:$W$1006,0)))),"Fix")))</f>
        <v>0</v>
      </c>
      <c r="F383" s="3">
        <f>IF(OR(INDEX($L$2:$L$1001,MATCH(ROWS($K$2:K383),$K$2:$K$1001,0),1)&gt;=100000,INDEX($R$1005:$W$1005,1,MATCH(COLUMNS($R$1006:V1006),$R$1006:$W$1006,0))&gt;=100000), " ",IF(INDEX($R$2:$W$1001,MATCH(ROWS($K$2:K383),$K$2:$K$1001,0),MATCH(COLUMNS($R$1006:V1006),$R$1006:$W$1006,0)), HYPERLINK("#",""), HYPERLINK(CONCATENATE("#Metadata!", ADDRESS(INDEX($M$2:$M$1001,MATCH(ROWS($K$2:K383),$K$2:$K$1001,0),0), INDEX($R$1004:$W$1004,1,MATCH(COLUMNS($R$1006:V1006),$R$1006:$W$1006,0)))),"Fix")))</f>
        <v>0</v>
      </c>
      <c r="G383" s="3">
        <f>IF(OR(INDEX($L$2:$L$1001,MATCH(ROWS($K$2:K383),$K$2:$K$1001,0),1)&gt;=100000,INDEX($R$1005:$W$1005,1,MATCH(COLUMNS($R$1006:W1006),$R$1006:$W$1006,0))&gt;=100000), " ",IF(INDEX($R$2:$W$1001,MATCH(ROWS($K$2:K383),$K$2:$K$1001,0),MATCH(COLUMNS($R$1006:W1006),$R$1006:$W$1006,0)), HYPERLINK("#",""), HYPERLINK(CONCATENATE("#Metadata!", ADDRESS(INDEX($M$2:$M$1001,MATCH(ROWS($K$2:K383),$K$2:$K$1001,0),0), INDEX($R$1004:$W$1004,1,MATCH(COLUMNS($R$1006:W1006),$R$1006:$W$1006,0)))),"Fix")))</f>
        <v>0</v>
      </c>
      <c r="K383">
        <v>0</v>
      </c>
      <c r="L383">
        <v>0</v>
      </c>
      <c r="M383">
        <v>0</v>
      </c>
      <c r="N383">
        <f>IF(O383,TRUE,AND(R383:W383))</f>
        <v>0</v>
      </c>
      <c r="O383">
        <f>COUNTBLANK(Metadata!B383:G383)=COLUMNS(Metadata!B383:G383)</f>
        <v>0</v>
      </c>
      <c r="P383">
        <v>0</v>
      </c>
      <c r="R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S383">
        <f>IF(Metadata!C383="",FALSE,TRUE)</f>
        <v>0</v>
      </c>
      <c r="T383">
        <f>IF(Metadata!D383="",FALSE,TRUE)</f>
        <v>0</v>
      </c>
      <c r="U383">
        <f>IF(Metadata!E383="",FALSE,TRUE)</f>
        <v>0</v>
      </c>
      <c r="V383">
        <f>AND(IF(Metadata!F383="",FALSE,TRUE),exact(Metadata!F383,"rat gut metagenome"))</f>
        <v>0</v>
      </c>
      <c r="W383">
        <f>AND(IF(Metadata!G383="",FALSE,TRUE),exact(Metadata!G383,"1436733"))</f>
        <v>0</v>
      </c>
    </row>
    <row r="384" spans="1:23">
      <c r="A384" s="4">
        <f>IF(B384=" "," ",HYPERLINK(CONCATENATE("#metadata!",ADDRESS(INDEX($M$2:$M$1001,MATCH(ROWS($K$2:K384),$K$2:$K$1001,0),0),1)),INDEX($P$2:$P$1001,MATCH(ROWS($K$2:K384),$K$2:$K$1001,0),0)))</f>
        <v>0</v>
      </c>
      <c r="B384" s="3">
        <f>IF(OR(INDEX($L$2:$L$1001,MATCH(ROWS($K$2:K384),$K$2:$K$1001,0),1)&gt;=100000,INDEX($R$1005:$W$1005,1,MATCH(COLUMNS($R$1006:R1006),$R$1006:$W$1006,0))&gt;=100000), " ",IF(INDEX($R$2:$W$1001,MATCH(ROWS($K$2:K384),$K$2:$K$1001,0),MATCH(COLUMNS($R$1006:R1006),$R$1006:$W$1006,0)), HYPERLINK("#",""), HYPERLINK(CONCATENATE("#Metadata!", ADDRESS(INDEX($M$2:$M$1001,MATCH(ROWS($K$2:K384),$K$2:$K$1001,0),0), INDEX($R$1004:$W$1004,1,MATCH(COLUMNS($R$1006:R1006),$R$1006:$W$1006,0)))),"Fix")))</f>
        <v>0</v>
      </c>
      <c r="C384" s="3">
        <f>IF(OR(INDEX($L$2:$L$1001,MATCH(ROWS($K$2:K384),$K$2:$K$1001,0),1)&gt;=100000,INDEX($R$1005:$W$1005,1,MATCH(COLUMNS($R$1006:S1006),$R$1006:$W$1006,0))&gt;=100000), " ",IF(INDEX($R$2:$W$1001,MATCH(ROWS($K$2:K384),$K$2:$K$1001,0),MATCH(COLUMNS($R$1006:S1006),$R$1006:$W$1006,0)), HYPERLINK("#",""), HYPERLINK(CONCATENATE("#Metadata!", ADDRESS(INDEX($M$2:$M$1001,MATCH(ROWS($K$2:K384),$K$2:$K$1001,0),0), INDEX($R$1004:$W$1004,1,MATCH(COLUMNS($R$1006:S1006),$R$1006:$W$1006,0)))),"Fix")))</f>
        <v>0</v>
      </c>
      <c r="D384" s="3">
        <f>IF(OR(INDEX($L$2:$L$1001,MATCH(ROWS($K$2:K384),$K$2:$K$1001,0),1)&gt;=100000,INDEX($R$1005:$W$1005,1,MATCH(COLUMNS($R$1006:T1006),$R$1006:$W$1006,0))&gt;=100000), " ",IF(INDEX($R$2:$W$1001,MATCH(ROWS($K$2:K384),$K$2:$K$1001,0),MATCH(COLUMNS($R$1006:T1006),$R$1006:$W$1006,0)), HYPERLINK("#",""), HYPERLINK(CONCATENATE("#Metadata!", ADDRESS(INDEX($M$2:$M$1001,MATCH(ROWS($K$2:K384),$K$2:$K$1001,0),0), INDEX($R$1004:$W$1004,1,MATCH(COLUMNS($R$1006:T1006),$R$1006:$W$1006,0)))),"Fix")))</f>
        <v>0</v>
      </c>
      <c r="E384" s="3">
        <f>IF(OR(INDEX($L$2:$L$1001,MATCH(ROWS($K$2:K384),$K$2:$K$1001,0),1)&gt;=100000,INDEX($R$1005:$W$1005,1,MATCH(COLUMNS($R$1006:U1006),$R$1006:$W$1006,0))&gt;=100000), " ",IF(INDEX($R$2:$W$1001,MATCH(ROWS($K$2:K384),$K$2:$K$1001,0),MATCH(COLUMNS($R$1006:U1006),$R$1006:$W$1006,0)), HYPERLINK("#",""), HYPERLINK(CONCATENATE("#Metadata!", ADDRESS(INDEX($M$2:$M$1001,MATCH(ROWS($K$2:K384),$K$2:$K$1001,0),0), INDEX($R$1004:$W$1004,1,MATCH(COLUMNS($R$1006:U1006),$R$1006:$W$1006,0)))),"Fix")))</f>
        <v>0</v>
      </c>
      <c r="F384" s="3">
        <f>IF(OR(INDEX($L$2:$L$1001,MATCH(ROWS($K$2:K384),$K$2:$K$1001,0),1)&gt;=100000,INDEX($R$1005:$W$1005,1,MATCH(COLUMNS($R$1006:V1006),$R$1006:$W$1006,0))&gt;=100000), " ",IF(INDEX($R$2:$W$1001,MATCH(ROWS($K$2:K384),$K$2:$K$1001,0),MATCH(COLUMNS($R$1006:V1006),$R$1006:$W$1006,0)), HYPERLINK("#",""), HYPERLINK(CONCATENATE("#Metadata!", ADDRESS(INDEX($M$2:$M$1001,MATCH(ROWS($K$2:K384),$K$2:$K$1001,0),0), INDEX($R$1004:$W$1004,1,MATCH(COLUMNS($R$1006:V1006),$R$1006:$W$1006,0)))),"Fix")))</f>
        <v>0</v>
      </c>
      <c r="G384" s="3">
        <f>IF(OR(INDEX($L$2:$L$1001,MATCH(ROWS($K$2:K384),$K$2:$K$1001,0),1)&gt;=100000,INDEX($R$1005:$W$1005,1,MATCH(COLUMNS($R$1006:W1006),$R$1006:$W$1006,0))&gt;=100000), " ",IF(INDEX($R$2:$W$1001,MATCH(ROWS($K$2:K384),$K$2:$K$1001,0),MATCH(COLUMNS($R$1006:W1006),$R$1006:$W$1006,0)), HYPERLINK("#",""), HYPERLINK(CONCATENATE("#Metadata!", ADDRESS(INDEX($M$2:$M$1001,MATCH(ROWS($K$2:K384),$K$2:$K$1001,0),0), INDEX($R$1004:$W$1004,1,MATCH(COLUMNS($R$1006:W1006),$R$1006:$W$1006,0)))),"Fix")))</f>
        <v>0</v>
      </c>
      <c r="K384">
        <v>0</v>
      </c>
      <c r="L384">
        <v>0</v>
      </c>
      <c r="M384">
        <v>0</v>
      </c>
      <c r="N384">
        <f>IF(O384,TRUE,AND(R384:W384))</f>
        <v>0</v>
      </c>
      <c r="O384">
        <f>COUNTBLANK(Metadata!B384:G384)=COLUMNS(Metadata!B384:G384)</f>
        <v>0</v>
      </c>
      <c r="P384">
        <v>0</v>
      </c>
      <c r="R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S384">
        <f>IF(Metadata!C384="",FALSE,TRUE)</f>
        <v>0</v>
      </c>
      <c r="T384">
        <f>IF(Metadata!D384="",FALSE,TRUE)</f>
        <v>0</v>
      </c>
      <c r="U384">
        <f>IF(Metadata!E384="",FALSE,TRUE)</f>
        <v>0</v>
      </c>
      <c r="V384">
        <f>AND(IF(Metadata!F384="",FALSE,TRUE),exact(Metadata!F384,"rat gut metagenome"))</f>
        <v>0</v>
      </c>
      <c r="W384">
        <f>AND(IF(Metadata!G384="",FALSE,TRUE),exact(Metadata!G384,"1436733"))</f>
        <v>0</v>
      </c>
    </row>
    <row r="385" spans="1:23">
      <c r="A385" s="4">
        <f>IF(B385=" "," ",HYPERLINK(CONCATENATE("#metadata!",ADDRESS(INDEX($M$2:$M$1001,MATCH(ROWS($K$2:K385),$K$2:$K$1001,0),0),1)),INDEX($P$2:$P$1001,MATCH(ROWS($K$2:K385),$K$2:$K$1001,0),0)))</f>
        <v>0</v>
      </c>
      <c r="B385" s="3">
        <f>IF(OR(INDEX($L$2:$L$1001,MATCH(ROWS($K$2:K385),$K$2:$K$1001,0),1)&gt;=100000,INDEX($R$1005:$W$1005,1,MATCH(COLUMNS($R$1006:R1006),$R$1006:$W$1006,0))&gt;=100000), " ",IF(INDEX($R$2:$W$1001,MATCH(ROWS($K$2:K385),$K$2:$K$1001,0),MATCH(COLUMNS($R$1006:R1006),$R$1006:$W$1006,0)), HYPERLINK("#",""), HYPERLINK(CONCATENATE("#Metadata!", ADDRESS(INDEX($M$2:$M$1001,MATCH(ROWS($K$2:K385),$K$2:$K$1001,0),0), INDEX($R$1004:$W$1004,1,MATCH(COLUMNS($R$1006:R1006),$R$1006:$W$1006,0)))),"Fix")))</f>
        <v>0</v>
      </c>
      <c r="C385" s="3">
        <f>IF(OR(INDEX($L$2:$L$1001,MATCH(ROWS($K$2:K385),$K$2:$K$1001,0),1)&gt;=100000,INDEX($R$1005:$W$1005,1,MATCH(COLUMNS($R$1006:S1006),$R$1006:$W$1006,0))&gt;=100000), " ",IF(INDEX($R$2:$W$1001,MATCH(ROWS($K$2:K385),$K$2:$K$1001,0),MATCH(COLUMNS($R$1006:S1006),$R$1006:$W$1006,0)), HYPERLINK("#",""), HYPERLINK(CONCATENATE("#Metadata!", ADDRESS(INDEX($M$2:$M$1001,MATCH(ROWS($K$2:K385),$K$2:$K$1001,0),0), INDEX($R$1004:$W$1004,1,MATCH(COLUMNS($R$1006:S1006),$R$1006:$W$1006,0)))),"Fix")))</f>
        <v>0</v>
      </c>
      <c r="D385" s="3">
        <f>IF(OR(INDEX($L$2:$L$1001,MATCH(ROWS($K$2:K385),$K$2:$K$1001,0),1)&gt;=100000,INDEX($R$1005:$W$1005,1,MATCH(COLUMNS($R$1006:T1006),$R$1006:$W$1006,0))&gt;=100000), " ",IF(INDEX($R$2:$W$1001,MATCH(ROWS($K$2:K385),$K$2:$K$1001,0),MATCH(COLUMNS($R$1006:T1006),$R$1006:$W$1006,0)), HYPERLINK("#",""), HYPERLINK(CONCATENATE("#Metadata!", ADDRESS(INDEX($M$2:$M$1001,MATCH(ROWS($K$2:K385),$K$2:$K$1001,0),0), INDEX($R$1004:$W$1004,1,MATCH(COLUMNS($R$1006:T1006),$R$1006:$W$1006,0)))),"Fix")))</f>
        <v>0</v>
      </c>
      <c r="E385" s="3">
        <f>IF(OR(INDEX($L$2:$L$1001,MATCH(ROWS($K$2:K385),$K$2:$K$1001,0),1)&gt;=100000,INDEX($R$1005:$W$1005,1,MATCH(COLUMNS($R$1006:U1006),$R$1006:$W$1006,0))&gt;=100000), " ",IF(INDEX($R$2:$W$1001,MATCH(ROWS($K$2:K385),$K$2:$K$1001,0),MATCH(COLUMNS($R$1006:U1006),$R$1006:$W$1006,0)), HYPERLINK("#",""), HYPERLINK(CONCATENATE("#Metadata!", ADDRESS(INDEX($M$2:$M$1001,MATCH(ROWS($K$2:K385),$K$2:$K$1001,0),0), INDEX($R$1004:$W$1004,1,MATCH(COLUMNS($R$1006:U1006),$R$1006:$W$1006,0)))),"Fix")))</f>
        <v>0</v>
      </c>
      <c r="F385" s="3">
        <f>IF(OR(INDEX($L$2:$L$1001,MATCH(ROWS($K$2:K385),$K$2:$K$1001,0),1)&gt;=100000,INDEX($R$1005:$W$1005,1,MATCH(COLUMNS($R$1006:V1006),$R$1006:$W$1006,0))&gt;=100000), " ",IF(INDEX($R$2:$W$1001,MATCH(ROWS($K$2:K385),$K$2:$K$1001,0),MATCH(COLUMNS($R$1006:V1006),$R$1006:$W$1006,0)), HYPERLINK("#",""), HYPERLINK(CONCATENATE("#Metadata!", ADDRESS(INDEX($M$2:$M$1001,MATCH(ROWS($K$2:K385),$K$2:$K$1001,0),0), INDEX($R$1004:$W$1004,1,MATCH(COLUMNS($R$1006:V1006),$R$1006:$W$1006,0)))),"Fix")))</f>
        <v>0</v>
      </c>
      <c r="G385" s="3">
        <f>IF(OR(INDEX($L$2:$L$1001,MATCH(ROWS($K$2:K385),$K$2:$K$1001,0),1)&gt;=100000,INDEX($R$1005:$W$1005,1,MATCH(COLUMNS($R$1006:W1006),$R$1006:$W$1006,0))&gt;=100000), " ",IF(INDEX($R$2:$W$1001,MATCH(ROWS($K$2:K385),$K$2:$K$1001,0),MATCH(COLUMNS($R$1006:W1006),$R$1006:$W$1006,0)), HYPERLINK("#",""), HYPERLINK(CONCATENATE("#Metadata!", ADDRESS(INDEX($M$2:$M$1001,MATCH(ROWS($K$2:K385),$K$2:$K$1001,0),0), INDEX($R$1004:$W$1004,1,MATCH(COLUMNS($R$1006:W1006),$R$1006:$W$1006,0)))),"Fix")))</f>
        <v>0</v>
      </c>
      <c r="K385">
        <v>0</v>
      </c>
      <c r="L385">
        <v>0</v>
      </c>
      <c r="M385">
        <v>0</v>
      </c>
      <c r="N385">
        <f>IF(O385,TRUE,AND(R385:W385))</f>
        <v>0</v>
      </c>
      <c r="O385">
        <f>COUNTBLANK(Metadata!B385:G385)=COLUMNS(Metadata!B385:G385)</f>
        <v>0</v>
      </c>
      <c r="P385">
        <v>0</v>
      </c>
      <c r="R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S385">
        <f>IF(Metadata!C385="",FALSE,TRUE)</f>
        <v>0</v>
      </c>
      <c r="T385">
        <f>IF(Metadata!D385="",FALSE,TRUE)</f>
        <v>0</v>
      </c>
      <c r="U385">
        <f>IF(Metadata!E385="",FALSE,TRUE)</f>
        <v>0</v>
      </c>
      <c r="V385">
        <f>AND(IF(Metadata!F385="",FALSE,TRUE),exact(Metadata!F385,"rat gut metagenome"))</f>
        <v>0</v>
      </c>
      <c r="W385">
        <f>AND(IF(Metadata!G385="",FALSE,TRUE),exact(Metadata!G385,"1436733"))</f>
        <v>0</v>
      </c>
    </row>
    <row r="386" spans="1:23">
      <c r="A386" s="4">
        <f>IF(B386=" "," ",HYPERLINK(CONCATENATE("#metadata!",ADDRESS(INDEX($M$2:$M$1001,MATCH(ROWS($K$2:K386),$K$2:$K$1001,0),0),1)),INDEX($P$2:$P$1001,MATCH(ROWS($K$2:K386),$K$2:$K$1001,0),0)))</f>
        <v>0</v>
      </c>
      <c r="B386" s="3">
        <f>IF(OR(INDEX($L$2:$L$1001,MATCH(ROWS($K$2:K386),$K$2:$K$1001,0),1)&gt;=100000,INDEX($R$1005:$W$1005,1,MATCH(COLUMNS($R$1006:R1006),$R$1006:$W$1006,0))&gt;=100000), " ",IF(INDEX($R$2:$W$1001,MATCH(ROWS($K$2:K386),$K$2:$K$1001,0),MATCH(COLUMNS($R$1006:R1006),$R$1006:$W$1006,0)), HYPERLINK("#",""), HYPERLINK(CONCATENATE("#Metadata!", ADDRESS(INDEX($M$2:$M$1001,MATCH(ROWS($K$2:K386),$K$2:$K$1001,0),0), INDEX($R$1004:$W$1004,1,MATCH(COLUMNS($R$1006:R1006),$R$1006:$W$1006,0)))),"Fix")))</f>
        <v>0</v>
      </c>
      <c r="C386" s="3">
        <f>IF(OR(INDEX($L$2:$L$1001,MATCH(ROWS($K$2:K386),$K$2:$K$1001,0),1)&gt;=100000,INDEX($R$1005:$W$1005,1,MATCH(COLUMNS($R$1006:S1006),$R$1006:$W$1006,0))&gt;=100000), " ",IF(INDEX($R$2:$W$1001,MATCH(ROWS($K$2:K386),$K$2:$K$1001,0),MATCH(COLUMNS($R$1006:S1006),$R$1006:$W$1006,0)), HYPERLINK("#",""), HYPERLINK(CONCATENATE("#Metadata!", ADDRESS(INDEX($M$2:$M$1001,MATCH(ROWS($K$2:K386),$K$2:$K$1001,0),0), INDEX($R$1004:$W$1004,1,MATCH(COLUMNS($R$1006:S1006),$R$1006:$W$1006,0)))),"Fix")))</f>
        <v>0</v>
      </c>
      <c r="D386" s="3">
        <f>IF(OR(INDEX($L$2:$L$1001,MATCH(ROWS($K$2:K386),$K$2:$K$1001,0),1)&gt;=100000,INDEX($R$1005:$W$1005,1,MATCH(COLUMNS($R$1006:T1006),$R$1006:$W$1006,0))&gt;=100000), " ",IF(INDEX($R$2:$W$1001,MATCH(ROWS($K$2:K386),$K$2:$K$1001,0),MATCH(COLUMNS($R$1006:T1006),$R$1006:$W$1006,0)), HYPERLINK("#",""), HYPERLINK(CONCATENATE("#Metadata!", ADDRESS(INDEX($M$2:$M$1001,MATCH(ROWS($K$2:K386),$K$2:$K$1001,0),0), INDEX($R$1004:$W$1004,1,MATCH(COLUMNS($R$1006:T1006),$R$1006:$W$1006,0)))),"Fix")))</f>
        <v>0</v>
      </c>
      <c r="E386" s="3">
        <f>IF(OR(INDEX($L$2:$L$1001,MATCH(ROWS($K$2:K386),$K$2:$K$1001,0),1)&gt;=100000,INDEX($R$1005:$W$1005,1,MATCH(COLUMNS($R$1006:U1006),$R$1006:$W$1006,0))&gt;=100000), " ",IF(INDEX($R$2:$W$1001,MATCH(ROWS($K$2:K386),$K$2:$K$1001,0),MATCH(COLUMNS($R$1006:U1006),$R$1006:$W$1006,0)), HYPERLINK("#",""), HYPERLINK(CONCATENATE("#Metadata!", ADDRESS(INDEX($M$2:$M$1001,MATCH(ROWS($K$2:K386),$K$2:$K$1001,0),0), INDEX($R$1004:$W$1004,1,MATCH(COLUMNS($R$1006:U1006),$R$1006:$W$1006,0)))),"Fix")))</f>
        <v>0</v>
      </c>
      <c r="F386" s="3">
        <f>IF(OR(INDEX($L$2:$L$1001,MATCH(ROWS($K$2:K386),$K$2:$K$1001,0),1)&gt;=100000,INDEX($R$1005:$W$1005,1,MATCH(COLUMNS($R$1006:V1006),$R$1006:$W$1006,0))&gt;=100000), " ",IF(INDEX($R$2:$W$1001,MATCH(ROWS($K$2:K386),$K$2:$K$1001,0),MATCH(COLUMNS($R$1006:V1006),$R$1006:$W$1006,0)), HYPERLINK("#",""), HYPERLINK(CONCATENATE("#Metadata!", ADDRESS(INDEX($M$2:$M$1001,MATCH(ROWS($K$2:K386),$K$2:$K$1001,0),0), INDEX($R$1004:$W$1004,1,MATCH(COLUMNS($R$1006:V1006),$R$1006:$W$1006,0)))),"Fix")))</f>
        <v>0</v>
      </c>
      <c r="G386" s="3">
        <f>IF(OR(INDEX($L$2:$L$1001,MATCH(ROWS($K$2:K386),$K$2:$K$1001,0),1)&gt;=100000,INDEX($R$1005:$W$1005,1,MATCH(COLUMNS($R$1006:W1006),$R$1006:$W$1006,0))&gt;=100000), " ",IF(INDEX($R$2:$W$1001,MATCH(ROWS($K$2:K386),$K$2:$K$1001,0),MATCH(COLUMNS($R$1006:W1006),$R$1006:$W$1006,0)), HYPERLINK("#",""), HYPERLINK(CONCATENATE("#Metadata!", ADDRESS(INDEX($M$2:$M$1001,MATCH(ROWS($K$2:K386),$K$2:$K$1001,0),0), INDEX($R$1004:$W$1004,1,MATCH(COLUMNS($R$1006:W1006),$R$1006:$W$1006,0)))),"Fix")))</f>
        <v>0</v>
      </c>
      <c r="K386">
        <v>0</v>
      </c>
      <c r="L386">
        <v>0</v>
      </c>
      <c r="M386">
        <v>0</v>
      </c>
      <c r="N386">
        <f>IF(O386,TRUE,AND(R386:W386))</f>
        <v>0</v>
      </c>
      <c r="O386">
        <f>COUNTBLANK(Metadata!B386:G386)=COLUMNS(Metadata!B386:G386)</f>
        <v>0</v>
      </c>
      <c r="P386">
        <v>0</v>
      </c>
      <c r="R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S386">
        <f>IF(Metadata!C386="",FALSE,TRUE)</f>
        <v>0</v>
      </c>
      <c r="T386">
        <f>IF(Metadata!D386="",FALSE,TRUE)</f>
        <v>0</v>
      </c>
      <c r="U386">
        <f>IF(Metadata!E386="",FALSE,TRUE)</f>
        <v>0</v>
      </c>
      <c r="V386">
        <f>AND(IF(Metadata!F386="",FALSE,TRUE),exact(Metadata!F386,"rat gut metagenome"))</f>
        <v>0</v>
      </c>
      <c r="W386">
        <f>AND(IF(Metadata!G386="",FALSE,TRUE),exact(Metadata!G386,"1436733"))</f>
        <v>0</v>
      </c>
    </row>
    <row r="387" spans="1:23">
      <c r="A387" s="4">
        <f>IF(B387=" "," ",HYPERLINK(CONCATENATE("#metadata!",ADDRESS(INDEX($M$2:$M$1001,MATCH(ROWS($K$2:K387),$K$2:$K$1001,0),0),1)),INDEX($P$2:$P$1001,MATCH(ROWS($K$2:K387),$K$2:$K$1001,0),0)))</f>
        <v>0</v>
      </c>
      <c r="B387" s="3">
        <f>IF(OR(INDEX($L$2:$L$1001,MATCH(ROWS($K$2:K387),$K$2:$K$1001,0),1)&gt;=100000,INDEX($R$1005:$W$1005,1,MATCH(COLUMNS($R$1006:R1006),$R$1006:$W$1006,0))&gt;=100000), " ",IF(INDEX($R$2:$W$1001,MATCH(ROWS($K$2:K387),$K$2:$K$1001,0),MATCH(COLUMNS($R$1006:R1006),$R$1006:$W$1006,0)), HYPERLINK("#",""), HYPERLINK(CONCATENATE("#Metadata!", ADDRESS(INDEX($M$2:$M$1001,MATCH(ROWS($K$2:K387),$K$2:$K$1001,0),0), INDEX($R$1004:$W$1004,1,MATCH(COLUMNS($R$1006:R1006),$R$1006:$W$1006,0)))),"Fix")))</f>
        <v>0</v>
      </c>
      <c r="C387" s="3">
        <f>IF(OR(INDEX($L$2:$L$1001,MATCH(ROWS($K$2:K387),$K$2:$K$1001,0),1)&gt;=100000,INDEX($R$1005:$W$1005,1,MATCH(COLUMNS($R$1006:S1006),$R$1006:$W$1006,0))&gt;=100000), " ",IF(INDEX($R$2:$W$1001,MATCH(ROWS($K$2:K387),$K$2:$K$1001,0),MATCH(COLUMNS($R$1006:S1006),$R$1006:$W$1006,0)), HYPERLINK("#",""), HYPERLINK(CONCATENATE("#Metadata!", ADDRESS(INDEX($M$2:$M$1001,MATCH(ROWS($K$2:K387),$K$2:$K$1001,0),0), INDEX($R$1004:$W$1004,1,MATCH(COLUMNS($R$1006:S1006),$R$1006:$W$1006,0)))),"Fix")))</f>
        <v>0</v>
      </c>
      <c r="D387" s="3">
        <f>IF(OR(INDEX($L$2:$L$1001,MATCH(ROWS($K$2:K387),$K$2:$K$1001,0),1)&gt;=100000,INDEX($R$1005:$W$1005,1,MATCH(COLUMNS($R$1006:T1006),$R$1006:$W$1006,0))&gt;=100000), " ",IF(INDEX($R$2:$W$1001,MATCH(ROWS($K$2:K387),$K$2:$K$1001,0),MATCH(COLUMNS($R$1006:T1006),$R$1006:$W$1006,0)), HYPERLINK("#",""), HYPERLINK(CONCATENATE("#Metadata!", ADDRESS(INDEX($M$2:$M$1001,MATCH(ROWS($K$2:K387),$K$2:$K$1001,0),0), INDEX($R$1004:$W$1004,1,MATCH(COLUMNS($R$1006:T1006),$R$1006:$W$1006,0)))),"Fix")))</f>
        <v>0</v>
      </c>
      <c r="E387" s="3">
        <f>IF(OR(INDEX($L$2:$L$1001,MATCH(ROWS($K$2:K387),$K$2:$K$1001,0),1)&gt;=100000,INDEX($R$1005:$W$1005,1,MATCH(COLUMNS($R$1006:U1006),$R$1006:$W$1006,0))&gt;=100000), " ",IF(INDEX($R$2:$W$1001,MATCH(ROWS($K$2:K387),$K$2:$K$1001,0),MATCH(COLUMNS($R$1006:U1006),$R$1006:$W$1006,0)), HYPERLINK("#",""), HYPERLINK(CONCATENATE("#Metadata!", ADDRESS(INDEX($M$2:$M$1001,MATCH(ROWS($K$2:K387),$K$2:$K$1001,0),0), INDEX($R$1004:$W$1004,1,MATCH(COLUMNS($R$1006:U1006),$R$1006:$W$1006,0)))),"Fix")))</f>
        <v>0</v>
      </c>
      <c r="F387" s="3">
        <f>IF(OR(INDEX($L$2:$L$1001,MATCH(ROWS($K$2:K387),$K$2:$K$1001,0),1)&gt;=100000,INDEX($R$1005:$W$1005,1,MATCH(COLUMNS($R$1006:V1006),$R$1006:$W$1006,0))&gt;=100000), " ",IF(INDEX($R$2:$W$1001,MATCH(ROWS($K$2:K387),$K$2:$K$1001,0),MATCH(COLUMNS($R$1006:V1006),$R$1006:$W$1006,0)), HYPERLINK("#",""), HYPERLINK(CONCATENATE("#Metadata!", ADDRESS(INDEX($M$2:$M$1001,MATCH(ROWS($K$2:K387),$K$2:$K$1001,0),0), INDEX($R$1004:$W$1004,1,MATCH(COLUMNS($R$1006:V1006),$R$1006:$W$1006,0)))),"Fix")))</f>
        <v>0</v>
      </c>
      <c r="G387" s="3">
        <f>IF(OR(INDEX($L$2:$L$1001,MATCH(ROWS($K$2:K387),$K$2:$K$1001,0),1)&gt;=100000,INDEX($R$1005:$W$1005,1,MATCH(COLUMNS($R$1006:W1006),$R$1006:$W$1006,0))&gt;=100000), " ",IF(INDEX($R$2:$W$1001,MATCH(ROWS($K$2:K387),$K$2:$K$1001,0),MATCH(COLUMNS($R$1006:W1006),$R$1006:$W$1006,0)), HYPERLINK("#",""), HYPERLINK(CONCATENATE("#Metadata!", ADDRESS(INDEX($M$2:$M$1001,MATCH(ROWS($K$2:K387),$K$2:$K$1001,0),0), INDEX($R$1004:$W$1004,1,MATCH(COLUMNS($R$1006:W1006),$R$1006:$W$1006,0)))),"Fix")))</f>
        <v>0</v>
      </c>
      <c r="K387">
        <v>0</v>
      </c>
      <c r="L387">
        <v>0</v>
      </c>
      <c r="M387">
        <v>0</v>
      </c>
      <c r="N387">
        <f>IF(O387,TRUE,AND(R387:W387))</f>
        <v>0</v>
      </c>
      <c r="O387">
        <f>COUNTBLANK(Metadata!B387:G387)=COLUMNS(Metadata!B387:G387)</f>
        <v>0</v>
      </c>
      <c r="P387">
        <v>0</v>
      </c>
      <c r="R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S387">
        <f>IF(Metadata!C387="",FALSE,TRUE)</f>
        <v>0</v>
      </c>
      <c r="T387">
        <f>IF(Metadata!D387="",FALSE,TRUE)</f>
        <v>0</v>
      </c>
      <c r="U387">
        <f>IF(Metadata!E387="",FALSE,TRUE)</f>
        <v>0</v>
      </c>
      <c r="V387">
        <f>AND(IF(Metadata!F387="",FALSE,TRUE),exact(Metadata!F387,"rat gut metagenome"))</f>
        <v>0</v>
      </c>
      <c r="W387">
        <f>AND(IF(Metadata!G387="",FALSE,TRUE),exact(Metadata!G387,"1436733"))</f>
        <v>0</v>
      </c>
    </row>
    <row r="388" spans="1:23">
      <c r="A388" s="4">
        <f>IF(B388=" "," ",HYPERLINK(CONCATENATE("#metadata!",ADDRESS(INDEX($M$2:$M$1001,MATCH(ROWS($K$2:K388),$K$2:$K$1001,0),0),1)),INDEX($P$2:$P$1001,MATCH(ROWS($K$2:K388),$K$2:$K$1001,0),0)))</f>
        <v>0</v>
      </c>
      <c r="B388" s="3">
        <f>IF(OR(INDEX($L$2:$L$1001,MATCH(ROWS($K$2:K388),$K$2:$K$1001,0),1)&gt;=100000,INDEX($R$1005:$W$1005,1,MATCH(COLUMNS($R$1006:R1006),$R$1006:$W$1006,0))&gt;=100000), " ",IF(INDEX($R$2:$W$1001,MATCH(ROWS($K$2:K388),$K$2:$K$1001,0),MATCH(COLUMNS($R$1006:R1006),$R$1006:$W$1006,0)), HYPERLINK("#",""), HYPERLINK(CONCATENATE("#Metadata!", ADDRESS(INDEX($M$2:$M$1001,MATCH(ROWS($K$2:K388),$K$2:$K$1001,0),0), INDEX($R$1004:$W$1004,1,MATCH(COLUMNS($R$1006:R1006),$R$1006:$W$1006,0)))),"Fix")))</f>
        <v>0</v>
      </c>
      <c r="C388" s="3">
        <f>IF(OR(INDEX($L$2:$L$1001,MATCH(ROWS($K$2:K388),$K$2:$K$1001,0),1)&gt;=100000,INDEX($R$1005:$W$1005,1,MATCH(COLUMNS($R$1006:S1006),$R$1006:$W$1006,0))&gt;=100000), " ",IF(INDEX($R$2:$W$1001,MATCH(ROWS($K$2:K388),$K$2:$K$1001,0),MATCH(COLUMNS($R$1006:S1006),$R$1006:$W$1006,0)), HYPERLINK("#",""), HYPERLINK(CONCATENATE("#Metadata!", ADDRESS(INDEX($M$2:$M$1001,MATCH(ROWS($K$2:K388),$K$2:$K$1001,0),0), INDEX($R$1004:$W$1004,1,MATCH(COLUMNS($R$1006:S1006),$R$1006:$W$1006,0)))),"Fix")))</f>
        <v>0</v>
      </c>
      <c r="D388" s="3">
        <f>IF(OR(INDEX($L$2:$L$1001,MATCH(ROWS($K$2:K388),$K$2:$K$1001,0),1)&gt;=100000,INDEX($R$1005:$W$1005,1,MATCH(COLUMNS($R$1006:T1006),$R$1006:$W$1006,0))&gt;=100000), " ",IF(INDEX($R$2:$W$1001,MATCH(ROWS($K$2:K388),$K$2:$K$1001,0),MATCH(COLUMNS($R$1006:T1006),$R$1006:$W$1006,0)), HYPERLINK("#",""), HYPERLINK(CONCATENATE("#Metadata!", ADDRESS(INDEX($M$2:$M$1001,MATCH(ROWS($K$2:K388),$K$2:$K$1001,0),0), INDEX($R$1004:$W$1004,1,MATCH(COLUMNS($R$1006:T1006),$R$1006:$W$1006,0)))),"Fix")))</f>
        <v>0</v>
      </c>
      <c r="E388" s="3">
        <f>IF(OR(INDEX($L$2:$L$1001,MATCH(ROWS($K$2:K388),$K$2:$K$1001,0),1)&gt;=100000,INDEX($R$1005:$W$1005,1,MATCH(COLUMNS($R$1006:U1006),$R$1006:$W$1006,0))&gt;=100000), " ",IF(INDEX($R$2:$W$1001,MATCH(ROWS($K$2:K388),$K$2:$K$1001,0),MATCH(COLUMNS($R$1006:U1006),$R$1006:$W$1006,0)), HYPERLINK("#",""), HYPERLINK(CONCATENATE("#Metadata!", ADDRESS(INDEX($M$2:$M$1001,MATCH(ROWS($K$2:K388),$K$2:$K$1001,0),0), INDEX($R$1004:$W$1004,1,MATCH(COLUMNS($R$1006:U1006),$R$1006:$W$1006,0)))),"Fix")))</f>
        <v>0</v>
      </c>
      <c r="F388" s="3">
        <f>IF(OR(INDEX($L$2:$L$1001,MATCH(ROWS($K$2:K388),$K$2:$K$1001,0),1)&gt;=100000,INDEX($R$1005:$W$1005,1,MATCH(COLUMNS($R$1006:V1006),$R$1006:$W$1006,0))&gt;=100000), " ",IF(INDEX($R$2:$W$1001,MATCH(ROWS($K$2:K388),$K$2:$K$1001,0),MATCH(COLUMNS($R$1006:V1006),$R$1006:$W$1006,0)), HYPERLINK("#",""), HYPERLINK(CONCATENATE("#Metadata!", ADDRESS(INDEX($M$2:$M$1001,MATCH(ROWS($K$2:K388),$K$2:$K$1001,0),0), INDEX($R$1004:$W$1004,1,MATCH(COLUMNS($R$1006:V1006),$R$1006:$W$1006,0)))),"Fix")))</f>
        <v>0</v>
      </c>
      <c r="G388" s="3">
        <f>IF(OR(INDEX($L$2:$L$1001,MATCH(ROWS($K$2:K388),$K$2:$K$1001,0),1)&gt;=100000,INDEX($R$1005:$W$1005,1,MATCH(COLUMNS($R$1006:W1006),$R$1006:$W$1006,0))&gt;=100000), " ",IF(INDEX($R$2:$W$1001,MATCH(ROWS($K$2:K388),$K$2:$K$1001,0),MATCH(COLUMNS($R$1006:W1006),$R$1006:$W$1006,0)), HYPERLINK("#",""), HYPERLINK(CONCATENATE("#Metadata!", ADDRESS(INDEX($M$2:$M$1001,MATCH(ROWS($K$2:K388),$K$2:$K$1001,0),0), INDEX($R$1004:$W$1004,1,MATCH(COLUMNS($R$1006:W1006),$R$1006:$W$1006,0)))),"Fix")))</f>
        <v>0</v>
      </c>
      <c r="K388">
        <v>0</v>
      </c>
      <c r="L388">
        <v>0</v>
      </c>
      <c r="M388">
        <v>0</v>
      </c>
      <c r="N388">
        <f>IF(O388,TRUE,AND(R388:W388))</f>
        <v>0</v>
      </c>
      <c r="O388">
        <f>COUNTBLANK(Metadata!B388:G388)=COLUMNS(Metadata!B388:G388)</f>
        <v>0</v>
      </c>
      <c r="P388">
        <v>0</v>
      </c>
      <c r="R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S388">
        <f>IF(Metadata!C388="",FALSE,TRUE)</f>
        <v>0</v>
      </c>
      <c r="T388">
        <f>IF(Metadata!D388="",FALSE,TRUE)</f>
        <v>0</v>
      </c>
      <c r="U388">
        <f>IF(Metadata!E388="",FALSE,TRUE)</f>
        <v>0</v>
      </c>
      <c r="V388">
        <f>AND(IF(Metadata!F388="",FALSE,TRUE),exact(Metadata!F388,"rat gut metagenome"))</f>
        <v>0</v>
      </c>
      <c r="W388">
        <f>AND(IF(Metadata!G388="",FALSE,TRUE),exact(Metadata!G388,"1436733"))</f>
        <v>0</v>
      </c>
    </row>
    <row r="389" spans="1:23">
      <c r="A389" s="4">
        <f>IF(B389=" "," ",HYPERLINK(CONCATENATE("#metadata!",ADDRESS(INDEX($M$2:$M$1001,MATCH(ROWS($K$2:K389),$K$2:$K$1001,0),0),1)),INDEX($P$2:$P$1001,MATCH(ROWS($K$2:K389),$K$2:$K$1001,0),0)))</f>
        <v>0</v>
      </c>
      <c r="B389" s="3">
        <f>IF(OR(INDEX($L$2:$L$1001,MATCH(ROWS($K$2:K389),$K$2:$K$1001,0),1)&gt;=100000,INDEX($R$1005:$W$1005,1,MATCH(COLUMNS($R$1006:R1006),$R$1006:$W$1006,0))&gt;=100000), " ",IF(INDEX($R$2:$W$1001,MATCH(ROWS($K$2:K389),$K$2:$K$1001,0),MATCH(COLUMNS($R$1006:R1006),$R$1006:$W$1006,0)), HYPERLINK("#",""), HYPERLINK(CONCATENATE("#Metadata!", ADDRESS(INDEX($M$2:$M$1001,MATCH(ROWS($K$2:K389),$K$2:$K$1001,0),0), INDEX($R$1004:$W$1004,1,MATCH(COLUMNS($R$1006:R1006),$R$1006:$W$1006,0)))),"Fix")))</f>
        <v>0</v>
      </c>
      <c r="C389" s="3">
        <f>IF(OR(INDEX($L$2:$L$1001,MATCH(ROWS($K$2:K389),$K$2:$K$1001,0),1)&gt;=100000,INDEX($R$1005:$W$1005,1,MATCH(COLUMNS($R$1006:S1006),$R$1006:$W$1006,0))&gt;=100000), " ",IF(INDEX($R$2:$W$1001,MATCH(ROWS($K$2:K389),$K$2:$K$1001,0),MATCH(COLUMNS($R$1006:S1006),$R$1006:$W$1006,0)), HYPERLINK("#",""), HYPERLINK(CONCATENATE("#Metadata!", ADDRESS(INDEX($M$2:$M$1001,MATCH(ROWS($K$2:K389),$K$2:$K$1001,0),0), INDEX($R$1004:$W$1004,1,MATCH(COLUMNS($R$1006:S1006),$R$1006:$W$1006,0)))),"Fix")))</f>
        <v>0</v>
      </c>
      <c r="D389" s="3">
        <f>IF(OR(INDEX($L$2:$L$1001,MATCH(ROWS($K$2:K389),$K$2:$K$1001,0),1)&gt;=100000,INDEX($R$1005:$W$1005,1,MATCH(COLUMNS($R$1006:T1006),$R$1006:$W$1006,0))&gt;=100000), " ",IF(INDEX($R$2:$W$1001,MATCH(ROWS($K$2:K389),$K$2:$K$1001,0),MATCH(COLUMNS($R$1006:T1006),$R$1006:$W$1006,0)), HYPERLINK("#",""), HYPERLINK(CONCATENATE("#Metadata!", ADDRESS(INDEX($M$2:$M$1001,MATCH(ROWS($K$2:K389),$K$2:$K$1001,0),0), INDEX($R$1004:$W$1004,1,MATCH(COLUMNS($R$1006:T1006),$R$1006:$W$1006,0)))),"Fix")))</f>
        <v>0</v>
      </c>
      <c r="E389" s="3">
        <f>IF(OR(INDEX($L$2:$L$1001,MATCH(ROWS($K$2:K389),$K$2:$K$1001,0),1)&gt;=100000,INDEX($R$1005:$W$1005,1,MATCH(COLUMNS($R$1006:U1006),$R$1006:$W$1006,0))&gt;=100000), " ",IF(INDEX($R$2:$W$1001,MATCH(ROWS($K$2:K389),$K$2:$K$1001,0),MATCH(COLUMNS($R$1006:U1006),$R$1006:$W$1006,0)), HYPERLINK("#",""), HYPERLINK(CONCATENATE("#Metadata!", ADDRESS(INDEX($M$2:$M$1001,MATCH(ROWS($K$2:K389),$K$2:$K$1001,0),0), INDEX($R$1004:$W$1004,1,MATCH(COLUMNS($R$1006:U1006),$R$1006:$W$1006,0)))),"Fix")))</f>
        <v>0</v>
      </c>
      <c r="F389" s="3">
        <f>IF(OR(INDEX($L$2:$L$1001,MATCH(ROWS($K$2:K389),$K$2:$K$1001,0),1)&gt;=100000,INDEX($R$1005:$W$1005,1,MATCH(COLUMNS($R$1006:V1006),$R$1006:$W$1006,0))&gt;=100000), " ",IF(INDEX($R$2:$W$1001,MATCH(ROWS($K$2:K389),$K$2:$K$1001,0),MATCH(COLUMNS($R$1006:V1006),$R$1006:$W$1006,0)), HYPERLINK("#",""), HYPERLINK(CONCATENATE("#Metadata!", ADDRESS(INDEX($M$2:$M$1001,MATCH(ROWS($K$2:K389),$K$2:$K$1001,0),0), INDEX($R$1004:$W$1004,1,MATCH(COLUMNS($R$1006:V1006),$R$1006:$W$1006,0)))),"Fix")))</f>
        <v>0</v>
      </c>
      <c r="G389" s="3">
        <f>IF(OR(INDEX($L$2:$L$1001,MATCH(ROWS($K$2:K389),$K$2:$K$1001,0),1)&gt;=100000,INDEX($R$1005:$W$1005,1,MATCH(COLUMNS($R$1006:W1006),$R$1006:$W$1006,0))&gt;=100000), " ",IF(INDEX($R$2:$W$1001,MATCH(ROWS($K$2:K389),$K$2:$K$1001,0),MATCH(COLUMNS($R$1006:W1006),$R$1006:$W$1006,0)), HYPERLINK("#",""), HYPERLINK(CONCATENATE("#Metadata!", ADDRESS(INDEX($M$2:$M$1001,MATCH(ROWS($K$2:K389),$K$2:$K$1001,0),0), INDEX($R$1004:$W$1004,1,MATCH(COLUMNS($R$1006:W1006),$R$1006:$W$1006,0)))),"Fix")))</f>
        <v>0</v>
      </c>
      <c r="K389">
        <v>0</v>
      </c>
      <c r="L389">
        <v>0</v>
      </c>
      <c r="M389">
        <v>0</v>
      </c>
      <c r="N389">
        <f>IF(O389,TRUE,AND(R389:W389))</f>
        <v>0</v>
      </c>
      <c r="O389">
        <f>COUNTBLANK(Metadata!B389:G389)=COLUMNS(Metadata!B389:G389)</f>
        <v>0</v>
      </c>
      <c r="P389">
        <v>0</v>
      </c>
      <c r="R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S389">
        <f>IF(Metadata!C389="",FALSE,TRUE)</f>
        <v>0</v>
      </c>
      <c r="T389">
        <f>IF(Metadata!D389="",FALSE,TRUE)</f>
        <v>0</v>
      </c>
      <c r="U389">
        <f>IF(Metadata!E389="",FALSE,TRUE)</f>
        <v>0</v>
      </c>
      <c r="V389">
        <f>AND(IF(Metadata!F389="",FALSE,TRUE),exact(Metadata!F389,"rat gut metagenome"))</f>
        <v>0</v>
      </c>
      <c r="W389">
        <f>AND(IF(Metadata!G389="",FALSE,TRUE),exact(Metadata!G389,"1436733"))</f>
        <v>0</v>
      </c>
    </row>
    <row r="390" spans="1:23">
      <c r="A390" s="4">
        <f>IF(B390=" "," ",HYPERLINK(CONCATENATE("#metadata!",ADDRESS(INDEX($M$2:$M$1001,MATCH(ROWS($K$2:K390),$K$2:$K$1001,0),0),1)),INDEX($P$2:$P$1001,MATCH(ROWS($K$2:K390),$K$2:$K$1001,0),0)))</f>
        <v>0</v>
      </c>
      <c r="B390" s="3">
        <f>IF(OR(INDEX($L$2:$L$1001,MATCH(ROWS($K$2:K390),$K$2:$K$1001,0),1)&gt;=100000,INDEX($R$1005:$W$1005,1,MATCH(COLUMNS($R$1006:R1006),$R$1006:$W$1006,0))&gt;=100000), " ",IF(INDEX($R$2:$W$1001,MATCH(ROWS($K$2:K390),$K$2:$K$1001,0),MATCH(COLUMNS($R$1006:R1006),$R$1006:$W$1006,0)), HYPERLINK("#",""), HYPERLINK(CONCATENATE("#Metadata!", ADDRESS(INDEX($M$2:$M$1001,MATCH(ROWS($K$2:K390),$K$2:$K$1001,0),0), INDEX($R$1004:$W$1004,1,MATCH(COLUMNS($R$1006:R1006),$R$1006:$W$1006,0)))),"Fix")))</f>
        <v>0</v>
      </c>
      <c r="C390" s="3">
        <f>IF(OR(INDEX($L$2:$L$1001,MATCH(ROWS($K$2:K390),$K$2:$K$1001,0),1)&gt;=100000,INDEX($R$1005:$W$1005,1,MATCH(COLUMNS($R$1006:S1006),$R$1006:$W$1006,0))&gt;=100000), " ",IF(INDEX($R$2:$W$1001,MATCH(ROWS($K$2:K390),$K$2:$K$1001,0),MATCH(COLUMNS($R$1006:S1006),$R$1006:$W$1006,0)), HYPERLINK("#",""), HYPERLINK(CONCATENATE("#Metadata!", ADDRESS(INDEX($M$2:$M$1001,MATCH(ROWS($K$2:K390),$K$2:$K$1001,0),0), INDEX($R$1004:$W$1004,1,MATCH(COLUMNS($R$1006:S1006),$R$1006:$W$1006,0)))),"Fix")))</f>
        <v>0</v>
      </c>
      <c r="D390" s="3">
        <f>IF(OR(INDEX($L$2:$L$1001,MATCH(ROWS($K$2:K390),$K$2:$K$1001,0),1)&gt;=100000,INDEX($R$1005:$W$1005,1,MATCH(COLUMNS($R$1006:T1006),$R$1006:$W$1006,0))&gt;=100000), " ",IF(INDEX($R$2:$W$1001,MATCH(ROWS($K$2:K390),$K$2:$K$1001,0),MATCH(COLUMNS($R$1006:T1006),$R$1006:$W$1006,0)), HYPERLINK("#",""), HYPERLINK(CONCATENATE("#Metadata!", ADDRESS(INDEX($M$2:$M$1001,MATCH(ROWS($K$2:K390),$K$2:$K$1001,0),0), INDEX($R$1004:$W$1004,1,MATCH(COLUMNS($R$1006:T1006),$R$1006:$W$1006,0)))),"Fix")))</f>
        <v>0</v>
      </c>
      <c r="E390" s="3">
        <f>IF(OR(INDEX($L$2:$L$1001,MATCH(ROWS($K$2:K390),$K$2:$K$1001,0),1)&gt;=100000,INDEX($R$1005:$W$1005,1,MATCH(COLUMNS($R$1006:U1006),$R$1006:$W$1006,0))&gt;=100000), " ",IF(INDEX($R$2:$W$1001,MATCH(ROWS($K$2:K390),$K$2:$K$1001,0),MATCH(COLUMNS($R$1006:U1006),$R$1006:$W$1006,0)), HYPERLINK("#",""), HYPERLINK(CONCATENATE("#Metadata!", ADDRESS(INDEX($M$2:$M$1001,MATCH(ROWS($K$2:K390),$K$2:$K$1001,0),0), INDEX($R$1004:$W$1004,1,MATCH(COLUMNS($R$1006:U1006),$R$1006:$W$1006,0)))),"Fix")))</f>
        <v>0</v>
      </c>
      <c r="F390" s="3">
        <f>IF(OR(INDEX($L$2:$L$1001,MATCH(ROWS($K$2:K390),$K$2:$K$1001,0),1)&gt;=100000,INDEX($R$1005:$W$1005,1,MATCH(COLUMNS($R$1006:V1006),$R$1006:$W$1006,0))&gt;=100000), " ",IF(INDEX($R$2:$W$1001,MATCH(ROWS($K$2:K390),$K$2:$K$1001,0),MATCH(COLUMNS($R$1006:V1006),$R$1006:$W$1006,0)), HYPERLINK("#",""), HYPERLINK(CONCATENATE("#Metadata!", ADDRESS(INDEX($M$2:$M$1001,MATCH(ROWS($K$2:K390),$K$2:$K$1001,0),0), INDEX($R$1004:$W$1004,1,MATCH(COLUMNS($R$1006:V1006),$R$1006:$W$1006,0)))),"Fix")))</f>
        <v>0</v>
      </c>
      <c r="G390" s="3">
        <f>IF(OR(INDEX($L$2:$L$1001,MATCH(ROWS($K$2:K390),$K$2:$K$1001,0),1)&gt;=100000,INDEX($R$1005:$W$1005,1,MATCH(COLUMNS($R$1006:W1006),$R$1006:$W$1006,0))&gt;=100000), " ",IF(INDEX($R$2:$W$1001,MATCH(ROWS($K$2:K390),$K$2:$K$1001,0),MATCH(COLUMNS($R$1006:W1006),$R$1006:$W$1006,0)), HYPERLINK("#",""), HYPERLINK(CONCATENATE("#Metadata!", ADDRESS(INDEX($M$2:$M$1001,MATCH(ROWS($K$2:K390),$K$2:$K$1001,0),0), INDEX($R$1004:$W$1004,1,MATCH(COLUMNS($R$1006:W1006),$R$1006:$W$1006,0)))),"Fix")))</f>
        <v>0</v>
      </c>
      <c r="K390">
        <v>0</v>
      </c>
      <c r="L390">
        <v>0</v>
      </c>
      <c r="M390">
        <v>0</v>
      </c>
      <c r="N390">
        <f>IF(O390,TRUE,AND(R390:W390))</f>
        <v>0</v>
      </c>
      <c r="O390">
        <f>COUNTBLANK(Metadata!B390:G390)=COLUMNS(Metadata!B390:G390)</f>
        <v>0</v>
      </c>
      <c r="P390">
        <v>0</v>
      </c>
      <c r="R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S390">
        <f>IF(Metadata!C390="",FALSE,TRUE)</f>
        <v>0</v>
      </c>
      <c r="T390">
        <f>IF(Metadata!D390="",FALSE,TRUE)</f>
        <v>0</v>
      </c>
      <c r="U390">
        <f>IF(Metadata!E390="",FALSE,TRUE)</f>
        <v>0</v>
      </c>
      <c r="V390">
        <f>AND(IF(Metadata!F390="",FALSE,TRUE),exact(Metadata!F390,"rat gut metagenome"))</f>
        <v>0</v>
      </c>
      <c r="W390">
        <f>AND(IF(Metadata!G390="",FALSE,TRUE),exact(Metadata!G390,"1436733"))</f>
        <v>0</v>
      </c>
    </row>
    <row r="391" spans="1:23">
      <c r="A391" s="4">
        <f>IF(B391=" "," ",HYPERLINK(CONCATENATE("#metadata!",ADDRESS(INDEX($M$2:$M$1001,MATCH(ROWS($K$2:K391),$K$2:$K$1001,0),0),1)),INDEX($P$2:$P$1001,MATCH(ROWS($K$2:K391),$K$2:$K$1001,0),0)))</f>
        <v>0</v>
      </c>
      <c r="B391" s="3">
        <f>IF(OR(INDEX($L$2:$L$1001,MATCH(ROWS($K$2:K391),$K$2:$K$1001,0),1)&gt;=100000,INDEX($R$1005:$W$1005,1,MATCH(COLUMNS($R$1006:R1006),$R$1006:$W$1006,0))&gt;=100000), " ",IF(INDEX($R$2:$W$1001,MATCH(ROWS($K$2:K391),$K$2:$K$1001,0),MATCH(COLUMNS($R$1006:R1006),$R$1006:$W$1006,0)), HYPERLINK("#",""), HYPERLINK(CONCATENATE("#Metadata!", ADDRESS(INDEX($M$2:$M$1001,MATCH(ROWS($K$2:K391),$K$2:$K$1001,0),0), INDEX($R$1004:$W$1004,1,MATCH(COLUMNS($R$1006:R1006),$R$1006:$W$1006,0)))),"Fix")))</f>
        <v>0</v>
      </c>
      <c r="C391" s="3">
        <f>IF(OR(INDEX($L$2:$L$1001,MATCH(ROWS($K$2:K391),$K$2:$K$1001,0),1)&gt;=100000,INDEX($R$1005:$W$1005,1,MATCH(COLUMNS($R$1006:S1006),$R$1006:$W$1006,0))&gt;=100000), " ",IF(INDEX($R$2:$W$1001,MATCH(ROWS($K$2:K391),$K$2:$K$1001,0),MATCH(COLUMNS($R$1006:S1006),$R$1006:$W$1006,0)), HYPERLINK("#",""), HYPERLINK(CONCATENATE("#Metadata!", ADDRESS(INDEX($M$2:$M$1001,MATCH(ROWS($K$2:K391),$K$2:$K$1001,0),0), INDEX($R$1004:$W$1004,1,MATCH(COLUMNS($R$1006:S1006),$R$1006:$W$1006,0)))),"Fix")))</f>
        <v>0</v>
      </c>
      <c r="D391" s="3">
        <f>IF(OR(INDEX($L$2:$L$1001,MATCH(ROWS($K$2:K391),$K$2:$K$1001,0),1)&gt;=100000,INDEX($R$1005:$W$1005,1,MATCH(COLUMNS($R$1006:T1006),$R$1006:$W$1006,0))&gt;=100000), " ",IF(INDEX($R$2:$W$1001,MATCH(ROWS($K$2:K391),$K$2:$K$1001,0),MATCH(COLUMNS($R$1006:T1006),$R$1006:$W$1006,0)), HYPERLINK("#",""), HYPERLINK(CONCATENATE("#Metadata!", ADDRESS(INDEX($M$2:$M$1001,MATCH(ROWS($K$2:K391),$K$2:$K$1001,0),0), INDEX($R$1004:$W$1004,1,MATCH(COLUMNS($R$1006:T1006),$R$1006:$W$1006,0)))),"Fix")))</f>
        <v>0</v>
      </c>
      <c r="E391" s="3">
        <f>IF(OR(INDEX($L$2:$L$1001,MATCH(ROWS($K$2:K391),$K$2:$K$1001,0),1)&gt;=100000,INDEX($R$1005:$W$1005,1,MATCH(COLUMNS($R$1006:U1006),$R$1006:$W$1006,0))&gt;=100000), " ",IF(INDEX($R$2:$W$1001,MATCH(ROWS($K$2:K391),$K$2:$K$1001,0),MATCH(COLUMNS($R$1006:U1006),$R$1006:$W$1006,0)), HYPERLINK("#",""), HYPERLINK(CONCATENATE("#Metadata!", ADDRESS(INDEX($M$2:$M$1001,MATCH(ROWS($K$2:K391),$K$2:$K$1001,0),0), INDEX($R$1004:$W$1004,1,MATCH(COLUMNS($R$1006:U1006),$R$1006:$W$1006,0)))),"Fix")))</f>
        <v>0</v>
      </c>
      <c r="F391" s="3">
        <f>IF(OR(INDEX($L$2:$L$1001,MATCH(ROWS($K$2:K391),$K$2:$K$1001,0),1)&gt;=100000,INDEX($R$1005:$W$1005,1,MATCH(COLUMNS($R$1006:V1006),$R$1006:$W$1006,0))&gt;=100000), " ",IF(INDEX($R$2:$W$1001,MATCH(ROWS($K$2:K391),$K$2:$K$1001,0),MATCH(COLUMNS($R$1006:V1006),$R$1006:$W$1006,0)), HYPERLINK("#",""), HYPERLINK(CONCATENATE("#Metadata!", ADDRESS(INDEX($M$2:$M$1001,MATCH(ROWS($K$2:K391),$K$2:$K$1001,0),0), INDEX($R$1004:$W$1004,1,MATCH(COLUMNS($R$1006:V1006),$R$1006:$W$1006,0)))),"Fix")))</f>
        <v>0</v>
      </c>
      <c r="G391" s="3">
        <f>IF(OR(INDEX($L$2:$L$1001,MATCH(ROWS($K$2:K391),$K$2:$K$1001,0),1)&gt;=100000,INDEX($R$1005:$W$1005,1,MATCH(COLUMNS($R$1006:W1006),$R$1006:$W$1006,0))&gt;=100000), " ",IF(INDEX($R$2:$W$1001,MATCH(ROWS($K$2:K391),$K$2:$K$1001,0),MATCH(COLUMNS($R$1006:W1006),$R$1006:$W$1006,0)), HYPERLINK("#",""), HYPERLINK(CONCATENATE("#Metadata!", ADDRESS(INDEX($M$2:$M$1001,MATCH(ROWS($K$2:K391),$K$2:$K$1001,0),0), INDEX($R$1004:$W$1004,1,MATCH(COLUMNS($R$1006:W1006),$R$1006:$W$1006,0)))),"Fix")))</f>
        <v>0</v>
      </c>
      <c r="K391">
        <v>0</v>
      </c>
      <c r="L391">
        <v>0</v>
      </c>
      <c r="M391">
        <v>0</v>
      </c>
      <c r="N391">
        <f>IF(O391,TRUE,AND(R391:W391))</f>
        <v>0</v>
      </c>
      <c r="O391">
        <f>COUNTBLANK(Metadata!B391:G391)=COLUMNS(Metadata!B391:G391)</f>
        <v>0</v>
      </c>
      <c r="P391">
        <v>0</v>
      </c>
      <c r="R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S391">
        <f>IF(Metadata!C391="",FALSE,TRUE)</f>
        <v>0</v>
      </c>
      <c r="T391">
        <f>IF(Metadata!D391="",FALSE,TRUE)</f>
        <v>0</v>
      </c>
      <c r="U391">
        <f>IF(Metadata!E391="",FALSE,TRUE)</f>
        <v>0</v>
      </c>
      <c r="V391">
        <f>AND(IF(Metadata!F391="",FALSE,TRUE),exact(Metadata!F391,"rat gut metagenome"))</f>
        <v>0</v>
      </c>
      <c r="W391">
        <f>AND(IF(Metadata!G391="",FALSE,TRUE),exact(Metadata!G391,"1436733"))</f>
        <v>0</v>
      </c>
    </row>
    <row r="392" spans="1:23">
      <c r="A392" s="4">
        <f>IF(B392=" "," ",HYPERLINK(CONCATENATE("#metadata!",ADDRESS(INDEX($M$2:$M$1001,MATCH(ROWS($K$2:K392),$K$2:$K$1001,0),0),1)),INDEX($P$2:$P$1001,MATCH(ROWS($K$2:K392),$K$2:$K$1001,0),0)))</f>
        <v>0</v>
      </c>
      <c r="B392" s="3">
        <f>IF(OR(INDEX($L$2:$L$1001,MATCH(ROWS($K$2:K392),$K$2:$K$1001,0),1)&gt;=100000,INDEX($R$1005:$W$1005,1,MATCH(COLUMNS($R$1006:R1006),$R$1006:$W$1006,0))&gt;=100000), " ",IF(INDEX($R$2:$W$1001,MATCH(ROWS($K$2:K392),$K$2:$K$1001,0),MATCH(COLUMNS($R$1006:R1006),$R$1006:$W$1006,0)), HYPERLINK("#",""), HYPERLINK(CONCATENATE("#Metadata!", ADDRESS(INDEX($M$2:$M$1001,MATCH(ROWS($K$2:K392),$K$2:$K$1001,0),0), INDEX($R$1004:$W$1004,1,MATCH(COLUMNS($R$1006:R1006),$R$1006:$W$1006,0)))),"Fix")))</f>
        <v>0</v>
      </c>
      <c r="C392" s="3">
        <f>IF(OR(INDEX($L$2:$L$1001,MATCH(ROWS($K$2:K392),$K$2:$K$1001,0),1)&gt;=100000,INDEX($R$1005:$W$1005,1,MATCH(COLUMNS($R$1006:S1006),$R$1006:$W$1006,0))&gt;=100000), " ",IF(INDEX($R$2:$W$1001,MATCH(ROWS($K$2:K392),$K$2:$K$1001,0),MATCH(COLUMNS($R$1006:S1006),$R$1006:$W$1006,0)), HYPERLINK("#",""), HYPERLINK(CONCATENATE("#Metadata!", ADDRESS(INDEX($M$2:$M$1001,MATCH(ROWS($K$2:K392),$K$2:$K$1001,0),0), INDEX($R$1004:$W$1004,1,MATCH(COLUMNS($R$1006:S1006),$R$1006:$W$1006,0)))),"Fix")))</f>
        <v>0</v>
      </c>
      <c r="D392" s="3">
        <f>IF(OR(INDEX($L$2:$L$1001,MATCH(ROWS($K$2:K392),$K$2:$K$1001,0),1)&gt;=100000,INDEX($R$1005:$W$1005,1,MATCH(COLUMNS($R$1006:T1006),$R$1006:$W$1006,0))&gt;=100000), " ",IF(INDEX($R$2:$W$1001,MATCH(ROWS($K$2:K392),$K$2:$K$1001,0),MATCH(COLUMNS($R$1006:T1006),$R$1006:$W$1006,0)), HYPERLINK("#",""), HYPERLINK(CONCATENATE("#Metadata!", ADDRESS(INDEX($M$2:$M$1001,MATCH(ROWS($K$2:K392),$K$2:$K$1001,0),0), INDEX($R$1004:$W$1004,1,MATCH(COLUMNS($R$1006:T1006),$R$1006:$W$1006,0)))),"Fix")))</f>
        <v>0</v>
      </c>
      <c r="E392" s="3">
        <f>IF(OR(INDEX($L$2:$L$1001,MATCH(ROWS($K$2:K392),$K$2:$K$1001,0),1)&gt;=100000,INDEX($R$1005:$W$1005,1,MATCH(COLUMNS($R$1006:U1006),$R$1006:$W$1006,0))&gt;=100000), " ",IF(INDEX($R$2:$W$1001,MATCH(ROWS($K$2:K392),$K$2:$K$1001,0),MATCH(COLUMNS($R$1006:U1006),$R$1006:$W$1006,0)), HYPERLINK("#",""), HYPERLINK(CONCATENATE("#Metadata!", ADDRESS(INDEX($M$2:$M$1001,MATCH(ROWS($K$2:K392),$K$2:$K$1001,0),0), INDEX($R$1004:$W$1004,1,MATCH(COLUMNS($R$1006:U1006),$R$1006:$W$1006,0)))),"Fix")))</f>
        <v>0</v>
      </c>
      <c r="F392" s="3">
        <f>IF(OR(INDEX($L$2:$L$1001,MATCH(ROWS($K$2:K392),$K$2:$K$1001,0),1)&gt;=100000,INDEX($R$1005:$W$1005,1,MATCH(COLUMNS($R$1006:V1006),$R$1006:$W$1006,0))&gt;=100000), " ",IF(INDEX($R$2:$W$1001,MATCH(ROWS($K$2:K392),$K$2:$K$1001,0),MATCH(COLUMNS($R$1006:V1006),$R$1006:$W$1006,0)), HYPERLINK("#",""), HYPERLINK(CONCATENATE("#Metadata!", ADDRESS(INDEX($M$2:$M$1001,MATCH(ROWS($K$2:K392),$K$2:$K$1001,0),0), INDEX($R$1004:$W$1004,1,MATCH(COLUMNS($R$1006:V1006),$R$1006:$W$1006,0)))),"Fix")))</f>
        <v>0</v>
      </c>
      <c r="G392" s="3">
        <f>IF(OR(INDEX($L$2:$L$1001,MATCH(ROWS($K$2:K392),$K$2:$K$1001,0),1)&gt;=100000,INDEX($R$1005:$W$1005,1,MATCH(COLUMNS($R$1006:W1006),$R$1006:$W$1006,0))&gt;=100000), " ",IF(INDEX($R$2:$W$1001,MATCH(ROWS($K$2:K392),$K$2:$K$1001,0),MATCH(COLUMNS($R$1006:W1006),$R$1006:$W$1006,0)), HYPERLINK("#",""), HYPERLINK(CONCATENATE("#Metadata!", ADDRESS(INDEX($M$2:$M$1001,MATCH(ROWS($K$2:K392),$K$2:$K$1001,0),0), INDEX($R$1004:$W$1004,1,MATCH(COLUMNS($R$1006:W1006),$R$1006:$W$1006,0)))),"Fix")))</f>
        <v>0</v>
      </c>
      <c r="K392">
        <v>0</v>
      </c>
      <c r="L392">
        <v>0</v>
      </c>
      <c r="M392">
        <v>0</v>
      </c>
      <c r="N392">
        <f>IF(O392,TRUE,AND(R392:W392))</f>
        <v>0</v>
      </c>
      <c r="O392">
        <f>COUNTBLANK(Metadata!B392:G392)=COLUMNS(Metadata!B392:G392)</f>
        <v>0</v>
      </c>
      <c r="P392">
        <v>0</v>
      </c>
      <c r="R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S392">
        <f>IF(Metadata!C392="",FALSE,TRUE)</f>
        <v>0</v>
      </c>
      <c r="T392">
        <f>IF(Metadata!D392="",FALSE,TRUE)</f>
        <v>0</v>
      </c>
      <c r="U392">
        <f>IF(Metadata!E392="",FALSE,TRUE)</f>
        <v>0</v>
      </c>
      <c r="V392">
        <f>AND(IF(Metadata!F392="",FALSE,TRUE),exact(Metadata!F392,"rat gut metagenome"))</f>
        <v>0</v>
      </c>
      <c r="W392">
        <f>AND(IF(Metadata!G392="",FALSE,TRUE),exact(Metadata!G392,"1436733"))</f>
        <v>0</v>
      </c>
    </row>
    <row r="393" spans="1:23">
      <c r="A393" s="4">
        <f>IF(B393=" "," ",HYPERLINK(CONCATENATE("#metadata!",ADDRESS(INDEX($M$2:$M$1001,MATCH(ROWS($K$2:K393),$K$2:$K$1001,0),0),1)),INDEX($P$2:$P$1001,MATCH(ROWS($K$2:K393),$K$2:$K$1001,0),0)))</f>
        <v>0</v>
      </c>
      <c r="B393" s="3">
        <f>IF(OR(INDEX($L$2:$L$1001,MATCH(ROWS($K$2:K393),$K$2:$K$1001,0),1)&gt;=100000,INDEX($R$1005:$W$1005,1,MATCH(COLUMNS($R$1006:R1006),$R$1006:$W$1006,0))&gt;=100000), " ",IF(INDEX($R$2:$W$1001,MATCH(ROWS($K$2:K393),$K$2:$K$1001,0),MATCH(COLUMNS($R$1006:R1006),$R$1006:$W$1006,0)), HYPERLINK("#",""), HYPERLINK(CONCATENATE("#Metadata!", ADDRESS(INDEX($M$2:$M$1001,MATCH(ROWS($K$2:K393),$K$2:$K$1001,0),0), INDEX($R$1004:$W$1004,1,MATCH(COLUMNS($R$1006:R1006),$R$1006:$W$1006,0)))),"Fix")))</f>
        <v>0</v>
      </c>
      <c r="C393" s="3">
        <f>IF(OR(INDEX($L$2:$L$1001,MATCH(ROWS($K$2:K393),$K$2:$K$1001,0),1)&gt;=100000,INDEX($R$1005:$W$1005,1,MATCH(COLUMNS($R$1006:S1006),$R$1006:$W$1006,0))&gt;=100000), " ",IF(INDEX($R$2:$W$1001,MATCH(ROWS($K$2:K393),$K$2:$K$1001,0),MATCH(COLUMNS($R$1006:S1006),$R$1006:$W$1006,0)), HYPERLINK("#",""), HYPERLINK(CONCATENATE("#Metadata!", ADDRESS(INDEX($M$2:$M$1001,MATCH(ROWS($K$2:K393),$K$2:$K$1001,0),0), INDEX($R$1004:$W$1004,1,MATCH(COLUMNS($R$1006:S1006),$R$1006:$W$1006,0)))),"Fix")))</f>
        <v>0</v>
      </c>
      <c r="D393" s="3">
        <f>IF(OR(INDEX($L$2:$L$1001,MATCH(ROWS($K$2:K393),$K$2:$K$1001,0),1)&gt;=100000,INDEX($R$1005:$W$1005,1,MATCH(COLUMNS($R$1006:T1006),$R$1006:$W$1006,0))&gt;=100000), " ",IF(INDEX($R$2:$W$1001,MATCH(ROWS($K$2:K393),$K$2:$K$1001,0),MATCH(COLUMNS($R$1006:T1006),$R$1006:$W$1006,0)), HYPERLINK("#",""), HYPERLINK(CONCATENATE("#Metadata!", ADDRESS(INDEX($M$2:$M$1001,MATCH(ROWS($K$2:K393),$K$2:$K$1001,0),0), INDEX($R$1004:$W$1004,1,MATCH(COLUMNS($R$1006:T1006),$R$1006:$W$1006,0)))),"Fix")))</f>
        <v>0</v>
      </c>
      <c r="E393" s="3">
        <f>IF(OR(INDEX($L$2:$L$1001,MATCH(ROWS($K$2:K393),$K$2:$K$1001,0),1)&gt;=100000,INDEX($R$1005:$W$1005,1,MATCH(COLUMNS($R$1006:U1006),$R$1006:$W$1006,0))&gt;=100000), " ",IF(INDEX($R$2:$W$1001,MATCH(ROWS($K$2:K393),$K$2:$K$1001,0),MATCH(COLUMNS($R$1006:U1006),$R$1006:$W$1006,0)), HYPERLINK("#",""), HYPERLINK(CONCATENATE("#Metadata!", ADDRESS(INDEX($M$2:$M$1001,MATCH(ROWS($K$2:K393),$K$2:$K$1001,0),0), INDEX($R$1004:$W$1004,1,MATCH(COLUMNS($R$1006:U1006),$R$1006:$W$1006,0)))),"Fix")))</f>
        <v>0</v>
      </c>
      <c r="F393" s="3">
        <f>IF(OR(INDEX($L$2:$L$1001,MATCH(ROWS($K$2:K393),$K$2:$K$1001,0),1)&gt;=100000,INDEX($R$1005:$W$1005,1,MATCH(COLUMNS($R$1006:V1006),$R$1006:$W$1006,0))&gt;=100000), " ",IF(INDEX($R$2:$W$1001,MATCH(ROWS($K$2:K393),$K$2:$K$1001,0),MATCH(COLUMNS($R$1006:V1006),$R$1006:$W$1006,0)), HYPERLINK("#",""), HYPERLINK(CONCATENATE("#Metadata!", ADDRESS(INDEX($M$2:$M$1001,MATCH(ROWS($K$2:K393),$K$2:$K$1001,0),0), INDEX($R$1004:$W$1004,1,MATCH(COLUMNS($R$1006:V1006),$R$1006:$W$1006,0)))),"Fix")))</f>
        <v>0</v>
      </c>
      <c r="G393" s="3">
        <f>IF(OR(INDEX($L$2:$L$1001,MATCH(ROWS($K$2:K393),$K$2:$K$1001,0),1)&gt;=100000,INDEX($R$1005:$W$1005,1,MATCH(COLUMNS($R$1006:W1006),$R$1006:$W$1006,0))&gt;=100000), " ",IF(INDEX($R$2:$W$1001,MATCH(ROWS($K$2:K393),$K$2:$K$1001,0),MATCH(COLUMNS($R$1006:W1006),$R$1006:$W$1006,0)), HYPERLINK("#",""), HYPERLINK(CONCATENATE("#Metadata!", ADDRESS(INDEX($M$2:$M$1001,MATCH(ROWS($K$2:K393),$K$2:$K$1001,0),0), INDEX($R$1004:$W$1004,1,MATCH(COLUMNS($R$1006:W1006),$R$1006:$W$1006,0)))),"Fix")))</f>
        <v>0</v>
      </c>
      <c r="K393">
        <v>0</v>
      </c>
      <c r="L393">
        <v>0</v>
      </c>
      <c r="M393">
        <v>0</v>
      </c>
      <c r="N393">
        <f>IF(O393,TRUE,AND(R393:W393))</f>
        <v>0</v>
      </c>
      <c r="O393">
        <f>COUNTBLANK(Metadata!B393:G393)=COLUMNS(Metadata!B393:G393)</f>
        <v>0</v>
      </c>
      <c r="P393">
        <v>0</v>
      </c>
      <c r="R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S393">
        <f>IF(Metadata!C393="",FALSE,TRUE)</f>
        <v>0</v>
      </c>
      <c r="T393">
        <f>IF(Metadata!D393="",FALSE,TRUE)</f>
        <v>0</v>
      </c>
      <c r="U393">
        <f>IF(Metadata!E393="",FALSE,TRUE)</f>
        <v>0</v>
      </c>
      <c r="V393">
        <f>AND(IF(Metadata!F393="",FALSE,TRUE),exact(Metadata!F393,"rat gut metagenome"))</f>
        <v>0</v>
      </c>
      <c r="W393">
        <f>AND(IF(Metadata!G393="",FALSE,TRUE),exact(Metadata!G393,"1436733"))</f>
        <v>0</v>
      </c>
    </row>
    <row r="394" spans="1:23">
      <c r="A394" s="4">
        <f>IF(B394=" "," ",HYPERLINK(CONCATENATE("#metadata!",ADDRESS(INDEX($M$2:$M$1001,MATCH(ROWS($K$2:K394),$K$2:$K$1001,0),0),1)),INDEX($P$2:$P$1001,MATCH(ROWS($K$2:K394),$K$2:$K$1001,0),0)))</f>
        <v>0</v>
      </c>
      <c r="B394" s="3">
        <f>IF(OR(INDEX($L$2:$L$1001,MATCH(ROWS($K$2:K394),$K$2:$K$1001,0),1)&gt;=100000,INDEX($R$1005:$W$1005,1,MATCH(COLUMNS($R$1006:R1006),$R$1006:$W$1006,0))&gt;=100000), " ",IF(INDEX($R$2:$W$1001,MATCH(ROWS($K$2:K394),$K$2:$K$1001,0),MATCH(COLUMNS($R$1006:R1006),$R$1006:$W$1006,0)), HYPERLINK("#",""), HYPERLINK(CONCATENATE("#Metadata!", ADDRESS(INDEX($M$2:$M$1001,MATCH(ROWS($K$2:K394),$K$2:$K$1001,0),0), INDEX($R$1004:$W$1004,1,MATCH(COLUMNS($R$1006:R1006),$R$1006:$W$1006,0)))),"Fix")))</f>
        <v>0</v>
      </c>
      <c r="C394" s="3">
        <f>IF(OR(INDEX($L$2:$L$1001,MATCH(ROWS($K$2:K394),$K$2:$K$1001,0),1)&gt;=100000,INDEX($R$1005:$W$1005,1,MATCH(COLUMNS($R$1006:S1006),$R$1006:$W$1006,0))&gt;=100000), " ",IF(INDEX($R$2:$W$1001,MATCH(ROWS($K$2:K394),$K$2:$K$1001,0),MATCH(COLUMNS($R$1006:S1006),$R$1006:$W$1006,0)), HYPERLINK("#",""), HYPERLINK(CONCATENATE("#Metadata!", ADDRESS(INDEX($M$2:$M$1001,MATCH(ROWS($K$2:K394),$K$2:$K$1001,0),0), INDEX($R$1004:$W$1004,1,MATCH(COLUMNS($R$1006:S1006),$R$1006:$W$1006,0)))),"Fix")))</f>
        <v>0</v>
      </c>
      <c r="D394" s="3">
        <f>IF(OR(INDEX($L$2:$L$1001,MATCH(ROWS($K$2:K394),$K$2:$K$1001,0),1)&gt;=100000,INDEX($R$1005:$W$1005,1,MATCH(COLUMNS($R$1006:T1006),$R$1006:$W$1006,0))&gt;=100000), " ",IF(INDEX($R$2:$W$1001,MATCH(ROWS($K$2:K394),$K$2:$K$1001,0),MATCH(COLUMNS($R$1006:T1006),$R$1006:$W$1006,0)), HYPERLINK("#",""), HYPERLINK(CONCATENATE("#Metadata!", ADDRESS(INDEX($M$2:$M$1001,MATCH(ROWS($K$2:K394),$K$2:$K$1001,0),0), INDEX($R$1004:$W$1004,1,MATCH(COLUMNS($R$1006:T1006),$R$1006:$W$1006,0)))),"Fix")))</f>
        <v>0</v>
      </c>
      <c r="E394" s="3">
        <f>IF(OR(INDEX($L$2:$L$1001,MATCH(ROWS($K$2:K394),$K$2:$K$1001,0),1)&gt;=100000,INDEX($R$1005:$W$1005,1,MATCH(COLUMNS($R$1006:U1006),$R$1006:$W$1006,0))&gt;=100000), " ",IF(INDEX($R$2:$W$1001,MATCH(ROWS($K$2:K394),$K$2:$K$1001,0),MATCH(COLUMNS($R$1006:U1006),$R$1006:$W$1006,0)), HYPERLINK("#",""), HYPERLINK(CONCATENATE("#Metadata!", ADDRESS(INDEX($M$2:$M$1001,MATCH(ROWS($K$2:K394),$K$2:$K$1001,0),0), INDEX($R$1004:$W$1004,1,MATCH(COLUMNS($R$1006:U1006),$R$1006:$W$1006,0)))),"Fix")))</f>
        <v>0</v>
      </c>
      <c r="F394" s="3">
        <f>IF(OR(INDEX($L$2:$L$1001,MATCH(ROWS($K$2:K394),$K$2:$K$1001,0),1)&gt;=100000,INDEX($R$1005:$W$1005,1,MATCH(COLUMNS($R$1006:V1006),$R$1006:$W$1006,0))&gt;=100000), " ",IF(INDEX($R$2:$W$1001,MATCH(ROWS($K$2:K394),$K$2:$K$1001,0),MATCH(COLUMNS($R$1006:V1006),$R$1006:$W$1006,0)), HYPERLINK("#",""), HYPERLINK(CONCATENATE("#Metadata!", ADDRESS(INDEX($M$2:$M$1001,MATCH(ROWS($K$2:K394),$K$2:$K$1001,0),0), INDEX($R$1004:$W$1004,1,MATCH(COLUMNS($R$1006:V1006),$R$1006:$W$1006,0)))),"Fix")))</f>
        <v>0</v>
      </c>
      <c r="G394" s="3">
        <f>IF(OR(INDEX($L$2:$L$1001,MATCH(ROWS($K$2:K394),$K$2:$K$1001,0),1)&gt;=100000,INDEX($R$1005:$W$1005,1,MATCH(COLUMNS($R$1006:W1006),$R$1006:$W$1006,0))&gt;=100000), " ",IF(INDEX($R$2:$W$1001,MATCH(ROWS($K$2:K394),$K$2:$K$1001,0),MATCH(COLUMNS($R$1006:W1006),$R$1006:$W$1006,0)), HYPERLINK("#",""), HYPERLINK(CONCATENATE("#Metadata!", ADDRESS(INDEX($M$2:$M$1001,MATCH(ROWS($K$2:K394),$K$2:$K$1001,0),0), INDEX($R$1004:$W$1004,1,MATCH(COLUMNS($R$1006:W1006),$R$1006:$W$1006,0)))),"Fix")))</f>
        <v>0</v>
      </c>
      <c r="K394">
        <v>0</v>
      </c>
      <c r="L394">
        <v>0</v>
      </c>
      <c r="M394">
        <v>0</v>
      </c>
      <c r="N394">
        <f>IF(O394,TRUE,AND(R394:W394))</f>
        <v>0</v>
      </c>
      <c r="O394">
        <f>COUNTBLANK(Metadata!B394:G394)=COLUMNS(Metadata!B394:G394)</f>
        <v>0</v>
      </c>
      <c r="P394">
        <v>0</v>
      </c>
      <c r="R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S394">
        <f>IF(Metadata!C394="",FALSE,TRUE)</f>
        <v>0</v>
      </c>
      <c r="T394">
        <f>IF(Metadata!D394="",FALSE,TRUE)</f>
        <v>0</v>
      </c>
      <c r="U394">
        <f>IF(Metadata!E394="",FALSE,TRUE)</f>
        <v>0</v>
      </c>
      <c r="V394">
        <f>AND(IF(Metadata!F394="",FALSE,TRUE),exact(Metadata!F394,"rat gut metagenome"))</f>
        <v>0</v>
      </c>
      <c r="W394">
        <f>AND(IF(Metadata!G394="",FALSE,TRUE),exact(Metadata!G394,"1436733"))</f>
        <v>0</v>
      </c>
    </row>
    <row r="395" spans="1:23">
      <c r="A395" s="4">
        <f>IF(B395=" "," ",HYPERLINK(CONCATENATE("#metadata!",ADDRESS(INDEX($M$2:$M$1001,MATCH(ROWS($K$2:K395),$K$2:$K$1001,0),0),1)),INDEX($P$2:$P$1001,MATCH(ROWS($K$2:K395),$K$2:$K$1001,0),0)))</f>
        <v>0</v>
      </c>
      <c r="B395" s="3">
        <f>IF(OR(INDEX($L$2:$L$1001,MATCH(ROWS($K$2:K395),$K$2:$K$1001,0),1)&gt;=100000,INDEX($R$1005:$W$1005,1,MATCH(COLUMNS($R$1006:R1006),$R$1006:$W$1006,0))&gt;=100000), " ",IF(INDEX($R$2:$W$1001,MATCH(ROWS($K$2:K395),$K$2:$K$1001,0),MATCH(COLUMNS($R$1006:R1006),$R$1006:$W$1006,0)), HYPERLINK("#",""), HYPERLINK(CONCATENATE("#Metadata!", ADDRESS(INDEX($M$2:$M$1001,MATCH(ROWS($K$2:K395),$K$2:$K$1001,0),0), INDEX($R$1004:$W$1004,1,MATCH(COLUMNS($R$1006:R1006),$R$1006:$W$1006,0)))),"Fix")))</f>
        <v>0</v>
      </c>
      <c r="C395" s="3">
        <f>IF(OR(INDEX($L$2:$L$1001,MATCH(ROWS($K$2:K395),$K$2:$K$1001,0),1)&gt;=100000,INDEX($R$1005:$W$1005,1,MATCH(COLUMNS($R$1006:S1006),$R$1006:$W$1006,0))&gt;=100000), " ",IF(INDEX($R$2:$W$1001,MATCH(ROWS($K$2:K395),$K$2:$K$1001,0),MATCH(COLUMNS($R$1006:S1006),$R$1006:$W$1006,0)), HYPERLINK("#",""), HYPERLINK(CONCATENATE("#Metadata!", ADDRESS(INDEX($M$2:$M$1001,MATCH(ROWS($K$2:K395),$K$2:$K$1001,0),0), INDEX($R$1004:$W$1004,1,MATCH(COLUMNS($R$1006:S1006),$R$1006:$W$1006,0)))),"Fix")))</f>
        <v>0</v>
      </c>
      <c r="D395" s="3">
        <f>IF(OR(INDEX($L$2:$L$1001,MATCH(ROWS($K$2:K395),$K$2:$K$1001,0),1)&gt;=100000,INDEX($R$1005:$W$1005,1,MATCH(COLUMNS($R$1006:T1006),$R$1006:$W$1006,0))&gt;=100000), " ",IF(INDEX($R$2:$W$1001,MATCH(ROWS($K$2:K395),$K$2:$K$1001,0),MATCH(COLUMNS($R$1006:T1006),$R$1006:$W$1006,0)), HYPERLINK("#",""), HYPERLINK(CONCATENATE("#Metadata!", ADDRESS(INDEX($M$2:$M$1001,MATCH(ROWS($K$2:K395),$K$2:$K$1001,0),0), INDEX($R$1004:$W$1004,1,MATCH(COLUMNS($R$1006:T1006),$R$1006:$W$1006,0)))),"Fix")))</f>
        <v>0</v>
      </c>
      <c r="E395" s="3">
        <f>IF(OR(INDEX($L$2:$L$1001,MATCH(ROWS($K$2:K395),$K$2:$K$1001,0),1)&gt;=100000,INDEX($R$1005:$W$1005,1,MATCH(COLUMNS($R$1006:U1006),$R$1006:$W$1006,0))&gt;=100000), " ",IF(INDEX($R$2:$W$1001,MATCH(ROWS($K$2:K395),$K$2:$K$1001,0),MATCH(COLUMNS($R$1006:U1006),$R$1006:$W$1006,0)), HYPERLINK("#",""), HYPERLINK(CONCATENATE("#Metadata!", ADDRESS(INDEX($M$2:$M$1001,MATCH(ROWS($K$2:K395),$K$2:$K$1001,0),0), INDEX($R$1004:$W$1004,1,MATCH(COLUMNS($R$1006:U1006),$R$1006:$W$1006,0)))),"Fix")))</f>
        <v>0</v>
      </c>
      <c r="F395" s="3">
        <f>IF(OR(INDEX($L$2:$L$1001,MATCH(ROWS($K$2:K395),$K$2:$K$1001,0),1)&gt;=100000,INDEX($R$1005:$W$1005,1,MATCH(COLUMNS($R$1006:V1006),$R$1006:$W$1006,0))&gt;=100000), " ",IF(INDEX($R$2:$W$1001,MATCH(ROWS($K$2:K395),$K$2:$K$1001,0),MATCH(COLUMNS($R$1006:V1006),$R$1006:$W$1006,0)), HYPERLINK("#",""), HYPERLINK(CONCATENATE("#Metadata!", ADDRESS(INDEX($M$2:$M$1001,MATCH(ROWS($K$2:K395),$K$2:$K$1001,0),0), INDEX($R$1004:$W$1004,1,MATCH(COLUMNS($R$1006:V1006),$R$1006:$W$1006,0)))),"Fix")))</f>
        <v>0</v>
      </c>
      <c r="G395" s="3">
        <f>IF(OR(INDEX($L$2:$L$1001,MATCH(ROWS($K$2:K395),$K$2:$K$1001,0),1)&gt;=100000,INDEX($R$1005:$W$1005,1,MATCH(COLUMNS($R$1006:W1006),$R$1006:$W$1006,0))&gt;=100000), " ",IF(INDEX($R$2:$W$1001,MATCH(ROWS($K$2:K395),$K$2:$K$1001,0),MATCH(COLUMNS($R$1006:W1006),$R$1006:$W$1006,0)), HYPERLINK("#",""), HYPERLINK(CONCATENATE("#Metadata!", ADDRESS(INDEX($M$2:$M$1001,MATCH(ROWS($K$2:K395),$K$2:$K$1001,0),0), INDEX($R$1004:$W$1004,1,MATCH(COLUMNS($R$1006:W1006),$R$1006:$W$1006,0)))),"Fix")))</f>
        <v>0</v>
      </c>
      <c r="K395">
        <v>0</v>
      </c>
      <c r="L395">
        <v>0</v>
      </c>
      <c r="M395">
        <v>0</v>
      </c>
      <c r="N395">
        <f>IF(O395,TRUE,AND(R395:W395))</f>
        <v>0</v>
      </c>
      <c r="O395">
        <f>COUNTBLANK(Metadata!B395:G395)=COLUMNS(Metadata!B395:G395)</f>
        <v>0</v>
      </c>
      <c r="P395">
        <v>0</v>
      </c>
      <c r="R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S395">
        <f>IF(Metadata!C395="",FALSE,TRUE)</f>
        <v>0</v>
      </c>
      <c r="T395">
        <f>IF(Metadata!D395="",FALSE,TRUE)</f>
        <v>0</v>
      </c>
      <c r="U395">
        <f>IF(Metadata!E395="",FALSE,TRUE)</f>
        <v>0</v>
      </c>
      <c r="V395">
        <f>AND(IF(Metadata!F395="",FALSE,TRUE),exact(Metadata!F395,"rat gut metagenome"))</f>
        <v>0</v>
      </c>
      <c r="W395">
        <f>AND(IF(Metadata!G395="",FALSE,TRUE),exact(Metadata!G395,"1436733"))</f>
        <v>0</v>
      </c>
    </row>
    <row r="396" spans="1:23">
      <c r="A396" s="4">
        <f>IF(B396=" "," ",HYPERLINK(CONCATENATE("#metadata!",ADDRESS(INDEX($M$2:$M$1001,MATCH(ROWS($K$2:K396),$K$2:$K$1001,0),0),1)),INDEX($P$2:$P$1001,MATCH(ROWS($K$2:K396),$K$2:$K$1001,0),0)))</f>
        <v>0</v>
      </c>
      <c r="B396" s="3">
        <f>IF(OR(INDEX($L$2:$L$1001,MATCH(ROWS($K$2:K396),$K$2:$K$1001,0),1)&gt;=100000,INDEX($R$1005:$W$1005,1,MATCH(COLUMNS($R$1006:R1006),$R$1006:$W$1006,0))&gt;=100000), " ",IF(INDEX($R$2:$W$1001,MATCH(ROWS($K$2:K396),$K$2:$K$1001,0),MATCH(COLUMNS($R$1006:R1006),$R$1006:$W$1006,0)), HYPERLINK("#",""), HYPERLINK(CONCATENATE("#Metadata!", ADDRESS(INDEX($M$2:$M$1001,MATCH(ROWS($K$2:K396),$K$2:$K$1001,0),0), INDEX($R$1004:$W$1004,1,MATCH(COLUMNS($R$1006:R1006),$R$1006:$W$1006,0)))),"Fix")))</f>
        <v>0</v>
      </c>
      <c r="C396" s="3">
        <f>IF(OR(INDEX($L$2:$L$1001,MATCH(ROWS($K$2:K396),$K$2:$K$1001,0),1)&gt;=100000,INDEX($R$1005:$W$1005,1,MATCH(COLUMNS($R$1006:S1006),$R$1006:$W$1006,0))&gt;=100000), " ",IF(INDEX($R$2:$W$1001,MATCH(ROWS($K$2:K396),$K$2:$K$1001,0),MATCH(COLUMNS($R$1006:S1006),$R$1006:$W$1006,0)), HYPERLINK("#",""), HYPERLINK(CONCATENATE("#Metadata!", ADDRESS(INDEX($M$2:$M$1001,MATCH(ROWS($K$2:K396),$K$2:$K$1001,0),0), INDEX($R$1004:$W$1004,1,MATCH(COLUMNS($R$1006:S1006),$R$1006:$W$1006,0)))),"Fix")))</f>
        <v>0</v>
      </c>
      <c r="D396" s="3">
        <f>IF(OR(INDEX($L$2:$L$1001,MATCH(ROWS($K$2:K396),$K$2:$K$1001,0),1)&gt;=100000,INDEX($R$1005:$W$1005,1,MATCH(COLUMNS($R$1006:T1006),$R$1006:$W$1006,0))&gt;=100000), " ",IF(INDEX($R$2:$W$1001,MATCH(ROWS($K$2:K396),$K$2:$K$1001,0),MATCH(COLUMNS($R$1006:T1006),$R$1006:$W$1006,0)), HYPERLINK("#",""), HYPERLINK(CONCATENATE("#Metadata!", ADDRESS(INDEX($M$2:$M$1001,MATCH(ROWS($K$2:K396),$K$2:$K$1001,0),0), INDEX($R$1004:$W$1004,1,MATCH(COLUMNS($R$1006:T1006),$R$1006:$W$1006,0)))),"Fix")))</f>
        <v>0</v>
      </c>
      <c r="E396" s="3">
        <f>IF(OR(INDEX($L$2:$L$1001,MATCH(ROWS($K$2:K396),$K$2:$K$1001,0),1)&gt;=100000,INDEX($R$1005:$W$1005,1,MATCH(COLUMNS($R$1006:U1006),$R$1006:$W$1006,0))&gt;=100000), " ",IF(INDEX($R$2:$W$1001,MATCH(ROWS($K$2:K396),$K$2:$K$1001,0),MATCH(COLUMNS($R$1006:U1006),$R$1006:$W$1006,0)), HYPERLINK("#",""), HYPERLINK(CONCATENATE("#Metadata!", ADDRESS(INDEX($M$2:$M$1001,MATCH(ROWS($K$2:K396),$K$2:$K$1001,0),0), INDEX($R$1004:$W$1004,1,MATCH(COLUMNS($R$1006:U1006),$R$1006:$W$1006,0)))),"Fix")))</f>
        <v>0</v>
      </c>
      <c r="F396" s="3">
        <f>IF(OR(INDEX($L$2:$L$1001,MATCH(ROWS($K$2:K396),$K$2:$K$1001,0),1)&gt;=100000,INDEX($R$1005:$W$1005,1,MATCH(COLUMNS($R$1006:V1006),$R$1006:$W$1006,0))&gt;=100000), " ",IF(INDEX($R$2:$W$1001,MATCH(ROWS($K$2:K396),$K$2:$K$1001,0),MATCH(COLUMNS($R$1006:V1006),$R$1006:$W$1006,0)), HYPERLINK("#",""), HYPERLINK(CONCATENATE("#Metadata!", ADDRESS(INDEX($M$2:$M$1001,MATCH(ROWS($K$2:K396),$K$2:$K$1001,0),0), INDEX($R$1004:$W$1004,1,MATCH(COLUMNS($R$1006:V1006),$R$1006:$W$1006,0)))),"Fix")))</f>
        <v>0</v>
      </c>
      <c r="G396" s="3">
        <f>IF(OR(INDEX($L$2:$L$1001,MATCH(ROWS($K$2:K396),$K$2:$K$1001,0),1)&gt;=100000,INDEX($R$1005:$W$1005,1,MATCH(COLUMNS($R$1006:W1006),$R$1006:$W$1006,0))&gt;=100000), " ",IF(INDEX($R$2:$W$1001,MATCH(ROWS($K$2:K396),$K$2:$K$1001,0),MATCH(COLUMNS($R$1006:W1006),$R$1006:$W$1006,0)), HYPERLINK("#",""), HYPERLINK(CONCATENATE("#Metadata!", ADDRESS(INDEX($M$2:$M$1001,MATCH(ROWS($K$2:K396),$K$2:$K$1001,0),0), INDEX($R$1004:$W$1004,1,MATCH(COLUMNS($R$1006:W1006),$R$1006:$W$1006,0)))),"Fix")))</f>
        <v>0</v>
      </c>
      <c r="K396">
        <v>0</v>
      </c>
      <c r="L396">
        <v>0</v>
      </c>
      <c r="M396">
        <v>0</v>
      </c>
      <c r="N396">
        <f>IF(O396,TRUE,AND(R396:W396))</f>
        <v>0</v>
      </c>
      <c r="O396">
        <f>COUNTBLANK(Metadata!B396:G396)=COLUMNS(Metadata!B396:G396)</f>
        <v>0</v>
      </c>
      <c r="P396">
        <v>0</v>
      </c>
      <c r="R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S396">
        <f>IF(Metadata!C396="",FALSE,TRUE)</f>
        <v>0</v>
      </c>
      <c r="T396">
        <f>IF(Metadata!D396="",FALSE,TRUE)</f>
        <v>0</v>
      </c>
      <c r="U396">
        <f>IF(Metadata!E396="",FALSE,TRUE)</f>
        <v>0</v>
      </c>
      <c r="V396">
        <f>AND(IF(Metadata!F396="",FALSE,TRUE),exact(Metadata!F396,"rat gut metagenome"))</f>
        <v>0</v>
      </c>
      <c r="W396">
        <f>AND(IF(Metadata!G396="",FALSE,TRUE),exact(Metadata!G396,"1436733"))</f>
        <v>0</v>
      </c>
    </row>
    <row r="397" spans="1:23">
      <c r="A397" s="4">
        <f>IF(B397=" "," ",HYPERLINK(CONCATENATE("#metadata!",ADDRESS(INDEX($M$2:$M$1001,MATCH(ROWS($K$2:K397),$K$2:$K$1001,0),0),1)),INDEX($P$2:$P$1001,MATCH(ROWS($K$2:K397),$K$2:$K$1001,0),0)))</f>
        <v>0</v>
      </c>
      <c r="B397" s="3">
        <f>IF(OR(INDEX($L$2:$L$1001,MATCH(ROWS($K$2:K397),$K$2:$K$1001,0),1)&gt;=100000,INDEX($R$1005:$W$1005,1,MATCH(COLUMNS($R$1006:R1006),$R$1006:$W$1006,0))&gt;=100000), " ",IF(INDEX($R$2:$W$1001,MATCH(ROWS($K$2:K397),$K$2:$K$1001,0),MATCH(COLUMNS($R$1006:R1006),$R$1006:$W$1006,0)), HYPERLINK("#",""), HYPERLINK(CONCATENATE("#Metadata!", ADDRESS(INDEX($M$2:$M$1001,MATCH(ROWS($K$2:K397),$K$2:$K$1001,0),0), INDEX($R$1004:$W$1004,1,MATCH(COLUMNS($R$1006:R1006),$R$1006:$W$1006,0)))),"Fix")))</f>
        <v>0</v>
      </c>
      <c r="C397" s="3">
        <f>IF(OR(INDEX($L$2:$L$1001,MATCH(ROWS($K$2:K397),$K$2:$K$1001,0),1)&gt;=100000,INDEX($R$1005:$W$1005,1,MATCH(COLUMNS($R$1006:S1006),$R$1006:$W$1006,0))&gt;=100000), " ",IF(INDEX($R$2:$W$1001,MATCH(ROWS($K$2:K397),$K$2:$K$1001,0),MATCH(COLUMNS($R$1006:S1006),$R$1006:$W$1006,0)), HYPERLINK("#",""), HYPERLINK(CONCATENATE("#Metadata!", ADDRESS(INDEX($M$2:$M$1001,MATCH(ROWS($K$2:K397),$K$2:$K$1001,0),0), INDEX($R$1004:$W$1004,1,MATCH(COLUMNS($R$1006:S1006),$R$1006:$W$1006,0)))),"Fix")))</f>
        <v>0</v>
      </c>
      <c r="D397" s="3">
        <f>IF(OR(INDEX($L$2:$L$1001,MATCH(ROWS($K$2:K397),$K$2:$K$1001,0),1)&gt;=100000,INDEX($R$1005:$W$1005,1,MATCH(COLUMNS($R$1006:T1006),$R$1006:$W$1006,0))&gt;=100000), " ",IF(INDEX($R$2:$W$1001,MATCH(ROWS($K$2:K397),$K$2:$K$1001,0),MATCH(COLUMNS($R$1006:T1006),$R$1006:$W$1006,0)), HYPERLINK("#",""), HYPERLINK(CONCATENATE("#Metadata!", ADDRESS(INDEX($M$2:$M$1001,MATCH(ROWS($K$2:K397),$K$2:$K$1001,0),0), INDEX($R$1004:$W$1004,1,MATCH(COLUMNS($R$1006:T1006),$R$1006:$W$1006,0)))),"Fix")))</f>
        <v>0</v>
      </c>
      <c r="E397" s="3">
        <f>IF(OR(INDEX($L$2:$L$1001,MATCH(ROWS($K$2:K397),$K$2:$K$1001,0),1)&gt;=100000,INDEX($R$1005:$W$1005,1,MATCH(COLUMNS($R$1006:U1006),$R$1006:$W$1006,0))&gt;=100000), " ",IF(INDEX($R$2:$W$1001,MATCH(ROWS($K$2:K397),$K$2:$K$1001,0),MATCH(COLUMNS($R$1006:U1006),$R$1006:$W$1006,0)), HYPERLINK("#",""), HYPERLINK(CONCATENATE("#Metadata!", ADDRESS(INDEX($M$2:$M$1001,MATCH(ROWS($K$2:K397),$K$2:$K$1001,0),0), INDEX($R$1004:$W$1004,1,MATCH(COLUMNS($R$1006:U1006),$R$1006:$W$1006,0)))),"Fix")))</f>
        <v>0</v>
      </c>
      <c r="F397" s="3">
        <f>IF(OR(INDEX($L$2:$L$1001,MATCH(ROWS($K$2:K397),$K$2:$K$1001,0),1)&gt;=100000,INDEX($R$1005:$W$1005,1,MATCH(COLUMNS($R$1006:V1006),$R$1006:$W$1006,0))&gt;=100000), " ",IF(INDEX($R$2:$W$1001,MATCH(ROWS($K$2:K397),$K$2:$K$1001,0),MATCH(COLUMNS($R$1006:V1006),$R$1006:$W$1006,0)), HYPERLINK("#",""), HYPERLINK(CONCATENATE("#Metadata!", ADDRESS(INDEX($M$2:$M$1001,MATCH(ROWS($K$2:K397),$K$2:$K$1001,0),0), INDEX($R$1004:$W$1004,1,MATCH(COLUMNS($R$1006:V1006),$R$1006:$W$1006,0)))),"Fix")))</f>
        <v>0</v>
      </c>
      <c r="G397" s="3">
        <f>IF(OR(INDEX($L$2:$L$1001,MATCH(ROWS($K$2:K397),$K$2:$K$1001,0),1)&gt;=100000,INDEX($R$1005:$W$1005,1,MATCH(COLUMNS($R$1006:W1006),$R$1006:$W$1006,0))&gt;=100000), " ",IF(INDEX($R$2:$W$1001,MATCH(ROWS($K$2:K397),$K$2:$K$1001,0),MATCH(COLUMNS($R$1006:W1006),$R$1006:$W$1006,0)), HYPERLINK("#",""), HYPERLINK(CONCATENATE("#Metadata!", ADDRESS(INDEX($M$2:$M$1001,MATCH(ROWS($K$2:K397),$K$2:$K$1001,0),0), INDEX($R$1004:$W$1004,1,MATCH(COLUMNS($R$1006:W1006),$R$1006:$W$1006,0)))),"Fix")))</f>
        <v>0</v>
      </c>
      <c r="K397">
        <v>0</v>
      </c>
      <c r="L397">
        <v>0</v>
      </c>
      <c r="M397">
        <v>0</v>
      </c>
      <c r="N397">
        <f>IF(O397,TRUE,AND(R397:W397))</f>
        <v>0</v>
      </c>
      <c r="O397">
        <f>COUNTBLANK(Metadata!B397:G397)=COLUMNS(Metadata!B397:G397)</f>
        <v>0</v>
      </c>
      <c r="P397">
        <v>0</v>
      </c>
      <c r="R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S397">
        <f>IF(Metadata!C397="",FALSE,TRUE)</f>
        <v>0</v>
      </c>
      <c r="T397">
        <f>IF(Metadata!D397="",FALSE,TRUE)</f>
        <v>0</v>
      </c>
      <c r="U397">
        <f>IF(Metadata!E397="",FALSE,TRUE)</f>
        <v>0</v>
      </c>
      <c r="V397">
        <f>AND(IF(Metadata!F397="",FALSE,TRUE),exact(Metadata!F397,"rat gut metagenome"))</f>
        <v>0</v>
      </c>
      <c r="W397">
        <f>AND(IF(Metadata!G397="",FALSE,TRUE),exact(Metadata!G397,"1436733"))</f>
        <v>0</v>
      </c>
    </row>
    <row r="398" spans="1:23">
      <c r="A398" s="4">
        <f>IF(B398=" "," ",HYPERLINK(CONCATENATE("#metadata!",ADDRESS(INDEX($M$2:$M$1001,MATCH(ROWS($K$2:K398),$K$2:$K$1001,0),0),1)),INDEX($P$2:$P$1001,MATCH(ROWS($K$2:K398),$K$2:$K$1001,0),0)))</f>
        <v>0</v>
      </c>
      <c r="B398" s="3">
        <f>IF(OR(INDEX($L$2:$L$1001,MATCH(ROWS($K$2:K398),$K$2:$K$1001,0),1)&gt;=100000,INDEX($R$1005:$W$1005,1,MATCH(COLUMNS($R$1006:R1006),$R$1006:$W$1006,0))&gt;=100000), " ",IF(INDEX($R$2:$W$1001,MATCH(ROWS($K$2:K398),$K$2:$K$1001,0),MATCH(COLUMNS($R$1006:R1006),$R$1006:$W$1006,0)), HYPERLINK("#",""), HYPERLINK(CONCATENATE("#Metadata!", ADDRESS(INDEX($M$2:$M$1001,MATCH(ROWS($K$2:K398),$K$2:$K$1001,0),0), INDEX($R$1004:$W$1004,1,MATCH(COLUMNS($R$1006:R1006),$R$1006:$W$1006,0)))),"Fix")))</f>
        <v>0</v>
      </c>
      <c r="C398" s="3">
        <f>IF(OR(INDEX($L$2:$L$1001,MATCH(ROWS($K$2:K398),$K$2:$K$1001,0),1)&gt;=100000,INDEX($R$1005:$W$1005,1,MATCH(COLUMNS($R$1006:S1006),$R$1006:$W$1006,0))&gt;=100000), " ",IF(INDEX($R$2:$W$1001,MATCH(ROWS($K$2:K398),$K$2:$K$1001,0),MATCH(COLUMNS($R$1006:S1006),$R$1006:$W$1006,0)), HYPERLINK("#",""), HYPERLINK(CONCATENATE("#Metadata!", ADDRESS(INDEX($M$2:$M$1001,MATCH(ROWS($K$2:K398),$K$2:$K$1001,0),0), INDEX($R$1004:$W$1004,1,MATCH(COLUMNS($R$1006:S1006),$R$1006:$W$1006,0)))),"Fix")))</f>
        <v>0</v>
      </c>
      <c r="D398" s="3">
        <f>IF(OR(INDEX($L$2:$L$1001,MATCH(ROWS($K$2:K398),$K$2:$K$1001,0),1)&gt;=100000,INDEX($R$1005:$W$1005,1,MATCH(COLUMNS($R$1006:T1006),$R$1006:$W$1006,0))&gt;=100000), " ",IF(INDEX($R$2:$W$1001,MATCH(ROWS($K$2:K398),$K$2:$K$1001,0),MATCH(COLUMNS($R$1006:T1006),$R$1006:$W$1006,0)), HYPERLINK("#",""), HYPERLINK(CONCATENATE("#Metadata!", ADDRESS(INDEX($M$2:$M$1001,MATCH(ROWS($K$2:K398),$K$2:$K$1001,0),0), INDEX($R$1004:$W$1004,1,MATCH(COLUMNS($R$1006:T1006),$R$1006:$W$1006,0)))),"Fix")))</f>
        <v>0</v>
      </c>
      <c r="E398" s="3">
        <f>IF(OR(INDEX($L$2:$L$1001,MATCH(ROWS($K$2:K398),$K$2:$K$1001,0),1)&gt;=100000,INDEX($R$1005:$W$1005,1,MATCH(COLUMNS($R$1006:U1006),$R$1006:$W$1006,0))&gt;=100000), " ",IF(INDEX($R$2:$W$1001,MATCH(ROWS($K$2:K398),$K$2:$K$1001,0),MATCH(COLUMNS($R$1006:U1006),$R$1006:$W$1006,0)), HYPERLINK("#",""), HYPERLINK(CONCATENATE("#Metadata!", ADDRESS(INDEX($M$2:$M$1001,MATCH(ROWS($K$2:K398),$K$2:$K$1001,0),0), INDEX($R$1004:$W$1004,1,MATCH(COLUMNS($R$1006:U1006),$R$1006:$W$1006,0)))),"Fix")))</f>
        <v>0</v>
      </c>
      <c r="F398" s="3">
        <f>IF(OR(INDEX($L$2:$L$1001,MATCH(ROWS($K$2:K398),$K$2:$K$1001,0),1)&gt;=100000,INDEX($R$1005:$W$1005,1,MATCH(COLUMNS($R$1006:V1006),$R$1006:$W$1006,0))&gt;=100000), " ",IF(INDEX($R$2:$W$1001,MATCH(ROWS($K$2:K398),$K$2:$K$1001,0),MATCH(COLUMNS($R$1006:V1006),$R$1006:$W$1006,0)), HYPERLINK("#",""), HYPERLINK(CONCATENATE("#Metadata!", ADDRESS(INDEX($M$2:$M$1001,MATCH(ROWS($K$2:K398),$K$2:$K$1001,0),0), INDEX($R$1004:$W$1004,1,MATCH(COLUMNS($R$1006:V1006),$R$1006:$W$1006,0)))),"Fix")))</f>
        <v>0</v>
      </c>
      <c r="G398" s="3">
        <f>IF(OR(INDEX($L$2:$L$1001,MATCH(ROWS($K$2:K398),$K$2:$K$1001,0),1)&gt;=100000,INDEX($R$1005:$W$1005,1,MATCH(COLUMNS($R$1006:W1006),$R$1006:$W$1006,0))&gt;=100000), " ",IF(INDEX($R$2:$W$1001,MATCH(ROWS($K$2:K398),$K$2:$K$1001,0),MATCH(COLUMNS($R$1006:W1006),$R$1006:$W$1006,0)), HYPERLINK("#",""), HYPERLINK(CONCATENATE("#Metadata!", ADDRESS(INDEX($M$2:$M$1001,MATCH(ROWS($K$2:K398),$K$2:$K$1001,0),0), INDEX($R$1004:$W$1004,1,MATCH(COLUMNS($R$1006:W1006),$R$1006:$W$1006,0)))),"Fix")))</f>
        <v>0</v>
      </c>
      <c r="K398">
        <v>0</v>
      </c>
      <c r="L398">
        <v>0</v>
      </c>
      <c r="M398">
        <v>0</v>
      </c>
      <c r="N398">
        <f>IF(O398,TRUE,AND(R398:W398))</f>
        <v>0</v>
      </c>
      <c r="O398">
        <f>COUNTBLANK(Metadata!B398:G398)=COLUMNS(Metadata!B398:G398)</f>
        <v>0</v>
      </c>
      <c r="P398">
        <v>0</v>
      </c>
      <c r="R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S398">
        <f>IF(Metadata!C398="",FALSE,TRUE)</f>
        <v>0</v>
      </c>
      <c r="T398">
        <f>IF(Metadata!D398="",FALSE,TRUE)</f>
        <v>0</v>
      </c>
      <c r="U398">
        <f>IF(Metadata!E398="",FALSE,TRUE)</f>
        <v>0</v>
      </c>
      <c r="V398">
        <f>AND(IF(Metadata!F398="",FALSE,TRUE),exact(Metadata!F398,"rat gut metagenome"))</f>
        <v>0</v>
      </c>
      <c r="W398">
        <f>AND(IF(Metadata!G398="",FALSE,TRUE),exact(Metadata!G398,"1436733"))</f>
        <v>0</v>
      </c>
    </row>
    <row r="399" spans="1:23">
      <c r="A399" s="4">
        <f>IF(B399=" "," ",HYPERLINK(CONCATENATE("#metadata!",ADDRESS(INDEX($M$2:$M$1001,MATCH(ROWS($K$2:K399),$K$2:$K$1001,0),0),1)),INDEX($P$2:$P$1001,MATCH(ROWS($K$2:K399),$K$2:$K$1001,0),0)))</f>
        <v>0</v>
      </c>
      <c r="B399" s="3">
        <f>IF(OR(INDEX($L$2:$L$1001,MATCH(ROWS($K$2:K399),$K$2:$K$1001,0),1)&gt;=100000,INDEX($R$1005:$W$1005,1,MATCH(COLUMNS($R$1006:R1006),$R$1006:$W$1006,0))&gt;=100000), " ",IF(INDEX($R$2:$W$1001,MATCH(ROWS($K$2:K399),$K$2:$K$1001,0),MATCH(COLUMNS($R$1006:R1006),$R$1006:$W$1006,0)), HYPERLINK("#",""), HYPERLINK(CONCATENATE("#Metadata!", ADDRESS(INDEX($M$2:$M$1001,MATCH(ROWS($K$2:K399),$K$2:$K$1001,0),0), INDEX($R$1004:$W$1004,1,MATCH(COLUMNS($R$1006:R1006),$R$1006:$W$1006,0)))),"Fix")))</f>
        <v>0</v>
      </c>
      <c r="C399" s="3">
        <f>IF(OR(INDEX($L$2:$L$1001,MATCH(ROWS($K$2:K399),$K$2:$K$1001,0),1)&gt;=100000,INDEX($R$1005:$W$1005,1,MATCH(COLUMNS($R$1006:S1006),$R$1006:$W$1006,0))&gt;=100000), " ",IF(INDEX($R$2:$W$1001,MATCH(ROWS($K$2:K399),$K$2:$K$1001,0),MATCH(COLUMNS($R$1006:S1006),$R$1006:$W$1006,0)), HYPERLINK("#",""), HYPERLINK(CONCATENATE("#Metadata!", ADDRESS(INDEX($M$2:$M$1001,MATCH(ROWS($K$2:K399),$K$2:$K$1001,0),0), INDEX($R$1004:$W$1004,1,MATCH(COLUMNS($R$1006:S1006),$R$1006:$W$1006,0)))),"Fix")))</f>
        <v>0</v>
      </c>
      <c r="D399" s="3">
        <f>IF(OR(INDEX($L$2:$L$1001,MATCH(ROWS($K$2:K399),$K$2:$K$1001,0),1)&gt;=100000,INDEX($R$1005:$W$1005,1,MATCH(COLUMNS($R$1006:T1006),$R$1006:$W$1006,0))&gt;=100000), " ",IF(INDEX($R$2:$W$1001,MATCH(ROWS($K$2:K399),$K$2:$K$1001,0),MATCH(COLUMNS($R$1006:T1006),$R$1006:$W$1006,0)), HYPERLINK("#",""), HYPERLINK(CONCATENATE("#Metadata!", ADDRESS(INDEX($M$2:$M$1001,MATCH(ROWS($K$2:K399),$K$2:$K$1001,0),0), INDEX($R$1004:$W$1004,1,MATCH(COLUMNS($R$1006:T1006),$R$1006:$W$1006,0)))),"Fix")))</f>
        <v>0</v>
      </c>
      <c r="E399" s="3">
        <f>IF(OR(INDEX($L$2:$L$1001,MATCH(ROWS($K$2:K399),$K$2:$K$1001,0),1)&gt;=100000,INDEX($R$1005:$W$1005,1,MATCH(COLUMNS($R$1006:U1006),$R$1006:$W$1006,0))&gt;=100000), " ",IF(INDEX($R$2:$W$1001,MATCH(ROWS($K$2:K399),$K$2:$K$1001,0),MATCH(COLUMNS($R$1006:U1006),$R$1006:$W$1006,0)), HYPERLINK("#",""), HYPERLINK(CONCATENATE("#Metadata!", ADDRESS(INDEX($M$2:$M$1001,MATCH(ROWS($K$2:K399),$K$2:$K$1001,0),0), INDEX($R$1004:$W$1004,1,MATCH(COLUMNS($R$1006:U1006),$R$1006:$W$1006,0)))),"Fix")))</f>
        <v>0</v>
      </c>
      <c r="F399" s="3">
        <f>IF(OR(INDEX($L$2:$L$1001,MATCH(ROWS($K$2:K399),$K$2:$K$1001,0),1)&gt;=100000,INDEX($R$1005:$W$1005,1,MATCH(COLUMNS($R$1006:V1006),$R$1006:$W$1006,0))&gt;=100000), " ",IF(INDEX($R$2:$W$1001,MATCH(ROWS($K$2:K399),$K$2:$K$1001,0),MATCH(COLUMNS($R$1006:V1006),$R$1006:$W$1006,0)), HYPERLINK("#",""), HYPERLINK(CONCATENATE("#Metadata!", ADDRESS(INDEX($M$2:$M$1001,MATCH(ROWS($K$2:K399),$K$2:$K$1001,0),0), INDEX($R$1004:$W$1004,1,MATCH(COLUMNS($R$1006:V1006),$R$1006:$W$1006,0)))),"Fix")))</f>
        <v>0</v>
      </c>
      <c r="G399" s="3">
        <f>IF(OR(INDEX($L$2:$L$1001,MATCH(ROWS($K$2:K399),$K$2:$K$1001,0),1)&gt;=100000,INDEX($R$1005:$W$1005,1,MATCH(COLUMNS($R$1006:W1006),$R$1006:$W$1006,0))&gt;=100000), " ",IF(INDEX($R$2:$W$1001,MATCH(ROWS($K$2:K399),$K$2:$K$1001,0),MATCH(COLUMNS($R$1006:W1006),$R$1006:$W$1006,0)), HYPERLINK("#",""), HYPERLINK(CONCATENATE("#Metadata!", ADDRESS(INDEX($M$2:$M$1001,MATCH(ROWS($K$2:K399),$K$2:$K$1001,0),0), INDEX($R$1004:$W$1004,1,MATCH(COLUMNS($R$1006:W1006),$R$1006:$W$1006,0)))),"Fix")))</f>
        <v>0</v>
      </c>
      <c r="K399">
        <v>0</v>
      </c>
      <c r="L399">
        <v>0</v>
      </c>
      <c r="M399">
        <v>0</v>
      </c>
      <c r="N399">
        <f>IF(O399,TRUE,AND(R399:W399))</f>
        <v>0</v>
      </c>
      <c r="O399">
        <f>COUNTBLANK(Metadata!B399:G399)=COLUMNS(Metadata!B399:G399)</f>
        <v>0</v>
      </c>
      <c r="P399">
        <v>0</v>
      </c>
      <c r="R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S399">
        <f>IF(Metadata!C399="",FALSE,TRUE)</f>
        <v>0</v>
      </c>
      <c r="T399">
        <f>IF(Metadata!D399="",FALSE,TRUE)</f>
        <v>0</v>
      </c>
      <c r="U399">
        <f>IF(Metadata!E399="",FALSE,TRUE)</f>
        <v>0</v>
      </c>
      <c r="V399">
        <f>AND(IF(Metadata!F399="",FALSE,TRUE),exact(Metadata!F399,"rat gut metagenome"))</f>
        <v>0</v>
      </c>
      <c r="W399">
        <f>AND(IF(Metadata!G399="",FALSE,TRUE),exact(Metadata!G399,"1436733"))</f>
        <v>0</v>
      </c>
    </row>
    <row r="400" spans="1:23">
      <c r="A400" s="4">
        <f>IF(B400=" "," ",HYPERLINK(CONCATENATE("#metadata!",ADDRESS(INDEX($M$2:$M$1001,MATCH(ROWS($K$2:K400),$K$2:$K$1001,0),0),1)),INDEX($P$2:$P$1001,MATCH(ROWS($K$2:K400),$K$2:$K$1001,0),0)))</f>
        <v>0</v>
      </c>
      <c r="B400" s="3">
        <f>IF(OR(INDEX($L$2:$L$1001,MATCH(ROWS($K$2:K400),$K$2:$K$1001,0),1)&gt;=100000,INDEX($R$1005:$W$1005,1,MATCH(COLUMNS($R$1006:R1006),$R$1006:$W$1006,0))&gt;=100000), " ",IF(INDEX($R$2:$W$1001,MATCH(ROWS($K$2:K400),$K$2:$K$1001,0),MATCH(COLUMNS($R$1006:R1006),$R$1006:$W$1006,0)), HYPERLINK("#",""), HYPERLINK(CONCATENATE("#Metadata!", ADDRESS(INDEX($M$2:$M$1001,MATCH(ROWS($K$2:K400),$K$2:$K$1001,0),0), INDEX($R$1004:$W$1004,1,MATCH(COLUMNS($R$1006:R1006),$R$1006:$W$1006,0)))),"Fix")))</f>
        <v>0</v>
      </c>
      <c r="C400" s="3">
        <f>IF(OR(INDEX($L$2:$L$1001,MATCH(ROWS($K$2:K400),$K$2:$K$1001,0),1)&gt;=100000,INDEX($R$1005:$W$1005,1,MATCH(COLUMNS($R$1006:S1006),$R$1006:$W$1006,0))&gt;=100000), " ",IF(INDEX($R$2:$W$1001,MATCH(ROWS($K$2:K400),$K$2:$K$1001,0),MATCH(COLUMNS($R$1006:S1006),$R$1006:$W$1006,0)), HYPERLINK("#",""), HYPERLINK(CONCATENATE("#Metadata!", ADDRESS(INDEX($M$2:$M$1001,MATCH(ROWS($K$2:K400),$K$2:$K$1001,0),0), INDEX($R$1004:$W$1004,1,MATCH(COLUMNS($R$1006:S1006),$R$1006:$W$1006,0)))),"Fix")))</f>
        <v>0</v>
      </c>
      <c r="D400" s="3">
        <f>IF(OR(INDEX($L$2:$L$1001,MATCH(ROWS($K$2:K400),$K$2:$K$1001,0),1)&gt;=100000,INDEX($R$1005:$W$1005,1,MATCH(COLUMNS($R$1006:T1006),$R$1006:$W$1006,0))&gt;=100000), " ",IF(INDEX($R$2:$W$1001,MATCH(ROWS($K$2:K400),$K$2:$K$1001,0),MATCH(COLUMNS($R$1006:T1006),$R$1006:$W$1006,0)), HYPERLINK("#",""), HYPERLINK(CONCATENATE("#Metadata!", ADDRESS(INDEX($M$2:$M$1001,MATCH(ROWS($K$2:K400),$K$2:$K$1001,0),0), INDEX($R$1004:$W$1004,1,MATCH(COLUMNS($R$1006:T1006),$R$1006:$W$1006,0)))),"Fix")))</f>
        <v>0</v>
      </c>
      <c r="E400" s="3">
        <f>IF(OR(INDEX($L$2:$L$1001,MATCH(ROWS($K$2:K400),$K$2:$K$1001,0),1)&gt;=100000,INDEX($R$1005:$W$1005,1,MATCH(COLUMNS($R$1006:U1006),$R$1006:$W$1006,0))&gt;=100000), " ",IF(INDEX($R$2:$W$1001,MATCH(ROWS($K$2:K400),$K$2:$K$1001,0),MATCH(COLUMNS($R$1006:U1006),$R$1006:$W$1006,0)), HYPERLINK("#",""), HYPERLINK(CONCATENATE("#Metadata!", ADDRESS(INDEX($M$2:$M$1001,MATCH(ROWS($K$2:K400),$K$2:$K$1001,0),0), INDEX($R$1004:$W$1004,1,MATCH(COLUMNS($R$1006:U1006),$R$1006:$W$1006,0)))),"Fix")))</f>
        <v>0</v>
      </c>
      <c r="F400" s="3">
        <f>IF(OR(INDEX($L$2:$L$1001,MATCH(ROWS($K$2:K400),$K$2:$K$1001,0),1)&gt;=100000,INDEX($R$1005:$W$1005,1,MATCH(COLUMNS($R$1006:V1006),$R$1006:$W$1006,0))&gt;=100000), " ",IF(INDEX($R$2:$W$1001,MATCH(ROWS($K$2:K400),$K$2:$K$1001,0),MATCH(COLUMNS($R$1006:V1006),$R$1006:$W$1006,0)), HYPERLINK("#",""), HYPERLINK(CONCATENATE("#Metadata!", ADDRESS(INDEX($M$2:$M$1001,MATCH(ROWS($K$2:K400),$K$2:$K$1001,0),0), INDEX($R$1004:$W$1004,1,MATCH(COLUMNS($R$1006:V1006),$R$1006:$W$1006,0)))),"Fix")))</f>
        <v>0</v>
      </c>
      <c r="G400" s="3">
        <f>IF(OR(INDEX($L$2:$L$1001,MATCH(ROWS($K$2:K400),$K$2:$K$1001,0),1)&gt;=100000,INDEX($R$1005:$W$1005,1,MATCH(COLUMNS($R$1006:W1006),$R$1006:$W$1006,0))&gt;=100000), " ",IF(INDEX($R$2:$W$1001,MATCH(ROWS($K$2:K400),$K$2:$K$1001,0),MATCH(COLUMNS($R$1006:W1006),$R$1006:$W$1006,0)), HYPERLINK("#",""), HYPERLINK(CONCATENATE("#Metadata!", ADDRESS(INDEX($M$2:$M$1001,MATCH(ROWS($K$2:K400),$K$2:$K$1001,0),0), INDEX($R$1004:$W$1004,1,MATCH(COLUMNS($R$1006:W1006),$R$1006:$W$1006,0)))),"Fix")))</f>
        <v>0</v>
      </c>
      <c r="K400">
        <v>0</v>
      </c>
      <c r="L400">
        <v>0</v>
      </c>
      <c r="M400">
        <v>0</v>
      </c>
      <c r="N400">
        <f>IF(O400,TRUE,AND(R400:W400))</f>
        <v>0</v>
      </c>
      <c r="O400">
        <f>COUNTBLANK(Metadata!B400:G400)=COLUMNS(Metadata!B400:G400)</f>
        <v>0</v>
      </c>
      <c r="P400">
        <v>0</v>
      </c>
      <c r="R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S400">
        <f>IF(Metadata!C400="",FALSE,TRUE)</f>
        <v>0</v>
      </c>
      <c r="T400">
        <f>IF(Metadata!D400="",FALSE,TRUE)</f>
        <v>0</v>
      </c>
      <c r="U400">
        <f>IF(Metadata!E400="",FALSE,TRUE)</f>
        <v>0</v>
      </c>
      <c r="V400">
        <f>AND(IF(Metadata!F400="",FALSE,TRUE),exact(Metadata!F400,"rat gut metagenome"))</f>
        <v>0</v>
      </c>
      <c r="W400">
        <f>AND(IF(Metadata!G400="",FALSE,TRUE),exact(Metadata!G400,"1436733"))</f>
        <v>0</v>
      </c>
    </row>
    <row r="401" spans="1:23">
      <c r="A401" s="4">
        <f>IF(B401=" "," ",HYPERLINK(CONCATENATE("#metadata!",ADDRESS(INDEX($M$2:$M$1001,MATCH(ROWS($K$2:K401),$K$2:$K$1001,0),0),1)),INDEX($P$2:$P$1001,MATCH(ROWS($K$2:K401),$K$2:$K$1001,0),0)))</f>
        <v>0</v>
      </c>
      <c r="B401" s="3">
        <f>IF(OR(INDEX($L$2:$L$1001,MATCH(ROWS($K$2:K401),$K$2:$K$1001,0),1)&gt;=100000,INDEX($R$1005:$W$1005,1,MATCH(COLUMNS($R$1006:R1006),$R$1006:$W$1006,0))&gt;=100000), " ",IF(INDEX($R$2:$W$1001,MATCH(ROWS($K$2:K401),$K$2:$K$1001,0),MATCH(COLUMNS($R$1006:R1006),$R$1006:$W$1006,0)), HYPERLINK("#",""), HYPERLINK(CONCATENATE("#Metadata!", ADDRESS(INDEX($M$2:$M$1001,MATCH(ROWS($K$2:K401),$K$2:$K$1001,0),0), INDEX($R$1004:$W$1004,1,MATCH(COLUMNS($R$1006:R1006),$R$1006:$W$1006,0)))),"Fix")))</f>
        <v>0</v>
      </c>
      <c r="C401" s="3">
        <f>IF(OR(INDEX($L$2:$L$1001,MATCH(ROWS($K$2:K401),$K$2:$K$1001,0),1)&gt;=100000,INDEX($R$1005:$W$1005,1,MATCH(COLUMNS($R$1006:S1006),$R$1006:$W$1006,0))&gt;=100000), " ",IF(INDEX($R$2:$W$1001,MATCH(ROWS($K$2:K401),$K$2:$K$1001,0),MATCH(COLUMNS($R$1006:S1006),$R$1006:$W$1006,0)), HYPERLINK("#",""), HYPERLINK(CONCATENATE("#Metadata!", ADDRESS(INDEX($M$2:$M$1001,MATCH(ROWS($K$2:K401),$K$2:$K$1001,0),0), INDEX($R$1004:$W$1004,1,MATCH(COLUMNS($R$1006:S1006),$R$1006:$W$1006,0)))),"Fix")))</f>
        <v>0</v>
      </c>
      <c r="D401" s="3">
        <f>IF(OR(INDEX($L$2:$L$1001,MATCH(ROWS($K$2:K401),$K$2:$K$1001,0),1)&gt;=100000,INDEX($R$1005:$W$1005,1,MATCH(COLUMNS($R$1006:T1006),$R$1006:$W$1006,0))&gt;=100000), " ",IF(INDEX($R$2:$W$1001,MATCH(ROWS($K$2:K401),$K$2:$K$1001,0),MATCH(COLUMNS($R$1006:T1006),$R$1006:$W$1006,0)), HYPERLINK("#",""), HYPERLINK(CONCATENATE("#Metadata!", ADDRESS(INDEX($M$2:$M$1001,MATCH(ROWS($K$2:K401),$K$2:$K$1001,0),0), INDEX($R$1004:$W$1004,1,MATCH(COLUMNS($R$1006:T1006),$R$1006:$W$1006,0)))),"Fix")))</f>
        <v>0</v>
      </c>
      <c r="E401" s="3">
        <f>IF(OR(INDEX($L$2:$L$1001,MATCH(ROWS($K$2:K401),$K$2:$K$1001,0),1)&gt;=100000,INDEX($R$1005:$W$1005,1,MATCH(COLUMNS($R$1006:U1006),$R$1006:$W$1006,0))&gt;=100000), " ",IF(INDEX($R$2:$W$1001,MATCH(ROWS($K$2:K401),$K$2:$K$1001,0),MATCH(COLUMNS($R$1006:U1006),$R$1006:$W$1006,0)), HYPERLINK("#",""), HYPERLINK(CONCATENATE("#Metadata!", ADDRESS(INDEX($M$2:$M$1001,MATCH(ROWS($K$2:K401),$K$2:$K$1001,0),0), INDEX($R$1004:$W$1004,1,MATCH(COLUMNS($R$1006:U1006),$R$1006:$W$1006,0)))),"Fix")))</f>
        <v>0</v>
      </c>
      <c r="F401" s="3">
        <f>IF(OR(INDEX($L$2:$L$1001,MATCH(ROWS($K$2:K401),$K$2:$K$1001,0),1)&gt;=100000,INDEX($R$1005:$W$1005,1,MATCH(COLUMNS($R$1006:V1006),$R$1006:$W$1006,0))&gt;=100000), " ",IF(INDEX($R$2:$W$1001,MATCH(ROWS($K$2:K401),$K$2:$K$1001,0),MATCH(COLUMNS($R$1006:V1006),$R$1006:$W$1006,0)), HYPERLINK("#",""), HYPERLINK(CONCATENATE("#Metadata!", ADDRESS(INDEX($M$2:$M$1001,MATCH(ROWS($K$2:K401),$K$2:$K$1001,0),0), INDEX($R$1004:$W$1004,1,MATCH(COLUMNS($R$1006:V1006),$R$1006:$W$1006,0)))),"Fix")))</f>
        <v>0</v>
      </c>
      <c r="G401" s="3">
        <f>IF(OR(INDEX($L$2:$L$1001,MATCH(ROWS($K$2:K401),$K$2:$K$1001,0),1)&gt;=100000,INDEX($R$1005:$W$1005,1,MATCH(COLUMNS($R$1006:W1006),$R$1006:$W$1006,0))&gt;=100000), " ",IF(INDEX($R$2:$W$1001,MATCH(ROWS($K$2:K401),$K$2:$K$1001,0),MATCH(COLUMNS($R$1006:W1006),$R$1006:$W$1006,0)), HYPERLINK("#",""), HYPERLINK(CONCATENATE("#Metadata!", ADDRESS(INDEX($M$2:$M$1001,MATCH(ROWS($K$2:K401),$K$2:$K$1001,0),0), INDEX($R$1004:$W$1004,1,MATCH(COLUMNS($R$1006:W1006),$R$1006:$W$1006,0)))),"Fix")))</f>
        <v>0</v>
      </c>
      <c r="K401">
        <v>0</v>
      </c>
      <c r="L401">
        <v>0</v>
      </c>
      <c r="M401">
        <v>0</v>
      </c>
      <c r="N401">
        <f>IF(O401,TRUE,AND(R401:W401))</f>
        <v>0</v>
      </c>
      <c r="O401">
        <f>COUNTBLANK(Metadata!B401:G401)=COLUMNS(Metadata!B401:G401)</f>
        <v>0</v>
      </c>
      <c r="P401">
        <v>0</v>
      </c>
      <c r="R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S401">
        <f>IF(Metadata!C401="",FALSE,TRUE)</f>
        <v>0</v>
      </c>
      <c r="T401">
        <f>IF(Metadata!D401="",FALSE,TRUE)</f>
        <v>0</v>
      </c>
      <c r="U401">
        <f>IF(Metadata!E401="",FALSE,TRUE)</f>
        <v>0</v>
      </c>
      <c r="V401">
        <f>AND(IF(Metadata!F401="",FALSE,TRUE),exact(Metadata!F401,"rat gut metagenome"))</f>
        <v>0</v>
      </c>
      <c r="W401">
        <f>AND(IF(Metadata!G401="",FALSE,TRUE),exact(Metadata!G401,"1436733"))</f>
        <v>0</v>
      </c>
    </row>
    <row r="402" spans="1:23">
      <c r="A402" s="4">
        <f>IF(B402=" "," ",HYPERLINK(CONCATENATE("#metadata!",ADDRESS(INDEX($M$2:$M$1001,MATCH(ROWS($K$2:K402),$K$2:$K$1001,0),0),1)),INDEX($P$2:$P$1001,MATCH(ROWS($K$2:K402),$K$2:$K$1001,0),0)))</f>
        <v>0</v>
      </c>
      <c r="B402" s="3">
        <f>IF(OR(INDEX($L$2:$L$1001,MATCH(ROWS($K$2:K402),$K$2:$K$1001,0),1)&gt;=100000,INDEX($R$1005:$W$1005,1,MATCH(COLUMNS($R$1006:R1006),$R$1006:$W$1006,0))&gt;=100000), " ",IF(INDEX($R$2:$W$1001,MATCH(ROWS($K$2:K402),$K$2:$K$1001,0),MATCH(COLUMNS($R$1006:R1006),$R$1006:$W$1006,0)), HYPERLINK("#",""), HYPERLINK(CONCATENATE("#Metadata!", ADDRESS(INDEX($M$2:$M$1001,MATCH(ROWS($K$2:K402),$K$2:$K$1001,0),0), INDEX($R$1004:$W$1004,1,MATCH(COLUMNS($R$1006:R1006),$R$1006:$W$1006,0)))),"Fix")))</f>
        <v>0</v>
      </c>
      <c r="C402" s="3">
        <f>IF(OR(INDEX($L$2:$L$1001,MATCH(ROWS($K$2:K402),$K$2:$K$1001,0),1)&gt;=100000,INDEX($R$1005:$W$1005,1,MATCH(COLUMNS($R$1006:S1006),$R$1006:$W$1006,0))&gt;=100000), " ",IF(INDEX($R$2:$W$1001,MATCH(ROWS($K$2:K402),$K$2:$K$1001,0),MATCH(COLUMNS($R$1006:S1006),$R$1006:$W$1006,0)), HYPERLINK("#",""), HYPERLINK(CONCATENATE("#Metadata!", ADDRESS(INDEX($M$2:$M$1001,MATCH(ROWS($K$2:K402),$K$2:$K$1001,0),0), INDEX($R$1004:$W$1004,1,MATCH(COLUMNS($R$1006:S1006),$R$1006:$W$1006,0)))),"Fix")))</f>
        <v>0</v>
      </c>
      <c r="D402" s="3">
        <f>IF(OR(INDEX($L$2:$L$1001,MATCH(ROWS($K$2:K402),$K$2:$K$1001,0),1)&gt;=100000,INDEX($R$1005:$W$1005,1,MATCH(COLUMNS($R$1006:T1006),$R$1006:$W$1006,0))&gt;=100000), " ",IF(INDEX($R$2:$W$1001,MATCH(ROWS($K$2:K402),$K$2:$K$1001,0),MATCH(COLUMNS($R$1006:T1006),$R$1006:$W$1006,0)), HYPERLINK("#",""), HYPERLINK(CONCATENATE("#Metadata!", ADDRESS(INDEX($M$2:$M$1001,MATCH(ROWS($K$2:K402),$K$2:$K$1001,0),0), INDEX($R$1004:$W$1004,1,MATCH(COLUMNS($R$1006:T1006),$R$1006:$W$1006,0)))),"Fix")))</f>
        <v>0</v>
      </c>
      <c r="E402" s="3">
        <f>IF(OR(INDEX($L$2:$L$1001,MATCH(ROWS($K$2:K402),$K$2:$K$1001,0),1)&gt;=100000,INDEX($R$1005:$W$1005,1,MATCH(COLUMNS($R$1006:U1006),$R$1006:$W$1006,0))&gt;=100000), " ",IF(INDEX($R$2:$W$1001,MATCH(ROWS($K$2:K402),$K$2:$K$1001,0),MATCH(COLUMNS($R$1006:U1006),$R$1006:$W$1006,0)), HYPERLINK("#",""), HYPERLINK(CONCATENATE("#Metadata!", ADDRESS(INDEX($M$2:$M$1001,MATCH(ROWS($K$2:K402),$K$2:$K$1001,0),0), INDEX($R$1004:$W$1004,1,MATCH(COLUMNS($R$1006:U1006),$R$1006:$W$1006,0)))),"Fix")))</f>
        <v>0</v>
      </c>
      <c r="F402" s="3">
        <f>IF(OR(INDEX($L$2:$L$1001,MATCH(ROWS($K$2:K402),$K$2:$K$1001,0),1)&gt;=100000,INDEX($R$1005:$W$1005,1,MATCH(COLUMNS($R$1006:V1006),$R$1006:$W$1006,0))&gt;=100000), " ",IF(INDEX($R$2:$W$1001,MATCH(ROWS($K$2:K402),$K$2:$K$1001,0),MATCH(COLUMNS($R$1006:V1006),$R$1006:$W$1006,0)), HYPERLINK("#",""), HYPERLINK(CONCATENATE("#Metadata!", ADDRESS(INDEX($M$2:$M$1001,MATCH(ROWS($K$2:K402),$K$2:$K$1001,0),0), INDEX($R$1004:$W$1004,1,MATCH(COLUMNS($R$1006:V1006),$R$1006:$W$1006,0)))),"Fix")))</f>
        <v>0</v>
      </c>
      <c r="G402" s="3">
        <f>IF(OR(INDEX($L$2:$L$1001,MATCH(ROWS($K$2:K402),$K$2:$K$1001,0),1)&gt;=100000,INDEX($R$1005:$W$1005,1,MATCH(COLUMNS($R$1006:W1006),$R$1006:$W$1006,0))&gt;=100000), " ",IF(INDEX($R$2:$W$1001,MATCH(ROWS($K$2:K402),$K$2:$K$1001,0),MATCH(COLUMNS($R$1006:W1006),$R$1006:$W$1006,0)), HYPERLINK("#",""), HYPERLINK(CONCATENATE("#Metadata!", ADDRESS(INDEX($M$2:$M$1001,MATCH(ROWS($K$2:K402),$K$2:$K$1001,0),0), INDEX($R$1004:$W$1004,1,MATCH(COLUMNS($R$1006:W1006),$R$1006:$W$1006,0)))),"Fix")))</f>
        <v>0</v>
      </c>
      <c r="K402">
        <v>0</v>
      </c>
      <c r="L402">
        <v>0</v>
      </c>
      <c r="M402">
        <v>0</v>
      </c>
      <c r="N402">
        <f>IF(O402,TRUE,AND(R402:W402))</f>
        <v>0</v>
      </c>
      <c r="O402">
        <f>COUNTBLANK(Metadata!B402:G402)=COLUMNS(Metadata!B402:G402)</f>
        <v>0</v>
      </c>
      <c r="P402">
        <v>0</v>
      </c>
      <c r="R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S402">
        <f>IF(Metadata!C402="",FALSE,TRUE)</f>
        <v>0</v>
      </c>
      <c r="T402">
        <f>IF(Metadata!D402="",FALSE,TRUE)</f>
        <v>0</v>
      </c>
      <c r="U402">
        <f>IF(Metadata!E402="",FALSE,TRUE)</f>
        <v>0</v>
      </c>
      <c r="V402">
        <f>AND(IF(Metadata!F402="",FALSE,TRUE),exact(Metadata!F402,"rat gut metagenome"))</f>
        <v>0</v>
      </c>
      <c r="W402">
        <f>AND(IF(Metadata!G402="",FALSE,TRUE),exact(Metadata!G402,"1436733"))</f>
        <v>0</v>
      </c>
    </row>
    <row r="403" spans="1:23">
      <c r="A403" s="4">
        <f>IF(B403=" "," ",HYPERLINK(CONCATENATE("#metadata!",ADDRESS(INDEX($M$2:$M$1001,MATCH(ROWS($K$2:K403),$K$2:$K$1001,0),0),1)),INDEX($P$2:$P$1001,MATCH(ROWS($K$2:K403),$K$2:$K$1001,0),0)))</f>
        <v>0</v>
      </c>
      <c r="B403" s="3">
        <f>IF(OR(INDEX($L$2:$L$1001,MATCH(ROWS($K$2:K403),$K$2:$K$1001,0),1)&gt;=100000,INDEX($R$1005:$W$1005,1,MATCH(COLUMNS($R$1006:R1006),$R$1006:$W$1006,0))&gt;=100000), " ",IF(INDEX($R$2:$W$1001,MATCH(ROWS($K$2:K403),$K$2:$K$1001,0),MATCH(COLUMNS($R$1006:R1006),$R$1006:$W$1006,0)), HYPERLINK("#",""), HYPERLINK(CONCATENATE("#Metadata!", ADDRESS(INDEX($M$2:$M$1001,MATCH(ROWS($K$2:K403),$K$2:$K$1001,0),0), INDEX($R$1004:$W$1004,1,MATCH(COLUMNS($R$1006:R1006),$R$1006:$W$1006,0)))),"Fix")))</f>
        <v>0</v>
      </c>
      <c r="C403" s="3">
        <f>IF(OR(INDEX($L$2:$L$1001,MATCH(ROWS($K$2:K403),$K$2:$K$1001,0),1)&gt;=100000,INDEX($R$1005:$W$1005,1,MATCH(COLUMNS($R$1006:S1006),$R$1006:$W$1006,0))&gt;=100000), " ",IF(INDEX($R$2:$W$1001,MATCH(ROWS($K$2:K403),$K$2:$K$1001,0),MATCH(COLUMNS($R$1006:S1006),$R$1006:$W$1006,0)), HYPERLINK("#",""), HYPERLINK(CONCATENATE("#Metadata!", ADDRESS(INDEX($M$2:$M$1001,MATCH(ROWS($K$2:K403),$K$2:$K$1001,0),0), INDEX($R$1004:$W$1004,1,MATCH(COLUMNS($R$1006:S1006),$R$1006:$W$1006,0)))),"Fix")))</f>
        <v>0</v>
      </c>
      <c r="D403" s="3">
        <f>IF(OR(INDEX($L$2:$L$1001,MATCH(ROWS($K$2:K403),$K$2:$K$1001,0),1)&gt;=100000,INDEX($R$1005:$W$1005,1,MATCH(COLUMNS($R$1006:T1006),$R$1006:$W$1006,0))&gt;=100000), " ",IF(INDEX($R$2:$W$1001,MATCH(ROWS($K$2:K403),$K$2:$K$1001,0),MATCH(COLUMNS($R$1006:T1006),$R$1006:$W$1006,0)), HYPERLINK("#",""), HYPERLINK(CONCATENATE("#Metadata!", ADDRESS(INDEX($M$2:$M$1001,MATCH(ROWS($K$2:K403),$K$2:$K$1001,0),0), INDEX($R$1004:$W$1004,1,MATCH(COLUMNS($R$1006:T1006),$R$1006:$W$1006,0)))),"Fix")))</f>
        <v>0</v>
      </c>
      <c r="E403" s="3">
        <f>IF(OR(INDEX($L$2:$L$1001,MATCH(ROWS($K$2:K403),$K$2:$K$1001,0),1)&gt;=100000,INDEX($R$1005:$W$1005,1,MATCH(COLUMNS($R$1006:U1006),$R$1006:$W$1006,0))&gt;=100000), " ",IF(INDEX($R$2:$W$1001,MATCH(ROWS($K$2:K403),$K$2:$K$1001,0),MATCH(COLUMNS($R$1006:U1006),$R$1006:$W$1006,0)), HYPERLINK("#",""), HYPERLINK(CONCATENATE("#Metadata!", ADDRESS(INDEX($M$2:$M$1001,MATCH(ROWS($K$2:K403),$K$2:$K$1001,0),0), INDEX($R$1004:$W$1004,1,MATCH(COLUMNS($R$1006:U1006),$R$1006:$W$1006,0)))),"Fix")))</f>
        <v>0</v>
      </c>
      <c r="F403" s="3">
        <f>IF(OR(INDEX($L$2:$L$1001,MATCH(ROWS($K$2:K403),$K$2:$K$1001,0),1)&gt;=100000,INDEX($R$1005:$W$1005,1,MATCH(COLUMNS($R$1006:V1006),$R$1006:$W$1006,0))&gt;=100000), " ",IF(INDEX($R$2:$W$1001,MATCH(ROWS($K$2:K403),$K$2:$K$1001,0),MATCH(COLUMNS($R$1006:V1006),$R$1006:$W$1006,0)), HYPERLINK("#",""), HYPERLINK(CONCATENATE("#Metadata!", ADDRESS(INDEX($M$2:$M$1001,MATCH(ROWS($K$2:K403),$K$2:$K$1001,0),0), INDEX($R$1004:$W$1004,1,MATCH(COLUMNS($R$1006:V1006),$R$1006:$W$1006,0)))),"Fix")))</f>
        <v>0</v>
      </c>
      <c r="G403" s="3">
        <f>IF(OR(INDEX($L$2:$L$1001,MATCH(ROWS($K$2:K403),$K$2:$K$1001,0),1)&gt;=100000,INDEX($R$1005:$W$1005,1,MATCH(COLUMNS($R$1006:W1006),$R$1006:$W$1006,0))&gt;=100000), " ",IF(INDEX($R$2:$W$1001,MATCH(ROWS($K$2:K403),$K$2:$K$1001,0),MATCH(COLUMNS($R$1006:W1006),$R$1006:$W$1006,0)), HYPERLINK("#",""), HYPERLINK(CONCATENATE("#Metadata!", ADDRESS(INDEX($M$2:$M$1001,MATCH(ROWS($K$2:K403),$K$2:$K$1001,0),0), INDEX($R$1004:$W$1004,1,MATCH(COLUMNS($R$1006:W1006),$R$1006:$W$1006,0)))),"Fix")))</f>
        <v>0</v>
      </c>
      <c r="K403">
        <v>0</v>
      </c>
      <c r="L403">
        <v>0</v>
      </c>
      <c r="M403">
        <v>0</v>
      </c>
      <c r="N403">
        <f>IF(O403,TRUE,AND(R403:W403))</f>
        <v>0</v>
      </c>
      <c r="O403">
        <f>COUNTBLANK(Metadata!B403:G403)=COLUMNS(Metadata!B403:G403)</f>
        <v>0</v>
      </c>
      <c r="P403">
        <v>0</v>
      </c>
      <c r="R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S403">
        <f>IF(Metadata!C403="",FALSE,TRUE)</f>
        <v>0</v>
      </c>
      <c r="T403">
        <f>IF(Metadata!D403="",FALSE,TRUE)</f>
        <v>0</v>
      </c>
      <c r="U403">
        <f>IF(Metadata!E403="",FALSE,TRUE)</f>
        <v>0</v>
      </c>
      <c r="V403">
        <f>AND(IF(Metadata!F403="",FALSE,TRUE),exact(Metadata!F403,"rat gut metagenome"))</f>
        <v>0</v>
      </c>
      <c r="W403">
        <f>AND(IF(Metadata!G403="",FALSE,TRUE),exact(Metadata!G403,"1436733"))</f>
        <v>0</v>
      </c>
    </row>
    <row r="404" spans="1:23">
      <c r="A404" s="4">
        <f>IF(B404=" "," ",HYPERLINK(CONCATENATE("#metadata!",ADDRESS(INDEX($M$2:$M$1001,MATCH(ROWS($K$2:K404),$K$2:$K$1001,0),0),1)),INDEX($P$2:$P$1001,MATCH(ROWS($K$2:K404),$K$2:$K$1001,0),0)))</f>
        <v>0</v>
      </c>
      <c r="B404" s="3">
        <f>IF(OR(INDEX($L$2:$L$1001,MATCH(ROWS($K$2:K404),$K$2:$K$1001,0),1)&gt;=100000,INDEX($R$1005:$W$1005,1,MATCH(COLUMNS($R$1006:R1006),$R$1006:$W$1006,0))&gt;=100000), " ",IF(INDEX($R$2:$W$1001,MATCH(ROWS($K$2:K404),$K$2:$K$1001,0),MATCH(COLUMNS($R$1006:R1006),$R$1006:$W$1006,0)), HYPERLINK("#",""), HYPERLINK(CONCATENATE("#Metadata!", ADDRESS(INDEX($M$2:$M$1001,MATCH(ROWS($K$2:K404),$K$2:$K$1001,0),0), INDEX($R$1004:$W$1004,1,MATCH(COLUMNS($R$1006:R1006),$R$1006:$W$1006,0)))),"Fix")))</f>
        <v>0</v>
      </c>
      <c r="C404" s="3">
        <f>IF(OR(INDEX($L$2:$L$1001,MATCH(ROWS($K$2:K404),$K$2:$K$1001,0),1)&gt;=100000,INDEX($R$1005:$W$1005,1,MATCH(COLUMNS($R$1006:S1006),$R$1006:$W$1006,0))&gt;=100000), " ",IF(INDEX($R$2:$W$1001,MATCH(ROWS($K$2:K404),$K$2:$K$1001,0),MATCH(COLUMNS($R$1006:S1006),$R$1006:$W$1006,0)), HYPERLINK("#",""), HYPERLINK(CONCATENATE("#Metadata!", ADDRESS(INDEX($M$2:$M$1001,MATCH(ROWS($K$2:K404),$K$2:$K$1001,0),0), INDEX($R$1004:$W$1004,1,MATCH(COLUMNS($R$1006:S1006),$R$1006:$W$1006,0)))),"Fix")))</f>
        <v>0</v>
      </c>
      <c r="D404" s="3">
        <f>IF(OR(INDEX($L$2:$L$1001,MATCH(ROWS($K$2:K404),$K$2:$K$1001,0),1)&gt;=100000,INDEX($R$1005:$W$1005,1,MATCH(COLUMNS($R$1006:T1006),$R$1006:$W$1006,0))&gt;=100000), " ",IF(INDEX($R$2:$W$1001,MATCH(ROWS($K$2:K404),$K$2:$K$1001,0),MATCH(COLUMNS($R$1006:T1006),$R$1006:$W$1006,0)), HYPERLINK("#",""), HYPERLINK(CONCATENATE("#Metadata!", ADDRESS(INDEX($M$2:$M$1001,MATCH(ROWS($K$2:K404),$K$2:$K$1001,0),0), INDEX($R$1004:$W$1004,1,MATCH(COLUMNS($R$1006:T1006),$R$1006:$W$1006,0)))),"Fix")))</f>
        <v>0</v>
      </c>
      <c r="E404" s="3">
        <f>IF(OR(INDEX($L$2:$L$1001,MATCH(ROWS($K$2:K404),$K$2:$K$1001,0),1)&gt;=100000,INDEX($R$1005:$W$1005,1,MATCH(COLUMNS($R$1006:U1006),$R$1006:$W$1006,0))&gt;=100000), " ",IF(INDEX($R$2:$W$1001,MATCH(ROWS($K$2:K404),$K$2:$K$1001,0),MATCH(COLUMNS($R$1006:U1006),$R$1006:$W$1006,0)), HYPERLINK("#",""), HYPERLINK(CONCATENATE("#Metadata!", ADDRESS(INDEX($M$2:$M$1001,MATCH(ROWS($K$2:K404),$K$2:$K$1001,0),0), INDEX($R$1004:$W$1004,1,MATCH(COLUMNS($R$1006:U1006),$R$1006:$W$1006,0)))),"Fix")))</f>
        <v>0</v>
      </c>
      <c r="F404" s="3">
        <f>IF(OR(INDEX($L$2:$L$1001,MATCH(ROWS($K$2:K404),$K$2:$K$1001,0),1)&gt;=100000,INDEX($R$1005:$W$1005,1,MATCH(COLUMNS($R$1006:V1006),$R$1006:$W$1006,0))&gt;=100000), " ",IF(INDEX($R$2:$W$1001,MATCH(ROWS($K$2:K404),$K$2:$K$1001,0),MATCH(COLUMNS($R$1006:V1006),$R$1006:$W$1006,0)), HYPERLINK("#",""), HYPERLINK(CONCATENATE("#Metadata!", ADDRESS(INDEX($M$2:$M$1001,MATCH(ROWS($K$2:K404),$K$2:$K$1001,0),0), INDEX($R$1004:$W$1004,1,MATCH(COLUMNS($R$1006:V1006),$R$1006:$W$1006,0)))),"Fix")))</f>
        <v>0</v>
      </c>
      <c r="G404" s="3">
        <f>IF(OR(INDEX($L$2:$L$1001,MATCH(ROWS($K$2:K404),$K$2:$K$1001,0),1)&gt;=100000,INDEX($R$1005:$W$1005,1,MATCH(COLUMNS($R$1006:W1006),$R$1006:$W$1006,0))&gt;=100000), " ",IF(INDEX($R$2:$W$1001,MATCH(ROWS($K$2:K404),$K$2:$K$1001,0),MATCH(COLUMNS($R$1006:W1006),$R$1006:$W$1006,0)), HYPERLINK("#",""), HYPERLINK(CONCATENATE("#Metadata!", ADDRESS(INDEX($M$2:$M$1001,MATCH(ROWS($K$2:K404),$K$2:$K$1001,0),0), INDEX($R$1004:$W$1004,1,MATCH(COLUMNS($R$1006:W1006),$R$1006:$W$1006,0)))),"Fix")))</f>
        <v>0</v>
      </c>
      <c r="K404">
        <v>0</v>
      </c>
      <c r="L404">
        <v>0</v>
      </c>
      <c r="M404">
        <v>0</v>
      </c>
      <c r="N404">
        <f>IF(O404,TRUE,AND(R404:W404))</f>
        <v>0</v>
      </c>
      <c r="O404">
        <f>COUNTBLANK(Metadata!B404:G404)=COLUMNS(Metadata!B404:G404)</f>
        <v>0</v>
      </c>
      <c r="P404">
        <v>0</v>
      </c>
      <c r="R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S404">
        <f>IF(Metadata!C404="",FALSE,TRUE)</f>
        <v>0</v>
      </c>
      <c r="T404">
        <f>IF(Metadata!D404="",FALSE,TRUE)</f>
        <v>0</v>
      </c>
      <c r="U404">
        <f>IF(Metadata!E404="",FALSE,TRUE)</f>
        <v>0</v>
      </c>
      <c r="V404">
        <f>AND(IF(Metadata!F404="",FALSE,TRUE),exact(Metadata!F404,"rat gut metagenome"))</f>
        <v>0</v>
      </c>
      <c r="W404">
        <f>AND(IF(Metadata!G404="",FALSE,TRUE),exact(Metadata!G404,"1436733"))</f>
        <v>0</v>
      </c>
    </row>
    <row r="405" spans="1:23">
      <c r="A405" s="4">
        <f>IF(B405=" "," ",HYPERLINK(CONCATENATE("#metadata!",ADDRESS(INDEX($M$2:$M$1001,MATCH(ROWS($K$2:K405),$K$2:$K$1001,0),0),1)),INDEX($P$2:$P$1001,MATCH(ROWS($K$2:K405),$K$2:$K$1001,0),0)))</f>
        <v>0</v>
      </c>
      <c r="B405" s="3">
        <f>IF(OR(INDEX($L$2:$L$1001,MATCH(ROWS($K$2:K405),$K$2:$K$1001,0),1)&gt;=100000,INDEX($R$1005:$W$1005,1,MATCH(COLUMNS($R$1006:R1006),$R$1006:$W$1006,0))&gt;=100000), " ",IF(INDEX($R$2:$W$1001,MATCH(ROWS($K$2:K405),$K$2:$K$1001,0),MATCH(COLUMNS($R$1006:R1006),$R$1006:$W$1006,0)), HYPERLINK("#",""), HYPERLINK(CONCATENATE("#Metadata!", ADDRESS(INDEX($M$2:$M$1001,MATCH(ROWS($K$2:K405),$K$2:$K$1001,0),0), INDEX($R$1004:$W$1004,1,MATCH(COLUMNS($R$1006:R1006),$R$1006:$W$1006,0)))),"Fix")))</f>
        <v>0</v>
      </c>
      <c r="C405" s="3">
        <f>IF(OR(INDEX($L$2:$L$1001,MATCH(ROWS($K$2:K405),$K$2:$K$1001,0),1)&gt;=100000,INDEX($R$1005:$W$1005,1,MATCH(COLUMNS($R$1006:S1006),$R$1006:$W$1006,0))&gt;=100000), " ",IF(INDEX($R$2:$W$1001,MATCH(ROWS($K$2:K405),$K$2:$K$1001,0),MATCH(COLUMNS($R$1006:S1006),$R$1006:$W$1006,0)), HYPERLINK("#",""), HYPERLINK(CONCATENATE("#Metadata!", ADDRESS(INDEX($M$2:$M$1001,MATCH(ROWS($K$2:K405),$K$2:$K$1001,0),0), INDEX($R$1004:$W$1004,1,MATCH(COLUMNS($R$1006:S1006),$R$1006:$W$1006,0)))),"Fix")))</f>
        <v>0</v>
      </c>
      <c r="D405" s="3">
        <f>IF(OR(INDEX($L$2:$L$1001,MATCH(ROWS($K$2:K405),$K$2:$K$1001,0),1)&gt;=100000,INDEX($R$1005:$W$1005,1,MATCH(COLUMNS($R$1006:T1006),$R$1006:$W$1006,0))&gt;=100000), " ",IF(INDEX($R$2:$W$1001,MATCH(ROWS($K$2:K405),$K$2:$K$1001,0),MATCH(COLUMNS($R$1006:T1006),$R$1006:$W$1006,0)), HYPERLINK("#",""), HYPERLINK(CONCATENATE("#Metadata!", ADDRESS(INDEX($M$2:$M$1001,MATCH(ROWS($K$2:K405),$K$2:$K$1001,0),0), INDEX($R$1004:$W$1004,1,MATCH(COLUMNS($R$1006:T1006),$R$1006:$W$1006,0)))),"Fix")))</f>
        <v>0</v>
      </c>
      <c r="E405" s="3">
        <f>IF(OR(INDEX($L$2:$L$1001,MATCH(ROWS($K$2:K405),$K$2:$K$1001,0),1)&gt;=100000,INDEX($R$1005:$W$1005,1,MATCH(COLUMNS($R$1006:U1006),$R$1006:$W$1006,0))&gt;=100000), " ",IF(INDEX($R$2:$W$1001,MATCH(ROWS($K$2:K405),$K$2:$K$1001,0),MATCH(COLUMNS($R$1006:U1006),$R$1006:$W$1006,0)), HYPERLINK("#",""), HYPERLINK(CONCATENATE("#Metadata!", ADDRESS(INDEX($M$2:$M$1001,MATCH(ROWS($K$2:K405),$K$2:$K$1001,0),0), INDEX($R$1004:$W$1004,1,MATCH(COLUMNS($R$1006:U1006),$R$1006:$W$1006,0)))),"Fix")))</f>
        <v>0</v>
      </c>
      <c r="F405" s="3">
        <f>IF(OR(INDEX($L$2:$L$1001,MATCH(ROWS($K$2:K405),$K$2:$K$1001,0),1)&gt;=100000,INDEX($R$1005:$W$1005,1,MATCH(COLUMNS($R$1006:V1006),$R$1006:$W$1006,0))&gt;=100000), " ",IF(INDEX($R$2:$W$1001,MATCH(ROWS($K$2:K405),$K$2:$K$1001,0),MATCH(COLUMNS($R$1006:V1006),$R$1006:$W$1006,0)), HYPERLINK("#",""), HYPERLINK(CONCATENATE("#Metadata!", ADDRESS(INDEX($M$2:$M$1001,MATCH(ROWS($K$2:K405),$K$2:$K$1001,0),0), INDEX($R$1004:$W$1004,1,MATCH(COLUMNS($R$1006:V1006),$R$1006:$W$1006,0)))),"Fix")))</f>
        <v>0</v>
      </c>
      <c r="G405" s="3">
        <f>IF(OR(INDEX($L$2:$L$1001,MATCH(ROWS($K$2:K405),$K$2:$K$1001,0),1)&gt;=100000,INDEX($R$1005:$W$1005,1,MATCH(COLUMNS($R$1006:W1006),$R$1006:$W$1006,0))&gt;=100000), " ",IF(INDEX($R$2:$W$1001,MATCH(ROWS($K$2:K405),$K$2:$K$1001,0),MATCH(COLUMNS($R$1006:W1006),$R$1006:$W$1006,0)), HYPERLINK("#",""), HYPERLINK(CONCATENATE("#Metadata!", ADDRESS(INDEX($M$2:$M$1001,MATCH(ROWS($K$2:K405),$K$2:$K$1001,0),0), INDEX($R$1004:$W$1004,1,MATCH(COLUMNS($R$1006:W1006),$R$1006:$W$1006,0)))),"Fix")))</f>
        <v>0</v>
      </c>
      <c r="K405">
        <v>0</v>
      </c>
      <c r="L405">
        <v>0</v>
      </c>
      <c r="M405">
        <v>0</v>
      </c>
      <c r="N405">
        <f>IF(O405,TRUE,AND(R405:W405))</f>
        <v>0</v>
      </c>
      <c r="O405">
        <f>COUNTBLANK(Metadata!B405:G405)=COLUMNS(Metadata!B405:G405)</f>
        <v>0</v>
      </c>
      <c r="P405">
        <v>0</v>
      </c>
      <c r="R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S405">
        <f>IF(Metadata!C405="",FALSE,TRUE)</f>
        <v>0</v>
      </c>
      <c r="T405">
        <f>IF(Metadata!D405="",FALSE,TRUE)</f>
        <v>0</v>
      </c>
      <c r="U405">
        <f>IF(Metadata!E405="",FALSE,TRUE)</f>
        <v>0</v>
      </c>
      <c r="V405">
        <f>AND(IF(Metadata!F405="",FALSE,TRUE),exact(Metadata!F405,"rat gut metagenome"))</f>
        <v>0</v>
      </c>
      <c r="W405">
        <f>AND(IF(Metadata!G405="",FALSE,TRUE),exact(Metadata!G405,"1436733"))</f>
        <v>0</v>
      </c>
    </row>
    <row r="406" spans="1:23">
      <c r="A406" s="4">
        <f>IF(B406=" "," ",HYPERLINK(CONCATENATE("#metadata!",ADDRESS(INDEX($M$2:$M$1001,MATCH(ROWS($K$2:K406),$K$2:$K$1001,0),0),1)),INDEX($P$2:$P$1001,MATCH(ROWS($K$2:K406),$K$2:$K$1001,0),0)))</f>
        <v>0</v>
      </c>
      <c r="B406" s="3">
        <f>IF(OR(INDEX($L$2:$L$1001,MATCH(ROWS($K$2:K406),$K$2:$K$1001,0),1)&gt;=100000,INDEX($R$1005:$W$1005,1,MATCH(COLUMNS($R$1006:R1006),$R$1006:$W$1006,0))&gt;=100000), " ",IF(INDEX($R$2:$W$1001,MATCH(ROWS($K$2:K406),$K$2:$K$1001,0),MATCH(COLUMNS($R$1006:R1006),$R$1006:$W$1006,0)), HYPERLINK("#",""), HYPERLINK(CONCATENATE("#Metadata!", ADDRESS(INDEX($M$2:$M$1001,MATCH(ROWS($K$2:K406),$K$2:$K$1001,0),0), INDEX($R$1004:$W$1004,1,MATCH(COLUMNS($R$1006:R1006),$R$1006:$W$1006,0)))),"Fix")))</f>
        <v>0</v>
      </c>
      <c r="C406" s="3">
        <f>IF(OR(INDEX($L$2:$L$1001,MATCH(ROWS($K$2:K406),$K$2:$K$1001,0),1)&gt;=100000,INDEX($R$1005:$W$1005,1,MATCH(COLUMNS($R$1006:S1006),$R$1006:$W$1006,0))&gt;=100000), " ",IF(INDEX($R$2:$W$1001,MATCH(ROWS($K$2:K406),$K$2:$K$1001,0),MATCH(COLUMNS($R$1006:S1006),$R$1006:$W$1006,0)), HYPERLINK("#",""), HYPERLINK(CONCATENATE("#Metadata!", ADDRESS(INDEX($M$2:$M$1001,MATCH(ROWS($K$2:K406),$K$2:$K$1001,0),0), INDEX($R$1004:$W$1004,1,MATCH(COLUMNS($R$1006:S1006),$R$1006:$W$1006,0)))),"Fix")))</f>
        <v>0</v>
      </c>
      <c r="D406" s="3">
        <f>IF(OR(INDEX($L$2:$L$1001,MATCH(ROWS($K$2:K406),$K$2:$K$1001,0),1)&gt;=100000,INDEX($R$1005:$W$1005,1,MATCH(COLUMNS($R$1006:T1006),$R$1006:$W$1006,0))&gt;=100000), " ",IF(INDEX($R$2:$W$1001,MATCH(ROWS($K$2:K406),$K$2:$K$1001,0),MATCH(COLUMNS($R$1006:T1006),$R$1006:$W$1006,0)), HYPERLINK("#",""), HYPERLINK(CONCATENATE("#Metadata!", ADDRESS(INDEX($M$2:$M$1001,MATCH(ROWS($K$2:K406),$K$2:$K$1001,0),0), INDEX($R$1004:$W$1004,1,MATCH(COLUMNS($R$1006:T1006),$R$1006:$W$1006,0)))),"Fix")))</f>
        <v>0</v>
      </c>
      <c r="E406" s="3">
        <f>IF(OR(INDEX($L$2:$L$1001,MATCH(ROWS($K$2:K406),$K$2:$K$1001,0),1)&gt;=100000,INDEX($R$1005:$W$1005,1,MATCH(COLUMNS($R$1006:U1006),$R$1006:$W$1006,0))&gt;=100000), " ",IF(INDEX($R$2:$W$1001,MATCH(ROWS($K$2:K406),$K$2:$K$1001,0),MATCH(COLUMNS($R$1006:U1006),$R$1006:$W$1006,0)), HYPERLINK("#",""), HYPERLINK(CONCATENATE("#Metadata!", ADDRESS(INDEX($M$2:$M$1001,MATCH(ROWS($K$2:K406),$K$2:$K$1001,0),0), INDEX($R$1004:$W$1004,1,MATCH(COLUMNS($R$1006:U1006),$R$1006:$W$1006,0)))),"Fix")))</f>
        <v>0</v>
      </c>
      <c r="F406" s="3">
        <f>IF(OR(INDEX($L$2:$L$1001,MATCH(ROWS($K$2:K406),$K$2:$K$1001,0),1)&gt;=100000,INDEX($R$1005:$W$1005,1,MATCH(COLUMNS($R$1006:V1006),$R$1006:$W$1006,0))&gt;=100000), " ",IF(INDEX($R$2:$W$1001,MATCH(ROWS($K$2:K406),$K$2:$K$1001,0),MATCH(COLUMNS($R$1006:V1006),$R$1006:$W$1006,0)), HYPERLINK("#",""), HYPERLINK(CONCATENATE("#Metadata!", ADDRESS(INDEX($M$2:$M$1001,MATCH(ROWS($K$2:K406),$K$2:$K$1001,0),0), INDEX($R$1004:$W$1004,1,MATCH(COLUMNS($R$1006:V1006),$R$1006:$W$1006,0)))),"Fix")))</f>
        <v>0</v>
      </c>
      <c r="G406" s="3">
        <f>IF(OR(INDEX($L$2:$L$1001,MATCH(ROWS($K$2:K406),$K$2:$K$1001,0),1)&gt;=100000,INDEX($R$1005:$W$1005,1,MATCH(COLUMNS($R$1006:W1006),$R$1006:$W$1006,0))&gt;=100000), " ",IF(INDEX($R$2:$W$1001,MATCH(ROWS($K$2:K406),$K$2:$K$1001,0),MATCH(COLUMNS($R$1006:W1006),$R$1006:$W$1006,0)), HYPERLINK("#",""), HYPERLINK(CONCATENATE("#Metadata!", ADDRESS(INDEX($M$2:$M$1001,MATCH(ROWS($K$2:K406),$K$2:$K$1001,0),0), INDEX($R$1004:$W$1004,1,MATCH(COLUMNS($R$1006:W1006),$R$1006:$W$1006,0)))),"Fix")))</f>
        <v>0</v>
      </c>
      <c r="K406">
        <v>0</v>
      </c>
      <c r="L406">
        <v>0</v>
      </c>
      <c r="M406">
        <v>0</v>
      </c>
      <c r="N406">
        <f>IF(O406,TRUE,AND(R406:W406))</f>
        <v>0</v>
      </c>
      <c r="O406">
        <f>COUNTBLANK(Metadata!B406:G406)=COLUMNS(Metadata!B406:G406)</f>
        <v>0</v>
      </c>
      <c r="P406">
        <v>0</v>
      </c>
      <c r="R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S406">
        <f>IF(Metadata!C406="",FALSE,TRUE)</f>
        <v>0</v>
      </c>
      <c r="T406">
        <f>IF(Metadata!D406="",FALSE,TRUE)</f>
        <v>0</v>
      </c>
      <c r="U406">
        <f>IF(Metadata!E406="",FALSE,TRUE)</f>
        <v>0</v>
      </c>
      <c r="V406">
        <f>AND(IF(Metadata!F406="",FALSE,TRUE),exact(Metadata!F406,"rat gut metagenome"))</f>
        <v>0</v>
      </c>
      <c r="W406">
        <f>AND(IF(Metadata!G406="",FALSE,TRUE),exact(Metadata!G406,"1436733"))</f>
        <v>0</v>
      </c>
    </row>
    <row r="407" spans="1:23">
      <c r="A407" s="4">
        <f>IF(B407=" "," ",HYPERLINK(CONCATENATE("#metadata!",ADDRESS(INDEX($M$2:$M$1001,MATCH(ROWS($K$2:K407),$K$2:$K$1001,0),0),1)),INDEX($P$2:$P$1001,MATCH(ROWS($K$2:K407),$K$2:$K$1001,0),0)))</f>
        <v>0</v>
      </c>
      <c r="B407" s="3">
        <f>IF(OR(INDEX($L$2:$L$1001,MATCH(ROWS($K$2:K407),$K$2:$K$1001,0),1)&gt;=100000,INDEX($R$1005:$W$1005,1,MATCH(COLUMNS($R$1006:R1006),$R$1006:$W$1006,0))&gt;=100000), " ",IF(INDEX($R$2:$W$1001,MATCH(ROWS($K$2:K407),$K$2:$K$1001,0),MATCH(COLUMNS($R$1006:R1006),$R$1006:$W$1006,0)), HYPERLINK("#",""), HYPERLINK(CONCATENATE("#Metadata!", ADDRESS(INDEX($M$2:$M$1001,MATCH(ROWS($K$2:K407),$K$2:$K$1001,0),0), INDEX($R$1004:$W$1004,1,MATCH(COLUMNS($R$1006:R1006),$R$1006:$W$1006,0)))),"Fix")))</f>
        <v>0</v>
      </c>
      <c r="C407" s="3">
        <f>IF(OR(INDEX($L$2:$L$1001,MATCH(ROWS($K$2:K407),$K$2:$K$1001,0),1)&gt;=100000,INDEX($R$1005:$W$1005,1,MATCH(COLUMNS($R$1006:S1006),$R$1006:$W$1006,0))&gt;=100000), " ",IF(INDEX($R$2:$W$1001,MATCH(ROWS($K$2:K407),$K$2:$K$1001,0),MATCH(COLUMNS($R$1006:S1006),$R$1006:$W$1006,0)), HYPERLINK("#",""), HYPERLINK(CONCATENATE("#Metadata!", ADDRESS(INDEX($M$2:$M$1001,MATCH(ROWS($K$2:K407),$K$2:$K$1001,0),0), INDEX($R$1004:$W$1004,1,MATCH(COLUMNS($R$1006:S1006),$R$1006:$W$1006,0)))),"Fix")))</f>
        <v>0</v>
      </c>
      <c r="D407" s="3">
        <f>IF(OR(INDEX($L$2:$L$1001,MATCH(ROWS($K$2:K407),$K$2:$K$1001,0),1)&gt;=100000,INDEX($R$1005:$W$1005,1,MATCH(COLUMNS($R$1006:T1006),$R$1006:$W$1006,0))&gt;=100000), " ",IF(INDEX($R$2:$W$1001,MATCH(ROWS($K$2:K407),$K$2:$K$1001,0),MATCH(COLUMNS($R$1006:T1006),$R$1006:$W$1006,0)), HYPERLINK("#",""), HYPERLINK(CONCATENATE("#Metadata!", ADDRESS(INDEX($M$2:$M$1001,MATCH(ROWS($K$2:K407),$K$2:$K$1001,0),0), INDEX($R$1004:$W$1004,1,MATCH(COLUMNS($R$1006:T1006),$R$1006:$W$1006,0)))),"Fix")))</f>
        <v>0</v>
      </c>
      <c r="E407" s="3">
        <f>IF(OR(INDEX($L$2:$L$1001,MATCH(ROWS($K$2:K407),$K$2:$K$1001,0),1)&gt;=100000,INDEX($R$1005:$W$1005,1,MATCH(COLUMNS($R$1006:U1006),$R$1006:$W$1006,0))&gt;=100000), " ",IF(INDEX($R$2:$W$1001,MATCH(ROWS($K$2:K407),$K$2:$K$1001,0),MATCH(COLUMNS($R$1006:U1006),$R$1006:$W$1006,0)), HYPERLINK("#",""), HYPERLINK(CONCATENATE("#Metadata!", ADDRESS(INDEX($M$2:$M$1001,MATCH(ROWS($K$2:K407),$K$2:$K$1001,0),0), INDEX($R$1004:$W$1004,1,MATCH(COLUMNS($R$1006:U1006),$R$1006:$W$1006,0)))),"Fix")))</f>
        <v>0</v>
      </c>
      <c r="F407" s="3">
        <f>IF(OR(INDEX($L$2:$L$1001,MATCH(ROWS($K$2:K407),$K$2:$K$1001,0),1)&gt;=100000,INDEX($R$1005:$W$1005,1,MATCH(COLUMNS($R$1006:V1006),$R$1006:$W$1006,0))&gt;=100000), " ",IF(INDEX($R$2:$W$1001,MATCH(ROWS($K$2:K407),$K$2:$K$1001,0),MATCH(COLUMNS($R$1006:V1006),$R$1006:$W$1006,0)), HYPERLINK("#",""), HYPERLINK(CONCATENATE("#Metadata!", ADDRESS(INDEX($M$2:$M$1001,MATCH(ROWS($K$2:K407),$K$2:$K$1001,0),0), INDEX($R$1004:$W$1004,1,MATCH(COLUMNS($R$1006:V1006),$R$1006:$W$1006,0)))),"Fix")))</f>
        <v>0</v>
      </c>
      <c r="G407" s="3">
        <f>IF(OR(INDEX($L$2:$L$1001,MATCH(ROWS($K$2:K407),$K$2:$K$1001,0),1)&gt;=100000,INDEX($R$1005:$W$1005,1,MATCH(COLUMNS($R$1006:W1006),$R$1006:$W$1006,0))&gt;=100000), " ",IF(INDEX($R$2:$W$1001,MATCH(ROWS($K$2:K407),$K$2:$K$1001,0),MATCH(COLUMNS($R$1006:W1006),$R$1006:$W$1006,0)), HYPERLINK("#",""), HYPERLINK(CONCATENATE("#Metadata!", ADDRESS(INDEX($M$2:$M$1001,MATCH(ROWS($K$2:K407),$K$2:$K$1001,0),0), INDEX($R$1004:$W$1004,1,MATCH(COLUMNS($R$1006:W1006),$R$1006:$W$1006,0)))),"Fix")))</f>
        <v>0</v>
      </c>
      <c r="K407">
        <v>0</v>
      </c>
      <c r="L407">
        <v>0</v>
      </c>
      <c r="M407">
        <v>0</v>
      </c>
      <c r="N407">
        <f>IF(O407,TRUE,AND(R407:W407))</f>
        <v>0</v>
      </c>
      <c r="O407">
        <f>COUNTBLANK(Metadata!B407:G407)=COLUMNS(Metadata!B407:G407)</f>
        <v>0</v>
      </c>
      <c r="P407">
        <v>0</v>
      </c>
      <c r="R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S407">
        <f>IF(Metadata!C407="",FALSE,TRUE)</f>
        <v>0</v>
      </c>
      <c r="T407">
        <f>IF(Metadata!D407="",FALSE,TRUE)</f>
        <v>0</v>
      </c>
      <c r="U407">
        <f>IF(Metadata!E407="",FALSE,TRUE)</f>
        <v>0</v>
      </c>
      <c r="V407">
        <f>AND(IF(Metadata!F407="",FALSE,TRUE),exact(Metadata!F407,"rat gut metagenome"))</f>
        <v>0</v>
      </c>
      <c r="W407">
        <f>AND(IF(Metadata!G407="",FALSE,TRUE),exact(Metadata!G407,"1436733"))</f>
        <v>0</v>
      </c>
    </row>
    <row r="408" spans="1:23">
      <c r="A408" s="4">
        <f>IF(B408=" "," ",HYPERLINK(CONCATENATE("#metadata!",ADDRESS(INDEX($M$2:$M$1001,MATCH(ROWS($K$2:K408),$K$2:$K$1001,0),0),1)),INDEX($P$2:$P$1001,MATCH(ROWS($K$2:K408),$K$2:$K$1001,0),0)))</f>
        <v>0</v>
      </c>
      <c r="B408" s="3">
        <f>IF(OR(INDEX($L$2:$L$1001,MATCH(ROWS($K$2:K408),$K$2:$K$1001,0),1)&gt;=100000,INDEX($R$1005:$W$1005,1,MATCH(COLUMNS($R$1006:R1006),$R$1006:$W$1006,0))&gt;=100000), " ",IF(INDEX($R$2:$W$1001,MATCH(ROWS($K$2:K408),$K$2:$K$1001,0),MATCH(COLUMNS($R$1006:R1006),$R$1006:$W$1006,0)), HYPERLINK("#",""), HYPERLINK(CONCATENATE("#Metadata!", ADDRESS(INDEX($M$2:$M$1001,MATCH(ROWS($K$2:K408),$K$2:$K$1001,0),0), INDEX($R$1004:$W$1004,1,MATCH(COLUMNS($R$1006:R1006),$R$1006:$W$1006,0)))),"Fix")))</f>
        <v>0</v>
      </c>
      <c r="C408" s="3">
        <f>IF(OR(INDEX($L$2:$L$1001,MATCH(ROWS($K$2:K408),$K$2:$K$1001,0),1)&gt;=100000,INDEX($R$1005:$W$1005,1,MATCH(COLUMNS($R$1006:S1006),$R$1006:$W$1006,0))&gt;=100000), " ",IF(INDEX($R$2:$W$1001,MATCH(ROWS($K$2:K408),$K$2:$K$1001,0),MATCH(COLUMNS($R$1006:S1006),$R$1006:$W$1006,0)), HYPERLINK("#",""), HYPERLINK(CONCATENATE("#Metadata!", ADDRESS(INDEX($M$2:$M$1001,MATCH(ROWS($K$2:K408),$K$2:$K$1001,0),0), INDEX($R$1004:$W$1004,1,MATCH(COLUMNS($R$1006:S1006),$R$1006:$W$1006,0)))),"Fix")))</f>
        <v>0</v>
      </c>
      <c r="D408" s="3">
        <f>IF(OR(INDEX($L$2:$L$1001,MATCH(ROWS($K$2:K408),$K$2:$K$1001,0),1)&gt;=100000,INDEX($R$1005:$W$1005,1,MATCH(COLUMNS($R$1006:T1006),$R$1006:$W$1006,0))&gt;=100000), " ",IF(INDEX($R$2:$W$1001,MATCH(ROWS($K$2:K408),$K$2:$K$1001,0),MATCH(COLUMNS($R$1006:T1006),$R$1006:$W$1006,0)), HYPERLINK("#",""), HYPERLINK(CONCATENATE("#Metadata!", ADDRESS(INDEX($M$2:$M$1001,MATCH(ROWS($K$2:K408),$K$2:$K$1001,0),0), INDEX($R$1004:$W$1004,1,MATCH(COLUMNS($R$1006:T1006),$R$1006:$W$1006,0)))),"Fix")))</f>
        <v>0</v>
      </c>
      <c r="E408" s="3">
        <f>IF(OR(INDEX($L$2:$L$1001,MATCH(ROWS($K$2:K408),$K$2:$K$1001,0),1)&gt;=100000,INDEX($R$1005:$W$1005,1,MATCH(COLUMNS($R$1006:U1006),$R$1006:$W$1006,0))&gt;=100000), " ",IF(INDEX($R$2:$W$1001,MATCH(ROWS($K$2:K408),$K$2:$K$1001,0),MATCH(COLUMNS($R$1006:U1006),$R$1006:$W$1006,0)), HYPERLINK("#",""), HYPERLINK(CONCATENATE("#Metadata!", ADDRESS(INDEX($M$2:$M$1001,MATCH(ROWS($K$2:K408),$K$2:$K$1001,0),0), INDEX($R$1004:$W$1004,1,MATCH(COLUMNS($R$1006:U1006),$R$1006:$W$1006,0)))),"Fix")))</f>
        <v>0</v>
      </c>
      <c r="F408" s="3">
        <f>IF(OR(INDEX($L$2:$L$1001,MATCH(ROWS($K$2:K408),$K$2:$K$1001,0),1)&gt;=100000,INDEX($R$1005:$W$1005,1,MATCH(COLUMNS($R$1006:V1006),$R$1006:$W$1006,0))&gt;=100000), " ",IF(INDEX($R$2:$W$1001,MATCH(ROWS($K$2:K408),$K$2:$K$1001,0),MATCH(COLUMNS($R$1006:V1006),$R$1006:$W$1006,0)), HYPERLINK("#",""), HYPERLINK(CONCATENATE("#Metadata!", ADDRESS(INDEX($M$2:$M$1001,MATCH(ROWS($K$2:K408),$K$2:$K$1001,0),0), INDEX($R$1004:$W$1004,1,MATCH(COLUMNS($R$1006:V1006),$R$1006:$W$1006,0)))),"Fix")))</f>
        <v>0</v>
      </c>
      <c r="G408" s="3">
        <f>IF(OR(INDEX($L$2:$L$1001,MATCH(ROWS($K$2:K408),$K$2:$K$1001,0),1)&gt;=100000,INDEX($R$1005:$W$1005,1,MATCH(COLUMNS($R$1006:W1006),$R$1006:$W$1006,0))&gt;=100000), " ",IF(INDEX($R$2:$W$1001,MATCH(ROWS($K$2:K408),$K$2:$K$1001,0),MATCH(COLUMNS($R$1006:W1006),$R$1006:$W$1006,0)), HYPERLINK("#",""), HYPERLINK(CONCATENATE("#Metadata!", ADDRESS(INDEX($M$2:$M$1001,MATCH(ROWS($K$2:K408),$K$2:$K$1001,0),0), INDEX($R$1004:$W$1004,1,MATCH(COLUMNS($R$1006:W1006),$R$1006:$W$1006,0)))),"Fix")))</f>
        <v>0</v>
      </c>
      <c r="K408">
        <v>0</v>
      </c>
      <c r="L408">
        <v>0</v>
      </c>
      <c r="M408">
        <v>0</v>
      </c>
      <c r="N408">
        <f>IF(O408,TRUE,AND(R408:W408))</f>
        <v>0</v>
      </c>
      <c r="O408">
        <f>COUNTBLANK(Metadata!B408:G408)=COLUMNS(Metadata!B408:G408)</f>
        <v>0</v>
      </c>
      <c r="P408">
        <v>0</v>
      </c>
      <c r="R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S408">
        <f>IF(Metadata!C408="",FALSE,TRUE)</f>
        <v>0</v>
      </c>
      <c r="T408">
        <f>IF(Metadata!D408="",FALSE,TRUE)</f>
        <v>0</v>
      </c>
      <c r="U408">
        <f>IF(Metadata!E408="",FALSE,TRUE)</f>
        <v>0</v>
      </c>
      <c r="V408">
        <f>AND(IF(Metadata!F408="",FALSE,TRUE),exact(Metadata!F408,"rat gut metagenome"))</f>
        <v>0</v>
      </c>
      <c r="W408">
        <f>AND(IF(Metadata!G408="",FALSE,TRUE),exact(Metadata!G408,"1436733"))</f>
        <v>0</v>
      </c>
    </row>
    <row r="409" spans="1:23">
      <c r="A409" s="4">
        <f>IF(B409=" "," ",HYPERLINK(CONCATENATE("#metadata!",ADDRESS(INDEX($M$2:$M$1001,MATCH(ROWS($K$2:K409),$K$2:$K$1001,0),0),1)),INDEX($P$2:$P$1001,MATCH(ROWS($K$2:K409),$K$2:$K$1001,0),0)))</f>
        <v>0</v>
      </c>
      <c r="B409" s="3">
        <f>IF(OR(INDEX($L$2:$L$1001,MATCH(ROWS($K$2:K409),$K$2:$K$1001,0),1)&gt;=100000,INDEX($R$1005:$W$1005,1,MATCH(COLUMNS($R$1006:R1006),$R$1006:$W$1006,0))&gt;=100000), " ",IF(INDEX($R$2:$W$1001,MATCH(ROWS($K$2:K409),$K$2:$K$1001,0),MATCH(COLUMNS($R$1006:R1006),$R$1006:$W$1006,0)), HYPERLINK("#",""), HYPERLINK(CONCATENATE("#Metadata!", ADDRESS(INDEX($M$2:$M$1001,MATCH(ROWS($K$2:K409),$K$2:$K$1001,0),0), INDEX($R$1004:$W$1004,1,MATCH(COLUMNS($R$1006:R1006),$R$1006:$W$1006,0)))),"Fix")))</f>
        <v>0</v>
      </c>
      <c r="C409" s="3">
        <f>IF(OR(INDEX($L$2:$L$1001,MATCH(ROWS($K$2:K409),$K$2:$K$1001,0),1)&gt;=100000,INDEX($R$1005:$W$1005,1,MATCH(COLUMNS($R$1006:S1006),$R$1006:$W$1006,0))&gt;=100000), " ",IF(INDEX($R$2:$W$1001,MATCH(ROWS($K$2:K409),$K$2:$K$1001,0),MATCH(COLUMNS($R$1006:S1006),$R$1006:$W$1006,0)), HYPERLINK("#",""), HYPERLINK(CONCATENATE("#Metadata!", ADDRESS(INDEX($M$2:$M$1001,MATCH(ROWS($K$2:K409),$K$2:$K$1001,0),0), INDEX($R$1004:$W$1004,1,MATCH(COLUMNS($R$1006:S1006),$R$1006:$W$1006,0)))),"Fix")))</f>
        <v>0</v>
      </c>
      <c r="D409" s="3">
        <f>IF(OR(INDEX($L$2:$L$1001,MATCH(ROWS($K$2:K409),$K$2:$K$1001,0),1)&gt;=100000,INDEX($R$1005:$W$1005,1,MATCH(COLUMNS($R$1006:T1006),$R$1006:$W$1006,0))&gt;=100000), " ",IF(INDEX($R$2:$W$1001,MATCH(ROWS($K$2:K409),$K$2:$K$1001,0),MATCH(COLUMNS($R$1006:T1006),$R$1006:$W$1006,0)), HYPERLINK("#",""), HYPERLINK(CONCATENATE("#Metadata!", ADDRESS(INDEX($M$2:$M$1001,MATCH(ROWS($K$2:K409),$K$2:$K$1001,0),0), INDEX($R$1004:$W$1004,1,MATCH(COLUMNS($R$1006:T1006),$R$1006:$W$1006,0)))),"Fix")))</f>
        <v>0</v>
      </c>
      <c r="E409" s="3">
        <f>IF(OR(INDEX($L$2:$L$1001,MATCH(ROWS($K$2:K409),$K$2:$K$1001,0),1)&gt;=100000,INDEX($R$1005:$W$1005,1,MATCH(COLUMNS($R$1006:U1006),$R$1006:$W$1006,0))&gt;=100000), " ",IF(INDEX($R$2:$W$1001,MATCH(ROWS($K$2:K409),$K$2:$K$1001,0),MATCH(COLUMNS($R$1006:U1006),$R$1006:$W$1006,0)), HYPERLINK("#",""), HYPERLINK(CONCATENATE("#Metadata!", ADDRESS(INDEX($M$2:$M$1001,MATCH(ROWS($K$2:K409),$K$2:$K$1001,0),0), INDEX($R$1004:$W$1004,1,MATCH(COLUMNS($R$1006:U1006),$R$1006:$W$1006,0)))),"Fix")))</f>
        <v>0</v>
      </c>
      <c r="F409" s="3">
        <f>IF(OR(INDEX($L$2:$L$1001,MATCH(ROWS($K$2:K409),$K$2:$K$1001,0),1)&gt;=100000,INDEX($R$1005:$W$1005,1,MATCH(COLUMNS($R$1006:V1006),$R$1006:$W$1006,0))&gt;=100000), " ",IF(INDEX($R$2:$W$1001,MATCH(ROWS($K$2:K409),$K$2:$K$1001,0),MATCH(COLUMNS($R$1006:V1006),$R$1006:$W$1006,0)), HYPERLINK("#",""), HYPERLINK(CONCATENATE("#Metadata!", ADDRESS(INDEX($M$2:$M$1001,MATCH(ROWS($K$2:K409),$K$2:$K$1001,0),0), INDEX($R$1004:$W$1004,1,MATCH(COLUMNS($R$1006:V1006),$R$1006:$W$1006,0)))),"Fix")))</f>
        <v>0</v>
      </c>
      <c r="G409" s="3">
        <f>IF(OR(INDEX($L$2:$L$1001,MATCH(ROWS($K$2:K409),$K$2:$K$1001,0),1)&gt;=100000,INDEX($R$1005:$W$1005,1,MATCH(COLUMNS($R$1006:W1006),$R$1006:$W$1006,0))&gt;=100000), " ",IF(INDEX($R$2:$W$1001,MATCH(ROWS($K$2:K409),$K$2:$K$1001,0),MATCH(COLUMNS($R$1006:W1006),$R$1006:$W$1006,0)), HYPERLINK("#",""), HYPERLINK(CONCATENATE("#Metadata!", ADDRESS(INDEX($M$2:$M$1001,MATCH(ROWS($K$2:K409),$K$2:$K$1001,0),0), INDEX($R$1004:$W$1004,1,MATCH(COLUMNS($R$1006:W1006),$R$1006:$W$1006,0)))),"Fix")))</f>
        <v>0</v>
      </c>
      <c r="K409">
        <v>0</v>
      </c>
      <c r="L409">
        <v>0</v>
      </c>
      <c r="M409">
        <v>0</v>
      </c>
      <c r="N409">
        <f>IF(O409,TRUE,AND(R409:W409))</f>
        <v>0</v>
      </c>
      <c r="O409">
        <f>COUNTBLANK(Metadata!B409:G409)=COLUMNS(Metadata!B409:G409)</f>
        <v>0</v>
      </c>
      <c r="P409">
        <v>0</v>
      </c>
      <c r="R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S409">
        <f>IF(Metadata!C409="",FALSE,TRUE)</f>
        <v>0</v>
      </c>
      <c r="T409">
        <f>IF(Metadata!D409="",FALSE,TRUE)</f>
        <v>0</v>
      </c>
      <c r="U409">
        <f>IF(Metadata!E409="",FALSE,TRUE)</f>
        <v>0</v>
      </c>
      <c r="V409">
        <f>AND(IF(Metadata!F409="",FALSE,TRUE),exact(Metadata!F409,"rat gut metagenome"))</f>
        <v>0</v>
      </c>
      <c r="W409">
        <f>AND(IF(Metadata!G409="",FALSE,TRUE),exact(Metadata!G409,"1436733"))</f>
        <v>0</v>
      </c>
    </row>
    <row r="410" spans="1:23">
      <c r="A410" s="4">
        <f>IF(B410=" "," ",HYPERLINK(CONCATENATE("#metadata!",ADDRESS(INDEX($M$2:$M$1001,MATCH(ROWS($K$2:K410),$K$2:$K$1001,0),0),1)),INDEX($P$2:$P$1001,MATCH(ROWS($K$2:K410),$K$2:$K$1001,0),0)))</f>
        <v>0</v>
      </c>
      <c r="B410" s="3">
        <f>IF(OR(INDEX($L$2:$L$1001,MATCH(ROWS($K$2:K410),$K$2:$K$1001,0),1)&gt;=100000,INDEX($R$1005:$W$1005,1,MATCH(COLUMNS($R$1006:R1006),$R$1006:$W$1006,0))&gt;=100000), " ",IF(INDEX($R$2:$W$1001,MATCH(ROWS($K$2:K410),$K$2:$K$1001,0),MATCH(COLUMNS($R$1006:R1006),$R$1006:$W$1006,0)), HYPERLINK("#",""), HYPERLINK(CONCATENATE("#Metadata!", ADDRESS(INDEX($M$2:$M$1001,MATCH(ROWS($K$2:K410),$K$2:$K$1001,0),0), INDEX($R$1004:$W$1004,1,MATCH(COLUMNS($R$1006:R1006),$R$1006:$W$1006,0)))),"Fix")))</f>
        <v>0</v>
      </c>
      <c r="C410" s="3">
        <f>IF(OR(INDEX($L$2:$L$1001,MATCH(ROWS($K$2:K410),$K$2:$K$1001,0),1)&gt;=100000,INDEX($R$1005:$W$1005,1,MATCH(COLUMNS($R$1006:S1006),$R$1006:$W$1006,0))&gt;=100000), " ",IF(INDEX($R$2:$W$1001,MATCH(ROWS($K$2:K410),$K$2:$K$1001,0),MATCH(COLUMNS($R$1006:S1006),$R$1006:$W$1006,0)), HYPERLINK("#",""), HYPERLINK(CONCATENATE("#Metadata!", ADDRESS(INDEX($M$2:$M$1001,MATCH(ROWS($K$2:K410),$K$2:$K$1001,0),0), INDEX($R$1004:$W$1004,1,MATCH(COLUMNS($R$1006:S1006),$R$1006:$W$1006,0)))),"Fix")))</f>
        <v>0</v>
      </c>
      <c r="D410" s="3">
        <f>IF(OR(INDEX($L$2:$L$1001,MATCH(ROWS($K$2:K410),$K$2:$K$1001,0),1)&gt;=100000,INDEX($R$1005:$W$1005,1,MATCH(COLUMNS($R$1006:T1006),$R$1006:$W$1006,0))&gt;=100000), " ",IF(INDEX($R$2:$W$1001,MATCH(ROWS($K$2:K410),$K$2:$K$1001,0),MATCH(COLUMNS($R$1006:T1006),$R$1006:$W$1006,0)), HYPERLINK("#",""), HYPERLINK(CONCATENATE("#Metadata!", ADDRESS(INDEX($M$2:$M$1001,MATCH(ROWS($K$2:K410),$K$2:$K$1001,0),0), INDEX($R$1004:$W$1004,1,MATCH(COLUMNS($R$1006:T1006),$R$1006:$W$1006,0)))),"Fix")))</f>
        <v>0</v>
      </c>
      <c r="E410" s="3">
        <f>IF(OR(INDEX($L$2:$L$1001,MATCH(ROWS($K$2:K410),$K$2:$K$1001,0),1)&gt;=100000,INDEX($R$1005:$W$1005,1,MATCH(COLUMNS($R$1006:U1006),$R$1006:$W$1006,0))&gt;=100000), " ",IF(INDEX($R$2:$W$1001,MATCH(ROWS($K$2:K410),$K$2:$K$1001,0),MATCH(COLUMNS($R$1006:U1006),$R$1006:$W$1006,0)), HYPERLINK("#",""), HYPERLINK(CONCATENATE("#Metadata!", ADDRESS(INDEX($M$2:$M$1001,MATCH(ROWS($K$2:K410),$K$2:$K$1001,0),0), INDEX($R$1004:$W$1004,1,MATCH(COLUMNS($R$1006:U1006),$R$1006:$W$1006,0)))),"Fix")))</f>
        <v>0</v>
      </c>
      <c r="F410" s="3">
        <f>IF(OR(INDEX($L$2:$L$1001,MATCH(ROWS($K$2:K410),$K$2:$K$1001,0),1)&gt;=100000,INDEX($R$1005:$W$1005,1,MATCH(COLUMNS($R$1006:V1006),$R$1006:$W$1006,0))&gt;=100000), " ",IF(INDEX($R$2:$W$1001,MATCH(ROWS($K$2:K410),$K$2:$K$1001,0),MATCH(COLUMNS($R$1006:V1006),$R$1006:$W$1006,0)), HYPERLINK("#",""), HYPERLINK(CONCATENATE("#Metadata!", ADDRESS(INDEX($M$2:$M$1001,MATCH(ROWS($K$2:K410),$K$2:$K$1001,0),0), INDEX($R$1004:$W$1004,1,MATCH(COLUMNS($R$1006:V1006),$R$1006:$W$1006,0)))),"Fix")))</f>
        <v>0</v>
      </c>
      <c r="G410" s="3">
        <f>IF(OR(INDEX($L$2:$L$1001,MATCH(ROWS($K$2:K410),$K$2:$K$1001,0),1)&gt;=100000,INDEX($R$1005:$W$1005,1,MATCH(COLUMNS($R$1006:W1006),$R$1006:$W$1006,0))&gt;=100000), " ",IF(INDEX($R$2:$W$1001,MATCH(ROWS($K$2:K410),$K$2:$K$1001,0),MATCH(COLUMNS($R$1006:W1006),$R$1006:$W$1006,0)), HYPERLINK("#",""), HYPERLINK(CONCATENATE("#Metadata!", ADDRESS(INDEX($M$2:$M$1001,MATCH(ROWS($K$2:K410),$K$2:$K$1001,0),0), INDEX($R$1004:$W$1004,1,MATCH(COLUMNS($R$1006:W1006),$R$1006:$W$1006,0)))),"Fix")))</f>
        <v>0</v>
      </c>
      <c r="K410">
        <v>0</v>
      </c>
      <c r="L410">
        <v>0</v>
      </c>
      <c r="M410">
        <v>0</v>
      </c>
      <c r="N410">
        <f>IF(O410,TRUE,AND(R410:W410))</f>
        <v>0</v>
      </c>
      <c r="O410">
        <f>COUNTBLANK(Metadata!B410:G410)=COLUMNS(Metadata!B410:G410)</f>
        <v>0</v>
      </c>
      <c r="P410">
        <v>0</v>
      </c>
      <c r="R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S410">
        <f>IF(Metadata!C410="",FALSE,TRUE)</f>
        <v>0</v>
      </c>
      <c r="T410">
        <f>IF(Metadata!D410="",FALSE,TRUE)</f>
        <v>0</v>
      </c>
      <c r="U410">
        <f>IF(Metadata!E410="",FALSE,TRUE)</f>
        <v>0</v>
      </c>
      <c r="V410">
        <f>AND(IF(Metadata!F410="",FALSE,TRUE),exact(Metadata!F410,"rat gut metagenome"))</f>
        <v>0</v>
      </c>
      <c r="W410">
        <f>AND(IF(Metadata!G410="",FALSE,TRUE),exact(Metadata!G410,"1436733"))</f>
        <v>0</v>
      </c>
    </row>
    <row r="411" spans="1:23">
      <c r="A411" s="4">
        <f>IF(B411=" "," ",HYPERLINK(CONCATENATE("#metadata!",ADDRESS(INDEX($M$2:$M$1001,MATCH(ROWS($K$2:K411),$K$2:$K$1001,0),0),1)),INDEX($P$2:$P$1001,MATCH(ROWS($K$2:K411),$K$2:$K$1001,0),0)))</f>
        <v>0</v>
      </c>
      <c r="B411" s="3">
        <f>IF(OR(INDEX($L$2:$L$1001,MATCH(ROWS($K$2:K411),$K$2:$K$1001,0),1)&gt;=100000,INDEX($R$1005:$W$1005,1,MATCH(COLUMNS($R$1006:R1006),$R$1006:$W$1006,0))&gt;=100000), " ",IF(INDEX($R$2:$W$1001,MATCH(ROWS($K$2:K411),$K$2:$K$1001,0),MATCH(COLUMNS($R$1006:R1006),$R$1006:$W$1006,0)), HYPERLINK("#",""), HYPERLINK(CONCATENATE("#Metadata!", ADDRESS(INDEX($M$2:$M$1001,MATCH(ROWS($K$2:K411),$K$2:$K$1001,0),0), INDEX($R$1004:$W$1004,1,MATCH(COLUMNS($R$1006:R1006),$R$1006:$W$1006,0)))),"Fix")))</f>
        <v>0</v>
      </c>
      <c r="C411" s="3">
        <f>IF(OR(INDEX($L$2:$L$1001,MATCH(ROWS($K$2:K411),$K$2:$K$1001,0),1)&gt;=100000,INDEX($R$1005:$W$1005,1,MATCH(COLUMNS($R$1006:S1006),$R$1006:$W$1006,0))&gt;=100000), " ",IF(INDEX($R$2:$W$1001,MATCH(ROWS($K$2:K411),$K$2:$K$1001,0),MATCH(COLUMNS($R$1006:S1006),$R$1006:$W$1006,0)), HYPERLINK("#",""), HYPERLINK(CONCATENATE("#Metadata!", ADDRESS(INDEX($M$2:$M$1001,MATCH(ROWS($K$2:K411),$K$2:$K$1001,0),0), INDEX($R$1004:$W$1004,1,MATCH(COLUMNS($R$1006:S1006),$R$1006:$W$1006,0)))),"Fix")))</f>
        <v>0</v>
      </c>
      <c r="D411" s="3">
        <f>IF(OR(INDEX($L$2:$L$1001,MATCH(ROWS($K$2:K411),$K$2:$K$1001,0),1)&gt;=100000,INDEX($R$1005:$W$1005,1,MATCH(COLUMNS($R$1006:T1006),$R$1006:$W$1006,0))&gt;=100000), " ",IF(INDEX($R$2:$W$1001,MATCH(ROWS($K$2:K411),$K$2:$K$1001,0),MATCH(COLUMNS($R$1006:T1006),$R$1006:$W$1006,0)), HYPERLINK("#",""), HYPERLINK(CONCATENATE("#Metadata!", ADDRESS(INDEX($M$2:$M$1001,MATCH(ROWS($K$2:K411),$K$2:$K$1001,0),0), INDEX($R$1004:$W$1004,1,MATCH(COLUMNS($R$1006:T1006),$R$1006:$W$1006,0)))),"Fix")))</f>
        <v>0</v>
      </c>
      <c r="E411" s="3">
        <f>IF(OR(INDEX($L$2:$L$1001,MATCH(ROWS($K$2:K411),$K$2:$K$1001,0),1)&gt;=100000,INDEX($R$1005:$W$1005,1,MATCH(COLUMNS($R$1006:U1006),$R$1006:$W$1006,0))&gt;=100000), " ",IF(INDEX($R$2:$W$1001,MATCH(ROWS($K$2:K411),$K$2:$K$1001,0),MATCH(COLUMNS($R$1006:U1006),$R$1006:$W$1006,0)), HYPERLINK("#",""), HYPERLINK(CONCATENATE("#Metadata!", ADDRESS(INDEX($M$2:$M$1001,MATCH(ROWS($K$2:K411),$K$2:$K$1001,0),0), INDEX($R$1004:$W$1004,1,MATCH(COLUMNS($R$1006:U1006),$R$1006:$W$1006,0)))),"Fix")))</f>
        <v>0</v>
      </c>
      <c r="F411" s="3">
        <f>IF(OR(INDEX($L$2:$L$1001,MATCH(ROWS($K$2:K411),$K$2:$K$1001,0),1)&gt;=100000,INDEX($R$1005:$W$1005,1,MATCH(COLUMNS($R$1006:V1006),$R$1006:$W$1006,0))&gt;=100000), " ",IF(INDEX($R$2:$W$1001,MATCH(ROWS($K$2:K411),$K$2:$K$1001,0),MATCH(COLUMNS($R$1006:V1006),$R$1006:$W$1006,0)), HYPERLINK("#",""), HYPERLINK(CONCATENATE("#Metadata!", ADDRESS(INDEX($M$2:$M$1001,MATCH(ROWS($K$2:K411),$K$2:$K$1001,0),0), INDEX($R$1004:$W$1004,1,MATCH(COLUMNS($R$1006:V1006),$R$1006:$W$1006,0)))),"Fix")))</f>
        <v>0</v>
      </c>
      <c r="G411" s="3">
        <f>IF(OR(INDEX($L$2:$L$1001,MATCH(ROWS($K$2:K411),$K$2:$K$1001,0),1)&gt;=100000,INDEX($R$1005:$W$1005,1,MATCH(COLUMNS($R$1006:W1006),$R$1006:$W$1006,0))&gt;=100000), " ",IF(INDEX($R$2:$W$1001,MATCH(ROWS($K$2:K411),$K$2:$K$1001,0),MATCH(COLUMNS($R$1006:W1006),$R$1006:$W$1006,0)), HYPERLINK("#",""), HYPERLINK(CONCATENATE("#Metadata!", ADDRESS(INDEX($M$2:$M$1001,MATCH(ROWS($K$2:K411),$K$2:$K$1001,0),0), INDEX($R$1004:$W$1004,1,MATCH(COLUMNS($R$1006:W1006),$R$1006:$W$1006,0)))),"Fix")))</f>
        <v>0</v>
      </c>
      <c r="K411">
        <v>0</v>
      </c>
      <c r="L411">
        <v>0</v>
      </c>
      <c r="M411">
        <v>0</v>
      </c>
      <c r="N411">
        <f>IF(O411,TRUE,AND(R411:W411))</f>
        <v>0</v>
      </c>
      <c r="O411">
        <f>COUNTBLANK(Metadata!B411:G411)=COLUMNS(Metadata!B411:G411)</f>
        <v>0</v>
      </c>
      <c r="P411">
        <v>0</v>
      </c>
      <c r="R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S411">
        <f>IF(Metadata!C411="",FALSE,TRUE)</f>
        <v>0</v>
      </c>
      <c r="T411">
        <f>IF(Metadata!D411="",FALSE,TRUE)</f>
        <v>0</v>
      </c>
      <c r="U411">
        <f>IF(Metadata!E411="",FALSE,TRUE)</f>
        <v>0</v>
      </c>
      <c r="V411">
        <f>AND(IF(Metadata!F411="",FALSE,TRUE),exact(Metadata!F411,"rat gut metagenome"))</f>
        <v>0</v>
      </c>
      <c r="W411">
        <f>AND(IF(Metadata!G411="",FALSE,TRUE),exact(Metadata!G411,"1436733"))</f>
        <v>0</v>
      </c>
    </row>
    <row r="412" spans="1:23">
      <c r="A412" s="4">
        <f>IF(B412=" "," ",HYPERLINK(CONCATENATE("#metadata!",ADDRESS(INDEX($M$2:$M$1001,MATCH(ROWS($K$2:K412),$K$2:$K$1001,0),0),1)),INDEX($P$2:$P$1001,MATCH(ROWS($K$2:K412),$K$2:$K$1001,0),0)))</f>
        <v>0</v>
      </c>
      <c r="B412" s="3">
        <f>IF(OR(INDEX($L$2:$L$1001,MATCH(ROWS($K$2:K412),$K$2:$K$1001,0),1)&gt;=100000,INDEX($R$1005:$W$1005,1,MATCH(COLUMNS($R$1006:R1006),$R$1006:$W$1006,0))&gt;=100000), " ",IF(INDEX($R$2:$W$1001,MATCH(ROWS($K$2:K412),$K$2:$K$1001,0),MATCH(COLUMNS($R$1006:R1006),$R$1006:$W$1006,0)), HYPERLINK("#",""), HYPERLINK(CONCATENATE("#Metadata!", ADDRESS(INDEX($M$2:$M$1001,MATCH(ROWS($K$2:K412),$K$2:$K$1001,0),0), INDEX($R$1004:$W$1004,1,MATCH(COLUMNS($R$1006:R1006),$R$1006:$W$1006,0)))),"Fix")))</f>
        <v>0</v>
      </c>
      <c r="C412" s="3">
        <f>IF(OR(INDEX($L$2:$L$1001,MATCH(ROWS($K$2:K412),$K$2:$K$1001,0),1)&gt;=100000,INDEX($R$1005:$W$1005,1,MATCH(COLUMNS($R$1006:S1006),$R$1006:$W$1006,0))&gt;=100000), " ",IF(INDEX($R$2:$W$1001,MATCH(ROWS($K$2:K412),$K$2:$K$1001,0),MATCH(COLUMNS($R$1006:S1006),$R$1006:$W$1006,0)), HYPERLINK("#",""), HYPERLINK(CONCATENATE("#Metadata!", ADDRESS(INDEX($M$2:$M$1001,MATCH(ROWS($K$2:K412),$K$2:$K$1001,0),0), INDEX($R$1004:$W$1004,1,MATCH(COLUMNS($R$1006:S1006),$R$1006:$W$1006,0)))),"Fix")))</f>
        <v>0</v>
      </c>
      <c r="D412" s="3">
        <f>IF(OR(INDEX($L$2:$L$1001,MATCH(ROWS($K$2:K412),$K$2:$K$1001,0),1)&gt;=100000,INDEX($R$1005:$W$1005,1,MATCH(COLUMNS($R$1006:T1006),$R$1006:$W$1006,0))&gt;=100000), " ",IF(INDEX($R$2:$W$1001,MATCH(ROWS($K$2:K412),$K$2:$K$1001,0),MATCH(COLUMNS($R$1006:T1006),$R$1006:$W$1006,0)), HYPERLINK("#",""), HYPERLINK(CONCATENATE("#Metadata!", ADDRESS(INDEX($M$2:$M$1001,MATCH(ROWS($K$2:K412),$K$2:$K$1001,0),0), INDEX($R$1004:$W$1004,1,MATCH(COLUMNS($R$1006:T1006),$R$1006:$W$1006,0)))),"Fix")))</f>
        <v>0</v>
      </c>
      <c r="E412" s="3">
        <f>IF(OR(INDEX($L$2:$L$1001,MATCH(ROWS($K$2:K412),$K$2:$K$1001,0),1)&gt;=100000,INDEX($R$1005:$W$1005,1,MATCH(COLUMNS($R$1006:U1006),$R$1006:$W$1006,0))&gt;=100000), " ",IF(INDEX($R$2:$W$1001,MATCH(ROWS($K$2:K412),$K$2:$K$1001,0),MATCH(COLUMNS($R$1006:U1006),$R$1006:$W$1006,0)), HYPERLINK("#",""), HYPERLINK(CONCATENATE("#Metadata!", ADDRESS(INDEX($M$2:$M$1001,MATCH(ROWS($K$2:K412),$K$2:$K$1001,0),0), INDEX($R$1004:$W$1004,1,MATCH(COLUMNS($R$1006:U1006),$R$1006:$W$1006,0)))),"Fix")))</f>
        <v>0</v>
      </c>
      <c r="F412" s="3">
        <f>IF(OR(INDEX($L$2:$L$1001,MATCH(ROWS($K$2:K412),$K$2:$K$1001,0),1)&gt;=100000,INDEX($R$1005:$W$1005,1,MATCH(COLUMNS($R$1006:V1006),$R$1006:$W$1006,0))&gt;=100000), " ",IF(INDEX($R$2:$W$1001,MATCH(ROWS($K$2:K412),$K$2:$K$1001,0),MATCH(COLUMNS($R$1006:V1006),$R$1006:$W$1006,0)), HYPERLINK("#",""), HYPERLINK(CONCATENATE("#Metadata!", ADDRESS(INDEX($M$2:$M$1001,MATCH(ROWS($K$2:K412),$K$2:$K$1001,0),0), INDEX($R$1004:$W$1004,1,MATCH(COLUMNS($R$1006:V1006),$R$1006:$W$1006,0)))),"Fix")))</f>
        <v>0</v>
      </c>
      <c r="G412" s="3">
        <f>IF(OR(INDEX($L$2:$L$1001,MATCH(ROWS($K$2:K412),$K$2:$K$1001,0),1)&gt;=100000,INDEX($R$1005:$W$1005,1,MATCH(COLUMNS($R$1006:W1006),$R$1006:$W$1006,0))&gt;=100000), " ",IF(INDEX($R$2:$W$1001,MATCH(ROWS($K$2:K412),$K$2:$K$1001,0),MATCH(COLUMNS($R$1006:W1006),$R$1006:$W$1006,0)), HYPERLINK("#",""), HYPERLINK(CONCATENATE("#Metadata!", ADDRESS(INDEX($M$2:$M$1001,MATCH(ROWS($K$2:K412),$K$2:$K$1001,0),0), INDEX($R$1004:$W$1004,1,MATCH(COLUMNS($R$1006:W1006),$R$1006:$W$1006,0)))),"Fix")))</f>
        <v>0</v>
      </c>
      <c r="K412">
        <v>0</v>
      </c>
      <c r="L412">
        <v>0</v>
      </c>
      <c r="M412">
        <v>0</v>
      </c>
      <c r="N412">
        <f>IF(O412,TRUE,AND(R412:W412))</f>
        <v>0</v>
      </c>
      <c r="O412">
        <f>COUNTBLANK(Metadata!B412:G412)=COLUMNS(Metadata!B412:G412)</f>
        <v>0</v>
      </c>
      <c r="P412">
        <v>0</v>
      </c>
      <c r="R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S412">
        <f>IF(Metadata!C412="",FALSE,TRUE)</f>
        <v>0</v>
      </c>
      <c r="T412">
        <f>IF(Metadata!D412="",FALSE,TRUE)</f>
        <v>0</v>
      </c>
      <c r="U412">
        <f>IF(Metadata!E412="",FALSE,TRUE)</f>
        <v>0</v>
      </c>
      <c r="V412">
        <f>AND(IF(Metadata!F412="",FALSE,TRUE),exact(Metadata!F412,"rat gut metagenome"))</f>
        <v>0</v>
      </c>
      <c r="W412">
        <f>AND(IF(Metadata!G412="",FALSE,TRUE),exact(Metadata!G412,"1436733"))</f>
        <v>0</v>
      </c>
    </row>
    <row r="413" spans="1:23">
      <c r="A413" s="4">
        <f>IF(B413=" "," ",HYPERLINK(CONCATENATE("#metadata!",ADDRESS(INDEX($M$2:$M$1001,MATCH(ROWS($K$2:K413),$K$2:$K$1001,0),0),1)),INDEX($P$2:$P$1001,MATCH(ROWS($K$2:K413),$K$2:$K$1001,0),0)))</f>
        <v>0</v>
      </c>
      <c r="B413" s="3">
        <f>IF(OR(INDEX($L$2:$L$1001,MATCH(ROWS($K$2:K413),$K$2:$K$1001,0),1)&gt;=100000,INDEX($R$1005:$W$1005,1,MATCH(COLUMNS($R$1006:R1006),$R$1006:$W$1006,0))&gt;=100000), " ",IF(INDEX($R$2:$W$1001,MATCH(ROWS($K$2:K413),$K$2:$K$1001,0),MATCH(COLUMNS($R$1006:R1006),$R$1006:$W$1006,0)), HYPERLINK("#",""), HYPERLINK(CONCATENATE("#Metadata!", ADDRESS(INDEX($M$2:$M$1001,MATCH(ROWS($K$2:K413),$K$2:$K$1001,0),0), INDEX($R$1004:$W$1004,1,MATCH(COLUMNS($R$1006:R1006),$R$1006:$W$1006,0)))),"Fix")))</f>
        <v>0</v>
      </c>
      <c r="C413" s="3">
        <f>IF(OR(INDEX($L$2:$L$1001,MATCH(ROWS($K$2:K413),$K$2:$K$1001,0),1)&gt;=100000,INDEX($R$1005:$W$1005,1,MATCH(COLUMNS($R$1006:S1006),$R$1006:$W$1006,0))&gt;=100000), " ",IF(INDEX($R$2:$W$1001,MATCH(ROWS($K$2:K413),$K$2:$K$1001,0),MATCH(COLUMNS($R$1006:S1006),$R$1006:$W$1006,0)), HYPERLINK("#",""), HYPERLINK(CONCATENATE("#Metadata!", ADDRESS(INDEX($M$2:$M$1001,MATCH(ROWS($K$2:K413),$K$2:$K$1001,0),0), INDEX($R$1004:$W$1004,1,MATCH(COLUMNS($R$1006:S1006),$R$1006:$W$1006,0)))),"Fix")))</f>
        <v>0</v>
      </c>
      <c r="D413" s="3">
        <f>IF(OR(INDEX($L$2:$L$1001,MATCH(ROWS($K$2:K413),$K$2:$K$1001,0),1)&gt;=100000,INDEX($R$1005:$W$1005,1,MATCH(COLUMNS($R$1006:T1006),$R$1006:$W$1006,0))&gt;=100000), " ",IF(INDEX($R$2:$W$1001,MATCH(ROWS($K$2:K413),$K$2:$K$1001,0),MATCH(COLUMNS($R$1006:T1006),$R$1006:$W$1006,0)), HYPERLINK("#",""), HYPERLINK(CONCATENATE("#Metadata!", ADDRESS(INDEX($M$2:$M$1001,MATCH(ROWS($K$2:K413),$K$2:$K$1001,0),0), INDEX($R$1004:$W$1004,1,MATCH(COLUMNS($R$1006:T1006),$R$1006:$W$1006,0)))),"Fix")))</f>
        <v>0</v>
      </c>
      <c r="E413" s="3">
        <f>IF(OR(INDEX($L$2:$L$1001,MATCH(ROWS($K$2:K413),$K$2:$K$1001,0),1)&gt;=100000,INDEX($R$1005:$W$1005,1,MATCH(COLUMNS($R$1006:U1006),$R$1006:$W$1006,0))&gt;=100000), " ",IF(INDEX($R$2:$W$1001,MATCH(ROWS($K$2:K413),$K$2:$K$1001,0),MATCH(COLUMNS($R$1006:U1006),$R$1006:$W$1006,0)), HYPERLINK("#",""), HYPERLINK(CONCATENATE("#Metadata!", ADDRESS(INDEX($M$2:$M$1001,MATCH(ROWS($K$2:K413),$K$2:$K$1001,0),0), INDEX($R$1004:$W$1004,1,MATCH(COLUMNS($R$1006:U1006),$R$1006:$W$1006,0)))),"Fix")))</f>
        <v>0</v>
      </c>
      <c r="F413" s="3">
        <f>IF(OR(INDEX($L$2:$L$1001,MATCH(ROWS($K$2:K413),$K$2:$K$1001,0),1)&gt;=100000,INDEX($R$1005:$W$1005,1,MATCH(COLUMNS($R$1006:V1006),$R$1006:$W$1006,0))&gt;=100000), " ",IF(INDEX($R$2:$W$1001,MATCH(ROWS($K$2:K413),$K$2:$K$1001,0),MATCH(COLUMNS($R$1006:V1006),$R$1006:$W$1006,0)), HYPERLINK("#",""), HYPERLINK(CONCATENATE("#Metadata!", ADDRESS(INDEX($M$2:$M$1001,MATCH(ROWS($K$2:K413),$K$2:$K$1001,0),0), INDEX($R$1004:$W$1004,1,MATCH(COLUMNS($R$1006:V1006),$R$1006:$W$1006,0)))),"Fix")))</f>
        <v>0</v>
      </c>
      <c r="G413" s="3">
        <f>IF(OR(INDEX($L$2:$L$1001,MATCH(ROWS($K$2:K413),$K$2:$K$1001,0),1)&gt;=100000,INDEX($R$1005:$W$1005,1,MATCH(COLUMNS($R$1006:W1006),$R$1006:$W$1006,0))&gt;=100000), " ",IF(INDEX($R$2:$W$1001,MATCH(ROWS($K$2:K413),$K$2:$K$1001,0),MATCH(COLUMNS($R$1006:W1006),$R$1006:$W$1006,0)), HYPERLINK("#",""), HYPERLINK(CONCATENATE("#Metadata!", ADDRESS(INDEX($M$2:$M$1001,MATCH(ROWS($K$2:K413),$K$2:$K$1001,0),0), INDEX($R$1004:$W$1004,1,MATCH(COLUMNS($R$1006:W1006),$R$1006:$W$1006,0)))),"Fix")))</f>
        <v>0</v>
      </c>
      <c r="K413">
        <v>0</v>
      </c>
      <c r="L413">
        <v>0</v>
      </c>
      <c r="M413">
        <v>0</v>
      </c>
      <c r="N413">
        <f>IF(O413,TRUE,AND(R413:W413))</f>
        <v>0</v>
      </c>
      <c r="O413">
        <f>COUNTBLANK(Metadata!B413:G413)=COLUMNS(Metadata!B413:G413)</f>
        <v>0</v>
      </c>
      <c r="P413">
        <v>0</v>
      </c>
      <c r="R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S413">
        <f>IF(Metadata!C413="",FALSE,TRUE)</f>
        <v>0</v>
      </c>
      <c r="T413">
        <f>IF(Metadata!D413="",FALSE,TRUE)</f>
        <v>0</v>
      </c>
      <c r="U413">
        <f>IF(Metadata!E413="",FALSE,TRUE)</f>
        <v>0</v>
      </c>
      <c r="V413">
        <f>AND(IF(Metadata!F413="",FALSE,TRUE),exact(Metadata!F413,"rat gut metagenome"))</f>
        <v>0</v>
      </c>
      <c r="W413">
        <f>AND(IF(Metadata!G413="",FALSE,TRUE),exact(Metadata!G413,"1436733"))</f>
        <v>0</v>
      </c>
    </row>
    <row r="414" spans="1:23">
      <c r="A414" s="4">
        <f>IF(B414=" "," ",HYPERLINK(CONCATENATE("#metadata!",ADDRESS(INDEX($M$2:$M$1001,MATCH(ROWS($K$2:K414),$K$2:$K$1001,0),0),1)),INDEX($P$2:$P$1001,MATCH(ROWS($K$2:K414),$K$2:$K$1001,0),0)))</f>
        <v>0</v>
      </c>
      <c r="B414" s="3">
        <f>IF(OR(INDEX($L$2:$L$1001,MATCH(ROWS($K$2:K414),$K$2:$K$1001,0),1)&gt;=100000,INDEX($R$1005:$W$1005,1,MATCH(COLUMNS($R$1006:R1006),$R$1006:$W$1006,0))&gt;=100000), " ",IF(INDEX($R$2:$W$1001,MATCH(ROWS($K$2:K414),$K$2:$K$1001,0),MATCH(COLUMNS($R$1006:R1006),$R$1006:$W$1006,0)), HYPERLINK("#",""), HYPERLINK(CONCATENATE("#Metadata!", ADDRESS(INDEX($M$2:$M$1001,MATCH(ROWS($K$2:K414),$K$2:$K$1001,0),0), INDEX($R$1004:$W$1004,1,MATCH(COLUMNS($R$1006:R1006),$R$1006:$W$1006,0)))),"Fix")))</f>
        <v>0</v>
      </c>
      <c r="C414" s="3">
        <f>IF(OR(INDEX($L$2:$L$1001,MATCH(ROWS($K$2:K414),$K$2:$K$1001,0),1)&gt;=100000,INDEX($R$1005:$W$1005,1,MATCH(COLUMNS($R$1006:S1006),$R$1006:$W$1006,0))&gt;=100000), " ",IF(INDEX($R$2:$W$1001,MATCH(ROWS($K$2:K414),$K$2:$K$1001,0),MATCH(COLUMNS($R$1006:S1006),$R$1006:$W$1006,0)), HYPERLINK("#",""), HYPERLINK(CONCATENATE("#Metadata!", ADDRESS(INDEX($M$2:$M$1001,MATCH(ROWS($K$2:K414),$K$2:$K$1001,0),0), INDEX($R$1004:$W$1004,1,MATCH(COLUMNS($R$1006:S1006),$R$1006:$W$1006,0)))),"Fix")))</f>
        <v>0</v>
      </c>
      <c r="D414" s="3">
        <f>IF(OR(INDEX($L$2:$L$1001,MATCH(ROWS($K$2:K414),$K$2:$K$1001,0),1)&gt;=100000,INDEX($R$1005:$W$1005,1,MATCH(COLUMNS($R$1006:T1006),$R$1006:$W$1006,0))&gt;=100000), " ",IF(INDEX($R$2:$W$1001,MATCH(ROWS($K$2:K414),$K$2:$K$1001,0),MATCH(COLUMNS($R$1006:T1006),$R$1006:$W$1006,0)), HYPERLINK("#",""), HYPERLINK(CONCATENATE("#Metadata!", ADDRESS(INDEX($M$2:$M$1001,MATCH(ROWS($K$2:K414),$K$2:$K$1001,0),0), INDEX($R$1004:$W$1004,1,MATCH(COLUMNS($R$1006:T1006),$R$1006:$W$1006,0)))),"Fix")))</f>
        <v>0</v>
      </c>
      <c r="E414" s="3">
        <f>IF(OR(INDEX($L$2:$L$1001,MATCH(ROWS($K$2:K414),$K$2:$K$1001,0),1)&gt;=100000,INDEX($R$1005:$W$1005,1,MATCH(COLUMNS($R$1006:U1006),$R$1006:$W$1006,0))&gt;=100000), " ",IF(INDEX($R$2:$W$1001,MATCH(ROWS($K$2:K414),$K$2:$K$1001,0),MATCH(COLUMNS($R$1006:U1006),$R$1006:$W$1006,0)), HYPERLINK("#",""), HYPERLINK(CONCATENATE("#Metadata!", ADDRESS(INDEX($M$2:$M$1001,MATCH(ROWS($K$2:K414),$K$2:$K$1001,0),0), INDEX($R$1004:$W$1004,1,MATCH(COLUMNS($R$1006:U1006),$R$1006:$W$1006,0)))),"Fix")))</f>
        <v>0</v>
      </c>
      <c r="F414" s="3">
        <f>IF(OR(INDEX($L$2:$L$1001,MATCH(ROWS($K$2:K414),$K$2:$K$1001,0),1)&gt;=100000,INDEX($R$1005:$W$1005,1,MATCH(COLUMNS($R$1006:V1006),$R$1006:$W$1006,0))&gt;=100000), " ",IF(INDEX($R$2:$W$1001,MATCH(ROWS($K$2:K414),$K$2:$K$1001,0),MATCH(COLUMNS($R$1006:V1006),$R$1006:$W$1006,0)), HYPERLINK("#",""), HYPERLINK(CONCATENATE("#Metadata!", ADDRESS(INDEX($M$2:$M$1001,MATCH(ROWS($K$2:K414),$K$2:$K$1001,0),0), INDEX($R$1004:$W$1004,1,MATCH(COLUMNS($R$1006:V1006),$R$1006:$W$1006,0)))),"Fix")))</f>
        <v>0</v>
      </c>
      <c r="G414" s="3">
        <f>IF(OR(INDEX($L$2:$L$1001,MATCH(ROWS($K$2:K414),$K$2:$K$1001,0),1)&gt;=100000,INDEX($R$1005:$W$1005,1,MATCH(COLUMNS($R$1006:W1006),$R$1006:$W$1006,0))&gt;=100000), " ",IF(INDEX($R$2:$W$1001,MATCH(ROWS($K$2:K414),$K$2:$K$1001,0),MATCH(COLUMNS($R$1006:W1006),$R$1006:$W$1006,0)), HYPERLINK("#",""), HYPERLINK(CONCATENATE("#Metadata!", ADDRESS(INDEX($M$2:$M$1001,MATCH(ROWS($K$2:K414),$K$2:$K$1001,0),0), INDEX($R$1004:$W$1004,1,MATCH(COLUMNS($R$1006:W1006),$R$1006:$W$1006,0)))),"Fix")))</f>
        <v>0</v>
      </c>
      <c r="K414">
        <v>0</v>
      </c>
      <c r="L414">
        <v>0</v>
      </c>
      <c r="M414">
        <v>0</v>
      </c>
      <c r="N414">
        <f>IF(O414,TRUE,AND(R414:W414))</f>
        <v>0</v>
      </c>
      <c r="O414">
        <f>COUNTBLANK(Metadata!B414:G414)=COLUMNS(Metadata!B414:G414)</f>
        <v>0</v>
      </c>
      <c r="P414">
        <v>0</v>
      </c>
      <c r="R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S414">
        <f>IF(Metadata!C414="",FALSE,TRUE)</f>
        <v>0</v>
      </c>
      <c r="T414">
        <f>IF(Metadata!D414="",FALSE,TRUE)</f>
        <v>0</v>
      </c>
      <c r="U414">
        <f>IF(Metadata!E414="",FALSE,TRUE)</f>
        <v>0</v>
      </c>
      <c r="V414">
        <f>AND(IF(Metadata!F414="",FALSE,TRUE),exact(Metadata!F414,"rat gut metagenome"))</f>
        <v>0</v>
      </c>
      <c r="W414">
        <f>AND(IF(Metadata!G414="",FALSE,TRUE),exact(Metadata!G414,"1436733"))</f>
        <v>0</v>
      </c>
    </row>
    <row r="415" spans="1:23">
      <c r="A415" s="4">
        <f>IF(B415=" "," ",HYPERLINK(CONCATENATE("#metadata!",ADDRESS(INDEX($M$2:$M$1001,MATCH(ROWS($K$2:K415),$K$2:$K$1001,0),0),1)),INDEX($P$2:$P$1001,MATCH(ROWS($K$2:K415),$K$2:$K$1001,0),0)))</f>
        <v>0</v>
      </c>
      <c r="B415" s="3">
        <f>IF(OR(INDEX($L$2:$L$1001,MATCH(ROWS($K$2:K415),$K$2:$K$1001,0),1)&gt;=100000,INDEX($R$1005:$W$1005,1,MATCH(COLUMNS($R$1006:R1006),$R$1006:$W$1006,0))&gt;=100000), " ",IF(INDEX($R$2:$W$1001,MATCH(ROWS($K$2:K415),$K$2:$K$1001,0),MATCH(COLUMNS($R$1006:R1006),$R$1006:$W$1006,0)), HYPERLINK("#",""), HYPERLINK(CONCATENATE("#Metadata!", ADDRESS(INDEX($M$2:$M$1001,MATCH(ROWS($K$2:K415),$K$2:$K$1001,0),0), INDEX($R$1004:$W$1004,1,MATCH(COLUMNS($R$1006:R1006),$R$1006:$W$1006,0)))),"Fix")))</f>
        <v>0</v>
      </c>
      <c r="C415" s="3">
        <f>IF(OR(INDEX($L$2:$L$1001,MATCH(ROWS($K$2:K415),$K$2:$K$1001,0),1)&gt;=100000,INDEX($R$1005:$W$1005,1,MATCH(COLUMNS($R$1006:S1006),$R$1006:$W$1006,0))&gt;=100000), " ",IF(INDEX($R$2:$W$1001,MATCH(ROWS($K$2:K415),$K$2:$K$1001,0),MATCH(COLUMNS($R$1006:S1006),$R$1006:$W$1006,0)), HYPERLINK("#",""), HYPERLINK(CONCATENATE("#Metadata!", ADDRESS(INDEX($M$2:$M$1001,MATCH(ROWS($K$2:K415),$K$2:$K$1001,0),0), INDEX($R$1004:$W$1004,1,MATCH(COLUMNS($R$1006:S1006),$R$1006:$W$1006,0)))),"Fix")))</f>
        <v>0</v>
      </c>
      <c r="D415" s="3">
        <f>IF(OR(INDEX($L$2:$L$1001,MATCH(ROWS($K$2:K415),$K$2:$K$1001,0),1)&gt;=100000,INDEX($R$1005:$W$1005,1,MATCH(COLUMNS($R$1006:T1006),$R$1006:$W$1006,0))&gt;=100000), " ",IF(INDEX($R$2:$W$1001,MATCH(ROWS($K$2:K415),$K$2:$K$1001,0),MATCH(COLUMNS($R$1006:T1006),$R$1006:$W$1006,0)), HYPERLINK("#",""), HYPERLINK(CONCATENATE("#Metadata!", ADDRESS(INDEX($M$2:$M$1001,MATCH(ROWS($K$2:K415),$K$2:$K$1001,0),0), INDEX($R$1004:$W$1004,1,MATCH(COLUMNS($R$1006:T1006),$R$1006:$W$1006,0)))),"Fix")))</f>
        <v>0</v>
      </c>
      <c r="E415" s="3">
        <f>IF(OR(INDEX($L$2:$L$1001,MATCH(ROWS($K$2:K415),$K$2:$K$1001,0),1)&gt;=100000,INDEX($R$1005:$W$1005,1,MATCH(COLUMNS($R$1006:U1006),$R$1006:$W$1006,0))&gt;=100000), " ",IF(INDEX($R$2:$W$1001,MATCH(ROWS($K$2:K415),$K$2:$K$1001,0),MATCH(COLUMNS($R$1006:U1006),$R$1006:$W$1006,0)), HYPERLINK("#",""), HYPERLINK(CONCATENATE("#Metadata!", ADDRESS(INDEX($M$2:$M$1001,MATCH(ROWS($K$2:K415),$K$2:$K$1001,0),0), INDEX($R$1004:$W$1004,1,MATCH(COLUMNS($R$1006:U1006),$R$1006:$W$1006,0)))),"Fix")))</f>
        <v>0</v>
      </c>
      <c r="F415" s="3">
        <f>IF(OR(INDEX($L$2:$L$1001,MATCH(ROWS($K$2:K415),$K$2:$K$1001,0),1)&gt;=100000,INDEX($R$1005:$W$1005,1,MATCH(COLUMNS($R$1006:V1006),$R$1006:$W$1006,0))&gt;=100000), " ",IF(INDEX($R$2:$W$1001,MATCH(ROWS($K$2:K415),$K$2:$K$1001,0),MATCH(COLUMNS($R$1006:V1006),$R$1006:$W$1006,0)), HYPERLINK("#",""), HYPERLINK(CONCATENATE("#Metadata!", ADDRESS(INDEX($M$2:$M$1001,MATCH(ROWS($K$2:K415),$K$2:$K$1001,0),0), INDEX($R$1004:$W$1004,1,MATCH(COLUMNS($R$1006:V1006),$R$1006:$W$1006,0)))),"Fix")))</f>
        <v>0</v>
      </c>
      <c r="G415" s="3">
        <f>IF(OR(INDEX($L$2:$L$1001,MATCH(ROWS($K$2:K415),$K$2:$K$1001,0),1)&gt;=100000,INDEX($R$1005:$W$1005,1,MATCH(COLUMNS($R$1006:W1006),$R$1006:$W$1006,0))&gt;=100000), " ",IF(INDEX($R$2:$W$1001,MATCH(ROWS($K$2:K415),$K$2:$K$1001,0),MATCH(COLUMNS($R$1006:W1006),$R$1006:$W$1006,0)), HYPERLINK("#",""), HYPERLINK(CONCATENATE("#Metadata!", ADDRESS(INDEX($M$2:$M$1001,MATCH(ROWS($K$2:K415),$K$2:$K$1001,0),0), INDEX($R$1004:$W$1004,1,MATCH(COLUMNS($R$1006:W1006),$R$1006:$W$1006,0)))),"Fix")))</f>
        <v>0</v>
      </c>
      <c r="K415">
        <v>0</v>
      </c>
      <c r="L415">
        <v>0</v>
      </c>
      <c r="M415">
        <v>0</v>
      </c>
      <c r="N415">
        <f>IF(O415,TRUE,AND(R415:W415))</f>
        <v>0</v>
      </c>
      <c r="O415">
        <f>COUNTBLANK(Metadata!B415:G415)=COLUMNS(Metadata!B415:G415)</f>
        <v>0</v>
      </c>
      <c r="P415">
        <v>0</v>
      </c>
      <c r="R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S415">
        <f>IF(Metadata!C415="",FALSE,TRUE)</f>
        <v>0</v>
      </c>
      <c r="T415">
        <f>IF(Metadata!D415="",FALSE,TRUE)</f>
        <v>0</v>
      </c>
      <c r="U415">
        <f>IF(Metadata!E415="",FALSE,TRUE)</f>
        <v>0</v>
      </c>
      <c r="V415">
        <f>AND(IF(Metadata!F415="",FALSE,TRUE),exact(Metadata!F415,"rat gut metagenome"))</f>
        <v>0</v>
      </c>
      <c r="W415">
        <f>AND(IF(Metadata!G415="",FALSE,TRUE),exact(Metadata!G415,"1436733"))</f>
        <v>0</v>
      </c>
    </row>
    <row r="416" spans="1:23">
      <c r="A416" s="4">
        <f>IF(B416=" "," ",HYPERLINK(CONCATENATE("#metadata!",ADDRESS(INDEX($M$2:$M$1001,MATCH(ROWS($K$2:K416),$K$2:$K$1001,0),0),1)),INDEX($P$2:$P$1001,MATCH(ROWS($K$2:K416),$K$2:$K$1001,0),0)))</f>
        <v>0</v>
      </c>
      <c r="B416" s="3">
        <f>IF(OR(INDEX($L$2:$L$1001,MATCH(ROWS($K$2:K416),$K$2:$K$1001,0),1)&gt;=100000,INDEX($R$1005:$W$1005,1,MATCH(COLUMNS($R$1006:R1006),$R$1006:$W$1006,0))&gt;=100000), " ",IF(INDEX($R$2:$W$1001,MATCH(ROWS($K$2:K416),$K$2:$K$1001,0),MATCH(COLUMNS($R$1006:R1006),$R$1006:$W$1006,0)), HYPERLINK("#",""), HYPERLINK(CONCATENATE("#Metadata!", ADDRESS(INDEX($M$2:$M$1001,MATCH(ROWS($K$2:K416),$K$2:$K$1001,0),0), INDEX($R$1004:$W$1004,1,MATCH(COLUMNS($R$1006:R1006),$R$1006:$W$1006,0)))),"Fix")))</f>
        <v>0</v>
      </c>
      <c r="C416" s="3">
        <f>IF(OR(INDEX($L$2:$L$1001,MATCH(ROWS($K$2:K416),$K$2:$K$1001,0),1)&gt;=100000,INDEX($R$1005:$W$1005,1,MATCH(COLUMNS($R$1006:S1006),$R$1006:$W$1006,0))&gt;=100000), " ",IF(INDEX($R$2:$W$1001,MATCH(ROWS($K$2:K416),$K$2:$K$1001,0),MATCH(COLUMNS($R$1006:S1006),$R$1006:$W$1006,0)), HYPERLINK("#",""), HYPERLINK(CONCATENATE("#Metadata!", ADDRESS(INDEX($M$2:$M$1001,MATCH(ROWS($K$2:K416),$K$2:$K$1001,0),0), INDEX($R$1004:$W$1004,1,MATCH(COLUMNS($R$1006:S1006),$R$1006:$W$1006,0)))),"Fix")))</f>
        <v>0</v>
      </c>
      <c r="D416" s="3">
        <f>IF(OR(INDEX($L$2:$L$1001,MATCH(ROWS($K$2:K416),$K$2:$K$1001,0),1)&gt;=100000,INDEX($R$1005:$W$1005,1,MATCH(COLUMNS($R$1006:T1006),$R$1006:$W$1006,0))&gt;=100000), " ",IF(INDEX($R$2:$W$1001,MATCH(ROWS($K$2:K416),$K$2:$K$1001,0),MATCH(COLUMNS($R$1006:T1006),$R$1006:$W$1006,0)), HYPERLINK("#",""), HYPERLINK(CONCATENATE("#Metadata!", ADDRESS(INDEX($M$2:$M$1001,MATCH(ROWS($K$2:K416),$K$2:$K$1001,0),0), INDEX($R$1004:$W$1004,1,MATCH(COLUMNS($R$1006:T1006),$R$1006:$W$1006,0)))),"Fix")))</f>
        <v>0</v>
      </c>
      <c r="E416" s="3">
        <f>IF(OR(INDEX($L$2:$L$1001,MATCH(ROWS($K$2:K416),$K$2:$K$1001,0),1)&gt;=100000,INDEX($R$1005:$W$1005,1,MATCH(COLUMNS($R$1006:U1006),$R$1006:$W$1006,0))&gt;=100000), " ",IF(INDEX($R$2:$W$1001,MATCH(ROWS($K$2:K416),$K$2:$K$1001,0),MATCH(COLUMNS($R$1006:U1006),$R$1006:$W$1006,0)), HYPERLINK("#",""), HYPERLINK(CONCATENATE("#Metadata!", ADDRESS(INDEX($M$2:$M$1001,MATCH(ROWS($K$2:K416),$K$2:$K$1001,0),0), INDEX($R$1004:$W$1004,1,MATCH(COLUMNS($R$1006:U1006),$R$1006:$W$1006,0)))),"Fix")))</f>
        <v>0</v>
      </c>
      <c r="F416" s="3">
        <f>IF(OR(INDEX($L$2:$L$1001,MATCH(ROWS($K$2:K416),$K$2:$K$1001,0),1)&gt;=100000,INDEX($R$1005:$W$1005,1,MATCH(COLUMNS($R$1006:V1006),$R$1006:$W$1006,0))&gt;=100000), " ",IF(INDEX($R$2:$W$1001,MATCH(ROWS($K$2:K416),$K$2:$K$1001,0),MATCH(COLUMNS($R$1006:V1006),$R$1006:$W$1006,0)), HYPERLINK("#",""), HYPERLINK(CONCATENATE("#Metadata!", ADDRESS(INDEX($M$2:$M$1001,MATCH(ROWS($K$2:K416),$K$2:$K$1001,0),0), INDEX($R$1004:$W$1004,1,MATCH(COLUMNS($R$1006:V1006),$R$1006:$W$1006,0)))),"Fix")))</f>
        <v>0</v>
      </c>
      <c r="G416" s="3">
        <f>IF(OR(INDEX($L$2:$L$1001,MATCH(ROWS($K$2:K416),$K$2:$K$1001,0),1)&gt;=100000,INDEX($R$1005:$W$1005,1,MATCH(COLUMNS($R$1006:W1006),$R$1006:$W$1006,0))&gt;=100000), " ",IF(INDEX($R$2:$W$1001,MATCH(ROWS($K$2:K416),$K$2:$K$1001,0),MATCH(COLUMNS($R$1006:W1006),$R$1006:$W$1006,0)), HYPERLINK("#",""), HYPERLINK(CONCATENATE("#Metadata!", ADDRESS(INDEX($M$2:$M$1001,MATCH(ROWS($K$2:K416),$K$2:$K$1001,0),0), INDEX($R$1004:$W$1004,1,MATCH(COLUMNS($R$1006:W1006),$R$1006:$W$1006,0)))),"Fix")))</f>
        <v>0</v>
      </c>
      <c r="K416">
        <v>0</v>
      </c>
      <c r="L416">
        <v>0</v>
      </c>
      <c r="M416">
        <v>0</v>
      </c>
      <c r="N416">
        <f>IF(O416,TRUE,AND(R416:W416))</f>
        <v>0</v>
      </c>
      <c r="O416">
        <f>COUNTBLANK(Metadata!B416:G416)=COLUMNS(Metadata!B416:G416)</f>
        <v>0</v>
      </c>
      <c r="P416">
        <v>0</v>
      </c>
      <c r="R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S416">
        <f>IF(Metadata!C416="",FALSE,TRUE)</f>
        <v>0</v>
      </c>
      <c r="T416">
        <f>IF(Metadata!D416="",FALSE,TRUE)</f>
        <v>0</v>
      </c>
      <c r="U416">
        <f>IF(Metadata!E416="",FALSE,TRUE)</f>
        <v>0</v>
      </c>
      <c r="V416">
        <f>AND(IF(Metadata!F416="",FALSE,TRUE),exact(Metadata!F416,"rat gut metagenome"))</f>
        <v>0</v>
      </c>
      <c r="W416">
        <f>AND(IF(Metadata!G416="",FALSE,TRUE),exact(Metadata!G416,"1436733"))</f>
        <v>0</v>
      </c>
    </row>
    <row r="417" spans="1:23">
      <c r="A417" s="4">
        <f>IF(B417=" "," ",HYPERLINK(CONCATENATE("#metadata!",ADDRESS(INDEX($M$2:$M$1001,MATCH(ROWS($K$2:K417),$K$2:$K$1001,0),0),1)),INDEX($P$2:$P$1001,MATCH(ROWS($K$2:K417),$K$2:$K$1001,0),0)))</f>
        <v>0</v>
      </c>
      <c r="B417" s="3">
        <f>IF(OR(INDEX($L$2:$L$1001,MATCH(ROWS($K$2:K417),$K$2:$K$1001,0),1)&gt;=100000,INDEX($R$1005:$W$1005,1,MATCH(COLUMNS($R$1006:R1006),$R$1006:$W$1006,0))&gt;=100000), " ",IF(INDEX($R$2:$W$1001,MATCH(ROWS($K$2:K417),$K$2:$K$1001,0),MATCH(COLUMNS($R$1006:R1006),$R$1006:$W$1006,0)), HYPERLINK("#",""), HYPERLINK(CONCATENATE("#Metadata!", ADDRESS(INDEX($M$2:$M$1001,MATCH(ROWS($K$2:K417),$K$2:$K$1001,0),0), INDEX($R$1004:$W$1004,1,MATCH(COLUMNS($R$1006:R1006),$R$1006:$W$1006,0)))),"Fix")))</f>
        <v>0</v>
      </c>
      <c r="C417" s="3">
        <f>IF(OR(INDEX($L$2:$L$1001,MATCH(ROWS($K$2:K417),$K$2:$K$1001,0),1)&gt;=100000,INDEX($R$1005:$W$1005,1,MATCH(COLUMNS($R$1006:S1006),$R$1006:$W$1006,0))&gt;=100000), " ",IF(INDEX($R$2:$W$1001,MATCH(ROWS($K$2:K417),$K$2:$K$1001,0),MATCH(COLUMNS($R$1006:S1006),$R$1006:$W$1006,0)), HYPERLINK("#",""), HYPERLINK(CONCATENATE("#Metadata!", ADDRESS(INDEX($M$2:$M$1001,MATCH(ROWS($K$2:K417),$K$2:$K$1001,0),0), INDEX($R$1004:$W$1004,1,MATCH(COLUMNS($R$1006:S1006),$R$1006:$W$1006,0)))),"Fix")))</f>
        <v>0</v>
      </c>
      <c r="D417" s="3">
        <f>IF(OR(INDEX($L$2:$L$1001,MATCH(ROWS($K$2:K417),$K$2:$K$1001,0),1)&gt;=100000,INDEX($R$1005:$W$1005,1,MATCH(COLUMNS($R$1006:T1006),$R$1006:$W$1006,0))&gt;=100000), " ",IF(INDEX($R$2:$W$1001,MATCH(ROWS($K$2:K417),$K$2:$K$1001,0),MATCH(COLUMNS($R$1006:T1006),$R$1006:$W$1006,0)), HYPERLINK("#",""), HYPERLINK(CONCATENATE("#Metadata!", ADDRESS(INDEX($M$2:$M$1001,MATCH(ROWS($K$2:K417),$K$2:$K$1001,0),0), INDEX($R$1004:$W$1004,1,MATCH(COLUMNS($R$1006:T1006),$R$1006:$W$1006,0)))),"Fix")))</f>
        <v>0</v>
      </c>
      <c r="E417" s="3">
        <f>IF(OR(INDEX($L$2:$L$1001,MATCH(ROWS($K$2:K417),$K$2:$K$1001,0),1)&gt;=100000,INDEX($R$1005:$W$1005,1,MATCH(COLUMNS($R$1006:U1006),$R$1006:$W$1006,0))&gt;=100000), " ",IF(INDEX($R$2:$W$1001,MATCH(ROWS($K$2:K417),$K$2:$K$1001,0),MATCH(COLUMNS($R$1006:U1006),$R$1006:$W$1006,0)), HYPERLINK("#",""), HYPERLINK(CONCATENATE("#Metadata!", ADDRESS(INDEX($M$2:$M$1001,MATCH(ROWS($K$2:K417),$K$2:$K$1001,0),0), INDEX($R$1004:$W$1004,1,MATCH(COLUMNS($R$1006:U1006),$R$1006:$W$1006,0)))),"Fix")))</f>
        <v>0</v>
      </c>
      <c r="F417" s="3">
        <f>IF(OR(INDEX($L$2:$L$1001,MATCH(ROWS($K$2:K417),$K$2:$K$1001,0),1)&gt;=100000,INDEX($R$1005:$W$1005,1,MATCH(COLUMNS($R$1006:V1006),$R$1006:$W$1006,0))&gt;=100000), " ",IF(INDEX($R$2:$W$1001,MATCH(ROWS($K$2:K417),$K$2:$K$1001,0),MATCH(COLUMNS($R$1006:V1006),$R$1006:$W$1006,0)), HYPERLINK("#",""), HYPERLINK(CONCATENATE("#Metadata!", ADDRESS(INDEX($M$2:$M$1001,MATCH(ROWS($K$2:K417),$K$2:$K$1001,0),0), INDEX($R$1004:$W$1004,1,MATCH(COLUMNS($R$1006:V1006),$R$1006:$W$1006,0)))),"Fix")))</f>
        <v>0</v>
      </c>
      <c r="G417" s="3">
        <f>IF(OR(INDEX($L$2:$L$1001,MATCH(ROWS($K$2:K417),$K$2:$K$1001,0),1)&gt;=100000,INDEX($R$1005:$W$1005,1,MATCH(COLUMNS($R$1006:W1006),$R$1006:$W$1006,0))&gt;=100000), " ",IF(INDEX($R$2:$W$1001,MATCH(ROWS($K$2:K417),$K$2:$K$1001,0),MATCH(COLUMNS($R$1006:W1006),$R$1006:$W$1006,0)), HYPERLINK("#",""), HYPERLINK(CONCATENATE("#Metadata!", ADDRESS(INDEX($M$2:$M$1001,MATCH(ROWS($K$2:K417),$K$2:$K$1001,0),0), INDEX($R$1004:$W$1004,1,MATCH(COLUMNS($R$1006:W1006),$R$1006:$W$1006,0)))),"Fix")))</f>
        <v>0</v>
      </c>
      <c r="K417">
        <v>0</v>
      </c>
      <c r="L417">
        <v>0</v>
      </c>
      <c r="M417">
        <v>0</v>
      </c>
      <c r="N417">
        <f>IF(O417,TRUE,AND(R417:W417))</f>
        <v>0</v>
      </c>
      <c r="O417">
        <f>COUNTBLANK(Metadata!B417:G417)=COLUMNS(Metadata!B417:G417)</f>
        <v>0</v>
      </c>
      <c r="P417">
        <v>0</v>
      </c>
      <c r="R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S417">
        <f>IF(Metadata!C417="",FALSE,TRUE)</f>
        <v>0</v>
      </c>
      <c r="T417">
        <f>IF(Metadata!D417="",FALSE,TRUE)</f>
        <v>0</v>
      </c>
      <c r="U417">
        <f>IF(Metadata!E417="",FALSE,TRUE)</f>
        <v>0</v>
      </c>
      <c r="V417">
        <f>AND(IF(Metadata!F417="",FALSE,TRUE),exact(Metadata!F417,"rat gut metagenome"))</f>
        <v>0</v>
      </c>
      <c r="W417">
        <f>AND(IF(Metadata!G417="",FALSE,TRUE),exact(Metadata!G417,"1436733"))</f>
        <v>0</v>
      </c>
    </row>
    <row r="418" spans="1:23">
      <c r="A418" s="4">
        <f>IF(B418=" "," ",HYPERLINK(CONCATENATE("#metadata!",ADDRESS(INDEX($M$2:$M$1001,MATCH(ROWS($K$2:K418),$K$2:$K$1001,0),0),1)),INDEX($P$2:$P$1001,MATCH(ROWS($K$2:K418),$K$2:$K$1001,0),0)))</f>
        <v>0</v>
      </c>
      <c r="B418" s="3">
        <f>IF(OR(INDEX($L$2:$L$1001,MATCH(ROWS($K$2:K418),$K$2:$K$1001,0),1)&gt;=100000,INDEX($R$1005:$W$1005,1,MATCH(COLUMNS($R$1006:R1006),$R$1006:$W$1006,0))&gt;=100000), " ",IF(INDEX($R$2:$W$1001,MATCH(ROWS($K$2:K418),$K$2:$K$1001,0),MATCH(COLUMNS($R$1006:R1006),$R$1006:$W$1006,0)), HYPERLINK("#",""), HYPERLINK(CONCATENATE("#Metadata!", ADDRESS(INDEX($M$2:$M$1001,MATCH(ROWS($K$2:K418),$K$2:$K$1001,0),0), INDEX($R$1004:$W$1004,1,MATCH(COLUMNS($R$1006:R1006),$R$1006:$W$1006,0)))),"Fix")))</f>
        <v>0</v>
      </c>
      <c r="C418" s="3">
        <f>IF(OR(INDEX($L$2:$L$1001,MATCH(ROWS($K$2:K418),$K$2:$K$1001,0),1)&gt;=100000,INDEX($R$1005:$W$1005,1,MATCH(COLUMNS($R$1006:S1006),$R$1006:$W$1006,0))&gt;=100000), " ",IF(INDEX($R$2:$W$1001,MATCH(ROWS($K$2:K418),$K$2:$K$1001,0),MATCH(COLUMNS($R$1006:S1006),$R$1006:$W$1006,0)), HYPERLINK("#",""), HYPERLINK(CONCATENATE("#Metadata!", ADDRESS(INDEX($M$2:$M$1001,MATCH(ROWS($K$2:K418),$K$2:$K$1001,0),0), INDEX($R$1004:$W$1004,1,MATCH(COLUMNS($R$1006:S1006),$R$1006:$W$1006,0)))),"Fix")))</f>
        <v>0</v>
      </c>
      <c r="D418" s="3">
        <f>IF(OR(INDEX($L$2:$L$1001,MATCH(ROWS($K$2:K418),$K$2:$K$1001,0),1)&gt;=100000,INDEX($R$1005:$W$1005,1,MATCH(COLUMNS($R$1006:T1006),$R$1006:$W$1006,0))&gt;=100000), " ",IF(INDEX($R$2:$W$1001,MATCH(ROWS($K$2:K418),$K$2:$K$1001,0),MATCH(COLUMNS($R$1006:T1006),$R$1006:$W$1006,0)), HYPERLINK("#",""), HYPERLINK(CONCATENATE("#Metadata!", ADDRESS(INDEX($M$2:$M$1001,MATCH(ROWS($K$2:K418),$K$2:$K$1001,0),0), INDEX($R$1004:$W$1004,1,MATCH(COLUMNS($R$1006:T1006),$R$1006:$W$1006,0)))),"Fix")))</f>
        <v>0</v>
      </c>
      <c r="E418" s="3">
        <f>IF(OR(INDEX($L$2:$L$1001,MATCH(ROWS($K$2:K418),$K$2:$K$1001,0),1)&gt;=100000,INDEX($R$1005:$W$1005,1,MATCH(COLUMNS($R$1006:U1006),$R$1006:$W$1006,0))&gt;=100000), " ",IF(INDEX($R$2:$W$1001,MATCH(ROWS($K$2:K418),$K$2:$K$1001,0),MATCH(COLUMNS($R$1006:U1006),$R$1006:$W$1006,0)), HYPERLINK("#",""), HYPERLINK(CONCATENATE("#Metadata!", ADDRESS(INDEX($M$2:$M$1001,MATCH(ROWS($K$2:K418),$K$2:$K$1001,0),0), INDEX($R$1004:$W$1004,1,MATCH(COLUMNS($R$1006:U1006),$R$1006:$W$1006,0)))),"Fix")))</f>
        <v>0</v>
      </c>
      <c r="F418" s="3">
        <f>IF(OR(INDEX($L$2:$L$1001,MATCH(ROWS($K$2:K418),$K$2:$K$1001,0),1)&gt;=100000,INDEX($R$1005:$W$1005,1,MATCH(COLUMNS($R$1006:V1006),$R$1006:$W$1006,0))&gt;=100000), " ",IF(INDEX($R$2:$W$1001,MATCH(ROWS($K$2:K418),$K$2:$K$1001,0),MATCH(COLUMNS($R$1006:V1006),$R$1006:$W$1006,0)), HYPERLINK("#",""), HYPERLINK(CONCATENATE("#Metadata!", ADDRESS(INDEX($M$2:$M$1001,MATCH(ROWS($K$2:K418),$K$2:$K$1001,0),0), INDEX($R$1004:$W$1004,1,MATCH(COLUMNS($R$1006:V1006),$R$1006:$W$1006,0)))),"Fix")))</f>
        <v>0</v>
      </c>
      <c r="G418" s="3">
        <f>IF(OR(INDEX($L$2:$L$1001,MATCH(ROWS($K$2:K418),$K$2:$K$1001,0),1)&gt;=100000,INDEX($R$1005:$W$1005,1,MATCH(COLUMNS($R$1006:W1006),$R$1006:$W$1006,0))&gt;=100000), " ",IF(INDEX($R$2:$W$1001,MATCH(ROWS($K$2:K418),$K$2:$K$1001,0),MATCH(COLUMNS($R$1006:W1006),$R$1006:$W$1006,0)), HYPERLINK("#",""), HYPERLINK(CONCATENATE("#Metadata!", ADDRESS(INDEX($M$2:$M$1001,MATCH(ROWS($K$2:K418),$K$2:$K$1001,0),0), INDEX($R$1004:$W$1004,1,MATCH(COLUMNS($R$1006:W1006),$R$1006:$W$1006,0)))),"Fix")))</f>
        <v>0</v>
      </c>
      <c r="K418">
        <v>0</v>
      </c>
      <c r="L418">
        <v>0</v>
      </c>
      <c r="M418">
        <v>0</v>
      </c>
      <c r="N418">
        <f>IF(O418,TRUE,AND(R418:W418))</f>
        <v>0</v>
      </c>
      <c r="O418">
        <f>COUNTBLANK(Metadata!B418:G418)=COLUMNS(Metadata!B418:G418)</f>
        <v>0</v>
      </c>
      <c r="P418">
        <v>0</v>
      </c>
      <c r="R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S418">
        <f>IF(Metadata!C418="",FALSE,TRUE)</f>
        <v>0</v>
      </c>
      <c r="T418">
        <f>IF(Metadata!D418="",FALSE,TRUE)</f>
        <v>0</v>
      </c>
      <c r="U418">
        <f>IF(Metadata!E418="",FALSE,TRUE)</f>
        <v>0</v>
      </c>
      <c r="V418">
        <f>AND(IF(Metadata!F418="",FALSE,TRUE),exact(Metadata!F418,"rat gut metagenome"))</f>
        <v>0</v>
      </c>
      <c r="W418">
        <f>AND(IF(Metadata!G418="",FALSE,TRUE),exact(Metadata!G418,"1436733"))</f>
        <v>0</v>
      </c>
    </row>
    <row r="419" spans="1:23">
      <c r="A419" s="4">
        <f>IF(B419=" "," ",HYPERLINK(CONCATENATE("#metadata!",ADDRESS(INDEX($M$2:$M$1001,MATCH(ROWS($K$2:K419),$K$2:$K$1001,0),0),1)),INDEX($P$2:$P$1001,MATCH(ROWS($K$2:K419),$K$2:$K$1001,0),0)))</f>
        <v>0</v>
      </c>
      <c r="B419" s="3">
        <f>IF(OR(INDEX($L$2:$L$1001,MATCH(ROWS($K$2:K419),$K$2:$K$1001,0),1)&gt;=100000,INDEX($R$1005:$W$1005,1,MATCH(COLUMNS($R$1006:R1006),$R$1006:$W$1006,0))&gt;=100000), " ",IF(INDEX($R$2:$W$1001,MATCH(ROWS($K$2:K419),$K$2:$K$1001,0),MATCH(COLUMNS($R$1006:R1006),$R$1006:$W$1006,0)), HYPERLINK("#",""), HYPERLINK(CONCATENATE("#Metadata!", ADDRESS(INDEX($M$2:$M$1001,MATCH(ROWS($K$2:K419),$K$2:$K$1001,0),0), INDEX($R$1004:$W$1004,1,MATCH(COLUMNS($R$1006:R1006),$R$1006:$W$1006,0)))),"Fix")))</f>
        <v>0</v>
      </c>
      <c r="C419" s="3">
        <f>IF(OR(INDEX($L$2:$L$1001,MATCH(ROWS($K$2:K419),$K$2:$K$1001,0),1)&gt;=100000,INDEX($R$1005:$W$1005,1,MATCH(COLUMNS($R$1006:S1006),$R$1006:$W$1006,0))&gt;=100000), " ",IF(INDEX($R$2:$W$1001,MATCH(ROWS($K$2:K419),$K$2:$K$1001,0),MATCH(COLUMNS($R$1006:S1006),$R$1006:$W$1006,0)), HYPERLINK("#",""), HYPERLINK(CONCATENATE("#Metadata!", ADDRESS(INDEX($M$2:$M$1001,MATCH(ROWS($K$2:K419),$K$2:$K$1001,0),0), INDEX($R$1004:$W$1004,1,MATCH(COLUMNS($R$1006:S1006),$R$1006:$W$1006,0)))),"Fix")))</f>
        <v>0</v>
      </c>
      <c r="D419" s="3">
        <f>IF(OR(INDEX($L$2:$L$1001,MATCH(ROWS($K$2:K419),$K$2:$K$1001,0),1)&gt;=100000,INDEX($R$1005:$W$1005,1,MATCH(COLUMNS($R$1006:T1006),$R$1006:$W$1006,0))&gt;=100000), " ",IF(INDEX($R$2:$W$1001,MATCH(ROWS($K$2:K419),$K$2:$K$1001,0),MATCH(COLUMNS($R$1006:T1006),$R$1006:$W$1006,0)), HYPERLINK("#",""), HYPERLINK(CONCATENATE("#Metadata!", ADDRESS(INDEX($M$2:$M$1001,MATCH(ROWS($K$2:K419),$K$2:$K$1001,0),0), INDEX($R$1004:$W$1004,1,MATCH(COLUMNS($R$1006:T1006),$R$1006:$W$1006,0)))),"Fix")))</f>
        <v>0</v>
      </c>
      <c r="E419" s="3">
        <f>IF(OR(INDEX($L$2:$L$1001,MATCH(ROWS($K$2:K419),$K$2:$K$1001,0),1)&gt;=100000,INDEX($R$1005:$W$1005,1,MATCH(COLUMNS($R$1006:U1006),$R$1006:$W$1006,0))&gt;=100000), " ",IF(INDEX($R$2:$W$1001,MATCH(ROWS($K$2:K419),$K$2:$K$1001,0),MATCH(COLUMNS($R$1006:U1006),$R$1006:$W$1006,0)), HYPERLINK("#",""), HYPERLINK(CONCATENATE("#Metadata!", ADDRESS(INDEX($M$2:$M$1001,MATCH(ROWS($K$2:K419),$K$2:$K$1001,0),0), INDEX($R$1004:$W$1004,1,MATCH(COLUMNS($R$1006:U1006),$R$1006:$W$1006,0)))),"Fix")))</f>
        <v>0</v>
      </c>
      <c r="F419" s="3">
        <f>IF(OR(INDEX($L$2:$L$1001,MATCH(ROWS($K$2:K419),$K$2:$K$1001,0),1)&gt;=100000,INDEX($R$1005:$W$1005,1,MATCH(COLUMNS($R$1006:V1006),$R$1006:$W$1006,0))&gt;=100000), " ",IF(INDEX($R$2:$W$1001,MATCH(ROWS($K$2:K419),$K$2:$K$1001,0),MATCH(COLUMNS($R$1006:V1006),$R$1006:$W$1006,0)), HYPERLINK("#",""), HYPERLINK(CONCATENATE("#Metadata!", ADDRESS(INDEX($M$2:$M$1001,MATCH(ROWS($K$2:K419),$K$2:$K$1001,0),0), INDEX($R$1004:$W$1004,1,MATCH(COLUMNS($R$1006:V1006),$R$1006:$W$1006,0)))),"Fix")))</f>
        <v>0</v>
      </c>
      <c r="G419" s="3">
        <f>IF(OR(INDEX($L$2:$L$1001,MATCH(ROWS($K$2:K419),$K$2:$K$1001,0),1)&gt;=100000,INDEX($R$1005:$W$1005,1,MATCH(COLUMNS($R$1006:W1006),$R$1006:$W$1006,0))&gt;=100000), " ",IF(INDEX($R$2:$W$1001,MATCH(ROWS($K$2:K419),$K$2:$K$1001,0),MATCH(COLUMNS($R$1006:W1006),$R$1006:$W$1006,0)), HYPERLINK("#",""), HYPERLINK(CONCATENATE("#Metadata!", ADDRESS(INDEX($M$2:$M$1001,MATCH(ROWS($K$2:K419),$K$2:$K$1001,0),0), INDEX($R$1004:$W$1004,1,MATCH(COLUMNS($R$1006:W1006),$R$1006:$W$1006,0)))),"Fix")))</f>
        <v>0</v>
      </c>
      <c r="K419">
        <v>0</v>
      </c>
      <c r="L419">
        <v>0</v>
      </c>
      <c r="M419">
        <v>0</v>
      </c>
      <c r="N419">
        <f>IF(O419,TRUE,AND(R419:W419))</f>
        <v>0</v>
      </c>
      <c r="O419">
        <f>COUNTBLANK(Metadata!B419:G419)=COLUMNS(Metadata!B419:G419)</f>
        <v>0</v>
      </c>
      <c r="P419">
        <v>0</v>
      </c>
      <c r="R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S419">
        <f>IF(Metadata!C419="",FALSE,TRUE)</f>
        <v>0</v>
      </c>
      <c r="T419">
        <f>IF(Metadata!D419="",FALSE,TRUE)</f>
        <v>0</v>
      </c>
      <c r="U419">
        <f>IF(Metadata!E419="",FALSE,TRUE)</f>
        <v>0</v>
      </c>
      <c r="V419">
        <f>AND(IF(Metadata!F419="",FALSE,TRUE),exact(Metadata!F419,"rat gut metagenome"))</f>
        <v>0</v>
      </c>
      <c r="W419">
        <f>AND(IF(Metadata!G419="",FALSE,TRUE),exact(Metadata!G419,"1436733"))</f>
        <v>0</v>
      </c>
    </row>
    <row r="420" spans="1:23">
      <c r="A420" s="4">
        <f>IF(B420=" "," ",HYPERLINK(CONCATENATE("#metadata!",ADDRESS(INDEX($M$2:$M$1001,MATCH(ROWS($K$2:K420),$K$2:$K$1001,0),0),1)),INDEX($P$2:$P$1001,MATCH(ROWS($K$2:K420),$K$2:$K$1001,0),0)))</f>
        <v>0</v>
      </c>
      <c r="B420" s="3">
        <f>IF(OR(INDEX($L$2:$L$1001,MATCH(ROWS($K$2:K420),$K$2:$K$1001,0),1)&gt;=100000,INDEX($R$1005:$W$1005,1,MATCH(COLUMNS($R$1006:R1006),$R$1006:$W$1006,0))&gt;=100000), " ",IF(INDEX($R$2:$W$1001,MATCH(ROWS($K$2:K420),$K$2:$K$1001,0),MATCH(COLUMNS($R$1006:R1006),$R$1006:$W$1006,0)), HYPERLINK("#",""), HYPERLINK(CONCATENATE("#Metadata!", ADDRESS(INDEX($M$2:$M$1001,MATCH(ROWS($K$2:K420),$K$2:$K$1001,0),0), INDEX($R$1004:$W$1004,1,MATCH(COLUMNS($R$1006:R1006),$R$1006:$W$1006,0)))),"Fix")))</f>
        <v>0</v>
      </c>
      <c r="C420" s="3">
        <f>IF(OR(INDEX($L$2:$L$1001,MATCH(ROWS($K$2:K420),$K$2:$K$1001,0),1)&gt;=100000,INDEX($R$1005:$W$1005,1,MATCH(COLUMNS($R$1006:S1006),$R$1006:$W$1006,0))&gt;=100000), " ",IF(INDEX($R$2:$W$1001,MATCH(ROWS($K$2:K420),$K$2:$K$1001,0),MATCH(COLUMNS($R$1006:S1006),$R$1006:$W$1006,0)), HYPERLINK("#",""), HYPERLINK(CONCATENATE("#Metadata!", ADDRESS(INDEX($M$2:$M$1001,MATCH(ROWS($K$2:K420),$K$2:$K$1001,0),0), INDEX($R$1004:$W$1004,1,MATCH(COLUMNS($R$1006:S1006),$R$1006:$W$1006,0)))),"Fix")))</f>
        <v>0</v>
      </c>
      <c r="D420" s="3">
        <f>IF(OR(INDEX($L$2:$L$1001,MATCH(ROWS($K$2:K420),$K$2:$K$1001,0),1)&gt;=100000,INDEX($R$1005:$W$1005,1,MATCH(COLUMNS($R$1006:T1006),$R$1006:$W$1006,0))&gt;=100000), " ",IF(INDEX($R$2:$W$1001,MATCH(ROWS($K$2:K420),$K$2:$K$1001,0),MATCH(COLUMNS($R$1006:T1006),$R$1006:$W$1006,0)), HYPERLINK("#",""), HYPERLINK(CONCATENATE("#Metadata!", ADDRESS(INDEX($M$2:$M$1001,MATCH(ROWS($K$2:K420),$K$2:$K$1001,0),0), INDEX($R$1004:$W$1004,1,MATCH(COLUMNS($R$1006:T1006),$R$1006:$W$1006,0)))),"Fix")))</f>
        <v>0</v>
      </c>
      <c r="E420" s="3">
        <f>IF(OR(INDEX($L$2:$L$1001,MATCH(ROWS($K$2:K420),$K$2:$K$1001,0),1)&gt;=100000,INDEX($R$1005:$W$1005,1,MATCH(COLUMNS($R$1006:U1006),$R$1006:$W$1006,0))&gt;=100000), " ",IF(INDEX($R$2:$W$1001,MATCH(ROWS($K$2:K420),$K$2:$K$1001,0),MATCH(COLUMNS($R$1006:U1006),$R$1006:$W$1006,0)), HYPERLINK("#",""), HYPERLINK(CONCATENATE("#Metadata!", ADDRESS(INDEX($M$2:$M$1001,MATCH(ROWS($K$2:K420),$K$2:$K$1001,0),0), INDEX($R$1004:$W$1004,1,MATCH(COLUMNS($R$1006:U1006),$R$1006:$W$1006,0)))),"Fix")))</f>
        <v>0</v>
      </c>
      <c r="F420" s="3">
        <f>IF(OR(INDEX($L$2:$L$1001,MATCH(ROWS($K$2:K420),$K$2:$K$1001,0),1)&gt;=100000,INDEX($R$1005:$W$1005,1,MATCH(COLUMNS($R$1006:V1006),$R$1006:$W$1006,0))&gt;=100000), " ",IF(INDEX($R$2:$W$1001,MATCH(ROWS($K$2:K420),$K$2:$K$1001,0),MATCH(COLUMNS($R$1006:V1006),$R$1006:$W$1006,0)), HYPERLINK("#",""), HYPERLINK(CONCATENATE("#Metadata!", ADDRESS(INDEX($M$2:$M$1001,MATCH(ROWS($K$2:K420),$K$2:$K$1001,0),0), INDEX($R$1004:$W$1004,1,MATCH(COLUMNS($R$1006:V1006),$R$1006:$W$1006,0)))),"Fix")))</f>
        <v>0</v>
      </c>
      <c r="G420" s="3">
        <f>IF(OR(INDEX($L$2:$L$1001,MATCH(ROWS($K$2:K420),$K$2:$K$1001,0),1)&gt;=100000,INDEX($R$1005:$W$1005,1,MATCH(COLUMNS($R$1006:W1006),$R$1006:$W$1006,0))&gt;=100000), " ",IF(INDEX($R$2:$W$1001,MATCH(ROWS($K$2:K420),$K$2:$K$1001,0),MATCH(COLUMNS($R$1006:W1006),$R$1006:$W$1006,0)), HYPERLINK("#",""), HYPERLINK(CONCATENATE("#Metadata!", ADDRESS(INDEX($M$2:$M$1001,MATCH(ROWS($K$2:K420),$K$2:$K$1001,0),0), INDEX($R$1004:$W$1004,1,MATCH(COLUMNS($R$1006:W1006),$R$1006:$W$1006,0)))),"Fix")))</f>
        <v>0</v>
      </c>
      <c r="K420">
        <v>0</v>
      </c>
      <c r="L420">
        <v>0</v>
      </c>
      <c r="M420">
        <v>0</v>
      </c>
      <c r="N420">
        <f>IF(O420,TRUE,AND(R420:W420))</f>
        <v>0</v>
      </c>
      <c r="O420">
        <f>COUNTBLANK(Metadata!B420:G420)=COLUMNS(Metadata!B420:G420)</f>
        <v>0</v>
      </c>
      <c r="P420">
        <v>0</v>
      </c>
      <c r="R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S420">
        <f>IF(Metadata!C420="",FALSE,TRUE)</f>
        <v>0</v>
      </c>
      <c r="T420">
        <f>IF(Metadata!D420="",FALSE,TRUE)</f>
        <v>0</v>
      </c>
      <c r="U420">
        <f>IF(Metadata!E420="",FALSE,TRUE)</f>
        <v>0</v>
      </c>
      <c r="V420">
        <f>AND(IF(Metadata!F420="",FALSE,TRUE),exact(Metadata!F420,"rat gut metagenome"))</f>
        <v>0</v>
      </c>
      <c r="W420">
        <f>AND(IF(Metadata!G420="",FALSE,TRUE),exact(Metadata!G420,"1436733"))</f>
        <v>0</v>
      </c>
    </row>
    <row r="421" spans="1:23">
      <c r="A421" s="4">
        <f>IF(B421=" "," ",HYPERLINK(CONCATENATE("#metadata!",ADDRESS(INDEX($M$2:$M$1001,MATCH(ROWS($K$2:K421),$K$2:$K$1001,0),0),1)),INDEX($P$2:$P$1001,MATCH(ROWS($K$2:K421),$K$2:$K$1001,0),0)))</f>
        <v>0</v>
      </c>
      <c r="B421" s="3">
        <f>IF(OR(INDEX($L$2:$L$1001,MATCH(ROWS($K$2:K421),$K$2:$K$1001,0),1)&gt;=100000,INDEX($R$1005:$W$1005,1,MATCH(COLUMNS($R$1006:R1006),$R$1006:$W$1006,0))&gt;=100000), " ",IF(INDEX($R$2:$W$1001,MATCH(ROWS($K$2:K421),$K$2:$K$1001,0),MATCH(COLUMNS($R$1006:R1006),$R$1006:$W$1006,0)), HYPERLINK("#",""), HYPERLINK(CONCATENATE("#Metadata!", ADDRESS(INDEX($M$2:$M$1001,MATCH(ROWS($K$2:K421),$K$2:$K$1001,0),0), INDEX($R$1004:$W$1004,1,MATCH(COLUMNS($R$1006:R1006),$R$1006:$W$1006,0)))),"Fix")))</f>
        <v>0</v>
      </c>
      <c r="C421" s="3">
        <f>IF(OR(INDEX($L$2:$L$1001,MATCH(ROWS($K$2:K421),$K$2:$K$1001,0),1)&gt;=100000,INDEX($R$1005:$W$1005,1,MATCH(COLUMNS($R$1006:S1006),$R$1006:$W$1006,0))&gt;=100000), " ",IF(INDEX($R$2:$W$1001,MATCH(ROWS($K$2:K421),$K$2:$K$1001,0),MATCH(COLUMNS($R$1006:S1006),$R$1006:$W$1006,0)), HYPERLINK("#",""), HYPERLINK(CONCATENATE("#Metadata!", ADDRESS(INDEX($M$2:$M$1001,MATCH(ROWS($K$2:K421),$K$2:$K$1001,0),0), INDEX($R$1004:$W$1004,1,MATCH(COLUMNS($R$1006:S1006),$R$1006:$W$1006,0)))),"Fix")))</f>
        <v>0</v>
      </c>
      <c r="D421" s="3">
        <f>IF(OR(INDEX($L$2:$L$1001,MATCH(ROWS($K$2:K421),$K$2:$K$1001,0),1)&gt;=100000,INDEX($R$1005:$W$1005,1,MATCH(COLUMNS($R$1006:T1006),$R$1006:$W$1006,0))&gt;=100000), " ",IF(INDEX($R$2:$W$1001,MATCH(ROWS($K$2:K421),$K$2:$K$1001,0),MATCH(COLUMNS($R$1006:T1006),$R$1006:$W$1006,0)), HYPERLINK("#",""), HYPERLINK(CONCATENATE("#Metadata!", ADDRESS(INDEX($M$2:$M$1001,MATCH(ROWS($K$2:K421),$K$2:$K$1001,0),0), INDEX($R$1004:$W$1004,1,MATCH(COLUMNS($R$1006:T1006),$R$1006:$W$1006,0)))),"Fix")))</f>
        <v>0</v>
      </c>
      <c r="E421" s="3">
        <f>IF(OR(INDEX($L$2:$L$1001,MATCH(ROWS($K$2:K421),$K$2:$K$1001,0),1)&gt;=100000,INDEX($R$1005:$W$1005,1,MATCH(COLUMNS($R$1006:U1006),$R$1006:$W$1006,0))&gt;=100000), " ",IF(INDEX($R$2:$W$1001,MATCH(ROWS($K$2:K421),$K$2:$K$1001,0),MATCH(COLUMNS($R$1006:U1006),$R$1006:$W$1006,0)), HYPERLINK("#",""), HYPERLINK(CONCATENATE("#Metadata!", ADDRESS(INDEX($M$2:$M$1001,MATCH(ROWS($K$2:K421),$K$2:$K$1001,0),0), INDEX($R$1004:$W$1004,1,MATCH(COLUMNS($R$1006:U1006),$R$1006:$W$1006,0)))),"Fix")))</f>
        <v>0</v>
      </c>
      <c r="F421" s="3">
        <f>IF(OR(INDEX($L$2:$L$1001,MATCH(ROWS($K$2:K421),$K$2:$K$1001,0),1)&gt;=100000,INDEX($R$1005:$W$1005,1,MATCH(COLUMNS($R$1006:V1006),$R$1006:$W$1006,0))&gt;=100000), " ",IF(INDEX($R$2:$W$1001,MATCH(ROWS($K$2:K421),$K$2:$K$1001,0),MATCH(COLUMNS($R$1006:V1006),$R$1006:$W$1006,0)), HYPERLINK("#",""), HYPERLINK(CONCATENATE("#Metadata!", ADDRESS(INDEX($M$2:$M$1001,MATCH(ROWS($K$2:K421),$K$2:$K$1001,0),0), INDEX($R$1004:$W$1004,1,MATCH(COLUMNS($R$1006:V1006),$R$1006:$W$1006,0)))),"Fix")))</f>
        <v>0</v>
      </c>
      <c r="G421" s="3">
        <f>IF(OR(INDEX($L$2:$L$1001,MATCH(ROWS($K$2:K421),$K$2:$K$1001,0),1)&gt;=100000,INDEX($R$1005:$W$1005,1,MATCH(COLUMNS($R$1006:W1006),$R$1006:$W$1006,0))&gt;=100000), " ",IF(INDEX($R$2:$W$1001,MATCH(ROWS($K$2:K421),$K$2:$K$1001,0),MATCH(COLUMNS($R$1006:W1006),$R$1006:$W$1006,0)), HYPERLINK("#",""), HYPERLINK(CONCATENATE("#Metadata!", ADDRESS(INDEX($M$2:$M$1001,MATCH(ROWS($K$2:K421),$K$2:$K$1001,0),0), INDEX($R$1004:$W$1004,1,MATCH(COLUMNS($R$1006:W1006),$R$1006:$W$1006,0)))),"Fix")))</f>
        <v>0</v>
      </c>
      <c r="K421">
        <v>0</v>
      </c>
      <c r="L421">
        <v>0</v>
      </c>
      <c r="M421">
        <v>0</v>
      </c>
      <c r="N421">
        <f>IF(O421,TRUE,AND(R421:W421))</f>
        <v>0</v>
      </c>
      <c r="O421">
        <f>COUNTBLANK(Metadata!B421:G421)=COLUMNS(Metadata!B421:G421)</f>
        <v>0</v>
      </c>
      <c r="P421">
        <v>0</v>
      </c>
      <c r="R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S421">
        <f>IF(Metadata!C421="",FALSE,TRUE)</f>
        <v>0</v>
      </c>
      <c r="T421">
        <f>IF(Metadata!D421="",FALSE,TRUE)</f>
        <v>0</v>
      </c>
      <c r="U421">
        <f>IF(Metadata!E421="",FALSE,TRUE)</f>
        <v>0</v>
      </c>
      <c r="V421">
        <f>AND(IF(Metadata!F421="",FALSE,TRUE),exact(Metadata!F421,"rat gut metagenome"))</f>
        <v>0</v>
      </c>
      <c r="W421">
        <f>AND(IF(Metadata!G421="",FALSE,TRUE),exact(Metadata!G421,"1436733"))</f>
        <v>0</v>
      </c>
    </row>
    <row r="422" spans="1:23">
      <c r="A422" s="4">
        <f>IF(B422=" "," ",HYPERLINK(CONCATENATE("#metadata!",ADDRESS(INDEX($M$2:$M$1001,MATCH(ROWS($K$2:K422),$K$2:$K$1001,0),0),1)),INDEX($P$2:$P$1001,MATCH(ROWS($K$2:K422),$K$2:$K$1001,0),0)))</f>
        <v>0</v>
      </c>
      <c r="B422" s="3">
        <f>IF(OR(INDEX($L$2:$L$1001,MATCH(ROWS($K$2:K422),$K$2:$K$1001,0),1)&gt;=100000,INDEX($R$1005:$W$1005,1,MATCH(COLUMNS($R$1006:R1006),$R$1006:$W$1006,0))&gt;=100000), " ",IF(INDEX($R$2:$W$1001,MATCH(ROWS($K$2:K422),$K$2:$K$1001,0),MATCH(COLUMNS($R$1006:R1006),$R$1006:$W$1006,0)), HYPERLINK("#",""), HYPERLINK(CONCATENATE("#Metadata!", ADDRESS(INDEX($M$2:$M$1001,MATCH(ROWS($K$2:K422),$K$2:$K$1001,0),0), INDEX($R$1004:$W$1004,1,MATCH(COLUMNS($R$1006:R1006),$R$1006:$W$1006,0)))),"Fix")))</f>
        <v>0</v>
      </c>
      <c r="C422" s="3">
        <f>IF(OR(INDEX($L$2:$L$1001,MATCH(ROWS($K$2:K422),$K$2:$K$1001,0),1)&gt;=100000,INDEX($R$1005:$W$1005,1,MATCH(COLUMNS($R$1006:S1006),$R$1006:$W$1006,0))&gt;=100000), " ",IF(INDEX($R$2:$W$1001,MATCH(ROWS($K$2:K422),$K$2:$K$1001,0),MATCH(COLUMNS($R$1006:S1006),$R$1006:$W$1006,0)), HYPERLINK("#",""), HYPERLINK(CONCATENATE("#Metadata!", ADDRESS(INDEX($M$2:$M$1001,MATCH(ROWS($K$2:K422),$K$2:$K$1001,0),0), INDEX($R$1004:$W$1004,1,MATCH(COLUMNS($R$1006:S1006),$R$1006:$W$1006,0)))),"Fix")))</f>
        <v>0</v>
      </c>
      <c r="D422" s="3">
        <f>IF(OR(INDEX($L$2:$L$1001,MATCH(ROWS($K$2:K422),$K$2:$K$1001,0),1)&gt;=100000,INDEX($R$1005:$W$1005,1,MATCH(COLUMNS($R$1006:T1006),$R$1006:$W$1006,0))&gt;=100000), " ",IF(INDEX($R$2:$W$1001,MATCH(ROWS($K$2:K422),$K$2:$K$1001,0),MATCH(COLUMNS($R$1006:T1006),$R$1006:$W$1006,0)), HYPERLINK("#",""), HYPERLINK(CONCATENATE("#Metadata!", ADDRESS(INDEX($M$2:$M$1001,MATCH(ROWS($K$2:K422),$K$2:$K$1001,0),0), INDEX($R$1004:$W$1004,1,MATCH(COLUMNS($R$1006:T1006),$R$1006:$W$1006,0)))),"Fix")))</f>
        <v>0</v>
      </c>
      <c r="E422" s="3">
        <f>IF(OR(INDEX($L$2:$L$1001,MATCH(ROWS($K$2:K422),$K$2:$K$1001,0),1)&gt;=100000,INDEX($R$1005:$W$1005,1,MATCH(COLUMNS($R$1006:U1006),$R$1006:$W$1006,0))&gt;=100000), " ",IF(INDEX($R$2:$W$1001,MATCH(ROWS($K$2:K422),$K$2:$K$1001,0),MATCH(COLUMNS($R$1006:U1006),$R$1006:$W$1006,0)), HYPERLINK("#",""), HYPERLINK(CONCATENATE("#Metadata!", ADDRESS(INDEX($M$2:$M$1001,MATCH(ROWS($K$2:K422),$K$2:$K$1001,0),0), INDEX($R$1004:$W$1004,1,MATCH(COLUMNS($R$1006:U1006),$R$1006:$W$1006,0)))),"Fix")))</f>
        <v>0</v>
      </c>
      <c r="F422" s="3">
        <f>IF(OR(INDEX($L$2:$L$1001,MATCH(ROWS($K$2:K422),$K$2:$K$1001,0),1)&gt;=100000,INDEX($R$1005:$W$1005,1,MATCH(COLUMNS($R$1006:V1006),$R$1006:$W$1006,0))&gt;=100000), " ",IF(INDEX($R$2:$W$1001,MATCH(ROWS($K$2:K422),$K$2:$K$1001,0),MATCH(COLUMNS($R$1006:V1006),$R$1006:$W$1006,0)), HYPERLINK("#",""), HYPERLINK(CONCATENATE("#Metadata!", ADDRESS(INDEX($M$2:$M$1001,MATCH(ROWS($K$2:K422),$K$2:$K$1001,0),0), INDEX($R$1004:$W$1004,1,MATCH(COLUMNS($R$1006:V1006),$R$1006:$W$1006,0)))),"Fix")))</f>
        <v>0</v>
      </c>
      <c r="G422" s="3">
        <f>IF(OR(INDEX($L$2:$L$1001,MATCH(ROWS($K$2:K422),$K$2:$K$1001,0),1)&gt;=100000,INDEX($R$1005:$W$1005,1,MATCH(COLUMNS($R$1006:W1006),$R$1006:$W$1006,0))&gt;=100000), " ",IF(INDEX($R$2:$W$1001,MATCH(ROWS($K$2:K422),$K$2:$K$1001,0),MATCH(COLUMNS($R$1006:W1006),$R$1006:$W$1006,0)), HYPERLINK("#",""), HYPERLINK(CONCATENATE("#Metadata!", ADDRESS(INDEX($M$2:$M$1001,MATCH(ROWS($K$2:K422),$K$2:$K$1001,0),0), INDEX($R$1004:$W$1004,1,MATCH(COLUMNS($R$1006:W1006),$R$1006:$W$1006,0)))),"Fix")))</f>
        <v>0</v>
      </c>
      <c r="K422">
        <v>0</v>
      </c>
      <c r="L422">
        <v>0</v>
      </c>
      <c r="M422">
        <v>0</v>
      </c>
      <c r="N422">
        <f>IF(O422,TRUE,AND(R422:W422))</f>
        <v>0</v>
      </c>
      <c r="O422">
        <f>COUNTBLANK(Metadata!B422:G422)=COLUMNS(Metadata!B422:G422)</f>
        <v>0</v>
      </c>
      <c r="P422">
        <v>0</v>
      </c>
      <c r="R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S422">
        <f>IF(Metadata!C422="",FALSE,TRUE)</f>
        <v>0</v>
      </c>
      <c r="T422">
        <f>IF(Metadata!D422="",FALSE,TRUE)</f>
        <v>0</v>
      </c>
      <c r="U422">
        <f>IF(Metadata!E422="",FALSE,TRUE)</f>
        <v>0</v>
      </c>
      <c r="V422">
        <f>AND(IF(Metadata!F422="",FALSE,TRUE),exact(Metadata!F422,"rat gut metagenome"))</f>
        <v>0</v>
      </c>
      <c r="W422">
        <f>AND(IF(Metadata!G422="",FALSE,TRUE),exact(Metadata!G422,"1436733"))</f>
        <v>0</v>
      </c>
    </row>
    <row r="423" spans="1:23">
      <c r="A423" s="4">
        <f>IF(B423=" "," ",HYPERLINK(CONCATENATE("#metadata!",ADDRESS(INDEX($M$2:$M$1001,MATCH(ROWS($K$2:K423),$K$2:$K$1001,0),0),1)),INDEX($P$2:$P$1001,MATCH(ROWS($K$2:K423),$K$2:$K$1001,0),0)))</f>
        <v>0</v>
      </c>
      <c r="B423" s="3">
        <f>IF(OR(INDEX($L$2:$L$1001,MATCH(ROWS($K$2:K423),$K$2:$K$1001,0),1)&gt;=100000,INDEX($R$1005:$W$1005,1,MATCH(COLUMNS($R$1006:R1006),$R$1006:$W$1006,0))&gt;=100000), " ",IF(INDEX($R$2:$W$1001,MATCH(ROWS($K$2:K423),$K$2:$K$1001,0),MATCH(COLUMNS($R$1006:R1006),$R$1006:$W$1006,0)), HYPERLINK("#",""), HYPERLINK(CONCATENATE("#Metadata!", ADDRESS(INDEX($M$2:$M$1001,MATCH(ROWS($K$2:K423),$K$2:$K$1001,0),0), INDEX($R$1004:$W$1004,1,MATCH(COLUMNS($R$1006:R1006),$R$1006:$W$1006,0)))),"Fix")))</f>
        <v>0</v>
      </c>
      <c r="C423" s="3">
        <f>IF(OR(INDEX($L$2:$L$1001,MATCH(ROWS($K$2:K423),$K$2:$K$1001,0),1)&gt;=100000,INDEX($R$1005:$W$1005,1,MATCH(COLUMNS($R$1006:S1006),$R$1006:$W$1006,0))&gt;=100000), " ",IF(INDEX($R$2:$W$1001,MATCH(ROWS($K$2:K423),$K$2:$K$1001,0),MATCH(COLUMNS($R$1006:S1006),$R$1006:$W$1006,0)), HYPERLINK("#",""), HYPERLINK(CONCATENATE("#Metadata!", ADDRESS(INDEX($M$2:$M$1001,MATCH(ROWS($K$2:K423),$K$2:$K$1001,0),0), INDEX($R$1004:$W$1004,1,MATCH(COLUMNS($R$1006:S1006),$R$1006:$W$1006,0)))),"Fix")))</f>
        <v>0</v>
      </c>
      <c r="D423" s="3">
        <f>IF(OR(INDEX($L$2:$L$1001,MATCH(ROWS($K$2:K423),$K$2:$K$1001,0),1)&gt;=100000,INDEX($R$1005:$W$1005,1,MATCH(COLUMNS($R$1006:T1006),$R$1006:$W$1006,0))&gt;=100000), " ",IF(INDEX($R$2:$W$1001,MATCH(ROWS($K$2:K423),$K$2:$K$1001,0),MATCH(COLUMNS($R$1006:T1006),$R$1006:$W$1006,0)), HYPERLINK("#",""), HYPERLINK(CONCATENATE("#Metadata!", ADDRESS(INDEX($M$2:$M$1001,MATCH(ROWS($K$2:K423),$K$2:$K$1001,0),0), INDEX($R$1004:$W$1004,1,MATCH(COLUMNS($R$1006:T1006),$R$1006:$W$1006,0)))),"Fix")))</f>
        <v>0</v>
      </c>
      <c r="E423" s="3">
        <f>IF(OR(INDEX($L$2:$L$1001,MATCH(ROWS($K$2:K423),$K$2:$K$1001,0),1)&gt;=100000,INDEX($R$1005:$W$1005,1,MATCH(COLUMNS($R$1006:U1006),$R$1006:$W$1006,0))&gt;=100000), " ",IF(INDEX($R$2:$W$1001,MATCH(ROWS($K$2:K423),$K$2:$K$1001,0),MATCH(COLUMNS($R$1006:U1006),$R$1006:$W$1006,0)), HYPERLINK("#",""), HYPERLINK(CONCATENATE("#Metadata!", ADDRESS(INDEX($M$2:$M$1001,MATCH(ROWS($K$2:K423),$K$2:$K$1001,0),0), INDEX($R$1004:$W$1004,1,MATCH(COLUMNS($R$1006:U1006),$R$1006:$W$1006,0)))),"Fix")))</f>
        <v>0</v>
      </c>
      <c r="F423" s="3">
        <f>IF(OR(INDEX($L$2:$L$1001,MATCH(ROWS($K$2:K423),$K$2:$K$1001,0),1)&gt;=100000,INDEX($R$1005:$W$1005,1,MATCH(COLUMNS($R$1006:V1006),$R$1006:$W$1006,0))&gt;=100000), " ",IF(INDEX($R$2:$W$1001,MATCH(ROWS($K$2:K423),$K$2:$K$1001,0),MATCH(COLUMNS($R$1006:V1006),$R$1006:$W$1006,0)), HYPERLINK("#",""), HYPERLINK(CONCATENATE("#Metadata!", ADDRESS(INDEX($M$2:$M$1001,MATCH(ROWS($K$2:K423),$K$2:$K$1001,0),0), INDEX($R$1004:$W$1004,1,MATCH(COLUMNS($R$1006:V1006),$R$1006:$W$1006,0)))),"Fix")))</f>
        <v>0</v>
      </c>
      <c r="G423" s="3">
        <f>IF(OR(INDEX($L$2:$L$1001,MATCH(ROWS($K$2:K423),$K$2:$K$1001,0),1)&gt;=100000,INDEX($R$1005:$W$1005,1,MATCH(COLUMNS($R$1006:W1006),$R$1006:$W$1006,0))&gt;=100000), " ",IF(INDEX($R$2:$W$1001,MATCH(ROWS($K$2:K423),$K$2:$K$1001,0),MATCH(COLUMNS($R$1006:W1006),$R$1006:$W$1006,0)), HYPERLINK("#",""), HYPERLINK(CONCATENATE("#Metadata!", ADDRESS(INDEX($M$2:$M$1001,MATCH(ROWS($K$2:K423),$K$2:$K$1001,0),0), INDEX($R$1004:$W$1004,1,MATCH(COLUMNS($R$1006:W1006),$R$1006:$W$1006,0)))),"Fix")))</f>
        <v>0</v>
      </c>
      <c r="K423">
        <v>0</v>
      </c>
      <c r="L423">
        <v>0</v>
      </c>
      <c r="M423">
        <v>0</v>
      </c>
      <c r="N423">
        <f>IF(O423,TRUE,AND(R423:W423))</f>
        <v>0</v>
      </c>
      <c r="O423">
        <f>COUNTBLANK(Metadata!B423:G423)=COLUMNS(Metadata!B423:G423)</f>
        <v>0</v>
      </c>
      <c r="P423">
        <v>0</v>
      </c>
      <c r="R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S423">
        <f>IF(Metadata!C423="",FALSE,TRUE)</f>
        <v>0</v>
      </c>
      <c r="T423">
        <f>IF(Metadata!D423="",FALSE,TRUE)</f>
        <v>0</v>
      </c>
      <c r="U423">
        <f>IF(Metadata!E423="",FALSE,TRUE)</f>
        <v>0</v>
      </c>
      <c r="V423">
        <f>AND(IF(Metadata!F423="",FALSE,TRUE),exact(Metadata!F423,"rat gut metagenome"))</f>
        <v>0</v>
      </c>
      <c r="W423">
        <f>AND(IF(Metadata!G423="",FALSE,TRUE),exact(Metadata!G423,"1436733"))</f>
        <v>0</v>
      </c>
    </row>
    <row r="424" spans="1:23">
      <c r="A424" s="4">
        <f>IF(B424=" "," ",HYPERLINK(CONCATENATE("#metadata!",ADDRESS(INDEX($M$2:$M$1001,MATCH(ROWS($K$2:K424),$K$2:$K$1001,0),0),1)),INDEX($P$2:$P$1001,MATCH(ROWS($K$2:K424),$K$2:$K$1001,0),0)))</f>
        <v>0</v>
      </c>
      <c r="B424" s="3">
        <f>IF(OR(INDEX($L$2:$L$1001,MATCH(ROWS($K$2:K424),$K$2:$K$1001,0),1)&gt;=100000,INDEX($R$1005:$W$1005,1,MATCH(COLUMNS($R$1006:R1006),$R$1006:$W$1006,0))&gt;=100000), " ",IF(INDEX($R$2:$W$1001,MATCH(ROWS($K$2:K424),$K$2:$K$1001,0),MATCH(COLUMNS($R$1006:R1006),$R$1006:$W$1006,0)), HYPERLINK("#",""), HYPERLINK(CONCATENATE("#Metadata!", ADDRESS(INDEX($M$2:$M$1001,MATCH(ROWS($K$2:K424),$K$2:$K$1001,0),0), INDEX($R$1004:$W$1004,1,MATCH(COLUMNS($R$1006:R1006),$R$1006:$W$1006,0)))),"Fix")))</f>
        <v>0</v>
      </c>
      <c r="C424" s="3">
        <f>IF(OR(INDEX($L$2:$L$1001,MATCH(ROWS($K$2:K424),$K$2:$K$1001,0),1)&gt;=100000,INDEX($R$1005:$W$1005,1,MATCH(COLUMNS($R$1006:S1006),$R$1006:$W$1006,0))&gt;=100000), " ",IF(INDEX($R$2:$W$1001,MATCH(ROWS($K$2:K424),$K$2:$K$1001,0),MATCH(COLUMNS($R$1006:S1006),$R$1006:$W$1006,0)), HYPERLINK("#",""), HYPERLINK(CONCATENATE("#Metadata!", ADDRESS(INDEX($M$2:$M$1001,MATCH(ROWS($K$2:K424),$K$2:$K$1001,0),0), INDEX($R$1004:$W$1004,1,MATCH(COLUMNS($R$1006:S1006),$R$1006:$W$1006,0)))),"Fix")))</f>
        <v>0</v>
      </c>
      <c r="D424" s="3">
        <f>IF(OR(INDEX($L$2:$L$1001,MATCH(ROWS($K$2:K424),$K$2:$K$1001,0),1)&gt;=100000,INDEX($R$1005:$W$1005,1,MATCH(COLUMNS($R$1006:T1006),$R$1006:$W$1006,0))&gt;=100000), " ",IF(INDEX($R$2:$W$1001,MATCH(ROWS($K$2:K424),$K$2:$K$1001,0),MATCH(COLUMNS($R$1006:T1006),$R$1006:$W$1006,0)), HYPERLINK("#",""), HYPERLINK(CONCATENATE("#Metadata!", ADDRESS(INDEX($M$2:$M$1001,MATCH(ROWS($K$2:K424),$K$2:$K$1001,0),0), INDEX($R$1004:$W$1004,1,MATCH(COLUMNS($R$1006:T1006),$R$1006:$W$1006,0)))),"Fix")))</f>
        <v>0</v>
      </c>
      <c r="E424" s="3">
        <f>IF(OR(INDEX($L$2:$L$1001,MATCH(ROWS($K$2:K424),$K$2:$K$1001,0),1)&gt;=100000,INDEX($R$1005:$W$1005,1,MATCH(COLUMNS($R$1006:U1006),$R$1006:$W$1006,0))&gt;=100000), " ",IF(INDEX($R$2:$W$1001,MATCH(ROWS($K$2:K424),$K$2:$K$1001,0),MATCH(COLUMNS($R$1006:U1006),$R$1006:$W$1006,0)), HYPERLINK("#",""), HYPERLINK(CONCATENATE("#Metadata!", ADDRESS(INDEX($M$2:$M$1001,MATCH(ROWS($K$2:K424),$K$2:$K$1001,0),0), INDEX($R$1004:$W$1004,1,MATCH(COLUMNS($R$1006:U1006),$R$1006:$W$1006,0)))),"Fix")))</f>
        <v>0</v>
      </c>
      <c r="F424" s="3">
        <f>IF(OR(INDEX($L$2:$L$1001,MATCH(ROWS($K$2:K424),$K$2:$K$1001,0),1)&gt;=100000,INDEX($R$1005:$W$1005,1,MATCH(COLUMNS($R$1006:V1006),$R$1006:$W$1006,0))&gt;=100000), " ",IF(INDEX($R$2:$W$1001,MATCH(ROWS($K$2:K424),$K$2:$K$1001,0),MATCH(COLUMNS($R$1006:V1006),$R$1006:$W$1006,0)), HYPERLINK("#",""), HYPERLINK(CONCATENATE("#Metadata!", ADDRESS(INDEX($M$2:$M$1001,MATCH(ROWS($K$2:K424),$K$2:$K$1001,0),0), INDEX($R$1004:$W$1004,1,MATCH(COLUMNS($R$1006:V1006),$R$1006:$W$1006,0)))),"Fix")))</f>
        <v>0</v>
      </c>
      <c r="G424" s="3">
        <f>IF(OR(INDEX($L$2:$L$1001,MATCH(ROWS($K$2:K424),$K$2:$K$1001,0),1)&gt;=100000,INDEX($R$1005:$W$1005,1,MATCH(COLUMNS($R$1006:W1006),$R$1006:$W$1006,0))&gt;=100000), " ",IF(INDEX($R$2:$W$1001,MATCH(ROWS($K$2:K424),$K$2:$K$1001,0),MATCH(COLUMNS($R$1006:W1006),$R$1006:$W$1006,0)), HYPERLINK("#",""), HYPERLINK(CONCATENATE("#Metadata!", ADDRESS(INDEX($M$2:$M$1001,MATCH(ROWS($K$2:K424),$K$2:$K$1001,0),0), INDEX($R$1004:$W$1004,1,MATCH(COLUMNS($R$1006:W1006),$R$1006:$W$1006,0)))),"Fix")))</f>
        <v>0</v>
      </c>
      <c r="K424">
        <v>0</v>
      </c>
      <c r="L424">
        <v>0</v>
      </c>
      <c r="M424">
        <v>0</v>
      </c>
      <c r="N424">
        <f>IF(O424,TRUE,AND(R424:W424))</f>
        <v>0</v>
      </c>
      <c r="O424">
        <f>COUNTBLANK(Metadata!B424:G424)=COLUMNS(Metadata!B424:G424)</f>
        <v>0</v>
      </c>
      <c r="P424">
        <v>0</v>
      </c>
      <c r="R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S424">
        <f>IF(Metadata!C424="",FALSE,TRUE)</f>
        <v>0</v>
      </c>
      <c r="T424">
        <f>IF(Metadata!D424="",FALSE,TRUE)</f>
        <v>0</v>
      </c>
      <c r="U424">
        <f>IF(Metadata!E424="",FALSE,TRUE)</f>
        <v>0</v>
      </c>
      <c r="V424">
        <f>AND(IF(Metadata!F424="",FALSE,TRUE),exact(Metadata!F424,"rat gut metagenome"))</f>
        <v>0</v>
      </c>
      <c r="W424">
        <f>AND(IF(Metadata!G424="",FALSE,TRUE),exact(Metadata!G424,"1436733"))</f>
        <v>0</v>
      </c>
    </row>
    <row r="425" spans="1:23">
      <c r="A425" s="4">
        <f>IF(B425=" "," ",HYPERLINK(CONCATENATE("#metadata!",ADDRESS(INDEX($M$2:$M$1001,MATCH(ROWS($K$2:K425),$K$2:$K$1001,0),0),1)),INDEX($P$2:$P$1001,MATCH(ROWS($K$2:K425),$K$2:$K$1001,0),0)))</f>
        <v>0</v>
      </c>
      <c r="B425" s="3">
        <f>IF(OR(INDEX($L$2:$L$1001,MATCH(ROWS($K$2:K425),$K$2:$K$1001,0),1)&gt;=100000,INDEX($R$1005:$W$1005,1,MATCH(COLUMNS($R$1006:R1006),$R$1006:$W$1006,0))&gt;=100000), " ",IF(INDEX($R$2:$W$1001,MATCH(ROWS($K$2:K425),$K$2:$K$1001,0),MATCH(COLUMNS($R$1006:R1006),$R$1006:$W$1006,0)), HYPERLINK("#",""), HYPERLINK(CONCATENATE("#Metadata!", ADDRESS(INDEX($M$2:$M$1001,MATCH(ROWS($K$2:K425),$K$2:$K$1001,0),0), INDEX($R$1004:$W$1004,1,MATCH(COLUMNS($R$1006:R1006),$R$1006:$W$1006,0)))),"Fix")))</f>
        <v>0</v>
      </c>
      <c r="C425" s="3">
        <f>IF(OR(INDEX($L$2:$L$1001,MATCH(ROWS($K$2:K425),$K$2:$K$1001,0),1)&gt;=100000,INDEX($R$1005:$W$1005,1,MATCH(COLUMNS($R$1006:S1006),$R$1006:$W$1006,0))&gt;=100000), " ",IF(INDEX($R$2:$W$1001,MATCH(ROWS($K$2:K425),$K$2:$K$1001,0),MATCH(COLUMNS($R$1006:S1006),$R$1006:$W$1006,0)), HYPERLINK("#",""), HYPERLINK(CONCATENATE("#Metadata!", ADDRESS(INDEX($M$2:$M$1001,MATCH(ROWS($K$2:K425),$K$2:$K$1001,0),0), INDEX($R$1004:$W$1004,1,MATCH(COLUMNS($R$1006:S1006),$R$1006:$W$1006,0)))),"Fix")))</f>
        <v>0</v>
      </c>
      <c r="D425" s="3">
        <f>IF(OR(INDEX($L$2:$L$1001,MATCH(ROWS($K$2:K425),$K$2:$K$1001,0),1)&gt;=100000,INDEX($R$1005:$W$1005,1,MATCH(COLUMNS($R$1006:T1006),$R$1006:$W$1006,0))&gt;=100000), " ",IF(INDEX($R$2:$W$1001,MATCH(ROWS($K$2:K425),$K$2:$K$1001,0),MATCH(COLUMNS($R$1006:T1006),$R$1006:$W$1006,0)), HYPERLINK("#",""), HYPERLINK(CONCATENATE("#Metadata!", ADDRESS(INDEX($M$2:$M$1001,MATCH(ROWS($K$2:K425),$K$2:$K$1001,0),0), INDEX($R$1004:$W$1004,1,MATCH(COLUMNS($R$1006:T1006),$R$1006:$W$1006,0)))),"Fix")))</f>
        <v>0</v>
      </c>
      <c r="E425" s="3">
        <f>IF(OR(INDEX($L$2:$L$1001,MATCH(ROWS($K$2:K425),$K$2:$K$1001,0),1)&gt;=100000,INDEX($R$1005:$W$1005,1,MATCH(COLUMNS($R$1006:U1006),$R$1006:$W$1006,0))&gt;=100000), " ",IF(INDEX($R$2:$W$1001,MATCH(ROWS($K$2:K425),$K$2:$K$1001,0),MATCH(COLUMNS($R$1006:U1006),$R$1006:$W$1006,0)), HYPERLINK("#",""), HYPERLINK(CONCATENATE("#Metadata!", ADDRESS(INDEX($M$2:$M$1001,MATCH(ROWS($K$2:K425),$K$2:$K$1001,0),0), INDEX($R$1004:$W$1004,1,MATCH(COLUMNS($R$1006:U1006),$R$1006:$W$1006,0)))),"Fix")))</f>
        <v>0</v>
      </c>
      <c r="F425" s="3">
        <f>IF(OR(INDEX($L$2:$L$1001,MATCH(ROWS($K$2:K425),$K$2:$K$1001,0),1)&gt;=100000,INDEX($R$1005:$W$1005,1,MATCH(COLUMNS($R$1006:V1006),$R$1006:$W$1006,0))&gt;=100000), " ",IF(INDEX($R$2:$W$1001,MATCH(ROWS($K$2:K425),$K$2:$K$1001,0),MATCH(COLUMNS($R$1006:V1006),$R$1006:$W$1006,0)), HYPERLINK("#",""), HYPERLINK(CONCATENATE("#Metadata!", ADDRESS(INDEX($M$2:$M$1001,MATCH(ROWS($K$2:K425),$K$2:$K$1001,0),0), INDEX($R$1004:$W$1004,1,MATCH(COLUMNS($R$1006:V1006),$R$1006:$W$1006,0)))),"Fix")))</f>
        <v>0</v>
      </c>
      <c r="G425" s="3">
        <f>IF(OR(INDEX($L$2:$L$1001,MATCH(ROWS($K$2:K425),$K$2:$K$1001,0),1)&gt;=100000,INDEX($R$1005:$W$1005,1,MATCH(COLUMNS($R$1006:W1006),$R$1006:$W$1006,0))&gt;=100000), " ",IF(INDEX($R$2:$W$1001,MATCH(ROWS($K$2:K425),$K$2:$K$1001,0),MATCH(COLUMNS($R$1006:W1006),$R$1006:$W$1006,0)), HYPERLINK("#",""), HYPERLINK(CONCATENATE("#Metadata!", ADDRESS(INDEX($M$2:$M$1001,MATCH(ROWS($K$2:K425),$K$2:$K$1001,0),0), INDEX($R$1004:$W$1004,1,MATCH(COLUMNS($R$1006:W1006),$R$1006:$W$1006,0)))),"Fix")))</f>
        <v>0</v>
      </c>
      <c r="K425">
        <v>0</v>
      </c>
      <c r="L425">
        <v>0</v>
      </c>
      <c r="M425">
        <v>0</v>
      </c>
      <c r="N425">
        <f>IF(O425,TRUE,AND(R425:W425))</f>
        <v>0</v>
      </c>
      <c r="O425">
        <f>COUNTBLANK(Metadata!B425:G425)=COLUMNS(Metadata!B425:G425)</f>
        <v>0</v>
      </c>
      <c r="P425">
        <v>0</v>
      </c>
      <c r="R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S425">
        <f>IF(Metadata!C425="",FALSE,TRUE)</f>
        <v>0</v>
      </c>
      <c r="T425">
        <f>IF(Metadata!D425="",FALSE,TRUE)</f>
        <v>0</v>
      </c>
      <c r="U425">
        <f>IF(Metadata!E425="",FALSE,TRUE)</f>
        <v>0</v>
      </c>
      <c r="V425">
        <f>AND(IF(Metadata!F425="",FALSE,TRUE),exact(Metadata!F425,"rat gut metagenome"))</f>
        <v>0</v>
      </c>
      <c r="W425">
        <f>AND(IF(Metadata!G425="",FALSE,TRUE),exact(Metadata!G425,"1436733"))</f>
        <v>0</v>
      </c>
    </row>
    <row r="426" spans="1:23">
      <c r="A426" s="4">
        <f>IF(B426=" "," ",HYPERLINK(CONCATENATE("#metadata!",ADDRESS(INDEX($M$2:$M$1001,MATCH(ROWS($K$2:K426),$K$2:$K$1001,0),0),1)),INDEX($P$2:$P$1001,MATCH(ROWS($K$2:K426),$K$2:$K$1001,0),0)))</f>
        <v>0</v>
      </c>
      <c r="B426" s="3">
        <f>IF(OR(INDEX($L$2:$L$1001,MATCH(ROWS($K$2:K426),$K$2:$K$1001,0),1)&gt;=100000,INDEX($R$1005:$W$1005,1,MATCH(COLUMNS($R$1006:R1006),$R$1006:$W$1006,0))&gt;=100000), " ",IF(INDEX($R$2:$W$1001,MATCH(ROWS($K$2:K426),$K$2:$K$1001,0),MATCH(COLUMNS($R$1006:R1006),$R$1006:$W$1006,0)), HYPERLINK("#",""), HYPERLINK(CONCATENATE("#Metadata!", ADDRESS(INDEX($M$2:$M$1001,MATCH(ROWS($K$2:K426),$K$2:$K$1001,0),0), INDEX($R$1004:$W$1004,1,MATCH(COLUMNS($R$1006:R1006),$R$1006:$W$1006,0)))),"Fix")))</f>
        <v>0</v>
      </c>
      <c r="C426" s="3">
        <f>IF(OR(INDEX($L$2:$L$1001,MATCH(ROWS($K$2:K426),$K$2:$K$1001,0),1)&gt;=100000,INDEX($R$1005:$W$1005,1,MATCH(COLUMNS($R$1006:S1006),$R$1006:$W$1006,0))&gt;=100000), " ",IF(INDEX($R$2:$W$1001,MATCH(ROWS($K$2:K426),$K$2:$K$1001,0),MATCH(COLUMNS($R$1006:S1006),$R$1006:$W$1006,0)), HYPERLINK("#",""), HYPERLINK(CONCATENATE("#Metadata!", ADDRESS(INDEX($M$2:$M$1001,MATCH(ROWS($K$2:K426),$K$2:$K$1001,0),0), INDEX($R$1004:$W$1004,1,MATCH(COLUMNS($R$1006:S1006),$R$1006:$W$1006,0)))),"Fix")))</f>
        <v>0</v>
      </c>
      <c r="D426" s="3">
        <f>IF(OR(INDEX($L$2:$L$1001,MATCH(ROWS($K$2:K426),$K$2:$K$1001,0),1)&gt;=100000,INDEX($R$1005:$W$1005,1,MATCH(COLUMNS($R$1006:T1006),$R$1006:$W$1006,0))&gt;=100000), " ",IF(INDEX($R$2:$W$1001,MATCH(ROWS($K$2:K426),$K$2:$K$1001,0),MATCH(COLUMNS($R$1006:T1006),$R$1006:$W$1006,0)), HYPERLINK("#",""), HYPERLINK(CONCATENATE("#Metadata!", ADDRESS(INDEX($M$2:$M$1001,MATCH(ROWS($K$2:K426),$K$2:$K$1001,0),0), INDEX($R$1004:$W$1004,1,MATCH(COLUMNS($R$1006:T1006),$R$1006:$W$1006,0)))),"Fix")))</f>
        <v>0</v>
      </c>
      <c r="E426" s="3">
        <f>IF(OR(INDEX($L$2:$L$1001,MATCH(ROWS($K$2:K426),$K$2:$K$1001,0),1)&gt;=100000,INDEX($R$1005:$W$1005,1,MATCH(COLUMNS($R$1006:U1006),$R$1006:$W$1006,0))&gt;=100000), " ",IF(INDEX($R$2:$W$1001,MATCH(ROWS($K$2:K426),$K$2:$K$1001,0),MATCH(COLUMNS($R$1006:U1006),$R$1006:$W$1006,0)), HYPERLINK("#",""), HYPERLINK(CONCATENATE("#Metadata!", ADDRESS(INDEX($M$2:$M$1001,MATCH(ROWS($K$2:K426),$K$2:$K$1001,0),0), INDEX($R$1004:$W$1004,1,MATCH(COLUMNS($R$1006:U1006),$R$1006:$W$1006,0)))),"Fix")))</f>
        <v>0</v>
      </c>
      <c r="F426" s="3">
        <f>IF(OR(INDEX($L$2:$L$1001,MATCH(ROWS($K$2:K426),$K$2:$K$1001,0),1)&gt;=100000,INDEX($R$1005:$W$1005,1,MATCH(COLUMNS($R$1006:V1006),$R$1006:$W$1006,0))&gt;=100000), " ",IF(INDEX($R$2:$W$1001,MATCH(ROWS($K$2:K426),$K$2:$K$1001,0),MATCH(COLUMNS($R$1006:V1006),$R$1006:$W$1006,0)), HYPERLINK("#",""), HYPERLINK(CONCATENATE("#Metadata!", ADDRESS(INDEX($M$2:$M$1001,MATCH(ROWS($K$2:K426),$K$2:$K$1001,0),0), INDEX($R$1004:$W$1004,1,MATCH(COLUMNS($R$1006:V1006),$R$1006:$W$1006,0)))),"Fix")))</f>
        <v>0</v>
      </c>
      <c r="G426" s="3">
        <f>IF(OR(INDEX($L$2:$L$1001,MATCH(ROWS($K$2:K426),$K$2:$K$1001,0),1)&gt;=100000,INDEX($R$1005:$W$1005,1,MATCH(COLUMNS($R$1006:W1006),$R$1006:$W$1006,0))&gt;=100000), " ",IF(INDEX($R$2:$W$1001,MATCH(ROWS($K$2:K426),$K$2:$K$1001,0),MATCH(COLUMNS($R$1006:W1006),$R$1006:$W$1006,0)), HYPERLINK("#",""), HYPERLINK(CONCATENATE("#Metadata!", ADDRESS(INDEX($M$2:$M$1001,MATCH(ROWS($K$2:K426),$K$2:$K$1001,0),0), INDEX($R$1004:$W$1004,1,MATCH(COLUMNS($R$1006:W1006),$R$1006:$W$1006,0)))),"Fix")))</f>
        <v>0</v>
      </c>
      <c r="K426">
        <v>0</v>
      </c>
      <c r="L426">
        <v>0</v>
      </c>
      <c r="M426">
        <v>0</v>
      </c>
      <c r="N426">
        <f>IF(O426,TRUE,AND(R426:W426))</f>
        <v>0</v>
      </c>
      <c r="O426">
        <f>COUNTBLANK(Metadata!B426:G426)=COLUMNS(Metadata!B426:G426)</f>
        <v>0</v>
      </c>
      <c r="P426">
        <v>0</v>
      </c>
      <c r="R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S426">
        <f>IF(Metadata!C426="",FALSE,TRUE)</f>
        <v>0</v>
      </c>
      <c r="T426">
        <f>IF(Metadata!D426="",FALSE,TRUE)</f>
        <v>0</v>
      </c>
      <c r="U426">
        <f>IF(Metadata!E426="",FALSE,TRUE)</f>
        <v>0</v>
      </c>
      <c r="V426">
        <f>AND(IF(Metadata!F426="",FALSE,TRUE),exact(Metadata!F426,"rat gut metagenome"))</f>
        <v>0</v>
      </c>
      <c r="W426">
        <f>AND(IF(Metadata!G426="",FALSE,TRUE),exact(Metadata!G426,"1436733"))</f>
        <v>0</v>
      </c>
    </row>
    <row r="427" spans="1:23">
      <c r="A427" s="4">
        <f>IF(B427=" "," ",HYPERLINK(CONCATENATE("#metadata!",ADDRESS(INDEX($M$2:$M$1001,MATCH(ROWS($K$2:K427),$K$2:$K$1001,0),0),1)),INDEX($P$2:$P$1001,MATCH(ROWS($K$2:K427),$K$2:$K$1001,0),0)))</f>
        <v>0</v>
      </c>
      <c r="B427" s="3">
        <f>IF(OR(INDEX($L$2:$L$1001,MATCH(ROWS($K$2:K427),$K$2:$K$1001,0),1)&gt;=100000,INDEX($R$1005:$W$1005,1,MATCH(COLUMNS($R$1006:R1006),$R$1006:$W$1006,0))&gt;=100000), " ",IF(INDEX($R$2:$W$1001,MATCH(ROWS($K$2:K427),$K$2:$K$1001,0),MATCH(COLUMNS($R$1006:R1006),$R$1006:$W$1006,0)), HYPERLINK("#",""), HYPERLINK(CONCATENATE("#Metadata!", ADDRESS(INDEX($M$2:$M$1001,MATCH(ROWS($K$2:K427),$K$2:$K$1001,0),0), INDEX($R$1004:$W$1004,1,MATCH(COLUMNS($R$1006:R1006),$R$1006:$W$1006,0)))),"Fix")))</f>
        <v>0</v>
      </c>
      <c r="C427" s="3">
        <f>IF(OR(INDEX($L$2:$L$1001,MATCH(ROWS($K$2:K427),$K$2:$K$1001,0),1)&gt;=100000,INDEX($R$1005:$W$1005,1,MATCH(COLUMNS($R$1006:S1006),$R$1006:$W$1006,0))&gt;=100000), " ",IF(INDEX($R$2:$W$1001,MATCH(ROWS($K$2:K427),$K$2:$K$1001,0),MATCH(COLUMNS($R$1006:S1006),$R$1006:$W$1006,0)), HYPERLINK("#",""), HYPERLINK(CONCATENATE("#Metadata!", ADDRESS(INDEX($M$2:$M$1001,MATCH(ROWS($K$2:K427),$K$2:$K$1001,0),0), INDEX($R$1004:$W$1004,1,MATCH(COLUMNS($R$1006:S1006),$R$1006:$W$1006,0)))),"Fix")))</f>
        <v>0</v>
      </c>
      <c r="D427" s="3">
        <f>IF(OR(INDEX($L$2:$L$1001,MATCH(ROWS($K$2:K427),$K$2:$K$1001,0),1)&gt;=100000,INDEX($R$1005:$W$1005,1,MATCH(COLUMNS($R$1006:T1006),$R$1006:$W$1006,0))&gt;=100000), " ",IF(INDEX($R$2:$W$1001,MATCH(ROWS($K$2:K427),$K$2:$K$1001,0),MATCH(COLUMNS($R$1006:T1006),$R$1006:$W$1006,0)), HYPERLINK("#",""), HYPERLINK(CONCATENATE("#Metadata!", ADDRESS(INDEX($M$2:$M$1001,MATCH(ROWS($K$2:K427),$K$2:$K$1001,0),0), INDEX($R$1004:$W$1004,1,MATCH(COLUMNS($R$1006:T1006),$R$1006:$W$1006,0)))),"Fix")))</f>
        <v>0</v>
      </c>
      <c r="E427" s="3">
        <f>IF(OR(INDEX($L$2:$L$1001,MATCH(ROWS($K$2:K427),$K$2:$K$1001,0),1)&gt;=100000,INDEX($R$1005:$W$1005,1,MATCH(COLUMNS($R$1006:U1006),$R$1006:$W$1006,0))&gt;=100000), " ",IF(INDEX($R$2:$W$1001,MATCH(ROWS($K$2:K427),$K$2:$K$1001,0),MATCH(COLUMNS($R$1006:U1006),$R$1006:$W$1006,0)), HYPERLINK("#",""), HYPERLINK(CONCATENATE("#Metadata!", ADDRESS(INDEX($M$2:$M$1001,MATCH(ROWS($K$2:K427),$K$2:$K$1001,0),0), INDEX($R$1004:$W$1004,1,MATCH(COLUMNS($R$1006:U1006),$R$1006:$W$1006,0)))),"Fix")))</f>
        <v>0</v>
      </c>
      <c r="F427" s="3">
        <f>IF(OR(INDEX($L$2:$L$1001,MATCH(ROWS($K$2:K427),$K$2:$K$1001,0),1)&gt;=100000,INDEX($R$1005:$W$1005,1,MATCH(COLUMNS($R$1006:V1006),$R$1006:$W$1006,0))&gt;=100000), " ",IF(INDEX($R$2:$W$1001,MATCH(ROWS($K$2:K427),$K$2:$K$1001,0),MATCH(COLUMNS($R$1006:V1006),$R$1006:$W$1006,0)), HYPERLINK("#",""), HYPERLINK(CONCATENATE("#Metadata!", ADDRESS(INDEX($M$2:$M$1001,MATCH(ROWS($K$2:K427),$K$2:$K$1001,0),0), INDEX($R$1004:$W$1004,1,MATCH(COLUMNS($R$1006:V1006),$R$1006:$W$1006,0)))),"Fix")))</f>
        <v>0</v>
      </c>
      <c r="G427" s="3">
        <f>IF(OR(INDEX($L$2:$L$1001,MATCH(ROWS($K$2:K427),$K$2:$K$1001,0),1)&gt;=100000,INDEX($R$1005:$W$1005,1,MATCH(COLUMNS($R$1006:W1006),$R$1006:$W$1006,0))&gt;=100000), " ",IF(INDEX($R$2:$W$1001,MATCH(ROWS($K$2:K427),$K$2:$K$1001,0),MATCH(COLUMNS($R$1006:W1006),$R$1006:$W$1006,0)), HYPERLINK("#",""), HYPERLINK(CONCATENATE("#Metadata!", ADDRESS(INDEX($M$2:$M$1001,MATCH(ROWS($K$2:K427),$K$2:$K$1001,0),0), INDEX($R$1004:$W$1004,1,MATCH(COLUMNS($R$1006:W1006),$R$1006:$W$1006,0)))),"Fix")))</f>
        <v>0</v>
      </c>
      <c r="K427">
        <v>0</v>
      </c>
      <c r="L427">
        <v>0</v>
      </c>
      <c r="M427">
        <v>0</v>
      </c>
      <c r="N427">
        <f>IF(O427,TRUE,AND(R427:W427))</f>
        <v>0</v>
      </c>
      <c r="O427">
        <f>COUNTBLANK(Metadata!B427:G427)=COLUMNS(Metadata!B427:G427)</f>
        <v>0</v>
      </c>
      <c r="P427">
        <v>0</v>
      </c>
      <c r="R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S427">
        <f>IF(Metadata!C427="",FALSE,TRUE)</f>
        <v>0</v>
      </c>
      <c r="T427">
        <f>IF(Metadata!D427="",FALSE,TRUE)</f>
        <v>0</v>
      </c>
      <c r="U427">
        <f>IF(Metadata!E427="",FALSE,TRUE)</f>
        <v>0</v>
      </c>
      <c r="V427">
        <f>AND(IF(Metadata!F427="",FALSE,TRUE),exact(Metadata!F427,"rat gut metagenome"))</f>
        <v>0</v>
      </c>
      <c r="W427">
        <f>AND(IF(Metadata!G427="",FALSE,TRUE),exact(Metadata!G427,"1436733"))</f>
        <v>0</v>
      </c>
    </row>
    <row r="428" spans="1:23">
      <c r="A428" s="4">
        <f>IF(B428=" "," ",HYPERLINK(CONCATENATE("#metadata!",ADDRESS(INDEX($M$2:$M$1001,MATCH(ROWS($K$2:K428),$K$2:$K$1001,0),0),1)),INDEX($P$2:$P$1001,MATCH(ROWS($K$2:K428),$K$2:$K$1001,0),0)))</f>
        <v>0</v>
      </c>
      <c r="B428" s="3">
        <f>IF(OR(INDEX($L$2:$L$1001,MATCH(ROWS($K$2:K428),$K$2:$K$1001,0),1)&gt;=100000,INDEX($R$1005:$W$1005,1,MATCH(COLUMNS($R$1006:R1006),$R$1006:$W$1006,0))&gt;=100000), " ",IF(INDEX($R$2:$W$1001,MATCH(ROWS($K$2:K428),$K$2:$K$1001,0),MATCH(COLUMNS($R$1006:R1006),$R$1006:$W$1006,0)), HYPERLINK("#",""), HYPERLINK(CONCATENATE("#Metadata!", ADDRESS(INDEX($M$2:$M$1001,MATCH(ROWS($K$2:K428),$K$2:$K$1001,0),0), INDEX($R$1004:$W$1004,1,MATCH(COLUMNS($R$1006:R1006),$R$1006:$W$1006,0)))),"Fix")))</f>
        <v>0</v>
      </c>
      <c r="C428" s="3">
        <f>IF(OR(INDEX($L$2:$L$1001,MATCH(ROWS($K$2:K428),$K$2:$K$1001,0),1)&gt;=100000,INDEX($R$1005:$W$1005,1,MATCH(COLUMNS($R$1006:S1006),$R$1006:$W$1006,0))&gt;=100000), " ",IF(INDEX($R$2:$W$1001,MATCH(ROWS($K$2:K428),$K$2:$K$1001,0),MATCH(COLUMNS($R$1006:S1006),$R$1006:$W$1006,0)), HYPERLINK("#",""), HYPERLINK(CONCATENATE("#Metadata!", ADDRESS(INDEX($M$2:$M$1001,MATCH(ROWS($K$2:K428),$K$2:$K$1001,0),0), INDEX($R$1004:$W$1004,1,MATCH(COLUMNS($R$1006:S1006),$R$1006:$W$1006,0)))),"Fix")))</f>
        <v>0</v>
      </c>
      <c r="D428" s="3">
        <f>IF(OR(INDEX($L$2:$L$1001,MATCH(ROWS($K$2:K428),$K$2:$K$1001,0),1)&gt;=100000,INDEX($R$1005:$W$1005,1,MATCH(COLUMNS($R$1006:T1006),$R$1006:$W$1006,0))&gt;=100000), " ",IF(INDEX($R$2:$W$1001,MATCH(ROWS($K$2:K428),$K$2:$K$1001,0),MATCH(COLUMNS($R$1006:T1006),$R$1006:$W$1006,0)), HYPERLINK("#",""), HYPERLINK(CONCATENATE("#Metadata!", ADDRESS(INDEX($M$2:$M$1001,MATCH(ROWS($K$2:K428),$K$2:$K$1001,0),0), INDEX($R$1004:$W$1004,1,MATCH(COLUMNS($R$1006:T1006),$R$1006:$W$1006,0)))),"Fix")))</f>
        <v>0</v>
      </c>
      <c r="E428" s="3">
        <f>IF(OR(INDEX($L$2:$L$1001,MATCH(ROWS($K$2:K428),$K$2:$K$1001,0),1)&gt;=100000,INDEX($R$1005:$W$1005,1,MATCH(COLUMNS($R$1006:U1006),$R$1006:$W$1006,0))&gt;=100000), " ",IF(INDEX($R$2:$W$1001,MATCH(ROWS($K$2:K428),$K$2:$K$1001,0),MATCH(COLUMNS($R$1006:U1006),$R$1006:$W$1006,0)), HYPERLINK("#",""), HYPERLINK(CONCATENATE("#Metadata!", ADDRESS(INDEX($M$2:$M$1001,MATCH(ROWS($K$2:K428),$K$2:$K$1001,0),0), INDEX($R$1004:$W$1004,1,MATCH(COLUMNS($R$1006:U1006),$R$1006:$W$1006,0)))),"Fix")))</f>
        <v>0</v>
      </c>
      <c r="F428" s="3">
        <f>IF(OR(INDEX($L$2:$L$1001,MATCH(ROWS($K$2:K428),$K$2:$K$1001,0),1)&gt;=100000,INDEX($R$1005:$W$1005,1,MATCH(COLUMNS($R$1006:V1006),$R$1006:$W$1006,0))&gt;=100000), " ",IF(INDEX($R$2:$W$1001,MATCH(ROWS($K$2:K428),$K$2:$K$1001,0),MATCH(COLUMNS($R$1006:V1006),$R$1006:$W$1006,0)), HYPERLINK("#",""), HYPERLINK(CONCATENATE("#Metadata!", ADDRESS(INDEX($M$2:$M$1001,MATCH(ROWS($K$2:K428),$K$2:$K$1001,0),0), INDEX($R$1004:$W$1004,1,MATCH(COLUMNS($R$1006:V1006),$R$1006:$W$1006,0)))),"Fix")))</f>
        <v>0</v>
      </c>
      <c r="G428" s="3">
        <f>IF(OR(INDEX($L$2:$L$1001,MATCH(ROWS($K$2:K428),$K$2:$K$1001,0),1)&gt;=100000,INDEX($R$1005:$W$1005,1,MATCH(COLUMNS($R$1006:W1006),$R$1006:$W$1006,0))&gt;=100000), " ",IF(INDEX($R$2:$W$1001,MATCH(ROWS($K$2:K428),$K$2:$K$1001,0),MATCH(COLUMNS($R$1006:W1006),$R$1006:$W$1006,0)), HYPERLINK("#",""), HYPERLINK(CONCATENATE("#Metadata!", ADDRESS(INDEX($M$2:$M$1001,MATCH(ROWS($K$2:K428),$K$2:$K$1001,0),0), INDEX($R$1004:$W$1004,1,MATCH(COLUMNS($R$1006:W1006),$R$1006:$W$1006,0)))),"Fix")))</f>
        <v>0</v>
      </c>
      <c r="K428">
        <v>0</v>
      </c>
      <c r="L428">
        <v>0</v>
      </c>
      <c r="M428">
        <v>0</v>
      </c>
      <c r="N428">
        <f>IF(O428,TRUE,AND(R428:W428))</f>
        <v>0</v>
      </c>
      <c r="O428">
        <f>COUNTBLANK(Metadata!B428:G428)=COLUMNS(Metadata!B428:G428)</f>
        <v>0</v>
      </c>
      <c r="P428">
        <v>0</v>
      </c>
      <c r="R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S428">
        <f>IF(Metadata!C428="",FALSE,TRUE)</f>
        <v>0</v>
      </c>
      <c r="T428">
        <f>IF(Metadata!D428="",FALSE,TRUE)</f>
        <v>0</v>
      </c>
      <c r="U428">
        <f>IF(Metadata!E428="",FALSE,TRUE)</f>
        <v>0</v>
      </c>
      <c r="V428">
        <f>AND(IF(Metadata!F428="",FALSE,TRUE),exact(Metadata!F428,"rat gut metagenome"))</f>
        <v>0</v>
      </c>
      <c r="W428">
        <f>AND(IF(Metadata!G428="",FALSE,TRUE),exact(Metadata!G428,"1436733"))</f>
        <v>0</v>
      </c>
    </row>
    <row r="429" spans="1:23">
      <c r="A429" s="4">
        <f>IF(B429=" "," ",HYPERLINK(CONCATENATE("#metadata!",ADDRESS(INDEX($M$2:$M$1001,MATCH(ROWS($K$2:K429),$K$2:$K$1001,0),0),1)),INDEX($P$2:$P$1001,MATCH(ROWS($K$2:K429),$K$2:$K$1001,0),0)))</f>
        <v>0</v>
      </c>
      <c r="B429" s="3">
        <f>IF(OR(INDEX($L$2:$L$1001,MATCH(ROWS($K$2:K429),$K$2:$K$1001,0),1)&gt;=100000,INDEX($R$1005:$W$1005,1,MATCH(COLUMNS($R$1006:R1006),$R$1006:$W$1006,0))&gt;=100000), " ",IF(INDEX($R$2:$W$1001,MATCH(ROWS($K$2:K429),$K$2:$K$1001,0),MATCH(COLUMNS($R$1006:R1006),$R$1006:$W$1006,0)), HYPERLINK("#",""), HYPERLINK(CONCATENATE("#Metadata!", ADDRESS(INDEX($M$2:$M$1001,MATCH(ROWS($K$2:K429),$K$2:$K$1001,0),0), INDEX($R$1004:$W$1004,1,MATCH(COLUMNS($R$1006:R1006),$R$1006:$W$1006,0)))),"Fix")))</f>
        <v>0</v>
      </c>
      <c r="C429" s="3">
        <f>IF(OR(INDEX($L$2:$L$1001,MATCH(ROWS($K$2:K429),$K$2:$K$1001,0),1)&gt;=100000,INDEX($R$1005:$W$1005,1,MATCH(COLUMNS($R$1006:S1006),$R$1006:$W$1006,0))&gt;=100000), " ",IF(INDEX($R$2:$W$1001,MATCH(ROWS($K$2:K429),$K$2:$K$1001,0),MATCH(COLUMNS($R$1006:S1006),$R$1006:$W$1006,0)), HYPERLINK("#",""), HYPERLINK(CONCATENATE("#Metadata!", ADDRESS(INDEX($M$2:$M$1001,MATCH(ROWS($K$2:K429),$K$2:$K$1001,0),0), INDEX($R$1004:$W$1004,1,MATCH(COLUMNS($R$1006:S1006),$R$1006:$W$1006,0)))),"Fix")))</f>
        <v>0</v>
      </c>
      <c r="D429" s="3">
        <f>IF(OR(INDEX($L$2:$L$1001,MATCH(ROWS($K$2:K429),$K$2:$K$1001,0),1)&gt;=100000,INDEX($R$1005:$W$1005,1,MATCH(COLUMNS($R$1006:T1006),$R$1006:$W$1006,0))&gt;=100000), " ",IF(INDEX($R$2:$W$1001,MATCH(ROWS($K$2:K429),$K$2:$K$1001,0),MATCH(COLUMNS($R$1006:T1006),$R$1006:$W$1006,0)), HYPERLINK("#",""), HYPERLINK(CONCATENATE("#Metadata!", ADDRESS(INDEX($M$2:$M$1001,MATCH(ROWS($K$2:K429),$K$2:$K$1001,0),0), INDEX($R$1004:$W$1004,1,MATCH(COLUMNS($R$1006:T1006),$R$1006:$W$1006,0)))),"Fix")))</f>
        <v>0</v>
      </c>
      <c r="E429" s="3">
        <f>IF(OR(INDEX($L$2:$L$1001,MATCH(ROWS($K$2:K429),$K$2:$K$1001,0),1)&gt;=100000,INDEX($R$1005:$W$1005,1,MATCH(COLUMNS($R$1006:U1006),$R$1006:$W$1006,0))&gt;=100000), " ",IF(INDEX($R$2:$W$1001,MATCH(ROWS($K$2:K429),$K$2:$K$1001,0),MATCH(COLUMNS($R$1006:U1006),$R$1006:$W$1006,0)), HYPERLINK("#",""), HYPERLINK(CONCATENATE("#Metadata!", ADDRESS(INDEX($M$2:$M$1001,MATCH(ROWS($K$2:K429),$K$2:$K$1001,0),0), INDEX($R$1004:$W$1004,1,MATCH(COLUMNS($R$1006:U1006),$R$1006:$W$1006,0)))),"Fix")))</f>
        <v>0</v>
      </c>
      <c r="F429" s="3">
        <f>IF(OR(INDEX($L$2:$L$1001,MATCH(ROWS($K$2:K429),$K$2:$K$1001,0),1)&gt;=100000,INDEX($R$1005:$W$1005,1,MATCH(COLUMNS($R$1006:V1006),$R$1006:$W$1006,0))&gt;=100000), " ",IF(INDEX($R$2:$W$1001,MATCH(ROWS($K$2:K429),$K$2:$K$1001,0),MATCH(COLUMNS($R$1006:V1006),$R$1006:$W$1006,0)), HYPERLINK("#",""), HYPERLINK(CONCATENATE("#Metadata!", ADDRESS(INDEX($M$2:$M$1001,MATCH(ROWS($K$2:K429),$K$2:$K$1001,0),0), INDEX($R$1004:$W$1004,1,MATCH(COLUMNS($R$1006:V1006),$R$1006:$W$1006,0)))),"Fix")))</f>
        <v>0</v>
      </c>
      <c r="G429" s="3">
        <f>IF(OR(INDEX($L$2:$L$1001,MATCH(ROWS($K$2:K429),$K$2:$K$1001,0),1)&gt;=100000,INDEX($R$1005:$W$1005,1,MATCH(COLUMNS($R$1006:W1006),$R$1006:$W$1006,0))&gt;=100000), " ",IF(INDEX($R$2:$W$1001,MATCH(ROWS($K$2:K429),$K$2:$K$1001,0),MATCH(COLUMNS($R$1006:W1006),$R$1006:$W$1006,0)), HYPERLINK("#",""), HYPERLINK(CONCATENATE("#Metadata!", ADDRESS(INDEX($M$2:$M$1001,MATCH(ROWS($K$2:K429),$K$2:$K$1001,0),0), INDEX($R$1004:$W$1004,1,MATCH(COLUMNS($R$1006:W1006),$R$1006:$W$1006,0)))),"Fix")))</f>
        <v>0</v>
      </c>
      <c r="K429">
        <v>0</v>
      </c>
      <c r="L429">
        <v>0</v>
      </c>
      <c r="M429">
        <v>0</v>
      </c>
      <c r="N429">
        <f>IF(O429,TRUE,AND(R429:W429))</f>
        <v>0</v>
      </c>
      <c r="O429">
        <f>COUNTBLANK(Metadata!B429:G429)=COLUMNS(Metadata!B429:G429)</f>
        <v>0</v>
      </c>
      <c r="P429">
        <v>0</v>
      </c>
      <c r="R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S429">
        <f>IF(Metadata!C429="",FALSE,TRUE)</f>
        <v>0</v>
      </c>
      <c r="T429">
        <f>IF(Metadata!D429="",FALSE,TRUE)</f>
        <v>0</v>
      </c>
      <c r="U429">
        <f>IF(Metadata!E429="",FALSE,TRUE)</f>
        <v>0</v>
      </c>
      <c r="V429">
        <f>AND(IF(Metadata!F429="",FALSE,TRUE),exact(Metadata!F429,"rat gut metagenome"))</f>
        <v>0</v>
      </c>
      <c r="W429">
        <f>AND(IF(Metadata!G429="",FALSE,TRUE),exact(Metadata!G429,"1436733"))</f>
        <v>0</v>
      </c>
    </row>
    <row r="430" spans="1:23">
      <c r="A430" s="4">
        <f>IF(B430=" "," ",HYPERLINK(CONCATENATE("#metadata!",ADDRESS(INDEX($M$2:$M$1001,MATCH(ROWS($K$2:K430),$K$2:$K$1001,0),0),1)),INDEX($P$2:$P$1001,MATCH(ROWS($K$2:K430),$K$2:$K$1001,0),0)))</f>
        <v>0</v>
      </c>
      <c r="B430" s="3">
        <f>IF(OR(INDEX($L$2:$L$1001,MATCH(ROWS($K$2:K430),$K$2:$K$1001,0),1)&gt;=100000,INDEX($R$1005:$W$1005,1,MATCH(COLUMNS($R$1006:R1006),$R$1006:$W$1006,0))&gt;=100000), " ",IF(INDEX($R$2:$W$1001,MATCH(ROWS($K$2:K430),$K$2:$K$1001,0),MATCH(COLUMNS($R$1006:R1006),$R$1006:$W$1006,0)), HYPERLINK("#",""), HYPERLINK(CONCATENATE("#Metadata!", ADDRESS(INDEX($M$2:$M$1001,MATCH(ROWS($K$2:K430),$K$2:$K$1001,0),0), INDEX($R$1004:$W$1004,1,MATCH(COLUMNS($R$1006:R1006),$R$1006:$W$1006,0)))),"Fix")))</f>
        <v>0</v>
      </c>
      <c r="C430" s="3">
        <f>IF(OR(INDEX($L$2:$L$1001,MATCH(ROWS($K$2:K430),$K$2:$K$1001,0),1)&gt;=100000,INDEX($R$1005:$W$1005,1,MATCH(COLUMNS($R$1006:S1006),$R$1006:$W$1006,0))&gt;=100000), " ",IF(INDEX($R$2:$W$1001,MATCH(ROWS($K$2:K430),$K$2:$K$1001,0),MATCH(COLUMNS($R$1006:S1006),$R$1006:$W$1006,0)), HYPERLINK("#",""), HYPERLINK(CONCATENATE("#Metadata!", ADDRESS(INDEX($M$2:$M$1001,MATCH(ROWS($K$2:K430),$K$2:$K$1001,0),0), INDEX($R$1004:$W$1004,1,MATCH(COLUMNS($R$1006:S1006),$R$1006:$W$1006,0)))),"Fix")))</f>
        <v>0</v>
      </c>
      <c r="D430" s="3">
        <f>IF(OR(INDEX($L$2:$L$1001,MATCH(ROWS($K$2:K430),$K$2:$K$1001,0),1)&gt;=100000,INDEX($R$1005:$W$1005,1,MATCH(COLUMNS($R$1006:T1006),$R$1006:$W$1006,0))&gt;=100000), " ",IF(INDEX($R$2:$W$1001,MATCH(ROWS($K$2:K430),$K$2:$K$1001,0),MATCH(COLUMNS($R$1006:T1006),$R$1006:$W$1006,0)), HYPERLINK("#",""), HYPERLINK(CONCATENATE("#Metadata!", ADDRESS(INDEX($M$2:$M$1001,MATCH(ROWS($K$2:K430),$K$2:$K$1001,0),0), INDEX($R$1004:$W$1004,1,MATCH(COLUMNS($R$1006:T1006),$R$1006:$W$1006,0)))),"Fix")))</f>
        <v>0</v>
      </c>
      <c r="E430" s="3">
        <f>IF(OR(INDEX($L$2:$L$1001,MATCH(ROWS($K$2:K430),$K$2:$K$1001,0),1)&gt;=100000,INDEX($R$1005:$W$1005,1,MATCH(COLUMNS($R$1006:U1006),$R$1006:$W$1006,0))&gt;=100000), " ",IF(INDEX($R$2:$W$1001,MATCH(ROWS($K$2:K430),$K$2:$K$1001,0),MATCH(COLUMNS($R$1006:U1006),$R$1006:$W$1006,0)), HYPERLINK("#",""), HYPERLINK(CONCATENATE("#Metadata!", ADDRESS(INDEX($M$2:$M$1001,MATCH(ROWS($K$2:K430),$K$2:$K$1001,0),0), INDEX($R$1004:$W$1004,1,MATCH(COLUMNS($R$1006:U1006),$R$1006:$W$1006,0)))),"Fix")))</f>
        <v>0</v>
      </c>
      <c r="F430" s="3">
        <f>IF(OR(INDEX($L$2:$L$1001,MATCH(ROWS($K$2:K430),$K$2:$K$1001,0),1)&gt;=100000,INDEX($R$1005:$W$1005,1,MATCH(COLUMNS($R$1006:V1006),$R$1006:$W$1006,0))&gt;=100000), " ",IF(INDEX($R$2:$W$1001,MATCH(ROWS($K$2:K430),$K$2:$K$1001,0),MATCH(COLUMNS($R$1006:V1006),$R$1006:$W$1006,0)), HYPERLINK("#",""), HYPERLINK(CONCATENATE("#Metadata!", ADDRESS(INDEX($M$2:$M$1001,MATCH(ROWS($K$2:K430),$K$2:$K$1001,0),0), INDEX($R$1004:$W$1004,1,MATCH(COLUMNS($R$1006:V1006),$R$1006:$W$1006,0)))),"Fix")))</f>
        <v>0</v>
      </c>
      <c r="G430" s="3">
        <f>IF(OR(INDEX($L$2:$L$1001,MATCH(ROWS($K$2:K430),$K$2:$K$1001,0),1)&gt;=100000,INDEX($R$1005:$W$1005,1,MATCH(COLUMNS($R$1006:W1006),$R$1006:$W$1006,0))&gt;=100000), " ",IF(INDEX($R$2:$W$1001,MATCH(ROWS($K$2:K430),$K$2:$K$1001,0),MATCH(COLUMNS($R$1006:W1006),$R$1006:$W$1006,0)), HYPERLINK("#",""), HYPERLINK(CONCATENATE("#Metadata!", ADDRESS(INDEX($M$2:$M$1001,MATCH(ROWS($K$2:K430),$K$2:$K$1001,0),0), INDEX($R$1004:$W$1004,1,MATCH(COLUMNS($R$1006:W1006),$R$1006:$W$1006,0)))),"Fix")))</f>
        <v>0</v>
      </c>
      <c r="K430">
        <v>0</v>
      </c>
      <c r="L430">
        <v>0</v>
      </c>
      <c r="M430">
        <v>0</v>
      </c>
      <c r="N430">
        <f>IF(O430,TRUE,AND(R430:W430))</f>
        <v>0</v>
      </c>
      <c r="O430">
        <f>COUNTBLANK(Metadata!B430:G430)=COLUMNS(Metadata!B430:G430)</f>
        <v>0</v>
      </c>
      <c r="P430">
        <v>0</v>
      </c>
      <c r="R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S430">
        <f>IF(Metadata!C430="",FALSE,TRUE)</f>
        <v>0</v>
      </c>
      <c r="T430">
        <f>IF(Metadata!D430="",FALSE,TRUE)</f>
        <v>0</v>
      </c>
      <c r="U430">
        <f>IF(Metadata!E430="",FALSE,TRUE)</f>
        <v>0</v>
      </c>
      <c r="V430">
        <f>AND(IF(Metadata!F430="",FALSE,TRUE),exact(Metadata!F430,"rat gut metagenome"))</f>
        <v>0</v>
      </c>
      <c r="W430">
        <f>AND(IF(Metadata!G430="",FALSE,TRUE),exact(Metadata!G430,"1436733"))</f>
        <v>0</v>
      </c>
    </row>
    <row r="431" spans="1:23">
      <c r="A431" s="4">
        <f>IF(B431=" "," ",HYPERLINK(CONCATENATE("#metadata!",ADDRESS(INDEX($M$2:$M$1001,MATCH(ROWS($K$2:K431),$K$2:$K$1001,0),0),1)),INDEX($P$2:$P$1001,MATCH(ROWS($K$2:K431),$K$2:$K$1001,0),0)))</f>
        <v>0</v>
      </c>
      <c r="B431" s="3">
        <f>IF(OR(INDEX($L$2:$L$1001,MATCH(ROWS($K$2:K431),$K$2:$K$1001,0),1)&gt;=100000,INDEX($R$1005:$W$1005,1,MATCH(COLUMNS($R$1006:R1006),$R$1006:$W$1006,0))&gt;=100000), " ",IF(INDEX($R$2:$W$1001,MATCH(ROWS($K$2:K431),$K$2:$K$1001,0),MATCH(COLUMNS($R$1006:R1006),$R$1006:$W$1006,0)), HYPERLINK("#",""), HYPERLINK(CONCATENATE("#Metadata!", ADDRESS(INDEX($M$2:$M$1001,MATCH(ROWS($K$2:K431),$K$2:$K$1001,0),0), INDEX($R$1004:$W$1004,1,MATCH(COLUMNS($R$1006:R1006),$R$1006:$W$1006,0)))),"Fix")))</f>
        <v>0</v>
      </c>
      <c r="C431" s="3">
        <f>IF(OR(INDEX($L$2:$L$1001,MATCH(ROWS($K$2:K431),$K$2:$K$1001,0),1)&gt;=100000,INDEX($R$1005:$W$1005,1,MATCH(COLUMNS($R$1006:S1006),$R$1006:$W$1006,0))&gt;=100000), " ",IF(INDEX($R$2:$W$1001,MATCH(ROWS($K$2:K431),$K$2:$K$1001,0),MATCH(COLUMNS($R$1006:S1006),$R$1006:$W$1006,0)), HYPERLINK("#",""), HYPERLINK(CONCATENATE("#Metadata!", ADDRESS(INDEX($M$2:$M$1001,MATCH(ROWS($K$2:K431),$K$2:$K$1001,0),0), INDEX($R$1004:$W$1004,1,MATCH(COLUMNS($R$1006:S1006),$R$1006:$W$1006,0)))),"Fix")))</f>
        <v>0</v>
      </c>
      <c r="D431" s="3">
        <f>IF(OR(INDEX($L$2:$L$1001,MATCH(ROWS($K$2:K431),$K$2:$K$1001,0),1)&gt;=100000,INDEX($R$1005:$W$1005,1,MATCH(COLUMNS($R$1006:T1006),$R$1006:$W$1006,0))&gt;=100000), " ",IF(INDEX($R$2:$W$1001,MATCH(ROWS($K$2:K431),$K$2:$K$1001,0),MATCH(COLUMNS($R$1006:T1006),$R$1006:$W$1006,0)), HYPERLINK("#",""), HYPERLINK(CONCATENATE("#Metadata!", ADDRESS(INDEX($M$2:$M$1001,MATCH(ROWS($K$2:K431),$K$2:$K$1001,0),0), INDEX($R$1004:$W$1004,1,MATCH(COLUMNS($R$1006:T1006),$R$1006:$W$1006,0)))),"Fix")))</f>
        <v>0</v>
      </c>
      <c r="E431" s="3">
        <f>IF(OR(INDEX($L$2:$L$1001,MATCH(ROWS($K$2:K431),$K$2:$K$1001,0),1)&gt;=100000,INDEX($R$1005:$W$1005,1,MATCH(COLUMNS($R$1006:U1006),$R$1006:$W$1006,0))&gt;=100000), " ",IF(INDEX($R$2:$W$1001,MATCH(ROWS($K$2:K431),$K$2:$K$1001,0),MATCH(COLUMNS($R$1006:U1006),$R$1006:$W$1006,0)), HYPERLINK("#",""), HYPERLINK(CONCATENATE("#Metadata!", ADDRESS(INDEX($M$2:$M$1001,MATCH(ROWS($K$2:K431),$K$2:$K$1001,0),0), INDEX($R$1004:$W$1004,1,MATCH(COLUMNS($R$1006:U1006),$R$1006:$W$1006,0)))),"Fix")))</f>
        <v>0</v>
      </c>
      <c r="F431" s="3">
        <f>IF(OR(INDEX($L$2:$L$1001,MATCH(ROWS($K$2:K431),$K$2:$K$1001,0),1)&gt;=100000,INDEX($R$1005:$W$1005,1,MATCH(COLUMNS($R$1006:V1006),$R$1006:$W$1006,0))&gt;=100000), " ",IF(INDEX($R$2:$W$1001,MATCH(ROWS($K$2:K431),$K$2:$K$1001,0),MATCH(COLUMNS($R$1006:V1006),$R$1006:$W$1006,0)), HYPERLINK("#",""), HYPERLINK(CONCATENATE("#Metadata!", ADDRESS(INDEX($M$2:$M$1001,MATCH(ROWS($K$2:K431),$K$2:$K$1001,0),0), INDEX($R$1004:$W$1004,1,MATCH(COLUMNS($R$1006:V1006),$R$1006:$W$1006,0)))),"Fix")))</f>
        <v>0</v>
      </c>
      <c r="G431" s="3">
        <f>IF(OR(INDEX($L$2:$L$1001,MATCH(ROWS($K$2:K431),$K$2:$K$1001,0),1)&gt;=100000,INDEX($R$1005:$W$1005,1,MATCH(COLUMNS($R$1006:W1006),$R$1006:$W$1006,0))&gt;=100000), " ",IF(INDEX($R$2:$W$1001,MATCH(ROWS($K$2:K431),$K$2:$K$1001,0),MATCH(COLUMNS($R$1006:W1006),$R$1006:$W$1006,0)), HYPERLINK("#",""), HYPERLINK(CONCATENATE("#Metadata!", ADDRESS(INDEX($M$2:$M$1001,MATCH(ROWS($K$2:K431),$K$2:$K$1001,0),0), INDEX($R$1004:$W$1004,1,MATCH(COLUMNS($R$1006:W1006),$R$1006:$W$1006,0)))),"Fix")))</f>
        <v>0</v>
      </c>
      <c r="K431">
        <v>0</v>
      </c>
      <c r="L431">
        <v>0</v>
      </c>
      <c r="M431">
        <v>0</v>
      </c>
      <c r="N431">
        <f>IF(O431,TRUE,AND(R431:W431))</f>
        <v>0</v>
      </c>
      <c r="O431">
        <f>COUNTBLANK(Metadata!B431:G431)=COLUMNS(Metadata!B431:G431)</f>
        <v>0</v>
      </c>
      <c r="P431">
        <v>0</v>
      </c>
      <c r="R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S431">
        <f>IF(Metadata!C431="",FALSE,TRUE)</f>
        <v>0</v>
      </c>
      <c r="T431">
        <f>IF(Metadata!D431="",FALSE,TRUE)</f>
        <v>0</v>
      </c>
      <c r="U431">
        <f>IF(Metadata!E431="",FALSE,TRUE)</f>
        <v>0</v>
      </c>
      <c r="V431">
        <f>AND(IF(Metadata!F431="",FALSE,TRUE),exact(Metadata!F431,"rat gut metagenome"))</f>
        <v>0</v>
      </c>
      <c r="W431">
        <f>AND(IF(Metadata!G431="",FALSE,TRUE),exact(Metadata!G431,"1436733"))</f>
        <v>0</v>
      </c>
    </row>
    <row r="432" spans="1:23">
      <c r="A432" s="4">
        <f>IF(B432=" "," ",HYPERLINK(CONCATENATE("#metadata!",ADDRESS(INDEX($M$2:$M$1001,MATCH(ROWS($K$2:K432),$K$2:$K$1001,0),0),1)),INDEX($P$2:$P$1001,MATCH(ROWS($K$2:K432),$K$2:$K$1001,0),0)))</f>
        <v>0</v>
      </c>
      <c r="B432" s="3">
        <f>IF(OR(INDEX($L$2:$L$1001,MATCH(ROWS($K$2:K432),$K$2:$K$1001,0),1)&gt;=100000,INDEX($R$1005:$W$1005,1,MATCH(COLUMNS($R$1006:R1006),$R$1006:$W$1006,0))&gt;=100000), " ",IF(INDEX($R$2:$W$1001,MATCH(ROWS($K$2:K432),$K$2:$K$1001,0),MATCH(COLUMNS($R$1006:R1006),$R$1006:$W$1006,0)), HYPERLINK("#",""), HYPERLINK(CONCATENATE("#Metadata!", ADDRESS(INDEX($M$2:$M$1001,MATCH(ROWS($K$2:K432),$K$2:$K$1001,0),0), INDEX($R$1004:$W$1004,1,MATCH(COLUMNS($R$1006:R1006),$R$1006:$W$1006,0)))),"Fix")))</f>
        <v>0</v>
      </c>
      <c r="C432" s="3">
        <f>IF(OR(INDEX($L$2:$L$1001,MATCH(ROWS($K$2:K432),$K$2:$K$1001,0),1)&gt;=100000,INDEX($R$1005:$W$1005,1,MATCH(COLUMNS($R$1006:S1006),$R$1006:$W$1006,0))&gt;=100000), " ",IF(INDEX($R$2:$W$1001,MATCH(ROWS($K$2:K432),$K$2:$K$1001,0),MATCH(COLUMNS($R$1006:S1006),$R$1006:$W$1006,0)), HYPERLINK("#",""), HYPERLINK(CONCATENATE("#Metadata!", ADDRESS(INDEX($M$2:$M$1001,MATCH(ROWS($K$2:K432),$K$2:$K$1001,0),0), INDEX($R$1004:$W$1004,1,MATCH(COLUMNS($R$1006:S1006),$R$1006:$W$1006,0)))),"Fix")))</f>
        <v>0</v>
      </c>
      <c r="D432" s="3">
        <f>IF(OR(INDEX($L$2:$L$1001,MATCH(ROWS($K$2:K432),$K$2:$K$1001,0),1)&gt;=100000,INDEX($R$1005:$W$1005,1,MATCH(COLUMNS($R$1006:T1006),$R$1006:$W$1006,0))&gt;=100000), " ",IF(INDEX($R$2:$W$1001,MATCH(ROWS($K$2:K432),$K$2:$K$1001,0),MATCH(COLUMNS($R$1006:T1006),$R$1006:$W$1006,0)), HYPERLINK("#",""), HYPERLINK(CONCATENATE("#Metadata!", ADDRESS(INDEX($M$2:$M$1001,MATCH(ROWS($K$2:K432),$K$2:$K$1001,0),0), INDEX($R$1004:$W$1004,1,MATCH(COLUMNS($R$1006:T1006),$R$1006:$W$1006,0)))),"Fix")))</f>
        <v>0</v>
      </c>
      <c r="E432" s="3">
        <f>IF(OR(INDEX($L$2:$L$1001,MATCH(ROWS($K$2:K432),$K$2:$K$1001,0),1)&gt;=100000,INDEX($R$1005:$W$1005,1,MATCH(COLUMNS($R$1006:U1006),$R$1006:$W$1006,0))&gt;=100000), " ",IF(INDEX($R$2:$W$1001,MATCH(ROWS($K$2:K432),$K$2:$K$1001,0),MATCH(COLUMNS($R$1006:U1006),$R$1006:$W$1006,0)), HYPERLINK("#",""), HYPERLINK(CONCATENATE("#Metadata!", ADDRESS(INDEX($M$2:$M$1001,MATCH(ROWS($K$2:K432),$K$2:$K$1001,0),0), INDEX($R$1004:$W$1004,1,MATCH(COLUMNS($R$1006:U1006),$R$1006:$W$1006,0)))),"Fix")))</f>
        <v>0</v>
      </c>
      <c r="F432" s="3">
        <f>IF(OR(INDEX($L$2:$L$1001,MATCH(ROWS($K$2:K432),$K$2:$K$1001,0),1)&gt;=100000,INDEX($R$1005:$W$1005,1,MATCH(COLUMNS($R$1006:V1006),$R$1006:$W$1006,0))&gt;=100000), " ",IF(INDEX($R$2:$W$1001,MATCH(ROWS($K$2:K432),$K$2:$K$1001,0),MATCH(COLUMNS($R$1006:V1006),$R$1006:$W$1006,0)), HYPERLINK("#",""), HYPERLINK(CONCATENATE("#Metadata!", ADDRESS(INDEX($M$2:$M$1001,MATCH(ROWS($K$2:K432),$K$2:$K$1001,0),0), INDEX($R$1004:$W$1004,1,MATCH(COLUMNS($R$1006:V1006),$R$1006:$W$1006,0)))),"Fix")))</f>
        <v>0</v>
      </c>
      <c r="G432" s="3">
        <f>IF(OR(INDEX($L$2:$L$1001,MATCH(ROWS($K$2:K432),$K$2:$K$1001,0),1)&gt;=100000,INDEX($R$1005:$W$1005,1,MATCH(COLUMNS($R$1006:W1006),$R$1006:$W$1006,0))&gt;=100000), " ",IF(INDEX($R$2:$W$1001,MATCH(ROWS($K$2:K432),$K$2:$K$1001,0),MATCH(COLUMNS($R$1006:W1006),$R$1006:$W$1006,0)), HYPERLINK("#",""), HYPERLINK(CONCATENATE("#Metadata!", ADDRESS(INDEX($M$2:$M$1001,MATCH(ROWS($K$2:K432),$K$2:$K$1001,0),0), INDEX($R$1004:$W$1004,1,MATCH(COLUMNS($R$1006:W1006),$R$1006:$W$1006,0)))),"Fix")))</f>
        <v>0</v>
      </c>
      <c r="K432">
        <v>0</v>
      </c>
      <c r="L432">
        <v>0</v>
      </c>
      <c r="M432">
        <v>0</v>
      </c>
      <c r="N432">
        <f>IF(O432,TRUE,AND(R432:W432))</f>
        <v>0</v>
      </c>
      <c r="O432">
        <f>COUNTBLANK(Metadata!B432:G432)=COLUMNS(Metadata!B432:G432)</f>
        <v>0</v>
      </c>
      <c r="P432">
        <v>0</v>
      </c>
      <c r="R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S432">
        <f>IF(Metadata!C432="",FALSE,TRUE)</f>
        <v>0</v>
      </c>
      <c r="T432">
        <f>IF(Metadata!D432="",FALSE,TRUE)</f>
        <v>0</v>
      </c>
      <c r="U432">
        <f>IF(Metadata!E432="",FALSE,TRUE)</f>
        <v>0</v>
      </c>
      <c r="V432">
        <f>AND(IF(Metadata!F432="",FALSE,TRUE),exact(Metadata!F432,"rat gut metagenome"))</f>
        <v>0</v>
      </c>
      <c r="W432">
        <f>AND(IF(Metadata!G432="",FALSE,TRUE),exact(Metadata!G432,"1436733"))</f>
        <v>0</v>
      </c>
    </row>
    <row r="433" spans="1:23">
      <c r="A433" s="4">
        <f>IF(B433=" "," ",HYPERLINK(CONCATENATE("#metadata!",ADDRESS(INDEX($M$2:$M$1001,MATCH(ROWS($K$2:K433),$K$2:$K$1001,0),0),1)),INDEX($P$2:$P$1001,MATCH(ROWS($K$2:K433),$K$2:$K$1001,0),0)))</f>
        <v>0</v>
      </c>
      <c r="B433" s="3">
        <f>IF(OR(INDEX($L$2:$L$1001,MATCH(ROWS($K$2:K433),$K$2:$K$1001,0),1)&gt;=100000,INDEX($R$1005:$W$1005,1,MATCH(COLUMNS($R$1006:R1006),$R$1006:$W$1006,0))&gt;=100000), " ",IF(INDEX($R$2:$W$1001,MATCH(ROWS($K$2:K433),$K$2:$K$1001,0),MATCH(COLUMNS($R$1006:R1006),$R$1006:$W$1006,0)), HYPERLINK("#",""), HYPERLINK(CONCATENATE("#Metadata!", ADDRESS(INDEX($M$2:$M$1001,MATCH(ROWS($K$2:K433),$K$2:$K$1001,0),0), INDEX($R$1004:$W$1004,1,MATCH(COLUMNS($R$1006:R1006),$R$1006:$W$1006,0)))),"Fix")))</f>
        <v>0</v>
      </c>
      <c r="C433" s="3">
        <f>IF(OR(INDEX($L$2:$L$1001,MATCH(ROWS($K$2:K433),$K$2:$K$1001,0),1)&gt;=100000,INDEX($R$1005:$W$1005,1,MATCH(COLUMNS($R$1006:S1006),$R$1006:$W$1006,0))&gt;=100000), " ",IF(INDEX($R$2:$W$1001,MATCH(ROWS($K$2:K433),$K$2:$K$1001,0),MATCH(COLUMNS($R$1006:S1006),$R$1006:$W$1006,0)), HYPERLINK("#",""), HYPERLINK(CONCATENATE("#Metadata!", ADDRESS(INDEX($M$2:$M$1001,MATCH(ROWS($K$2:K433),$K$2:$K$1001,0),0), INDEX($R$1004:$W$1004,1,MATCH(COLUMNS($R$1006:S1006),$R$1006:$W$1006,0)))),"Fix")))</f>
        <v>0</v>
      </c>
      <c r="D433" s="3">
        <f>IF(OR(INDEX($L$2:$L$1001,MATCH(ROWS($K$2:K433),$K$2:$K$1001,0),1)&gt;=100000,INDEX($R$1005:$W$1005,1,MATCH(COLUMNS($R$1006:T1006),$R$1006:$W$1006,0))&gt;=100000), " ",IF(INDEX($R$2:$W$1001,MATCH(ROWS($K$2:K433),$K$2:$K$1001,0),MATCH(COLUMNS($R$1006:T1006),$R$1006:$W$1006,0)), HYPERLINK("#",""), HYPERLINK(CONCATENATE("#Metadata!", ADDRESS(INDEX($M$2:$M$1001,MATCH(ROWS($K$2:K433),$K$2:$K$1001,0),0), INDEX($R$1004:$W$1004,1,MATCH(COLUMNS($R$1006:T1006),$R$1006:$W$1006,0)))),"Fix")))</f>
        <v>0</v>
      </c>
      <c r="E433" s="3">
        <f>IF(OR(INDEX($L$2:$L$1001,MATCH(ROWS($K$2:K433),$K$2:$K$1001,0),1)&gt;=100000,INDEX($R$1005:$W$1005,1,MATCH(COLUMNS($R$1006:U1006),$R$1006:$W$1006,0))&gt;=100000), " ",IF(INDEX($R$2:$W$1001,MATCH(ROWS($K$2:K433),$K$2:$K$1001,0),MATCH(COLUMNS($R$1006:U1006),$R$1006:$W$1006,0)), HYPERLINK("#",""), HYPERLINK(CONCATENATE("#Metadata!", ADDRESS(INDEX($M$2:$M$1001,MATCH(ROWS($K$2:K433),$K$2:$K$1001,0),0), INDEX($R$1004:$W$1004,1,MATCH(COLUMNS($R$1006:U1006),$R$1006:$W$1006,0)))),"Fix")))</f>
        <v>0</v>
      </c>
      <c r="F433" s="3">
        <f>IF(OR(INDEX($L$2:$L$1001,MATCH(ROWS($K$2:K433),$K$2:$K$1001,0),1)&gt;=100000,INDEX($R$1005:$W$1005,1,MATCH(COLUMNS($R$1006:V1006),$R$1006:$W$1006,0))&gt;=100000), " ",IF(INDEX($R$2:$W$1001,MATCH(ROWS($K$2:K433),$K$2:$K$1001,0),MATCH(COLUMNS($R$1006:V1006),$R$1006:$W$1006,0)), HYPERLINK("#",""), HYPERLINK(CONCATENATE("#Metadata!", ADDRESS(INDEX($M$2:$M$1001,MATCH(ROWS($K$2:K433),$K$2:$K$1001,0),0), INDEX($R$1004:$W$1004,1,MATCH(COLUMNS($R$1006:V1006),$R$1006:$W$1006,0)))),"Fix")))</f>
        <v>0</v>
      </c>
      <c r="G433" s="3">
        <f>IF(OR(INDEX($L$2:$L$1001,MATCH(ROWS($K$2:K433),$K$2:$K$1001,0),1)&gt;=100000,INDEX($R$1005:$W$1005,1,MATCH(COLUMNS($R$1006:W1006),$R$1006:$W$1006,0))&gt;=100000), " ",IF(INDEX($R$2:$W$1001,MATCH(ROWS($K$2:K433),$K$2:$K$1001,0),MATCH(COLUMNS($R$1006:W1006),$R$1006:$W$1006,0)), HYPERLINK("#",""), HYPERLINK(CONCATENATE("#Metadata!", ADDRESS(INDEX($M$2:$M$1001,MATCH(ROWS($K$2:K433),$K$2:$K$1001,0),0), INDEX($R$1004:$W$1004,1,MATCH(COLUMNS($R$1006:W1006),$R$1006:$W$1006,0)))),"Fix")))</f>
        <v>0</v>
      </c>
      <c r="K433">
        <v>0</v>
      </c>
      <c r="L433">
        <v>0</v>
      </c>
      <c r="M433">
        <v>0</v>
      </c>
      <c r="N433">
        <f>IF(O433,TRUE,AND(R433:W433))</f>
        <v>0</v>
      </c>
      <c r="O433">
        <f>COUNTBLANK(Metadata!B433:G433)=COLUMNS(Metadata!B433:G433)</f>
        <v>0</v>
      </c>
      <c r="P433">
        <v>0</v>
      </c>
      <c r="R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S433">
        <f>IF(Metadata!C433="",FALSE,TRUE)</f>
        <v>0</v>
      </c>
      <c r="T433">
        <f>IF(Metadata!D433="",FALSE,TRUE)</f>
        <v>0</v>
      </c>
      <c r="U433">
        <f>IF(Metadata!E433="",FALSE,TRUE)</f>
        <v>0</v>
      </c>
      <c r="V433">
        <f>AND(IF(Metadata!F433="",FALSE,TRUE),exact(Metadata!F433,"rat gut metagenome"))</f>
        <v>0</v>
      </c>
      <c r="W433">
        <f>AND(IF(Metadata!G433="",FALSE,TRUE),exact(Metadata!G433,"1436733"))</f>
        <v>0</v>
      </c>
    </row>
    <row r="434" spans="1:23">
      <c r="A434" s="4">
        <f>IF(B434=" "," ",HYPERLINK(CONCATENATE("#metadata!",ADDRESS(INDEX($M$2:$M$1001,MATCH(ROWS($K$2:K434),$K$2:$K$1001,0),0),1)),INDEX($P$2:$P$1001,MATCH(ROWS($K$2:K434),$K$2:$K$1001,0),0)))</f>
        <v>0</v>
      </c>
      <c r="B434" s="3">
        <f>IF(OR(INDEX($L$2:$L$1001,MATCH(ROWS($K$2:K434),$K$2:$K$1001,0),1)&gt;=100000,INDEX($R$1005:$W$1005,1,MATCH(COLUMNS($R$1006:R1006),$R$1006:$W$1006,0))&gt;=100000), " ",IF(INDEX($R$2:$W$1001,MATCH(ROWS($K$2:K434),$K$2:$K$1001,0),MATCH(COLUMNS($R$1006:R1006),$R$1006:$W$1006,0)), HYPERLINK("#",""), HYPERLINK(CONCATENATE("#Metadata!", ADDRESS(INDEX($M$2:$M$1001,MATCH(ROWS($K$2:K434),$K$2:$K$1001,0),0), INDEX($R$1004:$W$1004,1,MATCH(COLUMNS($R$1006:R1006),$R$1006:$W$1006,0)))),"Fix")))</f>
        <v>0</v>
      </c>
      <c r="C434" s="3">
        <f>IF(OR(INDEX($L$2:$L$1001,MATCH(ROWS($K$2:K434),$K$2:$K$1001,0),1)&gt;=100000,INDEX($R$1005:$W$1005,1,MATCH(COLUMNS($R$1006:S1006),$R$1006:$W$1006,0))&gt;=100000), " ",IF(INDEX($R$2:$W$1001,MATCH(ROWS($K$2:K434),$K$2:$K$1001,0),MATCH(COLUMNS($R$1006:S1006),$R$1006:$W$1006,0)), HYPERLINK("#",""), HYPERLINK(CONCATENATE("#Metadata!", ADDRESS(INDEX($M$2:$M$1001,MATCH(ROWS($K$2:K434),$K$2:$K$1001,0),0), INDEX($R$1004:$W$1004,1,MATCH(COLUMNS($R$1006:S1006),$R$1006:$W$1006,0)))),"Fix")))</f>
        <v>0</v>
      </c>
      <c r="D434" s="3">
        <f>IF(OR(INDEX($L$2:$L$1001,MATCH(ROWS($K$2:K434),$K$2:$K$1001,0),1)&gt;=100000,INDEX($R$1005:$W$1005,1,MATCH(COLUMNS($R$1006:T1006),$R$1006:$W$1006,0))&gt;=100000), " ",IF(INDEX($R$2:$W$1001,MATCH(ROWS($K$2:K434),$K$2:$K$1001,0),MATCH(COLUMNS($R$1006:T1006),$R$1006:$W$1006,0)), HYPERLINK("#",""), HYPERLINK(CONCATENATE("#Metadata!", ADDRESS(INDEX($M$2:$M$1001,MATCH(ROWS($K$2:K434),$K$2:$K$1001,0),0), INDEX($R$1004:$W$1004,1,MATCH(COLUMNS($R$1006:T1006),$R$1006:$W$1006,0)))),"Fix")))</f>
        <v>0</v>
      </c>
      <c r="E434" s="3">
        <f>IF(OR(INDEX($L$2:$L$1001,MATCH(ROWS($K$2:K434),$K$2:$K$1001,0),1)&gt;=100000,INDEX($R$1005:$W$1005,1,MATCH(COLUMNS($R$1006:U1006),$R$1006:$W$1006,0))&gt;=100000), " ",IF(INDEX($R$2:$W$1001,MATCH(ROWS($K$2:K434),$K$2:$K$1001,0),MATCH(COLUMNS($R$1006:U1006),$R$1006:$W$1006,0)), HYPERLINK("#",""), HYPERLINK(CONCATENATE("#Metadata!", ADDRESS(INDEX($M$2:$M$1001,MATCH(ROWS($K$2:K434),$K$2:$K$1001,0),0), INDEX($R$1004:$W$1004,1,MATCH(COLUMNS($R$1006:U1006),$R$1006:$W$1006,0)))),"Fix")))</f>
        <v>0</v>
      </c>
      <c r="F434" s="3">
        <f>IF(OR(INDEX($L$2:$L$1001,MATCH(ROWS($K$2:K434),$K$2:$K$1001,0),1)&gt;=100000,INDEX($R$1005:$W$1005,1,MATCH(COLUMNS($R$1006:V1006),$R$1006:$W$1006,0))&gt;=100000), " ",IF(INDEX($R$2:$W$1001,MATCH(ROWS($K$2:K434),$K$2:$K$1001,0),MATCH(COLUMNS($R$1006:V1006),$R$1006:$W$1006,0)), HYPERLINK("#",""), HYPERLINK(CONCATENATE("#Metadata!", ADDRESS(INDEX($M$2:$M$1001,MATCH(ROWS($K$2:K434),$K$2:$K$1001,0),0), INDEX($R$1004:$W$1004,1,MATCH(COLUMNS($R$1006:V1006),$R$1006:$W$1006,0)))),"Fix")))</f>
        <v>0</v>
      </c>
      <c r="G434" s="3">
        <f>IF(OR(INDEX($L$2:$L$1001,MATCH(ROWS($K$2:K434),$K$2:$K$1001,0),1)&gt;=100000,INDEX($R$1005:$W$1005,1,MATCH(COLUMNS($R$1006:W1006),$R$1006:$W$1006,0))&gt;=100000), " ",IF(INDEX($R$2:$W$1001,MATCH(ROWS($K$2:K434),$K$2:$K$1001,0),MATCH(COLUMNS($R$1006:W1006),$R$1006:$W$1006,0)), HYPERLINK("#",""), HYPERLINK(CONCATENATE("#Metadata!", ADDRESS(INDEX($M$2:$M$1001,MATCH(ROWS($K$2:K434),$K$2:$K$1001,0),0), INDEX($R$1004:$W$1004,1,MATCH(COLUMNS($R$1006:W1006),$R$1006:$W$1006,0)))),"Fix")))</f>
        <v>0</v>
      </c>
      <c r="K434">
        <v>0</v>
      </c>
      <c r="L434">
        <v>0</v>
      </c>
      <c r="M434">
        <v>0</v>
      </c>
      <c r="N434">
        <f>IF(O434,TRUE,AND(R434:W434))</f>
        <v>0</v>
      </c>
      <c r="O434">
        <f>COUNTBLANK(Metadata!B434:G434)=COLUMNS(Metadata!B434:G434)</f>
        <v>0</v>
      </c>
      <c r="P434">
        <v>0</v>
      </c>
      <c r="R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S434">
        <f>IF(Metadata!C434="",FALSE,TRUE)</f>
        <v>0</v>
      </c>
      <c r="T434">
        <f>IF(Metadata!D434="",FALSE,TRUE)</f>
        <v>0</v>
      </c>
      <c r="U434">
        <f>IF(Metadata!E434="",FALSE,TRUE)</f>
        <v>0</v>
      </c>
      <c r="V434">
        <f>AND(IF(Metadata!F434="",FALSE,TRUE),exact(Metadata!F434,"rat gut metagenome"))</f>
        <v>0</v>
      </c>
      <c r="W434">
        <f>AND(IF(Metadata!G434="",FALSE,TRUE),exact(Metadata!G434,"1436733"))</f>
        <v>0</v>
      </c>
    </row>
    <row r="435" spans="1:23">
      <c r="A435" s="4">
        <f>IF(B435=" "," ",HYPERLINK(CONCATENATE("#metadata!",ADDRESS(INDEX($M$2:$M$1001,MATCH(ROWS($K$2:K435),$K$2:$K$1001,0),0),1)),INDEX($P$2:$P$1001,MATCH(ROWS($K$2:K435),$K$2:$K$1001,0),0)))</f>
        <v>0</v>
      </c>
      <c r="B435" s="3">
        <f>IF(OR(INDEX($L$2:$L$1001,MATCH(ROWS($K$2:K435),$K$2:$K$1001,0),1)&gt;=100000,INDEX($R$1005:$W$1005,1,MATCH(COLUMNS($R$1006:R1006),$R$1006:$W$1006,0))&gt;=100000), " ",IF(INDEX($R$2:$W$1001,MATCH(ROWS($K$2:K435),$K$2:$K$1001,0),MATCH(COLUMNS($R$1006:R1006),$R$1006:$W$1006,0)), HYPERLINK("#",""), HYPERLINK(CONCATENATE("#Metadata!", ADDRESS(INDEX($M$2:$M$1001,MATCH(ROWS($K$2:K435),$K$2:$K$1001,0),0), INDEX($R$1004:$W$1004,1,MATCH(COLUMNS($R$1006:R1006),$R$1006:$W$1006,0)))),"Fix")))</f>
        <v>0</v>
      </c>
      <c r="C435" s="3">
        <f>IF(OR(INDEX($L$2:$L$1001,MATCH(ROWS($K$2:K435),$K$2:$K$1001,0),1)&gt;=100000,INDEX($R$1005:$W$1005,1,MATCH(COLUMNS($R$1006:S1006),$R$1006:$W$1006,0))&gt;=100000), " ",IF(INDEX($R$2:$W$1001,MATCH(ROWS($K$2:K435),$K$2:$K$1001,0),MATCH(COLUMNS($R$1006:S1006),$R$1006:$W$1006,0)), HYPERLINK("#",""), HYPERLINK(CONCATENATE("#Metadata!", ADDRESS(INDEX($M$2:$M$1001,MATCH(ROWS($K$2:K435),$K$2:$K$1001,0),0), INDEX($R$1004:$W$1004,1,MATCH(COLUMNS($R$1006:S1006),$R$1006:$W$1006,0)))),"Fix")))</f>
        <v>0</v>
      </c>
      <c r="D435" s="3">
        <f>IF(OR(INDEX($L$2:$L$1001,MATCH(ROWS($K$2:K435),$K$2:$K$1001,0),1)&gt;=100000,INDEX($R$1005:$W$1005,1,MATCH(COLUMNS($R$1006:T1006),$R$1006:$W$1006,0))&gt;=100000), " ",IF(INDEX($R$2:$W$1001,MATCH(ROWS($K$2:K435),$K$2:$K$1001,0),MATCH(COLUMNS($R$1006:T1006),$R$1006:$W$1006,0)), HYPERLINK("#",""), HYPERLINK(CONCATENATE("#Metadata!", ADDRESS(INDEX($M$2:$M$1001,MATCH(ROWS($K$2:K435),$K$2:$K$1001,0),0), INDEX($R$1004:$W$1004,1,MATCH(COLUMNS($R$1006:T1006),$R$1006:$W$1006,0)))),"Fix")))</f>
        <v>0</v>
      </c>
      <c r="E435" s="3">
        <f>IF(OR(INDEX($L$2:$L$1001,MATCH(ROWS($K$2:K435),$K$2:$K$1001,0),1)&gt;=100000,INDEX($R$1005:$W$1005,1,MATCH(COLUMNS($R$1006:U1006),$R$1006:$W$1006,0))&gt;=100000), " ",IF(INDEX($R$2:$W$1001,MATCH(ROWS($K$2:K435),$K$2:$K$1001,0),MATCH(COLUMNS($R$1006:U1006),$R$1006:$W$1006,0)), HYPERLINK("#",""), HYPERLINK(CONCATENATE("#Metadata!", ADDRESS(INDEX($M$2:$M$1001,MATCH(ROWS($K$2:K435),$K$2:$K$1001,0),0), INDEX($R$1004:$W$1004,1,MATCH(COLUMNS($R$1006:U1006),$R$1006:$W$1006,0)))),"Fix")))</f>
        <v>0</v>
      </c>
      <c r="F435" s="3">
        <f>IF(OR(INDEX($L$2:$L$1001,MATCH(ROWS($K$2:K435),$K$2:$K$1001,0),1)&gt;=100000,INDEX($R$1005:$W$1005,1,MATCH(COLUMNS($R$1006:V1006),$R$1006:$W$1006,0))&gt;=100000), " ",IF(INDEX($R$2:$W$1001,MATCH(ROWS($K$2:K435),$K$2:$K$1001,0),MATCH(COLUMNS($R$1006:V1006),$R$1006:$W$1006,0)), HYPERLINK("#",""), HYPERLINK(CONCATENATE("#Metadata!", ADDRESS(INDEX($M$2:$M$1001,MATCH(ROWS($K$2:K435),$K$2:$K$1001,0),0), INDEX($R$1004:$W$1004,1,MATCH(COLUMNS($R$1006:V1006),$R$1006:$W$1006,0)))),"Fix")))</f>
        <v>0</v>
      </c>
      <c r="G435" s="3">
        <f>IF(OR(INDEX($L$2:$L$1001,MATCH(ROWS($K$2:K435),$K$2:$K$1001,0),1)&gt;=100000,INDEX($R$1005:$W$1005,1,MATCH(COLUMNS($R$1006:W1006),$R$1006:$W$1006,0))&gt;=100000), " ",IF(INDEX($R$2:$W$1001,MATCH(ROWS($K$2:K435),$K$2:$K$1001,0),MATCH(COLUMNS($R$1006:W1006),$R$1006:$W$1006,0)), HYPERLINK("#",""), HYPERLINK(CONCATENATE("#Metadata!", ADDRESS(INDEX($M$2:$M$1001,MATCH(ROWS($K$2:K435),$K$2:$K$1001,0),0), INDEX($R$1004:$W$1004,1,MATCH(COLUMNS($R$1006:W1006),$R$1006:$W$1006,0)))),"Fix")))</f>
        <v>0</v>
      </c>
      <c r="K435">
        <v>0</v>
      </c>
      <c r="L435">
        <v>0</v>
      </c>
      <c r="M435">
        <v>0</v>
      </c>
      <c r="N435">
        <f>IF(O435,TRUE,AND(R435:W435))</f>
        <v>0</v>
      </c>
      <c r="O435">
        <f>COUNTBLANK(Metadata!B435:G435)=COLUMNS(Metadata!B435:G435)</f>
        <v>0</v>
      </c>
      <c r="P435">
        <v>0</v>
      </c>
      <c r="R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S435">
        <f>IF(Metadata!C435="",FALSE,TRUE)</f>
        <v>0</v>
      </c>
      <c r="T435">
        <f>IF(Metadata!D435="",FALSE,TRUE)</f>
        <v>0</v>
      </c>
      <c r="U435">
        <f>IF(Metadata!E435="",FALSE,TRUE)</f>
        <v>0</v>
      </c>
      <c r="V435">
        <f>AND(IF(Metadata!F435="",FALSE,TRUE),exact(Metadata!F435,"rat gut metagenome"))</f>
        <v>0</v>
      </c>
      <c r="W435">
        <f>AND(IF(Metadata!G435="",FALSE,TRUE),exact(Metadata!G435,"1436733"))</f>
        <v>0</v>
      </c>
    </row>
    <row r="436" spans="1:23">
      <c r="A436" s="4">
        <f>IF(B436=" "," ",HYPERLINK(CONCATENATE("#metadata!",ADDRESS(INDEX($M$2:$M$1001,MATCH(ROWS($K$2:K436),$K$2:$K$1001,0),0),1)),INDEX($P$2:$P$1001,MATCH(ROWS($K$2:K436),$K$2:$K$1001,0),0)))</f>
        <v>0</v>
      </c>
      <c r="B436" s="3">
        <f>IF(OR(INDEX($L$2:$L$1001,MATCH(ROWS($K$2:K436),$K$2:$K$1001,0),1)&gt;=100000,INDEX($R$1005:$W$1005,1,MATCH(COLUMNS($R$1006:R1006),$R$1006:$W$1006,0))&gt;=100000), " ",IF(INDEX($R$2:$W$1001,MATCH(ROWS($K$2:K436),$K$2:$K$1001,0),MATCH(COLUMNS($R$1006:R1006),$R$1006:$W$1006,0)), HYPERLINK("#",""), HYPERLINK(CONCATENATE("#Metadata!", ADDRESS(INDEX($M$2:$M$1001,MATCH(ROWS($K$2:K436),$K$2:$K$1001,0),0), INDEX($R$1004:$W$1004,1,MATCH(COLUMNS($R$1006:R1006),$R$1006:$W$1006,0)))),"Fix")))</f>
        <v>0</v>
      </c>
      <c r="C436" s="3">
        <f>IF(OR(INDEX($L$2:$L$1001,MATCH(ROWS($K$2:K436),$K$2:$K$1001,0),1)&gt;=100000,INDEX($R$1005:$W$1005,1,MATCH(COLUMNS($R$1006:S1006),$R$1006:$W$1006,0))&gt;=100000), " ",IF(INDEX($R$2:$W$1001,MATCH(ROWS($K$2:K436),$K$2:$K$1001,0),MATCH(COLUMNS($R$1006:S1006),$R$1006:$W$1006,0)), HYPERLINK("#",""), HYPERLINK(CONCATENATE("#Metadata!", ADDRESS(INDEX($M$2:$M$1001,MATCH(ROWS($K$2:K436),$K$2:$K$1001,0),0), INDEX($R$1004:$W$1004,1,MATCH(COLUMNS($R$1006:S1006),$R$1006:$W$1006,0)))),"Fix")))</f>
        <v>0</v>
      </c>
      <c r="D436" s="3">
        <f>IF(OR(INDEX($L$2:$L$1001,MATCH(ROWS($K$2:K436),$K$2:$K$1001,0),1)&gt;=100000,INDEX($R$1005:$W$1005,1,MATCH(COLUMNS($R$1006:T1006),$R$1006:$W$1006,0))&gt;=100000), " ",IF(INDEX($R$2:$W$1001,MATCH(ROWS($K$2:K436),$K$2:$K$1001,0),MATCH(COLUMNS($R$1006:T1006),$R$1006:$W$1006,0)), HYPERLINK("#",""), HYPERLINK(CONCATENATE("#Metadata!", ADDRESS(INDEX($M$2:$M$1001,MATCH(ROWS($K$2:K436),$K$2:$K$1001,0),0), INDEX($R$1004:$W$1004,1,MATCH(COLUMNS($R$1006:T1006),$R$1006:$W$1006,0)))),"Fix")))</f>
        <v>0</v>
      </c>
      <c r="E436" s="3">
        <f>IF(OR(INDEX($L$2:$L$1001,MATCH(ROWS($K$2:K436),$K$2:$K$1001,0),1)&gt;=100000,INDEX($R$1005:$W$1005,1,MATCH(COLUMNS($R$1006:U1006),$R$1006:$W$1006,0))&gt;=100000), " ",IF(INDEX($R$2:$W$1001,MATCH(ROWS($K$2:K436),$K$2:$K$1001,0),MATCH(COLUMNS($R$1006:U1006),$R$1006:$W$1006,0)), HYPERLINK("#",""), HYPERLINK(CONCATENATE("#Metadata!", ADDRESS(INDEX($M$2:$M$1001,MATCH(ROWS($K$2:K436),$K$2:$K$1001,0),0), INDEX($R$1004:$W$1004,1,MATCH(COLUMNS($R$1006:U1006),$R$1006:$W$1006,0)))),"Fix")))</f>
        <v>0</v>
      </c>
      <c r="F436" s="3">
        <f>IF(OR(INDEX($L$2:$L$1001,MATCH(ROWS($K$2:K436),$K$2:$K$1001,0),1)&gt;=100000,INDEX($R$1005:$W$1005,1,MATCH(COLUMNS($R$1006:V1006),$R$1006:$W$1006,0))&gt;=100000), " ",IF(INDEX($R$2:$W$1001,MATCH(ROWS($K$2:K436),$K$2:$K$1001,0),MATCH(COLUMNS($R$1006:V1006),$R$1006:$W$1006,0)), HYPERLINK("#",""), HYPERLINK(CONCATENATE("#Metadata!", ADDRESS(INDEX($M$2:$M$1001,MATCH(ROWS($K$2:K436),$K$2:$K$1001,0),0), INDEX($R$1004:$W$1004,1,MATCH(COLUMNS($R$1006:V1006),$R$1006:$W$1006,0)))),"Fix")))</f>
        <v>0</v>
      </c>
      <c r="G436" s="3">
        <f>IF(OR(INDEX($L$2:$L$1001,MATCH(ROWS($K$2:K436),$K$2:$K$1001,0),1)&gt;=100000,INDEX($R$1005:$W$1005,1,MATCH(COLUMNS($R$1006:W1006),$R$1006:$W$1006,0))&gt;=100000), " ",IF(INDEX($R$2:$W$1001,MATCH(ROWS($K$2:K436),$K$2:$K$1001,0),MATCH(COLUMNS($R$1006:W1006),$R$1006:$W$1006,0)), HYPERLINK("#",""), HYPERLINK(CONCATENATE("#Metadata!", ADDRESS(INDEX($M$2:$M$1001,MATCH(ROWS($K$2:K436),$K$2:$K$1001,0),0), INDEX($R$1004:$W$1004,1,MATCH(COLUMNS($R$1006:W1006),$R$1006:$W$1006,0)))),"Fix")))</f>
        <v>0</v>
      </c>
      <c r="K436">
        <v>0</v>
      </c>
      <c r="L436">
        <v>0</v>
      </c>
      <c r="M436">
        <v>0</v>
      </c>
      <c r="N436">
        <f>IF(O436,TRUE,AND(R436:W436))</f>
        <v>0</v>
      </c>
      <c r="O436">
        <f>COUNTBLANK(Metadata!B436:G436)=COLUMNS(Metadata!B436:G436)</f>
        <v>0</v>
      </c>
      <c r="P436">
        <v>0</v>
      </c>
      <c r="R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S436">
        <f>IF(Metadata!C436="",FALSE,TRUE)</f>
        <v>0</v>
      </c>
      <c r="T436">
        <f>IF(Metadata!D436="",FALSE,TRUE)</f>
        <v>0</v>
      </c>
      <c r="U436">
        <f>IF(Metadata!E436="",FALSE,TRUE)</f>
        <v>0</v>
      </c>
      <c r="V436">
        <f>AND(IF(Metadata!F436="",FALSE,TRUE),exact(Metadata!F436,"rat gut metagenome"))</f>
        <v>0</v>
      </c>
      <c r="W436">
        <f>AND(IF(Metadata!G436="",FALSE,TRUE),exact(Metadata!G436,"1436733"))</f>
        <v>0</v>
      </c>
    </row>
    <row r="437" spans="1:23">
      <c r="A437" s="4">
        <f>IF(B437=" "," ",HYPERLINK(CONCATENATE("#metadata!",ADDRESS(INDEX($M$2:$M$1001,MATCH(ROWS($K$2:K437),$K$2:$K$1001,0),0),1)),INDEX($P$2:$P$1001,MATCH(ROWS($K$2:K437),$K$2:$K$1001,0),0)))</f>
        <v>0</v>
      </c>
      <c r="B437" s="3">
        <f>IF(OR(INDEX($L$2:$L$1001,MATCH(ROWS($K$2:K437),$K$2:$K$1001,0),1)&gt;=100000,INDEX($R$1005:$W$1005,1,MATCH(COLUMNS($R$1006:R1006),$R$1006:$W$1006,0))&gt;=100000), " ",IF(INDEX($R$2:$W$1001,MATCH(ROWS($K$2:K437),$K$2:$K$1001,0),MATCH(COLUMNS($R$1006:R1006),$R$1006:$W$1006,0)), HYPERLINK("#",""), HYPERLINK(CONCATENATE("#Metadata!", ADDRESS(INDEX($M$2:$M$1001,MATCH(ROWS($K$2:K437),$K$2:$K$1001,0),0), INDEX($R$1004:$W$1004,1,MATCH(COLUMNS($R$1006:R1006),$R$1006:$W$1006,0)))),"Fix")))</f>
        <v>0</v>
      </c>
      <c r="C437" s="3">
        <f>IF(OR(INDEX($L$2:$L$1001,MATCH(ROWS($K$2:K437),$K$2:$K$1001,0),1)&gt;=100000,INDEX($R$1005:$W$1005,1,MATCH(COLUMNS($R$1006:S1006),$R$1006:$W$1006,0))&gt;=100000), " ",IF(INDEX($R$2:$W$1001,MATCH(ROWS($K$2:K437),$K$2:$K$1001,0),MATCH(COLUMNS($R$1006:S1006),$R$1006:$W$1006,0)), HYPERLINK("#",""), HYPERLINK(CONCATENATE("#Metadata!", ADDRESS(INDEX($M$2:$M$1001,MATCH(ROWS($K$2:K437),$K$2:$K$1001,0),0), INDEX($R$1004:$W$1004,1,MATCH(COLUMNS($R$1006:S1006),$R$1006:$W$1006,0)))),"Fix")))</f>
        <v>0</v>
      </c>
      <c r="D437" s="3">
        <f>IF(OR(INDEX($L$2:$L$1001,MATCH(ROWS($K$2:K437),$K$2:$K$1001,0),1)&gt;=100000,INDEX($R$1005:$W$1005,1,MATCH(COLUMNS($R$1006:T1006),$R$1006:$W$1006,0))&gt;=100000), " ",IF(INDEX($R$2:$W$1001,MATCH(ROWS($K$2:K437),$K$2:$K$1001,0),MATCH(COLUMNS($R$1006:T1006),$R$1006:$W$1006,0)), HYPERLINK("#",""), HYPERLINK(CONCATENATE("#Metadata!", ADDRESS(INDEX($M$2:$M$1001,MATCH(ROWS($K$2:K437),$K$2:$K$1001,0),0), INDEX($R$1004:$W$1004,1,MATCH(COLUMNS($R$1006:T1006),$R$1006:$W$1006,0)))),"Fix")))</f>
        <v>0</v>
      </c>
      <c r="E437" s="3">
        <f>IF(OR(INDEX($L$2:$L$1001,MATCH(ROWS($K$2:K437),$K$2:$K$1001,0),1)&gt;=100000,INDEX($R$1005:$W$1005,1,MATCH(COLUMNS($R$1006:U1006),$R$1006:$W$1006,0))&gt;=100000), " ",IF(INDEX($R$2:$W$1001,MATCH(ROWS($K$2:K437),$K$2:$K$1001,0),MATCH(COLUMNS($R$1006:U1006),$R$1006:$W$1006,0)), HYPERLINK("#",""), HYPERLINK(CONCATENATE("#Metadata!", ADDRESS(INDEX($M$2:$M$1001,MATCH(ROWS($K$2:K437),$K$2:$K$1001,0),0), INDEX($R$1004:$W$1004,1,MATCH(COLUMNS($R$1006:U1006),$R$1006:$W$1006,0)))),"Fix")))</f>
        <v>0</v>
      </c>
      <c r="F437" s="3">
        <f>IF(OR(INDEX($L$2:$L$1001,MATCH(ROWS($K$2:K437),$K$2:$K$1001,0),1)&gt;=100000,INDEX($R$1005:$W$1005,1,MATCH(COLUMNS($R$1006:V1006),$R$1006:$W$1006,0))&gt;=100000), " ",IF(INDEX($R$2:$W$1001,MATCH(ROWS($K$2:K437),$K$2:$K$1001,0),MATCH(COLUMNS($R$1006:V1006),$R$1006:$W$1006,0)), HYPERLINK("#",""), HYPERLINK(CONCATENATE("#Metadata!", ADDRESS(INDEX($M$2:$M$1001,MATCH(ROWS($K$2:K437),$K$2:$K$1001,0),0), INDEX($R$1004:$W$1004,1,MATCH(COLUMNS($R$1006:V1006),$R$1006:$W$1006,0)))),"Fix")))</f>
        <v>0</v>
      </c>
      <c r="G437" s="3">
        <f>IF(OR(INDEX($L$2:$L$1001,MATCH(ROWS($K$2:K437),$K$2:$K$1001,0),1)&gt;=100000,INDEX($R$1005:$W$1005,1,MATCH(COLUMNS($R$1006:W1006),$R$1006:$W$1006,0))&gt;=100000), " ",IF(INDEX($R$2:$W$1001,MATCH(ROWS($K$2:K437),$K$2:$K$1001,0),MATCH(COLUMNS($R$1006:W1006),$R$1006:$W$1006,0)), HYPERLINK("#",""), HYPERLINK(CONCATENATE("#Metadata!", ADDRESS(INDEX($M$2:$M$1001,MATCH(ROWS($K$2:K437),$K$2:$K$1001,0),0), INDEX($R$1004:$W$1004,1,MATCH(COLUMNS($R$1006:W1006),$R$1006:$W$1006,0)))),"Fix")))</f>
        <v>0</v>
      </c>
      <c r="K437">
        <v>0</v>
      </c>
      <c r="L437">
        <v>0</v>
      </c>
      <c r="M437">
        <v>0</v>
      </c>
      <c r="N437">
        <f>IF(O437,TRUE,AND(R437:W437))</f>
        <v>0</v>
      </c>
      <c r="O437">
        <f>COUNTBLANK(Metadata!B437:G437)=COLUMNS(Metadata!B437:G437)</f>
        <v>0</v>
      </c>
      <c r="P437">
        <v>0</v>
      </c>
      <c r="R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S437">
        <f>IF(Metadata!C437="",FALSE,TRUE)</f>
        <v>0</v>
      </c>
      <c r="T437">
        <f>IF(Metadata!D437="",FALSE,TRUE)</f>
        <v>0</v>
      </c>
      <c r="U437">
        <f>IF(Metadata!E437="",FALSE,TRUE)</f>
        <v>0</v>
      </c>
      <c r="V437">
        <f>AND(IF(Metadata!F437="",FALSE,TRUE),exact(Metadata!F437,"rat gut metagenome"))</f>
        <v>0</v>
      </c>
      <c r="W437">
        <f>AND(IF(Metadata!G437="",FALSE,TRUE),exact(Metadata!G437,"1436733"))</f>
        <v>0</v>
      </c>
    </row>
    <row r="438" spans="1:23">
      <c r="A438" s="4">
        <f>IF(B438=" "," ",HYPERLINK(CONCATENATE("#metadata!",ADDRESS(INDEX($M$2:$M$1001,MATCH(ROWS($K$2:K438),$K$2:$K$1001,0),0),1)),INDEX($P$2:$P$1001,MATCH(ROWS($K$2:K438),$K$2:$K$1001,0),0)))</f>
        <v>0</v>
      </c>
      <c r="B438" s="3">
        <f>IF(OR(INDEX($L$2:$L$1001,MATCH(ROWS($K$2:K438),$K$2:$K$1001,0),1)&gt;=100000,INDEX($R$1005:$W$1005,1,MATCH(COLUMNS($R$1006:R1006),$R$1006:$W$1006,0))&gt;=100000), " ",IF(INDEX($R$2:$W$1001,MATCH(ROWS($K$2:K438),$K$2:$K$1001,0),MATCH(COLUMNS($R$1006:R1006),$R$1006:$W$1006,0)), HYPERLINK("#",""), HYPERLINK(CONCATENATE("#Metadata!", ADDRESS(INDEX($M$2:$M$1001,MATCH(ROWS($K$2:K438),$K$2:$K$1001,0),0), INDEX($R$1004:$W$1004,1,MATCH(COLUMNS($R$1006:R1006),$R$1006:$W$1006,0)))),"Fix")))</f>
        <v>0</v>
      </c>
      <c r="C438" s="3">
        <f>IF(OR(INDEX($L$2:$L$1001,MATCH(ROWS($K$2:K438),$K$2:$K$1001,0),1)&gt;=100000,INDEX($R$1005:$W$1005,1,MATCH(COLUMNS($R$1006:S1006),$R$1006:$W$1006,0))&gt;=100000), " ",IF(INDEX($R$2:$W$1001,MATCH(ROWS($K$2:K438),$K$2:$K$1001,0),MATCH(COLUMNS($R$1006:S1006),$R$1006:$W$1006,0)), HYPERLINK("#",""), HYPERLINK(CONCATENATE("#Metadata!", ADDRESS(INDEX($M$2:$M$1001,MATCH(ROWS($K$2:K438),$K$2:$K$1001,0),0), INDEX($R$1004:$W$1004,1,MATCH(COLUMNS($R$1006:S1006),$R$1006:$W$1006,0)))),"Fix")))</f>
        <v>0</v>
      </c>
      <c r="D438" s="3">
        <f>IF(OR(INDEX($L$2:$L$1001,MATCH(ROWS($K$2:K438),$K$2:$K$1001,0),1)&gt;=100000,INDEX($R$1005:$W$1005,1,MATCH(COLUMNS($R$1006:T1006),$R$1006:$W$1006,0))&gt;=100000), " ",IF(INDEX($R$2:$W$1001,MATCH(ROWS($K$2:K438),$K$2:$K$1001,0),MATCH(COLUMNS($R$1006:T1006),$R$1006:$W$1006,0)), HYPERLINK("#",""), HYPERLINK(CONCATENATE("#Metadata!", ADDRESS(INDEX($M$2:$M$1001,MATCH(ROWS($K$2:K438),$K$2:$K$1001,0),0), INDEX($R$1004:$W$1004,1,MATCH(COLUMNS($R$1006:T1006),$R$1006:$W$1006,0)))),"Fix")))</f>
        <v>0</v>
      </c>
      <c r="E438" s="3">
        <f>IF(OR(INDEX($L$2:$L$1001,MATCH(ROWS($K$2:K438),$K$2:$K$1001,0),1)&gt;=100000,INDEX($R$1005:$W$1005,1,MATCH(COLUMNS($R$1006:U1006),$R$1006:$W$1006,0))&gt;=100000), " ",IF(INDEX($R$2:$W$1001,MATCH(ROWS($K$2:K438),$K$2:$K$1001,0),MATCH(COLUMNS($R$1006:U1006),$R$1006:$W$1006,0)), HYPERLINK("#",""), HYPERLINK(CONCATENATE("#Metadata!", ADDRESS(INDEX($M$2:$M$1001,MATCH(ROWS($K$2:K438),$K$2:$K$1001,0),0), INDEX($R$1004:$W$1004,1,MATCH(COLUMNS($R$1006:U1006),$R$1006:$W$1006,0)))),"Fix")))</f>
        <v>0</v>
      </c>
      <c r="F438" s="3">
        <f>IF(OR(INDEX($L$2:$L$1001,MATCH(ROWS($K$2:K438),$K$2:$K$1001,0),1)&gt;=100000,INDEX($R$1005:$W$1005,1,MATCH(COLUMNS($R$1006:V1006),$R$1006:$W$1006,0))&gt;=100000), " ",IF(INDEX($R$2:$W$1001,MATCH(ROWS($K$2:K438),$K$2:$K$1001,0),MATCH(COLUMNS($R$1006:V1006),$R$1006:$W$1006,0)), HYPERLINK("#",""), HYPERLINK(CONCATENATE("#Metadata!", ADDRESS(INDEX($M$2:$M$1001,MATCH(ROWS($K$2:K438),$K$2:$K$1001,0),0), INDEX($R$1004:$W$1004,1,MATCH(COLUMNS($R$1006:V1006),$R$1006:$W$1006,0)))),"Fix")))</f>
        <v>0</v>
      </c>
      <c r="G438" s="3">
        <f>IF(OR(INDEX($L$2:$L$1001,MATCH(ROWS($K$2:K438),$K$2:$K$1001,0),1)&gt;=100000,INDEX($R$1005:$W$1005,1,MATCH(COLUMNS($R$1006:W1006),$R$1006:$W$1006,0))&gt;=100000), " ",IF(INDEX($R$2:$W$1001,MATCH(ROWS($K$2:K438),$K$2:$K$1001,0),MATCH(COLUMNS($R$1006:W1006),$R$1006:$W$1006,0)), HYPERLINK("#",""), HYPERLINK(CONCATENATE("#Metadata!", ADDRESS(INDEX($M$2:$M$1001,MATCH(ROWS($K$2:K438),$K$2:$K$1001,0),0), INDEX($R$1004:$W$1004,1,MATCH(COLUMNS($R$1006:W1006),$R$1006:$W$1006,0)))),"Fix")))</f>
        <v>0</v>
      </c>
      <c r="K438">
        <v>0</v>
      </c>
      <c r="L438">
        <v>0</v>
      </c>
      <c r="M438">
        <v>0</v>
      </c>
      <c r="N438">
        <f>IF(O438,TRUE,AND(R438:W438))</f>
        <v>0</v>
      </c>
      <c r="O438">
        <f>COUNTBLANK(Metadata!B438:G438)=COLUMNS(Metadata!B438:G438)</f>
        <v>0</v>
      </c>
      <c r="P438">
        <v>0</v>
      </c>
      <c r="R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S438">
        <f>IF(Metadata!C438="",FALSE,TRUE)</f>
        <v>0</v>
      </c>
      <c r="T438">
        <f>IF(Metadata!D438="",FALSE,TRUE)</f>
        <v>0</v>
      </c>
      <c r="U438">
        <f>IF(Metadata!E438="",FALSE,TRUE)</f>
        <v>0</v>
      </c>
      <c r="V438">
        <f>AND(IF(Metadata!F438="",FALSE,TRUE),exact(Metadata!F438,"rat gut metagenome"))</f>
        <v>0</v>
      </c>
      <c r="W438">
        <f>AND(IF(Metadata!G438="",FALSE,TRUE),exact(Metadata!G438,"1436733"))</f>
        <v>0</v>
      </c>
    </row>
    <row r="439" spans="1:23">
      <c r="A439" s="4">
        <f>IF(B439=" "," ",HYPERLINK(CONCATENATE("#metadata!",ADDRESS(INDEX($M$2:$M$1001,MATCH(ROWS($K$2:K439),$K$2:$K$1001,0),0),1)),INDEX($P$2:$P$1001,MATCH(ROWS($K$2:K439),$K$2:$K$1001,0),0)))</f>
        <v>0</v>
      </c>
      <c r="B439" s="3">
        <f>IF(OR(INDEX($L$2:$L$1001,MATCH(ROWS($K$2:K439),$K$2:$K$1001,0),1)&gt;=100000,INDEX($R$1005:$W$1005,1,MATCH(COLUMNS($R$1006:R1006),$R$1006:$W$1006,0))&gt;=100000), " ",IF(INDEX($R$2:$W$1001,MATCH(ROWS($K$2:K439),$K$2:$K$1001,0),MATCH(COLUMNS($R$1006:R1006),$R$1006:$W$1006,0)), HYPERLINK("#",""), HYPERLINK(CONCATENATE("#Metadata!", ADDRESS(INDEX($M$2:$M$1001,MATCH(ROWS($K$2:K439),$K$2:$K$1001,0),0), INDEX($R$1004:$W$1004,1,MATCH(COLUMNS($R$1006:R1006),$R$1006:$W$1006,0)))),"Fix")))</f>
        <v>0</v>
      </c>
      <c r="C439" s="3">
        <f>IF(OR(INDEX($L$2:$L$1001,MATCH(ROWS($K$2:K439),$K$2:$K$1001,0),1)&gt;=100000,INDEX($R$1005:$W$1005,1,MATCH(COLUMNS($R$1006:S1006),$R$1006:$W$1006,0))&gt;=100000), " ",IF(INDEX($R$2:$W$1001,MATCH(ROWS($K$2:K439),$K$2:$K$1001,0),MATCH(COLUMNS($R$1006:S1006),$R$1006:$W$1006,0)), HYPERLINK("#",""), HYPERLINK(CONCATENATE("#Metadata!", ADDRESS(INDEX($M$2:$M$1001,MATCH(ROWS($K$2:K439),$K$2:$K$1001,0),0), INDEX($R$1004:$W$1004,1,MATCH(COLUMNS($R$1006:S1006),$R$1006:$W$1006,0)))),"Fix")))</f>
        <v>0</v>
      </c>
      <c r="D439" s="3">
        <f>IF(OR(INDEX($L$2:$L$1001,MATCH(ROWS($K$2:K439),$K$2:$K$1001,0),1)&gt;=100000,INDEX($R$1005:$W$1005,1,MATCH(COLUMNS($R$1006:T1006),$R$1006:$W$1006,0))&gt;=100000), " ",IF(INDEX($R$2:$W$1001,MATCH(ROWS($K$2:K439),$K$2:$K$1001,0),MATCH(COLUMNS($R$1006:T1006),$R$1006:$W$1006,0)), HYPERLINK("#",""), HYPERLINK(CONCATENATE("#Metadata!", ADDRESS(INDEX($M$2:$M$1001,MATCH(ROWS($K$2:K439),$K$2:$K$1001,0),0), INDEX($R$1004:$W$1004,1,MATCH(COLUMNS($R$1006:T1006),$R$1006:$W$1006,0)))),"Fix")))</f>
        <v>0</v>
      </c>
      <c r="E439" s="3">
        <f>IF(OR(INDEX($L$2:$L$1001,MATCH(ROWS($K$2:K439),$K$2:$K$1001,0),1)&gt;=100000,INDEX($R$1005:$W$1005,1,MATCH(COLUMNS($R$1006:U1006),$R$1006:$W$1006,0))&gt;=100000), " ",IF(INDEX($R$2:$W$1001,MATCH(ROWS($K$2:K439),$K$2:$K$1001,0),MATCH(COLUMNS($R$1006:U1006),$R$1006:$W$1006,0)), HYPERLINK("#",""), HYPERLINK(CONCATENATE("#Metadata!", ADDRESS(INDEX($M$2:$M$1001,MATCH(ROWS($K$2:K439),$K$2:$K$1001,0),0), INDEX($R$1004:$W$1004,1,MATCH(COLUMNS($R$1006:U1006),$R$1006:$W$1006,0)))),"Fix")))</f>
        <v>0</v>
      </c>
      <c r="F439" s="3">
        <f>IF(OR(INDEX($L$2:$L$1001,MATCH(ROWS($K$2:K439),$K$2:$K$1001,0),1)&gt;=100000,INDEX($R$1005:$W$1005,1,MATCH(COLUMNS($R$1006:V1006),$R$1006:$W$1006,0))&gt;=100000), " ",IF(INDEX($R$2:$W$1001,MATCH(ROWS($K$2:K439),$K$2:$K$1001,0),MATCH(COLUMNS($R$1006:V1006),$R$1006:$W$1006,0)), HYPERLINK("#",""), HYPERLINK(CONCATENATE("#Metadata!", ADDRESS(INDEX($M$2:$M$1001,MATCH(ROWS($K$2:K439),$K$2:$K$1001,0),0), INDEX($R$1004:$W$1004,1,MATCH(COLUMNS($R$1006:V1006),$R$1006:$W$1006,0)))),"Fix")))</f>
        <v>0</v>
      </c>
      <c r="G439" s="3">
        <f>IF(OR(INDEX($L$2:$L$1001,MATCH(ROWS($K$2:K439),$K$2:$K$1001,0),1)&gt;=100000,INDEX($R$1005:$W$1005,1,MATCH(COLUMNS($R$1006:W1006),$R$1006:$W$1006,0))&gt;=100000), " ",IF(INDEX($R$2:$W$1001,MATCH(ROWS($K$2:K439),$K$2:$K$1001,0),MATCH(COLUMNS($R$1006:W1006),$R$1006:$W$1006,0)), HYPERLINK("#",""), HYPERLINK(CONCATENATE("#Metadata!", ADDRESS(INDEX($M$2:$M$1001,MATCH(ROWS($K$2:K439),$K$2:$K$1001,0),0), INDEX($R$1004:$W$1004,1,MATCH(COLUMNS($R$1006:W1006),$R$1006:$W$1006,0)))),"Fix")))</f>
        <v>0</v>
      </c>
      <c r="K439">
        <v>0</v>
      </c>
      <c r="L439">
        <v>0</v>
      </c>
      <c r="M439">
        <v>0</v>
      </c>
      <c r="N439">
        <f>IF(O439,TRUE,AND(R439:W439))</f>
        <v>0</v>
      </c>
      <c r="O439">
        <f>COUNTBLANK(Metadata!B439:G439)=COLUMNS(Metadata!B439:G439)</f>
        <v>0</v>
      </c>
      <c r="P439">
        <v>0</v>
      </c>
      <c r="R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S439">
        <f>IF(Metadata!C439="",FALSE,TRUE)</f>
        <v>0</v>
      </c>
      <c r="T439">
        <f>IF(Metadata!D439="",FALSE,TRUE)</f>
        <v>0</v>
      </c>
      <c r="U439">
        <f>IF(Metadata!E439="",FALSE,TRUE)</f>
        <v>0</v>
      </c>
      <c r="V439">
        <f>AND(IF(Metadata!F439="",FALSE,TRUE),exact(Metadata!F439,"rat gut metagenome"))</f>
        <v>0</v>
      </c>
      <c r="W439">
        <f>AND(IF(Metadata!G439="",FALSE,TRUE),exact(Metadata!G439,"1436733"))</f>
        <v>0</v>
      </c>
    </row>
    <row r="440" spans="1:23">
      <c r="A440" s="4">
        <f>IF(B440=" "," ",HYPERLINK(CONCATENATE("#metadata!",ADDRESS(INDEX($M$2:$M$1001,MATCH(ROWS($K$2:K440),$K$2:$K$1001,0),0),1)),INDEX($P$2:$P$1001,MATCH(ROWS($K$2:K440),$K$2:$K$1001,0),0)))</f>
        <v>0</v>
      </c>
      <c r="B440" s="3">
        <f>IF(OR(INDEX($L$2:$L$1001,MATCH(ROWS($K$2:K440),$K$2:$K$1001,0),1)&gt;=100000,INDEX($R$1005:$W$1005,1,MATCH(COLUMNS($R$1006:R1006),$R$1006:$W$1006,0))&gt;=100000), " ",IF(INDEX($R$2:$W$1001,MATCH(ROWS($K$2:K440),$K$2:$K$1001,0),MATCH(COLUMNS($R$1006:R1006),$R$1006:$W$1006,0)), HYPERLINK("#",""), HYPERLINK(CONCATENATE("#Metadata!", ADDRESS(INDEX($M$2:$M$1001,MATCH(ROWS($K$2:K440),$K$2:$K$1001,0),0), INDEX($R$1004:$W$1004,1,MATCH(COLUMNS($R$1006:R1006),$R$1006:$W$1006,0)))),"Fix")))</f>
        <v>0</v>
      </c>
      <c r="C440" s="3">
        <f>IF(OR(INDEX($L$2:$L$1001,MATCH(ROWS($K$2:K440),$K$2:$K$1001,0),1)&gt;=100000,INDEX($R$1005:$W$1005,1,MATCH(COLUMNS($R$1006:S1006),$R$1006:$W$1006,0))&gt;=100000), " ",IF(INDEX($R$2:$W$1001,MATCH(ROWS($K$2:K440),$K$2:$K$1001,0),MATCH(COLUMNS($R$1006:S1006),$R$1006:$W$1006,0)), HYPERLINK("#",""), HYPERLINK(CONCATENATE("#Metadata!", ADDRESS(INDEX($M$2:$M$1001,MATCH(ROWS($K$2:K440),$K$2:$K$1001,0),0), INDEX($R$1004:$W$1004,1,MATCH(COLUMNS($R$1006:S1006),$R$1006:$W$1006,0)))),"Fix")))</f>
        <v>0</v>
      </c>
      <c r="D440" s="3">
        <f>IF(OR(INDEX($L$2:$L$1001,MATCH(ROWS($K$2:K440),$K$2:$K$1001,0),1)&gt;=100000,INDEX($R$1005:$W$1005,1,MATCH(COLUMNS($R$1006:T1006),$R$1006:$W$1006,0))&gt;=100000), " ",IF(INDEX($R$2:$W$1001,MATCH(ROWS($K$2:K440),$K$2:$K$1001,0),MATCH(COLUMNS($R$1006:T1006),$R$1006:$W$1006,0)), HYPERLINK("#",""), HYPERLINK(CONCATENATE("#Metadata!", ADDRESS(INDEX($M$2:$M$1001,MATCH(ROWS($K$2:K440),$K$2:$K$1001,0),0), INDEX($R$1004:$W$1004,1,MATCH(COLUMNS($R$1006:T1006),$R$1006:$W$1006,0)))),"Fix")))</f>
        <v>0</v>
      </c>
      <c r="E440" s="3">
        <f>IF(OR(INDEX($L$2:$L$1001,MATCH(ROWS($K$2:K440),$K$2:$K$1001,0),1)&gt;=100000,INDEX($R$1005:$W$1005,1,MATCH(COLUMNS($R$1006:U1006),$R$1006:$W$1006,0))&gt;=100000), " ",IF(INDEX($R$2:$W$1001,MATCH(ROWS($K$2:K440),$K$2:$K$1001,0),MATCH(COLUMNS($R$1006:U1006),$R$1006:$W$1006,0)), HYPERLINK("#",""), HYPERLINK(CONCATENATE("#Metadata!", ADDRESS(INDEX($M$2:$M$1001,MATCH(ROWS($K$2:K440),$K$2:$K$1001,0),0), INDEX($R$1004:$W$1004,1,MATCH(COLUMNS($R$1006:U1006),$R$1006:$W$1006,0)))),"Fix")))</f>
        <v>0</v>
      </c>
      <c r="F440" s="3">
        <f>IF(OR(INDEX($L$2:$L$1001,MATCH(ROWS($K$2:K440),$K$2:$K$1001,0),1)&gt;=100000,INDEX($R$1005:$W$1005,1,MATCH(COLUMNS($R$1006:V1006),$R$1006:$W$1006,0))&gt;=100000), " ",IF(INDEX($R$2:$W$1001,MATCH(ROWS($K$2:K440),$K$2:$K$1001,0),MATCH(COLUMNS($R$1006:V1006),$R$1006:$W$1006,0)), HYPERLINK("#",""), HYPERLINK(CONCATENATE("#Metadata!", ADDRESS(INDEX($M$2:$M$1001,MATCH(ROWS($K$2:K440),$K$2:$K$1001,0),0), INDEX($R$1004:$W$1004,1,MATCH(COLUMNS($R$1006:V1006),$R$1006:$W$1006,0)))),"Fix")))</f>
        <v>0</v>
      </c>
      <c r="G440" s="3">
        <f>IF(OR(INDEX($L$2:$L$1001,MATCH(ROWS($K$2:K440),$K$2:$K$1001,0),1)&gt;=100000,INDEX($R$1005:$W$1005,1,MATCH(COLUMNS($R$1006:W1006),$R$1006:$W$1006,0))&gt;=100000), " ",IF(INDEX($R$2:$W$1001,MATCH(ROWS($K$2:K440),$K$2:$K$1001,0),MATCH(COLUMNS($R$1006:W1006),$R$1006:$W$1006,0)), HYPERLINK("#",""), HYPERLINK(CONCATENATE("#Metadata!", ADDRESS(INDEX($M$2:$M$1001,MATCH(ROWS($K$2:K440),$K$2:$K$1001,0),0), INDEX($R$1004:$W$1004,1,MATCH(COLUMNS($R$1006:W1006),$R$1006:$W$1006,0)))),"Fix")))</f>
        <v>0</v>
      </c>
      <c r="K440">
        <v>0</v>
      </c>
      <c r="L440">
        <v>0</v>
      </c>
      <c r="M440">
        <v>0</v>
      </c>
      <c r="N440">
        <f>IF(O440,TRUE,AND(R440:W440))</f>
        <v>0</v>
      </c>
      <c r="O440">
        <f>COUNTBLANK(Metadata!B440:G440)=COLUMNS(Metadata!B440:G440)</f>
        <v>0</v>
      </c>
      <c r="P440">
        <v>0</v>
      </c>
      <c r="R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S440">
        <f>IF(Metadata!C440="",FALSE,TRUE)</f>
        <v>0</v>
      </c>
      <c r="T440">
        <f>IF(Metadata!D440="",FALSE,TRUE)</f>
        <v>0</v>
      </c>
      <c r="U440">
        <f>IF(Metadata!E440="",FALSE,TRUE)</f>
        <v>0</v>
      </c>
      <c r="V440">
        <f>AND(IF(Metadata!F440="",FALSE,TRUE),exact(Metadata!F440,"rat gut metagenome"))</f>
        <v>0</v>
      </c>
      <c r="W440">
        <f>AND(IF(Metadata!G440="",FALSE,TRUE),exact(Metadata!G440,"1436733"))</f>
        <v>0</v>
      </c>
    </row>
    <row r="441" spans="1:23">
      <c r="A441" s="4">
        <f>IF(B441=" "," ",HYPERLINK(CONCATENATE("#metadata!",ADDRESS(INDEX($M$2:$M$1001,MATCH(ROWS($K$2:K441),$K$2:$K$1001,0),0),1)),INDEX($P$2:$P$1001,MATCH(ROWS($K$2:K441),$K$2:$K$1001,0),0)))</f>
        <v>0</v>
      </c>
      <c r="B441" s="3">
        <f>IF(OR(INDEX($L$2:$L$1001,MATCH(ROWS($K$2:K441),$K$2:$K$1001,0),1)&gt;=100000,INDEX($R$1005:$W$1005,1,MATCH(COLUMNS($R$1006:R1006),$R$1006:$W$1006,0))&gt;=100000), " ",IF(INDEX($R$2:$W$1001,MATCH(ROWS($K$2:K441),$K$2:$K$1001,0),MATCH(COLUMNS($R$1006:R1006),$R$1006:$W$1006,0)), HYPERLINK("#",""), HYPERLINK(CONCATENATE("#Metadata!", ADDRESS(INDEX($M$2:$M$1001,MATCH(ROWS($K$2:K441),$K$2:$K$1001,0),0), INDEX($R$1004:$W$1004,1,MATCH(COLUMNS($R$1006:R1006),$R$1006:$W$1006,0)))),"Fix")))</f>
        <v>0</v>
      </c>
      <c r="C441" s="3">
        <f>IF(OR(INDEX($L$2:$L$1001,MATCH(ROWS($K$2:K441),$K$2:$K$1001,0),1)&gt;=100000,INDEX($R$1005:$W$1005,1,MATCH(COLUMNS($R$1006:S1006),$R$1006:$W$1006,0))&gt;=100000), " ",IF(INDEX($R$2:$W$1001,MATCH(ROWS($K$2:K441),$K$2:$K$1001,0),MATCH(COLUMNS($R$1006:S1006),$R$1006:$W$1006,0)), HYPERLINK("#",""), HYPERLINK(CONCATENATE("#Metadata!", ADDRESS(INDEX($M$2:$M$1001,MATCH(ROWS($K$2:K441),$K$2:$K$1001,0),0), INDEX($R$1004:$W$1004,1,MATCH(COLUMNS($R$1006:S1006),$R$1006:$W$1006,0)))),"Fix")))</f>
        <v>0</v>
      </c>
      <c r="D441" s="3">
        <f>IF(OR(INDEX($L$2:$L$1001,MATCH(ROWS($K$2:K441),$K$2:$K$1001,0),1)&gt;=100000,INDEX($R$1005:$W$1005,1,MATCH(COLUMNS($R$1006:T1006),$R$1006:$W$1006,0))&gt;=100000), " ",IF(INDEX($R$2:$W$1001,MATCH(ROWS($K$2:K441),$K$2:$K$1001,0),MATCH(COLUMNS($R$1006:T1006),$R$1006:$W$1006,0)), HYPERLINK("#",""), HYPERLINK(CONCATENATE("#Metadata!", ADDRESS(INDEX($M$2:$M$1001,MATCH(ROWS($K$2:K441),$K$2:$K$1001,0),0), INDEX($R$1004:$W$1004,1,MATCH(COLUMNS($R$1006:T1006),$R$1006:$W$1006,0)))),"Fix")))</f>
        <v>0</v>
      </c>
      <c r="E441" s="3">
        <f>IF(OR(INDEX($L$2:$L$1001,MATCH(ROWS($K$2:K441),$K$2:$K$1001,0),1)&gt;=100000,INDEX($R$1005:$W$1005,1,MATCH(COLUMNS($R$1006:U1006),$R$1006:$W$1006,0))&gt;=100000), " ",IF(INDEX($R$2:$W$1001,MATCH(ROWS($K$2:K441),$K$2:$K$1001,0),MATCH(COLUMNS($R$1006:U1006),$R$1006:$W$1006,0)), HYPERLINK("#",""), HYPERLINK(CONCATENATE("#Metadata!", ADDRESS(INDEX($M$2:$M$1001,MATCH(ROWS($K$2:K441),$K$2:$K$1001,0),0), INDEX($R$1004:$W$1004,1,MATCH(COLUMNS($R$1006:U1006),$R$1006:$W$1006,0)))),"Fix")))</f>
        <v>0</v>
      </c>
      <c r="F441" s="3">
        <f>IF(OR(INDEX($L$2:$L$1001,MATCH(ROWS($K$2:K441),$K$2:$K$1001,0),1)&gt;=100000,INDEX($R$1005:$W$1005,1,MATCH(COLUMNS($R$1006:V1006),$R$1006:$W$1006,0))&gt;=100000), " ",IF(INDEX($R$2:$W$1001,MATCH(ROWS($K$2:K441),$K$2:$K$1001,0),MATCH(COLUMNS($R$1006:V1006),$R$1006:$W$1006,0)), HYPERLINK("#",""), HYPERLINK(CONCATENATE("#Metadata!", ADDRESS(INDEX($M$2:$M$1001,MATCH(ROWS($K$2:K441),$K$2:$K$1001,0),0), INDEX($R$1004:$W$1004,1,MATCH(COLUMNS($R$1006:V1006),$R$1006:$W$1006,0)))),"Fix")))</f>
        <v>0</v>
      </c>
      <c r="G441" s="3">
        <f>IF(OR(INDEX($L$2:$L$1001,MATCH(ROWS($K$2:K441),$K$2:$K$1001,0),1)&gt;=100000,INDEX($R$1005:$W$1005,1,MATCH(COLUMNS($R$1006:W1006),$R$1006:$W$1006,0))&gt;=100000), " ",IF(INDEX($R$2:$W$1001,MATCH(ROWS($K$2:K441),$K$2:$K$1001,0),MATCH(COLUMNS($R$1006:W1006),$R$1006:$W$1006,0)), HYPERLINK("#",""), HYPERLINK(CONCATENATE("#Metadata!", ADDRESS(INDEX($M$2:$M$1001,MATCH(ROWS($K$2:K441),$K$2:$K$1001,0),0), INDEX($R$1004:$W$1004,1,MATCH(COLUMNS($R$1006:W1006),$R$1006:$W$1006,0)))),"Fix")))</f>
        <v>0</v>
      </c>
      <c r="K441">
        <v>0</v>
      </c>
      <c r="L441">
        <v>0</v>
      </c>
      <c r="M441">
        <v>0</v>
      </c>
      <c r="N441">
        <f>IF(O441,TRUE,AND(R441:W441))</f>
        <v>0</v>
      </c>
      <c r="O441">
        <f>COUNTBLANK(Metadata!B441:G441)=COLUMNS(Metadata!B441:G441)</f>
        <v>0</v>
      </c>
      <c r="P441">
        <v>0</v>
      </c>
      <c r="R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S441">
        <f>IF(Metadata!C441="",FALSE,TRUE)</f>
        <v>0</v>
      </c>
      <c r="T441">
        <f>IF(Metadata!D441="",FALSE,TRUE)</f>
        <v>0</v>
      </c>
      <c r="U441">
        <f>IF(Metadata!E441="",FALSE,TRUE)</f>
        <v>0</v>
      </c>
      <c r="V441">
        <f>AND(IF(Metadata!F441="",FALSE,TRUE),exact(Metadata!F441,"rat gut metagenome"))</f>
        <v>0</v>
      </c>
      <c r="W441">
        <f>AND(IF(Metadata!G441="",FALSE,TRUE),exact(Metadata!G441,"1436733"))</f>
        <v>0</v>
      </c>
    </row>
    <row r="442" spans="1:23">
      <c r="A442" s="4">
        <f>IF(B442=" "," ",HYPERLINK(CONCATENATE("#metadata!",ADDRESS(INDEX($M$2:$M$1001,MATCH(ROWS($K$2:K442),$K$2:$K$1001,0),0),1)),INDEX($P$2:$P$1001,MATCH(ROWS($K$2:K442),$K$2:$K$1001,0),0)))</f>
        <v>0</v>
      </c>
      <c r="B442" s="3">
        <f>IF(OR(INDEX($L$2:$L$1001,MATCH(ROWS($K$2:K442),$K$2:$K$1001,0),1)&gt;=100000,INDEX($R$1005:$W$1005,1,MATCH(COLUMNS($R$1006:R1006),$R$1006:$W$1006,0))&gt;=100000), " ",IF(INDEX($R$2:$W$1001,MATCH(ROWS($K$2:K442),$K$2:$K$1001,0),MATCH(COLUMNS($R$1006:R1006),$R$1006:$W$1006,0)), HYPERLINK("#",""), HYPERLINK(CONCATENATE("#Metadata!", ADDRESS(INDEX($M$2:$M$1001,MATCH(ROWS($K$2:K442),$K$2:$K$1001,0),0), INDEX($R$1004:$W$1004,1,MATCH(COLUMNS($R$1006:R1006),$R$1006:$W$1006,0)))),"Fix")))</f>
        <v>0</v>
      </c>
      <c r="C442" s="3">
        <f>IF(OR(INDEX($L$2:$L$1001,MATCH(ROWS($K$2:K442),$K$2:$K$1001,0),1)&gt;=100000,INDEX($R$1005:$W$1005,1,MATCH(COLUMNS($R$1006:S1006),$R$1006:$W$1006,0))&gt;=100000), " ",IF(INDEX($R$2:$W$1001,MATCH(ROWS($K$2:K442),$K$2:$K$1001,0),MATCH(COLUMNS($R$1006:S1006),$R$1006:$W$1006,0)), HYPERLINK("#",""), HYPERLINK(CONCATENATE("#Metadata!", ADDRESS(INDEX($M$2:$M$1001,MATCH(ROWS($K$2:K442),$K$2:$K$1001,0),0), INDEX($R$1004:$W$1004,1,MATCH(COLUMNS($R$1006:S1006),$R$1006:$W$1006,0)))),"Fix")))</f>
        <v>0</v>
      </c>
      <c r="D442" s="3">
        <f>IF(OR(INDEX($L$2:$L$1001,MATCH(ROWS($K$2:K442),$K$2:$K$1001,0),1)&gt;=100000,INDEX($R$1005:$W$1005,1,MATCH(COLUMNS($R$1006:T1006),$R$1006:$W$1006,0))&gt;=100000), " ",IF(INDEX($R$2:$W$1001,MATCH(ROWS($K$2:K442),$K$2:$K$1001,0),MATCH(COLUMNS($R$1006:T1006),$R$1006:$W$1006,0)), HYPERLINK("#",""), HYPERLINK(CONCATENATE("#Metadata!", ADDRESS(INDEX($M$2:$M$1001,MATCH(ROWS($K$2:K442),$K$2:$K$1001,0),0), INDEX($R$1004:$W$1004,1,MATCH(COLUMNS($R$1006:T1006),$R$1006:$W$1006,0)))),"Fix")))</f>
        <v>0</v>
      </c>
      <c r="E442" s="3">
        <f>IF(OR(INDEX($L$2:$L$1001,MATCH(ROWS($K$2:K442),$K$2:$K$1001,0),1)&gt;=100000,INDEX($R$1005:$W$1005,1,MATCH(COLUMNS($R$1006:U1006),$R$1006:$W$1006,0))&gt;=100000), " ",IF(INDEX($R$2:$W$1001,MATCH(ROWS($K$2:K442),$K$2:$K$1001,0),MATCH(COLUMNS($R$1006:U1006),$R$1006:$W$1006,0)), HYPERLINK("#",""), HYPERLINK(CONCATENATE("#Metadata!", ADDRESS(INDEX($M$2:$M$1001,MATCH(ROWS($K$2:K442),$K$2:$K$1001,0),0), INDEX($R$1004:$W$1004,1,MATCH(COLUMNS($R$1006:U1006),$R$1006:$W$1006,0)))),"Fix")))</f>
        <v>0</v>
      </c>
      <c r="F442" s="3">
        <f>IF(OR(INDEX($L$2:$L$1001,MATCH(ROWS($K$2:K442),$K$2:$K$1001,0),1)&gt;=100000,INDEX($R$1005:$W$1005,1,MATCH(COLUMNS($R$1006:V1006),$R$1006:$W$1006,0))&gt;=100000), " ",IF(INDEX($R$2:$W$1001,MATCH(ROWS($K$2:K442),$K$2:$K$1001,0),MATCH(COLUMNS($R$1006:V1006),$R$1006:$W$1006,0)), HYPERLINK("#",""), HYPERLINK(CONCATENATE("#Metadata!", ADDRESS(INDEX($M$2:$M$1001,MATCH(ROWS($K$2:K442),$K$2:$K$1001,0),0), INDEX($R$1004:$W$1004,1,MATCH(COLUMNS($R$1006:V1006),$R$1006:$W$1006,0)))),"Fix")))</f>
        <v>0</v>
      </c>
      <c r="G442" s="3">
        <f>IF(OR(INDEX($L$2:$L$1001,MATCH(ROWS($K$2:K442),$K$2:$K$1001,0),1)&gt;=100000,INDEX($R$1005:$W$1005,1,MATCH(COLUMNS($R$1006:W1006),$R$1006:$W$1006,0))&gt;=100000), " ",IF(INDEX($R$2:$W$1001,MATCH(ROWS($K$2:K442),$K$2:$K$1001,0),MATCH(COLUMNS($R$1006:W1006),$R$1006:$W$1006,0)), HYPERLINK("#",""), HYPERLINK(CONCATENATE("#Metadata!", ADDRESS(INDEX($M$2:$M$1001,MATCH(ROWS($K$2:K442),$K$2:$K$1001,0),0), INDEX($R$1004:$W$1004,1,MATCH(COLUMNS($R$1006:W1006),$R$1006:$W$1006,0)))),"Fix")))</f>
        <v>0</v>
      </c>
      <c r="K442">
        <v>0</v>
      </c>
      <c r="L442">
        <v>0</v>
      </c>
      <c r="M442">
        <v>0</v>
      </c>
      <c r="N442">
        <f>IF(O442,TRUE,AND(R442:W442))</f>
        <v>0</v>
      </c>
      <c r="O442">
        <f>COUNTBLANK(Metadata!B442:G442)=COLUMNS(Metadata!B442:G442)</f>
        <v>0</v>
      </c>
      <c r="P442">
        <v>0</v>
      </c>
      <c r="R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S442">
        <f>IF(Metadata!C442="",FALSE,TRUE)</f>
        <v>0</v>
      </c>
      <c r="T442">
        <f>IF(Metadata!D442="",FALSE,TRUE)</f>
        <v>0</v>
      </c>
      <c r="U442">
        <f>IF(Metadata!E442="",FALSE,TRUE)</f>
        <v>0</v>
      </c>
      <c r="V442">
        <f>AND(IF(Metadata!F442="",FALSE,TRUE),exact(Metadata!F442,"rat gut metagenome"))</f>
        <v>0</v>
      </c>
      <c r="W442">
        <f>AND(IF(Metadata!G442="",FALSE,TRUE),exact(Metadata!G442,"1436733"))</f>
        <v>0</v>
      </c>
    </row>
    <row r="443" spans="1:23">
      <c r="A443" s="4">
        <f>IF(B443=" "," ",HYPERLINK(CONCATENATE("#metadata!",ADDRESS(INDEX($M$2:$M$1001,MATCH(ROWS($K$2:K443),$K$2:$K$1001,0),0),1)),INDEX($P$2:$P$1001,MATCH(ROWS($K$2:K443),$K$2:$K$1001,0),0)))</f>
        <v>0</v>
      </c>
      <c r="B443" s="3">
        <f>IF(OR(INDEX($L$2:$L$1001,MATCH(ROWS($K$2:K443),$K$2:$K$1001,0),1)&gt;=100000,INDEX($R$1005:$W$1005,1,MATCH(COLUMNS($R$1006:R1006),$R$1006:$W$1006,0))&gt;=100000), " ",IF(INDEX($R$2:$W$1001,MATCH(ROWS($K$2:K443),$K$2:$K$1001,0),MATCH(COLUMNS($R$1006:R1006),$R$1006:$W$1006,0)), HYPERLINK("#",""), HYPERLINK(CONCATENATE("#Metadata!", ADDRESS(INDEX($M$2:$M$1001,MATCH(ROWS($K$2:K443),$K$2:$K$1001,0),0), INDEX($R$1004:$W$1004,1,MATCH(COLUMNS($R$1006:R1006),$R$1006:$W$1006,0)))),"Fix")))</f>
        <v>0</v>
      </c>
      <c r="C443" s="3">
        <f>IF(OR(INDEX($L$2:$L$1001,MATCH(ROWS($K$2:K443),$K$2:$K$1001,0),1)&gt;=100000,INDEX($R$1005:$W$1005,1,MATCH(COLUMNS($R$1006:S1006),$R$1006:$W$1006,0))&gt;=100000), " ",IF(INDEX($R$2:$W$1001,MATCH(ROWS($K$2:K443),$K$2:$K$1001,0),MATCH(COLUMNS($R$1006:S1006),$R$1006:$W$1006,0)), HYPERLINK("#",""), HYPERLINK(CONCATENATE("#Metadata!", ADDRESS(INDEX($M$2:$M$1001,MATCH(ROWS($K$2:K443),$K$2:$K$1001,0),0), INDEX($R$1004:$W$1004,1,MATCH(COLUMNS($R$1006:S1006),$R$1006:$W$1006,0)))),"Fix")))</f>
        <v>0</v>
      </c>
      <c r="D443" s="3">
        <f>IF(OR(INDEX($L$2:$L$1001,MATCH(ROWS($K$2:K443),$K$2:$K$1001,0),1)&gt;=100000,INDEX($R$1005:$W$1005,1,MATCH(COLUMNS($R$1006:T1006),$R$1006:$W$1006,0))&gt;=100000), " ",IF(INDEX($R$2:$W$1001,MATCH(ROWS($K$2:K443),$K$2:$K$1001,0),MATCH(COLUMNS($R$1006:T1006),$R$1006:$W$1006,0)), HYPERLINK("#",""), HYPERLINK(CONCATENATE("#Metadata!", ADDRESS(INDEX($M$2:$M$1001,MATCH(ROWS($K$2:K443),$K$2:$K$1001,0),0), INDEX($R$1004:$W$1004,1,MATCH(COLUMNS($R$1006:T1006),$R$1006:$W$1006,0)))),"Fix")))</f>
        <v>0</v>
      </c>
      <c r="E443" s="3">
        <f>IF(OR(INDEX($L$2:$L$1001,MATCH(ROWS($K$2:K443),$K$2:$K$1001,0),1)&gt;=100000,INDEX($R$1005:$W$1005,1,MATCH(COLUMNS($R$1006:U1006),$R$1006:$W$1006,0))&gt;=100000), " ",IF(INDEX($R$2:$W$1001,MATCH(ROWS($K$2:K443),$K$2:$K$1001,0),MATCH(COLUMNS($R$1006:U1006),$R$1006:$W$1006,0)), HYPERLINK("#",""), HYPERLINK(CONCATENATE("#Metadata!", ADDRESS(INDEX($M$2:$M$1001,MATCH(ROWS($K$2:K443),$K$2:$K$1001,0),0), INDEX($R$1004:$W$1004,1,MATCH(COLUMNS($R$1006:U1006),$R$1006:$W$1006,0)))),"Fix")))</f>
        <v>0</v>
      </c>
      <c r="F443" s="3">
        <f>IF(OR(INDEX($L$2:$L$1001,MATCH(ROWS($K$2:K443),$K$2:$K$1001,0),1)&gt;=100000,INDEX($R$1005:$W$1005,1,MATCH(COLUMNS($R$1006:V1006),$R$1006:$W$1006,0))&gt;=100000), " ",IF(INDEX($R$2:$W$1001,MATCH(ROWS($K$2:K443),$K$2:$K$1001,0),MATCH(COLUMNS($R$1006:V1006),$R$1006:$W$1006,0)), HYPERLINK("#",""), HYPERLINK(CONCATENATE("#Metadata!", ADDRESS(INDEX($M$2:$M$1001,MATCH(ROWS($K$2:K443),$K$2:$K$1001,0),0), INDEX($R$1004:$W$1004,1,MATCH(COLUMNS($R$1006:V1006),$R$1006:$W$1006,0)))),"Fix")))</f>
        <v>0</v>
      </c>
      <c r="G443" s="3">
        <f>IF(OR(INDEX($L$2:$L$1001,MATCH(ROWS($K$2:K443),$K$2:$K$1001,0),1)&gt;=100000,INDEX($R$1005:$W$1005,1,MATCH(COLUMNS($R$1006:W1006),$R$1006:$W$1006,0))&gt;=100000), " ",IF(INDEX($R$2:$W$1001,MATCH(ROWS($K$2:K443),$K$2:$K$1001,0),MATCH(COLUMNS($R$1006:W1006),$R$1006:$W$1006,0)), HYPERLINK("#",""), HYPERLINK(CONCATENATE("#Metadata!", ADDRESS(INDEX($M$2:$M$1001,MATCH(ROWS($K$2:K443),$K$2:$K$1001,0),0), INDEX($R$1004:$W$1004,1,MATCH(COLUMNS($R$1006:W1006),$R$1006:$W$1006,0)))),"Fix")))</f>
        <v>0</v>
      </c>
      <c r="K443">
        <v>0</v>
      </c>
      <c r="L443">
        <v>0</v>
      </c>
      <c r="M443">
        <v>0</v>
      </c>
      <c r="N443">
        <f>IF(O443,TRUE,AND(R443:W443))</f>
        <v>0</v>
      </c>
      <c r="O443">
        <f>COUNTBLANK(Metadata!B443:G443)=COLUMNS(Metadata!B443:G443)</f>
        <v>0</v>
      </c>
      <c r="P443">
        <v>0</v>
      </c>
      <c r="R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S443">
        <f>IF(Metadata!C443="",FALSE,TRUE)</f>
        <v>0</v>
      </c>
      <c r="T443">
        <f>IF(Metadata!D443="",FALSE,TRUE)</f>
        <v>0</v>
      </c>
      <c r="U443">
        <f>IF(Metadata!E443="",FALSE,TRUE)</f>
        <v>0</v>
      </c>
      <c r="V443">
        <f>AND(IF(Metadata!F443="",FALSE,TRUE),exact(Metadata!F443,"rat gut metagenome"))</f>
        <v>0</v>
      </c>
      <c r="W443">
        <f>AND(IF(Metadata!G443="",FALSE,TRUE),exact(Metadata!G443,"1436733"))</f>
        <v>0</v>
      </c>
    </row>
    <row r="444" spans="1:23">
      <c r="A444" s="4">
        <f>IF(B444=" "," ",HYPERLINK(CONCATENATE("#metadata!",ADDRESS(INDEX($M$2:$M$1001,MATCH(ROWS($K$2:K444),$K$2:$K$1001,0),0),1)),INDEX($P$2:$P$1001,MATCH(ROWS($K$2:K444),$K$2:$K$1001,0),0)))</f>
        <v>0</v>
      </c>
      <c r="B444" s="3">
        <f>IF(OR(INDEX($L$2:$L$1001,MATCH(ROWS($K$2:K444),$K$2:$K$1001,0),1)&gt;=100000,INDEX($R$1005:$W$1005,1,MATCH(COLUMNS($R$1006:R1006),$R$1006:$W$1006,0))&gt;=100000), " ",IF(INDEX($R$2:$W$1001,MATCH(ROWS($K$2:K444),$K$2:$K$1001,0),MATCH(COLUMNS($R$1006:R1006),$R$1006:$W$1006,0)), HYPERLINK("#",""), HYPERLINK(CONCATENATE("#Metadata!", ADDRESS(INDEX($M$2:$M$1001,MATCH(ROWS($K$2:K444),$K$2:$K$1001,0),0), INDEX($R$1004:$W$1004,1,MATCH(COLUMNS($R$1006:R1006),$R$1006:$W$1006,0)))),"Fix")))</f>
        <v>0</v>
      </c>
      <c r="C444" s="3">
        <f>IF(OR(INDEX($L$2:$L$1001,MATCH(ROWS($K$2:K444),$K$2:$K$1001,0),1)&gt;=100000,INDEX($R$1005:$W$1005,1,MATCH(COLUMNS($R$1006:S1006),$R$1006:$W$1006,0))&gt;=100000), " ",IF(INDEX($R$2:$W$1001,MATCH(ROWS($K$2:K444),$K$2:$K$1001,0),MATCH(COLUMNS($R$1006:S1006),$R$1006:$W$1006,0)), HYPERLINK("#",""), HYPERLINK(CONCATENATE("#Metadata!", ADDRESS(INDEX($M$2:$M$1001,MATCH(ROWS($K$2:K444),$K$2:$K$1001,0),0), INDEX($R$1004:$W$1004,1,MATCH(COLUMNS($R$1006:S1006),$R$1006:$W$1006,0)))),"Fix")))</f>
        <v>0</v>
      </c>
      <c r="D444" s="3">
        <f>IF(OR(INDEX($L$2:$L$1001,MATCH(ROWS($K$2:K444),$K$2:$K$1001,0),1)&gt;=100000,INDEX($R$1005:$W$1005,1,MATCH(COLUMNS($R$1006:T1006),$R$1006:$W$1006,0))&gt;=100000), " ",IF(INDEX($R$2:$W$1001,MATCH(ROWS($K$2:K444),$K$2:$K$1001,0),MATCH(COLUMNS($R$1006:T1006),$R$1006:$W$1006,0)), HYPERLINK("#",""), HYPERLINK(CONCATENATE("#Metadata!", ADDRESS(INDEX($M$2:$M$1001,MATCH(ROWS($K$2:K444),$K$2:$K$1001,0),0), INDEX($R$1004:$W$1004,1,MATCH(COLUMNS($R$1006:T1006),$R$1006:$W$1006,0)))),"Fix")))</f>
        <v>0</v>
      </c>
      <c r="E444" s="3">
        <f>IF(OR(INDEX($L$2:$L$1001,MATCH(ROWS($K$2:K444),$K$2:$K$1001,0),1)&gt;=100000,INDEX($R$1005:$W$1005,1,MATCH(COLUMNS($R$1006:U1006),$R$1006:$W$1006,0))&gt;=100000), " ",IF(INDEX($R$2:$W$1001,MATCH(ROWS($K$2:K444),$K$2:$K$1001,0),MATCH(COLUMNS($R$1006:U1006),$R$1006:$W$1006,0)), HYPERLINK("#",""), HYPERLINK(CONCATENATE("#Metadata!", ADDRESS(INDEX($M$2:$M$1001,MATCH(ROWS($K$2:K444),$K$2:$K$1001,0),0), INDEX($R$1004:$W$1004,1,MATCH(COLUMNS($R$1006:U1006),$R$1006:$W$1006,0)))),"Fix")))</f>
        <v>0</v>
      </c>
      <c r="F444" s="3">
        <f>IF(OR(INDEX($L$2:$L$1001,MATCH(ROWS($K$2:K444),$K$2:$K$1001,0),1)&gt;=100000,INDEX($R$1005:$W$1005,1,MATCH(COLUMNS($R$1006:V1006),$R$1006:$W$1006,0))&gt;=100000), " ",IF(INDEX($R$2:$W$1001,MATCH(ROWS($K$2:K444),$K$2:$K$1001,0),MATCH(COLUMNS($R$1006:V1006),$R$1006:$W$1006,0)), HYPERLINK("#",""), HYPERLINK(CONCATENATE("#Metadata!", ADDRESS(INDEX($M$2:$M$1001,MATCH(ROWS($K$2:K444),$K$2:$K$1001,0),0), INDEX($R$1004:$W$1004,1,MATCH(COLUMNS($R$1006:V1006),$R$1006:$W$1006,0)))),"Fix")))</f>
        <v>0</v>
      </c>
      <c r="G444" s="3">
        <f>IF(OR(INDEX($L$2:$L$1001,MATCH(ROWS($K$2:K444),$K$2:$K$1001,0),1)&gt;=100000,INDEX($R$1005:$W$1005,1,MATCH(COLUMNS($R$1006:W1006),$R$1006:$W$1006,0))&gt;=100000), " ",IF(INDEX($R$2:$W$1001,MATCH(ROWS($K$2:K444),$K$2:$K$1001,0),MATCH(COLUMNS($R$1006:W1006),$R$1006:$W$1006,0)), HYPERLINK("#",""), HYPERLINK(CONCATENATE("#Metadata!", ADDRESS(INDEX($M$2:$M$1001,MATCH(ROWS($K$2:K444),$K$2:$K$1001,0),0), INDEX($R$1004:$W$1004,1,MATCH(COLUMNS($R$1006:W1006),$R$1006:$W$1006,0)))),"Fix")))</f>
        <v>0</v>
      </c>
      <c r="K444">
        <v>0</v>
      </c>
      <c r="L444">
        <v>0</v>
      </c>
      <c r="M444">
        <v>0</v>
      </c>
      <c r="N444">
        <f>IF(O444,TRUE,AND(R444:W444))</f>
        <v>0</v>
      </c>
      <c r="O444">
        <f>COUNTBLANK(Metadata!B444:G444)=COLUMNS(Metadata!B444:G444)</f>
        <v>0</v>
      </c>
      <c r="P444">
        <v>0</v>
      </c>
      <c r="R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S444">
        <f>IF(Metadata!C444="",FALSE,TRUE)</f>
        <v>0</v>
      </c>
      <c r="T444">
        <f>IF(Metadata!D444="",FALSE,TRUE)</f>
        <v>0</v>
      </c>
      <c r="U444">
        <f>IF(Metadata!E444="",FALSE,TRUE)</f>
        <v>0</v>
      </c>
      <c r="V444">
        <f>AND(IF(Metadata!F444="",FALSE,TRUE),exact(Metadata!F444,"rat gut metagenome"))</f>
        <v>0</v>
      </c>
      <c r="W444">
        <f>AND(IF(Metadata!G444="",FALSE,TRUE),exact(Metadata!G444,"1436733"))</f>
        <v>0</v>
      </c>
    </row>
    <row r="445" spans="1:23">
      <c r="A445" s="4">
        <f>IF(B445=" "," ",HYPERLINK(CONCATENATE("#metadata!",ADDRESS(INDEX($M$2:$M$1001,MATCH(ROWS($K$2:K445),$K$2:$K$1001,0),0),1)),INDEX($P$2:$P$1001,MATCH(ROWS($K$2:K445),$K$2:$K$1001,0),0)))</f>
        <v>0</v>
      </c>
      <c r="B445" s="3">
        <f>IF(OR(INDEX($L$2:$L$1001,MATCH(ROWS($K$2:K445),$K$2:$K$1001,0),1)&gt;=100000,INDEX($R$1005:$W$1005,1,MATCH(COLUMNS($R$1006:R1006),$R$1006:$W$1006,0))&gt;=100000), " ",IF(INDEX($R$2:$W$1001,MATCH(ROWS($K$2:K445),$K$2:$K$1001,0),MATCH(COLUMNS($R$1006:R1006),$R$1006:$W$1006,0)), HYPERLINK("#",""), HYPERLINK(CONCATENATE("#Metadata!", ADDRESS(INDEX($M$2:$M$1001,MATCH(ROWS($K$2:K445),$K$2:$K$1001,0),0), INDEX($R$1004:$W$1004,1,MATCH(COLUMNS($R$1006:R1006),$R$1006:$W$1006,0)))),"Fix")))</f>
        <v>0</v>
      </c>
      <c r="C445" s="3">
        <f>IF(OR(INDEX($L$2:$L$1001,MATCH(ROWS($K$2:K445),$K$2:$K$1001,0),1)&gt;=100000,INDEX($R$1005:$W$1005,1,MATCH(COLUMNS($R$1006:S1006),$R$1006:$W$1006,0))&gt;=100000), " ",IF(INDEX($R$2:$W$1001,MATCH(ROWS($K$2:K445),$K$2:$K$1001,0),MATCH(COLUMNS($R$1006:S1006),$R$1006:$W$1006,0)), HYPERLINK("#",""), HYPERLINK(CONCATENATE("#Metadata!", ADDRESS(INDEX($M$2:$M$1001,MATCH(ROWS($K$2:K445),$K$2:$K$1001,0),0), INDEX($R$1004:$W$1004,1,MATCH(COLUMNS($R$1006:S1006),$R$1006:$W$1006,0)))),"Fix")))</f>
        <v>0</v>
      </c>
      <c r="D445" s="3">
        <f>IF(OR(INDEX($L$2:$L$1001,MATCH(ROWS($K$2:K445),$K$2:$K$1001,0),1)&gt;=100000,INDEX($R$1005:$W$1005,1,MATCH(COLUMNS($R$1006:T1006),$R$1006:$W$1006,0))&gt;=100000), " ",IF(INDEX($R$2:$W$1001,MATCH(ROWS($K$2:K445),$K$2:$K$1001,0),MATCH(COLUMNS($R$1006:T1006),$R$1006:$W$1006,0)), HYPERLINK("#",""), HYPERLINK(CONCATENATE("#Metadata!", ADDRESS(INDEX($M$2:$M$1001,MATCH(ROWS($K$2:K445),$K$2:$K$1001,0),0), INDEX($R$1004:$W$1004,1,MATCH(COLUMNS($R$1006:T1006),$R$1006:$W$1006,0)))),"Fix")))</f>
        <v>0</v>
      </c>
      <c r="E445" s="3">
        <f>IF(OR(INDEX($L$2:$L$1001,MATCH(ROWS($K$2:K445),$K$2:$K$1001,0),1)&gt;=100000,INDEX($R$1005:$W$1005,1,MATCH(COLUMNS($R$1006:U1006),$R$1006:$W$1006,0))&gt;=100000), " ",IF(INDEX($R$2:$W$1001,MATCH(ROWS($K$2:K445),$K$2:$K$1001,0),MATCH(COLUMNS($R$1006:U1006),$R$1006:$W$1006,0)), HYPERLINK("#",""), HYPERLINK(CONCATENATE("#Metadata!", ADDRESS(INDEX($M$2:$M$1001,MATCH(ROWS($K$2:K445),$K$2:$K$1001,0),0), INDEX($R$1004:$W$1004,1,MATCH(COLUMNS($R$1006:U1006),$R$1006:$W$1006,0)))),"Fix")))</f>
        <v>0</v>
      </c>
      <c r="F445" s="3">
        <f>IF(OR(INDEX($L$2:$L$1001,MATCH(ROWS($K$2:K445),$K$2:$K$1001,0),1)&gt;=100000,INDEX($R$1005:$W$1005,1,MATCH(COLUMNS($R$1006:V1006),$R$1006:$W$1006,0))&gt;=100000), " ",IF(INDEX($R$2:$W$1001,MATCH(ROWS($K$2:K445),$K$2:$K$1001,0),MATCH(COLUMNS($R$1006:V1006),$R$1006:$W$1006,0)), HYPERLINK("#",""), HYPERLINK(CONCATENATE("#Metadata!", ADDRESS(INDEX($M$2:$M$1001,MATCH(ROWS($K$2:K445),$K$2:$K$1001,0),0), INDEX($R$1004:$W$1004,1,MATCH(COLUMNS($R$1006:V1006),$R$1006:$W$1006,0)))),"Fix")))</f>
        <v>0</v>
      </c>
      <c r="G445" s="3">
        <f>IF(OR(INDEX($L$2:$L$1001,MATCH(ROWS($K$2:K445),$K$2:$K$1001,0),1)&gt;=100000,INDEX($R$1005:$W$1005,1,MATCH(COLUMNS($R$1006:W1006),$R$1006:$W$1006,0))&gt;=100000), " ",IF(INDEX($R$2:$W$1001,MATCH(ROWS($K$2:K445),$K$2:$K$1001,0),MATCH(COLUMNS($R$1006:W1006),$R$1006:$W$1006,0)), HYPERLINK("#",""), HYPERLINK(CONCATENATE("#Metadata!", ADDRESS(INDEX($M$2:$M$1001,MATCH(ROWS($K$2:K445),$K$2:$K$1001,0),0), INDEX($R$1004:$W$1004,1,MATCH(COLUMNS($R$1006:W1006),$R$1006:$W$1006,0)))),"Fix")))</f>
        <v>0</v>
      </c>
      <c r="K445">
        <v>0</v>
      </c>
      <c r="L445">
        <v>0</v>
      </c>
      <c r="M445">
        <v>0</v>
      </c>
      <c r="N445">
        <f>IF(O445,TRUE,AND(R445:W445))</f>
        <v>0</v>
      </c>
      <c r="O445">
        <f>COUNTBLANK(Metadata!B445:G445)=COLUMNS(Metadata!B445:G445)</f>
        <v>0</v>
      </c>
      <c r="P445">
        <v>0</v>
      </c>
      <c r="R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S445">
        <f>IF(Metadata!C445="",FALSE,TRUE)</f>
        <v>0</v>
      </c>
      <c r="T445">
        <f>IF(Metadata!D445="",FALSE,TRUE)</f>
        <v>0</v>
      </c>
      <c r="U445">
        <f>IF(Metadata!E445="",FALSE,TRUE)</f>
        <v>0</v>
      </c>
      <c r="V445">
        <f>AND(IF(Metadata!F445="",FALSE,TRUE),exact(Metadata!F445,"rat gut metagenome"))</f>
        <v>0</v>
      </c>
      <c r="W445">
        <f>AND(IF(Metadata!G445="",FALSE,TRUE),exact(Metadata!G445,"1436733"))</f>
        <v>0</v>
      </c>
    </row>
    <row r="446" spans="1:23">
      <c r="A446" s="4">
        <f>IF(B446=" "," ",HYPERLINK(CONCATENATE("#metadata!",ADDRESS(INDEX($M$2:$M$1001,MATCH(ROWS($K$2:K446),$K$2:$K$1001,0),0),1)),INDEX($P$2:$P$1001,MATCH(ROWS($K$2:K446),$K$2:$K$1001,0),0)))</f>
        <v>0</v>
      </c>
      <c r="B446" s="3">
        <f>IF(OR(INDEX($L$2:$L$1001,MATCH(ROWS($K$2:K446),$K$2:$K$1001,0),1)&gt;=100000,INDEX($R$1005:$W$1005,1,MATCH(COLUMNS($R$1006:R1006),$R$1006:$W$1006,0))&gt;=100000), " ",IF(INDEX($R$2:$W$1001,MATCH(ROWS($K$2:K446),$K$2:$K$1001,0),MATCH(COLUMNS($R$1006:R1006),$R$1006:$W$1006,0)), HYPERLINK("#",""), HYPERLINK(CONCATENATE("#Metadata!", ADDRESS(INDEX($M$2:$M$1001,MATCH(ROWS($K$2:K446),$K$2:$K$1001,0),0), INDEX($R$1004:$W$1004,1,MATCH(COLUMNS($R$1006:R1006),$R$1006:$W$1006,0)))),"Fix")))</f>
        <v>0</v>
      </c>
      <c r="C446" s="3">
        <f>IF(OR(INDEX($L$2:$L$1001,MATCH(ROWS($K$2:K446),$K$2:$K$1001,0),1)&gt;=100000,INDEX($R$1005:$W$1005,1,MATCH(COLUMNS($R$1006:S1006),$R$1006:$W$1006,0))&gt;=100000), " ",IF(INDEX($R$2:$W$1001,MATCH(ROWS($K$2:K446),$K$2:$K$1001,0),MATCH(COLUMNS($R$1006:S1006),$R$1006:$W$1006,0)), HYPERLINK("#",""), HYPERLINK(CONCATENATE("#Metadata!", ADDRESS(INDEX($M$2:$M$1001,MATCH(ROWS($K$2:K446),$K$2:$K$1001,0),0), INDEX($R$1004:$W$1004,1,MATCH(COLUMNS($R$1006:S1006),$R$1006:$W$1006,0)))),"Fix")))</f>
        <v>0</v>
      </c>
      <c r="D446" s="3">
        <f>IF(OR(INDEX($L$2:$L$1001,MATCH(ROWS($K$2:K446),$K$2:$K$1001,0),1)&gt;=100000,INDEX($R$1005:$W$1005,1,MATCH(COLUMNS($R$1006:T1006),$R$1006:$W$1006,0))&gt;=100000), " ",IF(INDEX($R$2:$W$1001,MATCH(ROWS($K$2:K446),$K$2:$K$1001,0),MATCH(COLUMNS($R$1006:T1006),$R$1006:$W$1006,0)), HYPERLINK("#",""), HYPERLINK(CONCATENATE("#Metadata!", ADDRESS(INDEX($M$2:$M$1001,MATCH(ROWS($K$2:K446),$K$2:$K$1001,0),0), INDEX($R$1004:$W$1004,1,MATCH(COLUMNS($R$1006:T1006),$R$1006:$W$1006,0)))),"Fix")))</f>
        <v>0</v>
      </c>
      <c r="E446" s="3">
        <f>IF(OR(INDEX($L$2:$L$1001,MATCH(ROWS($K$2:K446),$K$2:$K$1001,0),1)&gt;=100000,INDEX($R$1005:$W$1005,1,MATCH(COLUMNS($R$1006:U1006),$R$1006:$W$1006,0))&gt;=100000), " ",IF(INDEX($R$2:$W$1001,MATCH(ROWS($K$2:K446),$K$2:$K$1001,0),MATCH(COLUMNS($R$1006:U1006),$R$1006:$W$1006,0)), HYPERLINK("#",""), HYPERLINK(CONCATENATE("#Metadata!", ADDRESS(INDEX($M$2:$M$1001,MATCH(ROWS($K$2:K446),$K$2:$K$1001,0),0), INDEX($R$1004:$W$1004,1,MATCH(COLUMNS($R$1006:U1006),$R$1006:$W$1006,0)))),"Fix")))</f>
        <v>0</v>
      </c>
      <c r="F446" s="3">
        <f>IF(OR(INDEX($L$2:$L$1001,MATCH(ROWS($K$2:K446),$K$2:$K$1001,0),1)&gt;=100000,INDEX($R$1005:$W$1005,1,MATCH(COLUMNS($R$1006:V1006),$R$1006:$W$1006,0))&gt;=100000), " ",IF(INDEX($R$2:$W$1001,MATCH(ROWS($K$2:K446),$K$2:$K$1001,0),MATCH(COLUMNS($R$1006:V1006),$R$1006:$W$1006,0)), HYPERLINK("#",""), HYPERLINK(CONCATENATE("#Metadata!", ADDRESS(INDEX($M$2:$M$1001,MATCH(ROWS($K$2:K446),$K$2:$K$1001,0),0), INDEX($R$1004:$W$1004,1,MATCH(COLUMNS($R$1006:V1006),$R$1006:$W$1006,0)))),"Fix")))</f>
        <v>0</v>
      </c>
      <c r="G446" s="3">
        <f>IF(OR(INDEX($L$2:$L$1001,MATCH(ROWS($K$2:K446),$K$2:$K$1001,0),1)&gt;=100000,INDEX($R$1005:$W$1005,1,MATCH(COLUMNS($R$1006:W1006),$R$1006:$W$1006,0))&gt;=100000), " ",IF(INDEX($R$2:$W$1001,MATCH(ROWS($K$2:K446),$K$2:$K$1001,0),MATCH(COLUMNS($R$1006:W1006),$R$1006:$W$1006,0)), HYPERLINK("#",""), HYPERLINK(CONCATENATE("#Metadata!", ADDRESS(INDEX($M$2:$M$1001,MATCH(ROWS($K$2:K446),$K$2:$K$1001,0),0), INDEX($R$1004:$W$1004,1,MATCH(COLUMNS($R$1006:W1006),$R$1006:$W$1006,0)))),"Fix")))</f>
        <v>0</v>
      </c>
      <c r="K446">
        <v>0</v>
      </c>
      <c r="L446">
        <v>0</v>
      </c>
      <c r="M446">
        <v>0</v>
      </c>
      <c r="N446">
        <f>IF(O446,TRUE,AND(R446:W446))</f>
        <v>0</v>
      </c>
      <c r="O446">
        <f>COUNTBLANK(Metadata!B446:G446)=COLUMNS(Metadata!B446:G446)</f>
        <v>0</v>
      </c>
      <c r="P446">
        <v>0</v>
      </c>
      <c r="R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S446">
        <f>IF(Metadata!C446="",FALSE,TRUE)</f>
        <v>0</v>
      </c>
      <c r="T446">
        <f>IF(Metadata!D446="",FALSE,TRUE)</f>
        <v>0</v>
      </c>
      <c r="U446">
        <f>IF(Metadata!E446="",FALSE,TRUE)</f>
        <v>0</v>
      </c>
      <c r="V446">
        <f>AND(IF(Metadata!F446="",FALSE,TRUE),exact(Metadata!F446,"rat gut metagenome"))</f>
        <v>0</v>
      </c>
      <c r="W446">
        <f>AND(IF(Metadata!G446="",FALSE,TRUE),exact(Metadata!G446,"1436733"))</f>
        <v>0</v>
      </c>
    </row>
    <row r="447" spans="1:23">
      <c r="A447" s="4">
        <f>IF(B447=" "," ",HYPERLINK(CONCATENATE("#metadata!",ADDRESS(INDEX($M$2:$M$1001,MATCH(ROWS($K$2:K447),$K$2:$K$1001,0),0),1)),INDEX($P$2:$P$1001,MATCH(ROWS($K$2:K447),$K$2:$K$1001,0),0)))</f>
        <v>0</v>
      </c>
      <c r="B447" s="3">
        <f>IF(OR(INDEX($L$2:$L$1001,MATCH(ROWS($K$2:K447),$K$2:$K$1001,0),1)&gt;=100000,INDEX($R$1005:$W$1005,1,MATCH(COLUMNS($R$1006:R1006),$R$1006:$W$1006,0))&gt;=100000), " ",IF(INDEX($R$2:$W$1001,MATCH(ROWS($K$2:K447),$K$2:$K$1001,0),MATCH(COLUMNS($R$1006:R1006),$R$1006:$W$1006,0)), HYPERLINK("#",""), HYPERLINK(CONCATENATE("#Metadata!", ADDRESS(INDEX($M$2:$M$1001,MATCH(ROWS($K$2:K447),$K$2:$K$1001,0),0), INDEX($R$1004:$W$1004,1,MATCH(COLUMNS($R$1006:R1006),$R$1006:$W$1006,0)))),"Fix")))</f>
        <v>0</v>
      </c>
      <c r="C447" s="3">
        <f>IF(OR(INDEX($L$2:$L$1001,MATCH(ROWS($K$2:K447),$K$2:$K$1001,0),1)&gt;=100000,INDEX($R$1005:$W$1005,1,MATCH(COLUMNS($R$1006:S1006),$R$1006:$W$1006,0))&gt;=100000), " ",IF(INDEX($R$2:$W$1001,MATCH(ROWS($K$2:K447),$K$2:$K$1001,0),MATCH(COLUMNS($R$1006:S1006),$R$1006:$W$1006,0)), HYPERLINK("#",""), HYPERLINK(CONCATENATE("#Metadata!", ADDRESS(INDEX($M$2:$M$1001,MATCH(ROWS($K$2:K447),$K$2:$K$1001,0),0), INDEX($R$1004:$W$1004,1,MATCH(COLUMNS($R$1006:S1006),$R$1006:$W$1006,0)))),"Fix")))</f>
        <v>0</v>
      </c>
      <c r="D447" s="3">
        <f>IF(OR(INDEX($L$2:$L$1001,MATCH(ROWS($K$2:K447),$K$2:$K$1001,0),1)&gt;=100000,INDEX($R$1005:$W$1005,1,MATCH(COLUMNS($R$1006:T1006),$R$1006:$W$1006,0))&gt;=100000), " ",IF(INDEX($R$2:$W$1001,MATCH(ROWS($K$2:K447),$K$2:$K$1001,0),MATCH(COLUMNS($R$1006:T1006),$R$1006:$W$1006,0)), HYPERLINK("#",""), HYPERLINK(CONCATENATE("#Metadata!", ADDRESS(INDEX($M$2:$M$1001,MATCH(ROWS($K$2:K447),$K$2:$K$1001,0),0), INDEX($R$1004:$W$1004,1,MATCH(COLUMNS($R$1006:T1006),$R$1006:$W$1006,0)))),"Fix")))</f>
        <v>0</v>
      </c>
      <c r="E447" s="3">
        <f>IF(OR(INDEX($L$2:$L$1001,MATCH(ROWS($K$2:K447),$K$2:$K$1001,0),1)&gt;=100000,INDEX($R$1005:$W$1005,1,MATCH(COLUMNS($R$1006:U1006),$R$1006:$W$1006,0))&gt;=100000), " ",IF(INDEX($R$2:$W$1001,MATCH(ROWS($K$2:K447),$K$2:$K$1001,0),MATCH(COLUMNS($R$1006:U1006),$R$1006:$W$1006,0)), HYPERLINK("#",""), HYPERLINK(CONCATENATE("#Metadata!", ADDRESS(INDEX($M$2:$M$1001,MATCH(ROWS($K$2:K447),$K$2:$K$1001,0),0), INDEX($R$1004:$W$1004,1,MATCH(COLUMNS($R$1006:U1006),$R$1006:$W$1006,0)))),"Fix")))</f>
        <v>0</v>
      </c>
      <c r="F447" s="3">
        <f>IF(OR(INDEX($L$2:$L$1001,MATCH(ROWS($K$2:K447),$K$2:$K$1001,0),1)&gt;=100000,INDEX($R$1005:$W$1005,1,MATCH(COLUMNS($R$1006:V1006),$R$1006:$W$1006,0))&gt;=100000), " ",IF(INDEX($R$2:$W$1001,MATCH(ROWS($K$2:K447),$K$2:$K$1001,0),MATCH(COLUMNS($R$1006:V1006),$R$1006:$W$1006,0)), HYPERLINK("#",""), HYPERLINK(CONCATENATE("#Metadata!", ADDRESS(INDEX($M$2:$M$1001,MATCH(ROWS($K$2:K447),$K$2:$K$1001,0),0), INDEX($R$1004:$W$1004,1,MATCH(COLUMNS($R$1006:V1006),$R$1006:$W$1006,0)))),"Fix")))</f>
        <v>0</v>
      </c>
      <c r="G447" s="3">
        <f>IF(OR(INDEX($L$2:$L$1001,MATCH(ROWS($K$2:K447),$K$2:$K$1001,0),1)&gt;=100000,INDEX($R$1005:$W$1005,1,MATCH(COLUMNS($R$1006:W1006),$R$1006:$W$1006,0))&gt;=100000), " ",IF(INDEX($R$2:$W$1001,MATCH(ROWS($K$2:K447),$K$2:$K$1001,0),MATCH(COLUMNS($R$1006:W1006),$R$1006:$W$1006,0)), HYPERLINK("#",""), HYPERLINK(CONCATENATE("#Metadata!", ADDRESS(INDEX($M$2:$M$1001,MATCH(ROWS($K$2:K447),$K$2:$K$1001,0),0), INDEX($R$1004:$W$1004,1,MATCH(COLUMNS($R$1006:W1006),$R$1006:$W$1006,0)))),"Fix")))</f>
        <v>0</v>
      </c>
      <c r="K447">
        <v>0</v>
      </c>
      <c r="L447">
        <v>0</v>
      </c>
      <c r="M447">
        <v>0</v>
      </c>
      <c r="N447">
        <f>IF(O447,TRUE,AND(R447:W447))</f>
        <v>0</v>
      </c>
      <c r="O447">
        <f>COUNTBLANK(Metadata!B447:G447)=COLUMNS(Metadata!B447:G447)</f>
        <v>0</v>
      </c>
      <c r="P447">
        <v>0</v>
      </c>
      <c r="R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S447">
        <f>IF(Metadata!C447="",FALSE,TRUE)</f>
        <v>0</v>
      </c>
      <c r="T447">
        <f>IF(Metadata!D447="",FALSE,TRUE)</f>
        <v>0</v>
      </c>
      <c r="U447">
        <f>IF(Metadata!E447="",FALSE,TRUE)</f>
        <v>0</v>
      </c>
      <c r="V447">
        <f>AND(IF(Metadata!F447="",FALSE,TRUE),exact(Metadata!F447,"rat gut metagenome"))</f>
        <v>0</v>
      </c>
      <c r="W447">
        <f>AND(IF(Metadata!G447="",FALSE,TRUE),exact(Metadata!G447,"1436733"))</f>
        <v>0</v>
      </c>
    </row>
    <row r="448" spans="1:23">
      <c r="A448" s="4">
        <f>IF(B448=" "," ",HYPERLINK(CONCATENATE("#metadata!",ADDRESS(INDEX($M$2:$M$1001,MATCH(ROWS($K$2:K448),$K$2:$K$1001,0),0),1)),INDEX($P$2:$P$1001,MATCH(ROWS($K$2:K448),$K$2:$K$1001,0),0)))</f>
        <v>0</v>
      </c>
      <c r="B448" s="3">
        <f>IF(OR(INDEX($L$2:$L$1001,MATCH(ROWS($K$2:K448),$K$2:$K$1001,0),1)&gt;=100000,INDEX($R$1005:$W$1005,1,MATCH(COLUMNS($R$1006:R1006),$R$1006:$W$1006,0))&gt;=100000), " ",IF(INDEX($R$2:$W$1001,MATCH(ROWS($K$2:K448),$K$2:$K$1001,0),MATCH(COLUMNS($R$1006:R1006),$R$1006:$W$1006,0)), HYPERLINK("#",""), HYPERLINK(CONCATENATE("#Metadata!", ADDRESS(INDEX($M$2:$M$1001,MATCH(ROWS($K$2:K448),$K$2:$K$1001,0),0), INDEX($R$1004:$W$1004,1,MATCH(COLUMNS($R$1006:R1006),$R$1006:$W$1006,0)))),"Fix")))</f>
        <v>0</v>
      </c>
      <c r="C448" s="3">
        <f>IF(OR(INDEX($L$2:$L$1001,MATCH(ROWS($K$2:K448),$K$2:$K$1001,0),1)&gt;=100000,INDEX($R$1005:$W$1005,1,MATCH(COLUMNS($R$1006:S1006),$R$1006:$W$1006,0))&gt;=100000), " ",IF(INDEX($R$2:$W$1001,MATCH(ROWS($K$2:K448),$K$2:$K$1001,0),MATCH(COLUMNS($R$1006:S1006),$R$1006:$W$1006,0)), HYPERLINK("#",""), HYPERLINK(CONCATENATE("#Metadata!", ADDRESS(INDEX($M$2:$M$1001,MATCH(ROWS($K$2:K448),$K$2:$K$1001,0),0), INDEX($R$1004:$W$1004,1,MATCH(COLUMNS($R$1006:S1006),$R$1006:$W$1006,0)))),"Fix")))</f>
        <v>0</v>
      </c>
      <c r="D448" s="3">
        <f>IF(OR(INDEX($L$2:$L$1001,MATCH(ROWS($K$2:K448),$K$2:$K$1001,0),1)&gt;=100000,INDEX($R$1005:$W$1005,1,MATCH(COLUMNS($R$1006:T1006),$R$1006:$W$1006,0))&gt;=100000), " ",IF(INDEX($R$2:$W$1001,MATCH(ROWS($K$2:K448),$K$2:$K$1001,0),MATCH(COLUMNS($R$1006:T1006),$R$1006:$W$1006,0)), HYPERLINK("#",""), HYPERLINK(CONCATENATE("#Metadata!", ADDRESS(INDEX($M$2:$M$1001,MATCH(ROWS($K$2:K448),$K$2:$K$1001,0),0), INDEX($R$1004:$W$1004,1,MATCH(COLUMNS($R$1006:T1006),$R$1006:$W$1006,0)))),"Fix")))</f>
        <v>0</v>
      </c>
      <c r="E448" s="3">
        <f>IF(OR(INDEX($L$2:$L$1001,MATCH(ROWS($K$2:K448),$K$2:$K$1001,0),1)&gt;=100000,INDEX($R$1005:$W$1005,1,MATCH(COLUMNS($R$1006:U1006),$R$1006:$W$1006,0))&gt;=100000), " ",IF(INDEX($R$2:$W$1001,MATCH(ROWS($K$2:K448),$K$2:$K$1001,0),MATCH(COLUMNS($R$1006:U1006),$R$1006:$W$1006,0)), HYPERLINK("#",""), HYPERLINK(CONCATENATE("#Metadata!", ADDRESS(INDEX($M$2:$M$1001,MATCH(ROWS($K$2:K448),$K$2:$K$1001,0),0), INDEX($R$1004:$W$1004,1,MATCH(COLUMNS($R$1006:U1006),$R$1006:$W$1006,0)))),"Fix")))</f>
        <v>0</v>
      </c>
      <c r="F448" s="3">
        <f>IF(OR(INDEX($L$2:$L$1001,MATCH(ROWS($K$2:K448),$K$2:$K$1001,0),1)&gt;=100000,INDEX($R$1005:$W$1005,1,MATCH(COLUMNS($R$1006:V1006),$R$1006:$W$1006,0))&gt;=100000), " ",IF(INDEX($R$2:$W$1001,MATCH(ROWS($K$2:K448),$K$2:$K$1001,0),MATCH(COLUMNS($R$1006:V1006),$R$1006:$W$1006,0)), HYPERLINK("#",""), HYPERLINK(CONCATENATE("#Metadata!", ADDRESS(INDEX($M$2:$M$1001,MATCH(ROWS($K$2:K448),$K$2:$K$1001,0),0), INDEX($R$1004:$W$1004,1,MATCH(COLUMNS($R$1006:V1006),$R$1006:$W$1006,0)))),"Fix")))</f>
        <v>0</v>
      </c>
      <c r="G448" s="3">
        <f>IF(OR(INDEX($L$2:$L$1001,MATCH(ROWS($K$2:K448),$K$2:$K$1001,0),1)&gt;=100000,INDEX($R$1005:$W$1005,1,MATCH(COLUMNS($R$1006:W1006),$R$1006:$W$1006,0))&gt;=100000), " ",IF(INDEX($R$2:$W$1001,MATCH(ROWS($K$2:K448),$K$2:$K$1001,0),MATCH(COLUMNS($R$1006:W1006),$R$1006:$W$1006,0)), HYPERLINK("#",""), HYPERLINK(CONCATENATE("#Metadata!", ADDRESS(INDEX($M$2:$M$1001,MATCH(ROWS($K$2:K448),$K$2:$K$1001,0),0), INDEX($R$1004:$W$1004,1,MATCH(COLUMNS($R$1006:W1006),$R$1006:$W$1006,0)))),"Fix")))</f>
        <v>0</v>
      </c>
      <c r="K448">
        <v>0</v>
      </c>
      <c r="L448">
        <v>0</v>
      </c>
      <c r="M448">
        <v>0</v>
      </c>
      <c r="N448">
        <f>IF(O448,TRUE,AND(R448:W448))</f>
        <v>0</v>
      </c>
      <c r="O448">
        <f>COUNTBLANK(Metadata!B448:G448)=COLUMNS(Metadata!B448:G448)</f>
        <v>0</v>
      </c>
      <c r="P448">
        <v>0</v>
      </c>
      <c r="R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S448">
        <f>IF(Metadata!C448="",FALSE,TRUE)</f>
        <v>0</v>
      </c>
      <c r="T448">
        <f>IF(Metadata!D448="",FALSE,TRUE)</f>
        <v>0</v>
      </c>
      <c r="U448">
        <f>IF(Metadata!E448="",FALSE,TRUE)</f>
        <v>0</v>
      </c>
      <c r="V448">
        <f>AND(IF(Metadata!F448="",FALSE,TRUE),exact(Metadata!F448,"rat gut metagenome"))</f>
        <v>0</v>
      </c>
      <c r="W448">
        <f>AND(IF(Metadata!G448="",FALSE,TRUE),exact(Metadata!G448,"1436733"))</f>
        <v>0</v>
      </c>
    </row>
    <row r="449" spans="1:23">
      <c r="A449" s="4">
        <f>IF(B449=" "," ",HYPERLINK(CONCATENATE("#metadata!",ADDRESS(INDEX($M$2:$M$1001,MATCH(ROWS($K$2:K449),$K$2:$K$1001,0),0),1)),INDEX($P$2:$P$1001,MATCH(ROWS($K$2:K449),$K$2:$K$1001,0),0)))</f>
        <v>0</v>
      </c>
      <c r="B449" s="3">
        <f>IF(OR(INDEX($L$2:$L$1001,MATCH(ROWS($K$2:K449),$K$2:$K$1001,0),1)&gt;=100000,INDEX($R$1005:$W$1005,1,MATCH(COLUMNS($R$1006:R1006),$R$1006:$W$1006,0))&gt;=100000), " ",IF(INDEX($R$2:$W$1001,MATCH(ROWS($K$2:K449),$K$2:$K$1001,0),MATCH(COLUMNS($R$1006:R1006),$R$1006:$W$1006,0)), HYPERLINK("#",""), HYPERLINK(CONCATENATE("#Metadata!", ADDRESS(INDEX($M$2:$M$1001,MATCH(ROWS($K$2:K449),$K$2:$K$1001,0),0), INDEX($R$1004:$W$1004,1,MATCH(COLUMNS($R$1006:R1006),$R$1006:$W$1006,0)))),"Fix")))</f>
        <v>0</v>
      </c>
      <c r="C449" s="3">
        <f>IF(OR(INDEX($L$2:$L$1001,MATCH(ROWS($K$2:K449),$K$2:$K$1001,0),1)&gt;=100000,INDEX($R$1005:$W$1005,1,MATCH(COLUMNS($R$1006:S1006),$R$1006:$W$1006,0))&gt;=100000), " ",IF(INDEX($R$2:$W$1001,MATCH(ROWS($K$2:K449),$K$2:$K$1001,0),MATCH(COLUMNS($R$1006:S1006),$R$1006:$W$1006,0)), HYPERLINK("#",""), HYPERLINK(CONCATENATE("#Metadata!", ADDRESS(INDEX($M$2:$M$1001,MATCH(ROWS($K$2:K449),$K$2:$K$1001,0),0), INDEX($R$1004:$W$1004,1,MATCH(COLUMNS($R$1006:S1006),$R$1006:$W$1006,0)))),"Fix")))</f>
        <v>0</v>
      </c>
      <c r="D449" s="3">
        <f>IF(OR(INDEX($L$2:$L$1001,MATCH(ROWS($K$2:K449),$K$2:$K$1001,0),1)&gt;=100000,INDEX($R$1005:$W$1005,1,MATCH(COLUMNS($R$1006:T1006),$R$1006:$W$1006,0))&gt;=100000), " ",IF(INDEX($R$2:$W$1001,MATCH(ROWS($K$2:K449),$K$2:$K$1001,0),MATCH(COLUMNS($R$1006:T1006),$R$1006:$W$1006,0)), HYPERLINK("#",""), HYPERLINK(CONCATENATE("#Metadata!", ADDRESS(INDEX($M$2:$M$1001,MATCH(ROWS($K$2:K449),$K$2:$K$1001,0),0), INDEX($R$1004:$W$1004,1,MATCH(COLUMNS($R$1006:T1006),$R$1006:$W$1006,0)))),"Fix")))</f>
        <v>0</v>
      </c>
      <c r="E449" s="3">
        <f>IF(OR(INDEX($L$2:$L$1001,MATCH(ROWS($K$2:K449),$K$2:$K$1001,0),1)&gt;=100000,INDEX($R$1005:$W$1005,1,MATCH(COLUMNS($R$1006:U1006),$R$1006:$W$1006,0))&gt;=100000), " ",IF(INDEX($R$2:$W$1001,MATCH(ROWS($K$2:K449),$K$2:$K$1001,0),MATCH(COLUMNS($R$1006:U1006),$R$1006:$W$1006,0)), HYPERLINK("#",""), HYPERLINK(CONCATENATE("#Metadata!", ADDRESS(INDEX($M$2:$M$1001,MATCH(ROWS($K$2:K449),$K$2:$K$1001,0),0), INDEX($R$1004:$W$1004,1,MATCH(COLUMNS($R$1006:U1006),$R$1006:$W$1006,0)))),"Fix")))</f>
        <v>0</v>
      </c>
      <c r="F449" s="3">
        <f>IF(OR(INDEX($L$2:$L$1001,MATCH(ROWS($K$2:K449),$K$2:$K$1001,0),1)&gt;=100000,INDEX($R$1005:$W$1005,1,MATCH(COLUMNS($R$1006:V1006),$R$1006:$W$1006,0))&gt;=100000), " ",IF(INDEX($R$2:$W$1001,MATCH(ROWS($K$2:K449),$K$2:$K$1001,0),MATCH(COLUMNS($R$1006:V1006),$R$1006:$W$1006,0)), HYPERLINK("#",""), HYPERLINK(CONCATENATE("#Metadata!", ADDRESS(INDEX($M$2:$M$1001,MATCH(ROWS($K$2:K449),$K$2:$K$1001,0),0), INDEX($R$1004:$W$1004,1,MATCH(COLUMNS($R$1006:V1006),$R$1006:$W$1006,0)))),"Fix")))</f>
        <v>0</v>
      </c>
      <c r="G449" s="3">
        <f>IF(OR(INDEX($L$2:$L$1001,MATCH(ROWS($K$2:K449),$K$2:$K$1001,0),1)&gt;=100000,INDEX($R$1005:$W$1005,1,MATCH(COLUMNS($R$1006:W1006),$R$1006:$W$1006,0))&gt;=100000), " ",IF(INDEX($R$2:$W$1001,MATCH(ROWS($K$2:K449),$K$2:$K$1001,0),MATCH(COLUMNS($R$1006:W1006),$R$1006:$W$1006,0)), HYPERLINK("#",""), HYPERLINK(CONCATENATE("#Metadata!", ADDRESS(INDEX($M$2:$M$1001,MATCH(ROWS($K$2:K449),$K$2:$K$1001,0),0), INDEX($R$1004:$W$1004,1,MATCH(COLUMNS($R$1006:W1006),$R$1006:$W$1006,0)))),"Fix")))</f>
        <v>0</v>
      </c>
      <c r="K449">
        <v>0</v>
      </c>
      <c r="L449">
        <v>0</v>
      </c>
      <c r="M449">
        <v>0</v>
      </c>
      <c r="N449">
        <f>IF(O449,TRUE,AND(R449:W449))</f>
        <v>0</v>
      </c>
      <c r="O449">
        <f>COUNTBLANK(Metadata!B449:G449)=COLUMNS(Metadata!B449:G449)</f>
        <v>0</v>
      </c>
      <c r="P449">
        <v>0</v>
      </c>
      <c r="R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S449">
        <f>IF(Metadata!C449="",FALSE,TRUE)</f>
        <v>0</v>
      </c>
      <c r="T449">
        <f>IF(Metadata!D449="",FALSE,TRUE)</f>
        <v>0</v>
      </c>
      <c r="U449">
        <f>IF(Metadata!E449="",FALSE,TRUE)</f>
        <v>0</v>
      </c>
      <c r="V449">
        <f>AND(IF(Metadata!F449="",FALSE,TRUE),exact(Metadata!F449,"rat gut metagenome"))</f>
        <v>0</v>
      </c>
      <c r="W449">
        <f>AND(IF(Metadata!G449="",FALSE,TRUE),exact(Metadata!G449,"1436733"))</f>
        <v>0</v>
      </c>
    </row>
    <row r="450" spans="1:23">
      <c r="A450" s="4">
        <f>IF(B450=" "," ",HYPERLINK(CONCATENATE("#metadata!",ADDRESS(INDEX($M$2:$M$1001,MATCH(ROWS($K$2:K450),$K$2:$K$1001,0),0),1)),INDEX($P$2:$P$1001,MATCH(ROWS($K$2:K450),$K$2:$K$1001,0),0)))</f>
        <v>0</v>
      </c>
      <c r="B450" s="3">
        <f>IF(OR(INDEX($L$2:$L$1001,MATCH(ROWS($K$2:K450),$K$2:$K$1001,0),1)&gt;=100000,INDEX($R$1005:$W$1005,1,MATCH(COLUMNS($R$1006:R1006),$R$1006:$W$1006,0))&gt;=100000), " ",IF(INDEX($R$2:$W$1001,MATCH(ROWS($K$2:K450),$K$2:$K$1001,0),MATCH(COLUMNS($R$1006:R1006),$R$1006:$W$1006,0)), HYPERLINK("#",""), HYPERLINK(CONCATENATE("#Metadata!", ADDRESS(INDEX($M$2:$M$1001,MATCH(ROWS($K$2:K450),$K$2:$K$1001,0),0), INDEX($R$1004:$W$1004,1,MATCH(COLUMNS($R$1006:R1006),$R$1006:$W$1006,0)))),"Fix")))</f>
        <v>0</v>
      </c>
      <c r="C450" s="3">
        <f>IF(OR(INDEX($L$2:$L$1001,MATCH(ROWS($K$2:K450),$K$2:$K$1001,0),1)&gt;=100000,INDEX($R$1005:$W$1005,1,MATCH(COLUMNS($R$1006:S1006),$R$1006:$W$1006,0))&gt;=100000), " ",IF(INDEX($R$2:$W$1001,MATCH(ROWS($K$2:K450),$K$2:$K$1001,0),MATCH(COLUMNS($R$1006:S1006),$R$1006:$W$1006,0)), HYPERLINK("#",""), HYPERLINK(CONCATENATE("#Metadata!", ADDRESS(INDEX($M$2:$M$1001,MATCH(ROWS($K$2:K450),$K$2:$K$1001,0),0), INDEX($R$1004:$W$1004,1,MATCH(COLUMNS($R$1006:S1006),$R$1006:$W$1006,0)))),"Fix")))</f>
        <v>0</v>
      </c>
      <c r="D450" s="3">
        <f>IF(OR(INDEX($L$2:$L$1001,MATCH(ROWS($K$2:K450),$K$2:$K$1001,0),1)&gt;=100000,INDEX($R$1005:$W$1005,1,MATCH(COLUMNS($R$1006:T1006),$R$1006:$W$1006,0))&gt;=100000), " ",IF(INDEX($R$2:$W$1001,MATCH(ROWS($K$2:K450),$K$2:$K$1001,0),MATCH(COLUMNS($R$1006:T1006),$R$1006:$W$1006,0)), HYPERLINK("#",""), HYPERLINK(CONCATENATE("#Metadata!", ADDRESS(INDEX($M$2:$M$1001,MATCH(ROWS($K$2:K450),$K$2:$K$1001,0),0), INDEX($R$1004:$W$1004,1,MATCH(COLUMNS($R$1006:T1006),$R$1006:$W$1006,0)))),"Fix")))</f>
        <v>0</v>
      </c>
      <c r="E450" s="3">
        <f>IF(OR(INDEX($L$2:$L$1001,MATCH(ROWS($K$2:K450),$K$2:$K$1001,0),1)&gt;=100000,INDEX($R$1005:$W$1005,1,MATCH(COLUMNS($R$1006:U1006),$R$1006:$W$1006,0))&gt;=100000), " ",IF(INDEX($R$2:$W$1001,MATCH(ROWS($K$2:K450),$K$2:$K$1001,0),MATCH(COLUMNS($R$1006:U1006),$R$1006:$W$1006,0)), HYPERLINK("#",""), HYPERLINK(CONCATENATE("#Metadata!", ADDRESS(INDEX($M$2:$M$1001,MATCH(ROWS($K$2:K450),$K$2:$K$1001,0),0), INDEX($R$1004:$W$1004,1,MATCH(COLUMNS($R$1006:U1006),$R$1006:$W$1006,0)))),"Fix")))</f>
        <v>0</v>
      </c>
      <c r="F450" s="3">
        <f>IF(OR(INDEX($L$2:$L$1001,MATCH(ROWS($K$2:K450),$K$2:$K$1001,0),1)&gt;=100000,INDEX($R$1005:$W$1005,1,MATCH(COLUMNS($R$1006:V1006),$R$1006:$W$1006,0))&gt;=100000), " ",IF(INDEX($R$2:$W$1001,MATCH(ROWS($K$2:K450),$K$2:$K$1001,0),MATCH(COLUMNS($R$1006:V1006),$R$1006:$W$1006,0)), HYPERLINK("#",""), HYPERLINK(CONCATENATE("#Metadata!", ADDRESS(INDEX($M$2:$M$1001,MATCH(ROWS($K$2:K450),$K$2:$K$1001,0),0), INDEX($R$1004:$W$1004,1,MATCH(COLUMNS($R$1006:V1006),$R$1006:$W$1006,0)))),"Fix")))</f>
        <v>0</v>
      </c>
      <c r="G450" s="3">
        <f>IF(OR(INDEX($L$2:$L$1001,MATCH(ROWS($K$2:K450),$K$2:$K$1001,0),1)&gt;=100000,INDEX($R$1005:$W$1005,1,MATCH(COLUMNS($R$1006:W1006),$R$1006:$W$1006,0))&gt;=100000), " ",IF(INDEX($R$2:$W$1001,MATCH(ROWS($K$2:K450),$K$2:$K$1001,0),MATCH(COLUMNS($R$1006:W1006),$R$1006:$W$1006,0)), HYPERLINK("#",""), HYPERLINK(CONCATENATE("#Metadata!", ADDRESS(INDEX($M$2:$M$1001,MATCH(ROWS($K$2:K450),$K$2:$K$1001,0),0), INDEX($R$1004:$W$1004,1,MATCH(COLUMNS($R$1006:W1006),$R$1006:$W$1006,0)))),"Fix")))</f>
        <v>0</v>
      </c>
      <c r="K450">
        <v>0</v>
      </c>
      <c r="L450">
        <v>0</v>
      </c>
      <c r="M450">
        <v>0</v>
      </c>
      <c r="N450">
        <f>IF(O450,TRUE,AND(R450:W450))</f>
        <v>0</v>
      </c>
      <c r="O450">
        <f>COUNTBLANK(Metadata!B450:G450)=COLUMNS(Metadata!B450:G450)</f>
        <v>0</v>
      </c>
      <c r="P450">
        <v>0</v>
      </c>
      <c r="R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S450">
        <f>IF(Metadata!C450="",FALSE,TRUE)</f>
        <v>0</v>
      </c>
      <c r="T450">
        <f>IF(Metadata!D450="",FALSE,TRUE)</f>
        <v>0</v>
      </c>
      <c r="U450">
        <f>IF(Metadata!E450="",FALSE,TRUE)</f>
        <v>0</v>
      </c>
      <c r="V450">
        <f>AND(IF(Metadata!F450="",FALSE,TRUE),exact(Metadata!F450,"rat gut metagenome"))</f>
        <v>0</v>
      </c>
      <c r="W450">
        <f>AND(IF(Metadata!G450="",FALSE,TRUE),exact(Metadata!G450,"1436733"))</f>
        <v>0</v>
      </c>
    </row>
    <row r="451" spans="1:23">
      <c r="A451" s="4">
        <f>IF(B451=" "," ",HYPERLINK(CONCATENATE("#metadata!",ADDRESS(INDEX($M$2:$M$1001,MATCH(ROWS($K$2:K451),$K$2:$K$1001,0),0),1)),INDEX($P$2:$P$1001,MATCH(ROWS($K$2:K451),$K$2:$K$1001,0),0)))</f>
        <v>0</v>
      </c>
      <c r="B451" s="3">
        <f>IF(OR(INDEX($L$2:$L$1001,MATCH(ROWS($K$2:K451),$K$2:$K$1001,0),1)&gt;=100000,INDEX($R$1005:$W$1005,1,MATCH(COLUMNS($R$1006:R1006),$R$1006:$W$1006,0))&gt;=100000), " ",IF(INDEX($R$2:$W$1001,MATCH(ROWS($K$2:K451),$K$2:$K$1001,0),MATCH(COLUMNS($R$1006:R1006),$R$1006:$W$1006,0)), HYPERLINK("#",""), HYPERLINK(CONCATENATE("#Metadata!", ADDRESS(INDEX($M$2:$M$1001,MATCH(ROWS($K$2:K451),$K$2:$K$1001,0),0), INDEX($R$1004:$W$1004,1,MATCH(COLUMNS($R$1006:R1006),$R$1006:$W$1006,0)))),"Fix")))</f>
        <v>0</v>
      </c>
      <c r="C451" s="3">
        <f>IF(OR(INDEX($L$2:$L$1001,MATCH(ROWS($K$2:K451),$K$2:$K$1001,0),1)&gt;=100000,INDEX($R$1005:$W$1005,1,MATCH(COLUMNS($R$1006:S1006),$R$1006:$W$1006,0))&gt;=100000), " ",IF(INDEX($R$2:$W$1001,MATCH(ROWS($K$2:K451),$K$2:$K$1001,0),MATCH(COLUMNS($R$1006:S1006),$R$1006:$W$1006,0)), HYPERLINK("#",""), HYPERLINK(CONCATENATE("#Metadata!", ADDRESS(INDEX($M$2:$M$1001,MATCH(ROWS($K$2:K451),$K$2:$K$1001,0),0), INDEX($R$1004:$W$1004,1,MATCH(COLUMNS($R$1006:S1006),$R$1006:$W$1006,0)))),"Fix")))</f>
        <v>0</v>
      </c>
      <c r="D451" s="3">
        <f>IF(OR(INDEX($L$2:$L$1001,MATCH(ROWS($K$2:K451),$K$2:$K$1001,0),1)&gt;=100000,INDEX($R$1005:$W$1005,1,MATCH(COLUMNS($R$1006:T1006),$R$1006:$W$1006,0))&gt;=100000), " ",IF(INDEX($R$2:$W$1001,MATCH(ROWS($K$2:K451),$K$2:$K$1001,0),MATCH(COLUMNS($R$1006:T1006),$R$1006:$W$1006,0)), HYPERLINK("#",""), HYPERLINK(CONCATENATE("#Metadata!", ADDRESS(INDEX($M$2:$M$1001,MATCH(ROWS($K$2:K451),$K$2:$K$1001,0),0), INDEX($R$1004:$W$1004,1,MATCH(COLUMNS($R$1006:T1006),$R$1006:$W$1006,0)))),"Fix")))</f>
        <v>0</v>
      </c>
      <c r="E451" s="3">
        <f>IF(OR(INDEX($L$2:$L$1001,MATCH(ROWS($K$2:K451),$K$2:$K$1001,0),1)&gt;=100000,INDEX($R$1005:$W$1005,1,MATCH(COLUMNS($R$1006:U1006),$R$1006:$W$1006,0))&gt;=100000), " ",IF(INDEX($R$2:$W$1001,MATCH(ROWS($K$2:K451),$K$2:$K$1001,0),MATCH(COLUMNS($R$1006:U1006),$R$1006:$W$1006,0)), HYPERLINK("#",""), HYPERLINK(CONCATENATE("#Metadata!", ADDRESS(INDEX($M$2:$M$1001,MATCH(ROWS($K$2:K451),$K$2:$K$1001,0),0), INDEX($R$1004:$W$1004,1,MATCH(COLUMNS($R$1006:U1006),$R$1006:$W$1006,0)))),"Fix")))</f>
        <v>0</v>
      </c>
      <c r="F451" s="3">
        <f>IF(OR(INDEX($L$2:$L$1001,MATCH(ROWS($K$2:K451),$K$2:$K$1001,0),1)&gt;=100000,INDEX($R$1005:$W$1005,1,MATCH(COLUMNS($R$1006:V1006),$R$1006:$W$1006,0))&gt;=100000), " ",IF(INDEX($R$2:$W$1001,MATCH(ROWS($K$2:K451),$K$2:$K$1001,0),MATCH(COLUMNS($R$1006:V1006),$R$1006:$W$1006,0)), HYPERLINK("#",""), HYPERLINK(CONCATENATE("#Metadata!", ADDRESS(INDEX($M$2:$M$1001,MATCH(ROWS($K$2:K451),$K$2:$K$1001,0),0), INDEX($R$1004:$W$1004,1,MATCH(COLUMNS($R$1006:V1006),$R$1006:$W$1006,0)))),"Fix")))</f>
        <v>0</v>
      </c>
      <c r="G451" s="3">
        <f>IF(OR(INDEX($L$2:$L$1001,MATCH(ROWS($K$2:K451),$K$2:$K$1001,0),1)&gt;=100000,INDEX($R$1005:$W$1005,1,MATCH(COLUMNS($R$1006:W1006),$R$1006:$W$1006,0))&gt;=100000), " ",IF(INDEX($R$2:$W$1001,MATCH(ROWS($K$2:K451),$K$2:$K$1001,0),MATCH(COLUMNS($R$1006:W1006),$R$1006:$W$1006,0)), HYPERLINK("#",""), HYPERLINK(CONCATENATE("#Metadata!", ADDRESS(INDEX($M$2:$M$1001,MATCH(ROWS($K$2:K451),$K$2:$K$1001,0),0), INDEX($R$1004:$W$1004,1,MATCH(COLUMNS($R$1006:W1006),$R$1006:$W$1006,0)))),"Fix")))</f>
        <v>0</v>
      </c>
      <c r="K451">
        <v>0</v>
      </c>
      <c r="L451">
        <v>0</v>
      </c>
      <c r="M451">
        <v>0</v>
      </c>
      <c r="N451">
        <f>IF(O451,TRUE,AND(R451:W451))</f>
        <v>0</v>
      </c>
      <c r="O451">
        <f>COUNTBLANK(Metadata!B451:G451)=COLUMNS(Metadata!B451:G451)</f>
        <v>0</v>
      </c>
      <c r="P451">
        <v>0</v>
      </c>
      <c r="R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S451">
        <f>IF(Metadata!C451="",FALSE,TRUE)</f>
        <v>0</v>
      </c>
      <c r="T451">
        <f>IF(Metadata!D451="",FALSE,TRUE)</f>
        <v>0</v>
      </c>
      <c r="U451">
        <f>IF(Metadata!E451="",FALSE,TRUE)</f>
        <v>0</v>
      </c>
      <c r="V451">
        <f>AND(IF(Metadata!F451="",FALSE,TRUE),exact(Metadata!F451,"rat gut metagenome"))</f>
        <v>0</v>
      </c>
      <c r="W451">
        <f>AND(IF(Metadata!G451="",FALSE,TRUE),exact(Metadata!G451,"1436733"))</f>
        <v>0</v>
      </c>
    </row>
    <row r="452" spans="1:23">
      <c r="A452" s="4">
        <f>IF(B452=" "," ",HYPERLINK(CONCATENATE("#metadata!",ADDRESS(INDEX($M$2:$M$1001,MATCH(ROWS($K$2:K452),$K$2:$K$1001,0),0),1)),INDEX($P$2:$P$1001,MATCH(ROWS($K$2:K452),$K$2:$K$1001,0),0)))</f>
        <v>0</v>
      </c>
      <c r="B452" s="3">
        <f>IF(OR(INDEX($L$2:$L$1001,MATCH(ROWS($K$2:K452),$K$2:$K$1001,0),1)&gt;=100000,INDEX($R$1005:$W$1005,1,MATCH(COLUMNS($R$1006:R1006),$R$1006:$W$1006,0))&gt;=100000), " ",IF(INDEX($R$2:$W$1001,MATCH(ROWS($K$2:K452),$K$2:$K$1001,0),MATCH(COLUMNS($R$1006:R1006),$R$1006:$W$1006,0)), HYPERLINK("#",""), HYPERLINK(CONCATENATE("#Metadata!", ADDRESS(INDEX($M$2:$M$1001,MATCH(ROWS($K$2:K452),$K$2:$K$1001,0),0), INDEX($R$1004:$W$1004,1,MATCH(COLUMNS($R$1006:R1006),$R$1006:$W$1006,0)))),"Fix")))</f>
        <v>0</v>
      </c>
      <c r="C452" s="3">
        <f>IF(OR(INDEX($L$2:$L$1001,MATCH(ROWS($K$2:K452),$K$2:$K$1001,0),1)&gt;=100000,INDEX($R$1005:$W$1005,1,MATCH(COLUMNS($R$1006:S1006),$R$1006:$W$1006,0))&gt;=100000), " ",IF(INDEX($R$2:$W$1001,MATCH(ROWS($K$2:K452),$K$2:$K$1001,0),MATCH(COLUMNS($R$1006:S1006),$R$1006:$W$1006,0)), HYPERLINK("#",""), HYPERLINK(CONCATENATE("#Metadata!", ADDRESS(INDEX($M$2:$M$1001,MATCH(ROWS($K$2:K452),$K$2:$K$1001,0),0), INDEX($R$1004:$W$1004,1,MATCH(COLUMNS($R$1006:S1006),$R$1006:$W$1006,0)))),"Fix")))</f>
        <v>0</v>
      </c>
      <c r="D452" s="3">
        <f>IF(OR(INDEX($L$2:$L$1001,MATCH(ROWS($K$2:K452),$K$2:$K$1001,0),1)&gt;=100000,INDEX($R$1005:$W$1005,1,MATCH(COLUMNS($R$1006:T1006),$R$1006:$W$1006,0))&gt;=100000), " ",IF(INDEX($R$2:$W$1001,MATCH(ROWS($K$2:K452),$K$2:$K$1001,0),MATCH(COLUMNS($R$1006:T1006),$R$1006:$W$1006,0)), HYPERLINK("#",""), HYPERLINK(CONCATENATE("#Metadata!", ADDRESS(INDEX($M$2:$M$1001,MATCH(ROWS($K$2:K452),$K$2:$K$1001,0),0), INDEX($R$1004:$W$1004,1,MATCH(COLUMNS($R$1006:T1006),$R$1006:$W$1006,0)))),"Fix")))</f>
        <v>0</v>
      </c>
      <c r="E452" s="3">
        <f>IF(OR(INDEX($L$2:$L$1001,MATCH(ROWS($K$2:K452),$K$2:$K$1001,0),1)&gt;=100000,INDEX($R$1005:$W$1005,1,MATCH(COLUMNS($R$1006:U1006),$R$1006:$W$1006,0))&gt;=100000), " ",IF(INDEX($R$2:$W$1001,MATCH(ROWS($K$2:K452),$K$2:$K$1001,0),MATCH(COLUMNS($R$1006:U1006),$R$1006:$W$1006,0)), HYPERLINK("#",""), HYPERLINK(CONCATENATE("#Metadata!", ADDRESS(INDEX($M$2:$M$1001,MATCH(ROWS($K$2:K452),$K$2:$K$1001,0),0), INDEX($R$1004:$W$1004,1,MATCH(COLUMNS($R$1006:U1006),$R$1006:$W$1006,0)))),"Fix")))</f>
        <v>0</v>
      </c>
      <c r="F452" s="3">
        <f>IF(OR(INDEX($L$2:$L$1001,MATCH(ROWS($K$2:K452),$K$2:$K$1001,0),1)&gt;=100000,INDEX($R$1005:$W$1005,1,MATCH(COLUMNS($R$1006:V1006),$R$1006:$W$1006,0))&gt;=100000), " ",IF(INDEX($R$2:$W$1001,MATCH(ROWS($K$2:K452),$K$2:$K$1001,0),MATCH(COLUMNS($R$1006:V1006),$R$1006:$W$1006,0)), HYPERLINK("#",""), HYPERLINK(CONCATENATE("#Metadata!", ADDRESS(INDEX($M$2:$M$1001,MATCH(ROWS($K$2:K452),$K$2:$K$1001,0),0), INDEX($R$1004:$W$1004,1,MATCH(COLUMNS($R$1006:V1006),$R$1006:$W$1006,0)))),"Fix")))</f>
        <v>0</v>
      </c>
      <c r="G452" s="3">
        <f>IF(OR(INDEX($L$2:$L$1001,MATCH(ROWS($K$2:K452),$K$2:$K$1001,0),1)&gt;=100000,INDEX($R$1005:$W$1005,1,MATCH(COLUMNS($R$1006:W1006),$R$1006:$W$1006,0))&gt;=100000), " ",IF(INDEX($R$2:$W$1001,MATCH(ROWS($K$2:K452),$K$2:$K$1001,0),MATCH(COLUMNS($R$1006:W1006),$R$1006:$W$1006,0)), HYPERLINK("#",""), HYPERLINK(CONCATENATE("#Metadata!", ADDRESS(INDEX($M$2:$M$1001,MATCH(ROWS($K$2:K452),$K$2:$K$1001,0),0), INDEX($R$1004:$W$1004,1,MATCH(COLUMNS($R$1006:W1006),$R$1006:$W$1006,0)))),"Fix")))</f>
        <v>0</v>
      </c>
      <c r="K452">
        <v>0</v>
      </c>
      <c r="L452">
        <v>0</v>
      </c>
      <c r="M452">
        <v>0</v>
      </c>
      <c r="N452">
        <f>IF(O452,TRUE,AND(R452:W452))</f>
        <v>0</v>
      </c>
      <c r="O452">
        <f>COUNTBLANK(Metadata!B452:G452)=COLUMNS(Metadata!B452:G452)</f>
        <v>0</v>
      </c>
      <c r="P452">
        <v>0</v>
      </c>
      <c r="R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S452">
        <f>IF(Metadata!C452="",FALSE,TRUE)</f>
        <v>0</v>
      </c>
      <c r="T452">
        <f>IF(Metadata!D452="",FALSE,TRUE)</f>
        <v>0</v>
      </c>
      <c r="U452">
        <f>IF(Metadata!E452="",FALSE,TRUE)</f>
        <v>0</v>
      </c>
      <c r="V452">
        <f>AND(IF(Metadata!F452="",FALSE,TRUE),exact(Metadata!F452,"rat gut metagenome"))</f>
        <v>0</v>
      </c>
      <c r="W452">
        <f>AND(IF(Metadata!G452="",FALSE,TRUE),exact(Metadata!G452,"1436733"))</f>
        <v>0</v>
      </c>
    </row>
    <row r="453" spans="1:23">
      <c r="A453" s="4">
        <f>IF(B453=" "," ",HYPERLINK(CONCATENATE("#metadata!",ADDRESS(INDEX($M$2:$M$1001,MATCH(ROWS($K$2:K453),$K$2:$K$1001,0),0),1)),INDEX($P$2:$P$1001,MATCH(ROWS($K$2:K453),$K$2:$K$1001,0),0)))</f>
        <v>0</v>
      </c>
      <c r="B453" s="3">
        <f>IF(OR(INDEX($L$2:$L$1001,MATCH(ROWS($K$2:K453),$K$2:$K$1001,0),1)&gt;=100000,INDEX($R$1005:$W$1005,1,MATCH(COLUMNS($R$1006:R1006),$R$1006:$W$1006,0))&gt;=100000), " ",IF(INDEX($R$2:$W$1001,MATCH(ROWS($K$2:K453),$K$2:$K$1001,0),MATCH(COLUMNS($R$1006:R1006),$R$1006:$W$1006,0)), HYPERLINK("#",""), HYPERLINK(CONCATENATE("#Metadata!", ADDRESS(INDEX($M$2:$M$1001,MATCH(ROWS($K$2:K453),$K$2:$K$1001,0),0), INDEX($R$1004:$W$1004,1,MATCH(COLUMNS($R$1006:R1006),$R$1006:$W$1006,0)))),"Fix")))</f>
        <v>0</v>
      </c>
      <c r="C453" s="3">
        <f>IF(OR(INDEX($L$2:$L$1001,MATCH(ROWS($K$2:K453),$K$2:$K$1001,0),1)&gt;=100000,INDEX($R$1005:$W$1005,1,MATCH(COLUMNS($R$1006:S1006),$R$1006:$W$1006,0))&gt;=100000), " ",IF(INDEX($R$2:$W$1001,MATCH(ROWS($K$2:K453),$K$2:$K$1001,0),MATCH(COLUMNS($R$1006:S1006),$R$1006:$W$1006,0)), HYPERLINK("#",""), HYPERLINK(CONCATENATE("#Metadata!", ADDRESS(INDEX($M$2:$M$1001,MATCH(ROWS($K$2:K453),$K$2:$K$1001,0),0), INDEX($R$1004:$W$1004,1,MATCH(COLUMNS($R$1006:S1006),$R$1006:$W$1006,0)))),"Fix")))</f>
        <v>0</v>
      </c>
      <c r="D453" s="3">
        <f>IF(OR(INDEX($L$2:$L$1001,MATCH(ROWS($K$2:K453),$K$2:$K$1001,0),1)&gt;=100000,INDEX($R$1005:$W$1005,1,MATCH(COLUMNS($R$1006:T1006),$R$1006:$W$1006,0))&gt;=100000), " ",IF(INDEX($R$2:$W$1001,MATCH(ROWS($K$2:K453),$K$2:$K$1001,0),MATCH(COLUMNS($R$1006:T1006),$R$1006:$W$1006,0)), HYPERLINK("#",""), HYPERLINK(CONCATENATE("#Metadata!", ADDRESS(INDEX($M$2:$M$1001,MATCH(ROWS($K$2:K453),$K$2:$K$1001,0),0), INDEX($R$1004:$W$1004,1,MATCH(COLUMNS($R$1006:T1006),$R$1006:$W$1006,0)))),"Fix")))</f>
        <v>0</v>
      </c>
      <c r="E453" s="3">
        <f>IF(OR(INDEX($L$2:$L$1001,MATCH(ROWS($K$2:K453),$K$2:$K$1001,0),1)&gt;=100000,INDEX($R$1005:$W$1005,1,MATCH(COLUMNS($R$1006:U1006),$R$1006:$W$1006,0))&gt;=100000), " ",IF(INDEX($R$2:$W$1001,MATCH(ROWS($K$2:K453),$K$2:$K$1001,0),MATCH(COLUMNS($R$1006:U1006),$R$1006:$W$1006,0)), HYPERLINK("#",""), HYPERLINK(CONCATENATE("#Metadata!", ADDRESS(INDEX($M$2:$M$1001,MATCH(ROWS($K$2:K453),$K$2:$K$1001,0),0), INDEX($R$1004:$W$1004,1,MATCH(COLUMNS($R$1006:U1006),$R$1006:$W$1006,0)))),"Fix")))</f>
        <v>0</v>
      </c>
      <c r="F453" s="3">
        <f>IF(OR(INDEX($L$2:$L$1001,MATCH(ROWS($K$2:K453),$K$2:$K$1001,0),1)&gt;=100000,INDEX($R$1005:$W$1005,1,MATCH(COLUMNS($R$1006:V1006),$R$1006:$W$1006,0))&gt;=100000), " ",IF(INDEX($R$2:$W$1001,MATCH(ROWS($K$2:K453),$K$2:$K$1001,0),MATCH(COLUMNS($R$1006:V1006),$R$1006:$W$1006,0)), HYPERLINK("#",""), HYPERLINK(CONCATENATE("#Metadata!", ADDRESS(INDEX($M$2:$M$1001,MATCH(ROWS($K$2:K453),$K$2:$K$1001,0),0), INDEX($R$1004:$W$1004,1,MATCH(COLUMNS($R$1006:V1006),$R$1006:$W$1006,0)))),"Fix")))</f>
        <v>0</v>
      </c>
      <c r="G453" s="3">
        <f>IF(OR(INDEX($L$2:$L$1001,MATCH(ROWS($K$2:K453),$K$2:$K$1001,0),1)&gt;=100000,INDEX($R$1005:$W$1005,1,MATCH(COLUMNS($R$1006:W1006),$R$1006:$W$1006,0))&gt;=100000), " ",IF(INDEX($R$2:$W$1001,MATCH(ROWS($K$2:K453),$K$2:$K$1001,0),MATCH(COLUMNS($R$1006:W1006),$R$1006:$W$1006,0)), HYPERLINK("#",""), HYPERLINK(CONCATENATE("#Metadata!", ADDRESS(INDEX($M$2:$M$1001,MATCH(ROWS($K$2:K453),$K$2:$K$1001,0),0), INDEX($R$1004:$W$1004,1,MATCH(COLUMNS($R$1006:W1006),$R$1006:$W$1006,0)))),"Fix")))</f>
        <v>0</v>
      </c>
      <c r="K453">
        <v>0</v>
      </c>
      <c r="L453">
        <v>0</v>
      </c>
      <c r="M453">
        <v>0</v>
      </c>
      <c r="N453">
        <f>IF(O453,TRUE,AND(R453:W453))</f>
        <v>0</v>
      </c>
      <c r="O453">
        <f>COUNTBLANK(Metadata!B453:G453)=COLUMNS(Metadata!B453:G453)</f>
        <v>0</v>
      </c>
      <c r="P453">
        <v>0</v>
      </c>
      <c r="R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S453">
        <f>IF(Metadata!C453="",FALSE,TRUE)</f>
        <v>0</v>
      </c>
      <c r="T453">
        <f>IF(Metadata!D453="",FALSE,TRUE)</f>
        <v>0</v>
      </c>
      <c r="U453">
        <f>IF(Metadata!E453="",FALSE,TRUE)</f>
        <v>0</v>
      </c>
      <c r="V453">
        <f>AND(IF(Metadata!F453="",FALSE,TRUE),exact(Metadata!F453,"rat gut metagenome"))</f>
        <v>0</v>
      </c>
      <c r="W453">
        <f>AND(IF(Metadata!G453="",FALSE,TRUE),exact(Metadata!G453,"1436733"))</f>
        <v>0</v>
      </c>
    </row>
    <row r="454" spans="1:23">
      <c r="A454" s="4">
        <f>IF(B454=" "," ",HYPERLINK(CONCATENATE("#metadata!",ADDRESS(INDEX($M$2:$M$1001,MATCH(ROWS($K$2:K454),$K$2:$K$1001,0),0),1)),INDEX($P$2:$P$1001,MATCH(ROWS($K$2:K454),$K$2:$K$1001,0),0)))</f>
        <v>0</v>
      </c>
      <c r="B454" s="3">
        <f>IF(OR(INDEX($L$2:$L$1001,MATCH(ROWS($K$2:K454),$K$2:$K$1001,0),1)&gt;=100000,INDEX($R$1005:$W$1005,1,MATCH(COLUMNS($R$1006:R1006),$R$1006:$W$1006,0))&gt;=100000), " ",IF(INDEX($R$2:$W$1001,MATCH(ROWS($K$2:K454),$K$2:$K$1001,0),MATCH(COLUMNS($R$1006:R1006),$R$1006:$W$1006,0)), HYPERLINK("#",""), HYPERLINK(CONCATENATE("#Metadata!", ADDRESS(INDEX($M$2:$M$1001,MATCH(ROWS($K$2:K454),$K$2:$K$1001,0),0), INDEX($R$1004:$W$1004,1,MATCH(COLUMNS($R$1006:R1006),$R$1006:$W$1006,0)))),"Fix")))</f>
        <v>0</v>
      </c>
      <c r="C454" s="3">
        <f>IF(OR(INDEX($L$2:$L$1001,MATCH(ROWS($K$2:K454),$K$2:$K$1001,0),1)&gt;=100000,INDEX($R$1005:$W$1005,1,MATCH(COLUMNS($R$1006:S1006),$R$1006:$W$1006,0))&gt;=100000), " ",IF(INDEX($R$2:$W$1001,MATCH(ROWS($K$2:K454),$K$2:$K$1001,0),MATCH(COLUMNS($R$1006:S1006),$R$1006:$W$1006,0)), HYPERLINK("#",""), HYPERLINK(CONCATENATE("#Metadata!", ADDRESS(INDEX($M$2:$M$1001,MATCH(ROWS($K$2:K454),$K$2:$K$1001,0),0), INDEX($R$1004:$W$1004,1,MATCH(COLUMNS($R$1006:S1006),$R$1006:$W$1006,0)))),"Fix")))</f>
        <v>0</v>
      </c>
      <c r="D454" s="3">
        <f>IF(OR(INDEX($L$2:$L$1001,MATCH(ROWS($K$2:K454),$K$2:$K$1001,0),1)&gt;=100000,INDEX($R$1005:$W$1005,1,MATCH(COLUMNS($R$1006:T1006),$R$1006:$W$1006,0))&gt;=100000), " ",IF(INDEX($R$2:$W$1001,MATCH(ROWS($K$2:K454),$K$2:$K$1001,0),MATCH(COLUMNS($R$1006:T1006),$R$1006:$W$1006,0)), HYPERLINK("#",""), HYPERLINK(CONCATENATE("#Metadata!", ADDRESS(INDEX($M$2:$M$1001,MATCH(ROWS($K$2:K454),$K$2:$K$1001,0),0), INDEX($R$1004:$W$1004,1,MATCH(COLUMNS($R$1006:T1006),$R$1006:$W$1006,0)))),"Fix")))</f>
        <v>0</v>
      </c>
      <c r="E454" s="3">
        <f>IF(OR(INDEX($L$2:$L$1001,MATCH(ROWS($K$2:K454),$K$2:$K$1001,0),1)&gt;=100000,INDEX($R$1005:$W$1005,1,MATCH(COLUMNS($R$1006:U1006),$R$1006:$W$1006,0))&gt;=100000), " ",IF(INDEX($R$2:$W$1001,MATCH(ROWS($K$2:K454),$K$2:$K$1001,0),MATCH(COLUMNS($R$1006:U1006),$R$1006:$W$1006,0)), HYPERLINK("#",""), HYPERLINK(CONCATENATE("#Metadata!", ADDRESS(INDEX($M$2:$M$1001,MATCH(ROWS($K$2:K454),$K$2:$K$1001,0),0), INDEX($R$1004:$W$1004,1,MATCH(COLUMNS($R$1006:U1006),$R$1006:$W$1006,0)))),"Fix")))</f>
        <v>0</v>
      </c>
      <c r="F454" s="3">
        <f>IF(OR(INDEX($L$2:$L$1001,MATCH(ROWS($K$2:K454),$K$2:$K$1001,0),1)&gt;=100000,INDEX($R$1005:$W$1005,1,MATCH(COLUMNS($R$1006:V1006),$R$1006:$W$1006,0))&gt;=100000), " ",IF(INDEX($R$2:$W$1001,MATCH(ROWS($K$2:K454),$K$2:$K$1001,0),MATCH(COLUMNS($R$1006:V1006),$R$1006:$W$1006,0)), HYPERLINK("#",""), HYPERLINK(CONCATENATE("#Metadata!", ADDRESS(INDEX($M$2:$M$1001,MATCH(ROWS($K$2:K454),$K$2:$K$1001,0),0), INDEX($R$1004:$W$1004,1,MATCH(COLUMNS($R$1006:V1006),$R$1006:$W$1006,0)))),"Fix")))</f>
        <v>0</v>
      </c>
      <c r="G454" s="3">
        <f>IF(OR(INDEX($L$2:$L$1001,MATCH(ROWS($K$2:K454),$K$2:$K$1001,0),1)&gt;=100000,INDEX($R$1005:$W$1005,1,MATCH(COLUMNS($R$1006:W1006),$R$1006:$W$1006,0))&gt;=100000), " ",IF(INDEX($R$2:$W$1001,MATCH(ROWS($K$2:K454),$K$2:$K$1001,0),MATCH(COLUMNS($R$1006:W1006),$R$1006:$W$1006,0)), HYPERLINK("#",""), HYPERLINK(CONCATENATE("#Metadata!", ADDRESS(INDEX($M$2:$M$1001,MATCH(ROWS($K$2:K454),$K$2:$K$1001,0),0), INDEX($R$1004:$W$1004,1,MATCH(COLUMNS($R$1006:W1006),$R$1006:$W$1006,0)))),"Fix")))</f>
        <v>0</v>
      </c>
      <c r="K454">
        <v>0</v>
      </c>
      <c r="L454">
        <v>0</v>
      </c>
      <c r="M454">
        <v>0</v>
      </c>
      <c r="N454">
        <f>IF(O454,TRUE,AND(R454:W454))</f>
        <v>0</v>
      </c>
      <c r="O454">
        <f>COUNTBLANK(Metadata!B454:G454)=COLUMNS(Metadata!B454:G454)</f>
        <v>0</v>
      </c>
      <c r="P454">
        <v>0</v>
      </c>
      <c r="R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S454">
        <f>IF(Metadata!C454="",FALSE,TRUE)</f>
        <v>0</v>
      </c>
      <c r="T454">
        <f>IF(Metadata!D454="",FALSE,TRUE)</f>
        <v>0</v>
      </c>
      <c r="U454">
        <f>IF(Metadata!E454="",FALSE,TRUE)</f>
        <v>0</v>
      </c>
      <c r="V454">
        <f>AND(IF(Metadata!F454="",FALSE,TRUE),exact(Metadata!F454,"rat gut metagenome"))</f>
        <v>0</v>
      </c>
      <c r="W454">
        <f>AND(IF(Metadata!G454="",FALSE,TRUE),exact(Metadata!G454,"1436733"))</f>
        <v>0</v>
      </c>
    </row>
    <row r="455" spans="1:23">
      <c r="A455" s="4">
        <f>IF(B455=" "," ",HYPERLINK(CONCATENATE("#metadata!",ADDRESS(INDEX($M$2:$M$1001,MATCH(ROWS($K$2:K455),$K$2:$K$1001,0),0),1)),INDEX($P$2:$P$1001,MATCH(ROWS($K$2:K455),$K$2:$K$1001,0),0)))</f>
        <v>0</v>
      </c>
      <c r="B455" s="3">
        <f>IF(OR(INDEX($L$2:$L$1001,MATCH(ROWS($K$2:K455),$K$2:$K$1001,0),1)&gt;=100000,INDEX($R$1005:$W$1005,1,MATCH(COLUMNS($R$1006:R1006),$R$1006:$W$1006,0))&gt;=100000), " ",IF(INDEX($R$2:$W$1001,MATCH(ROWS($K$2:K455),$K$2:$K$1001,0),MATCH(COLUMNS($R$1006:R1006),$R$1006:$W$1006,0)), HYPERLINK("#",""), HYPERLINK(CONCATENATE("#Metadata!", ADDRESS(INDEX($M$2:$M$1001,MATCH(ROWS($K$2:K455),$K$2:$K$1001,0),0), INDEX($R$1004:$W$1004,1,MATCH(COLUMNS($R$1006:R1006),$R$1006:$W$1006,0)))),"Fix")))</f>
        <v>0</v>
      </c>
      <c r="C455" s="3">
        <f>IF(OR(INDEX($L$2:$L$1001,MATCH(ROWS($K$2:K455),$K$2:$K$1001,0),1)&gt;=100000,INDEX($R$1005:$W$1005,1,MATCH(COLUMNS($R$1006:S1006),$R$1006:$W$1006,0))&gt;=100000), " ",IF(INDEX($R$2:$W$1001,MATCH(ROWS($K$2:K455),$K$2:$K$1001,0),MATCH(COLUMNS($R$1006:S1006),$R$1006:$W$1006,0)), HYPERLINK("#",""), HYPERLINK(CONCATENATE("#Metadata!", ADDRESS(INDEX($M$2:$M$1001,MATCH(ROWS($K$2:K455),$K$2:$K$1001,0),0), INDEX($R$1004:$W$1004,1,MATCH(COLUMNS($R$1006:S1006),$R$1006:$W$1006,0)))),"Fix")))</f>
        <v>0</v>
      </c>
      <c r="D455" s="3">
        <f>IF(OR(INDEX($L$2:$L$1001,MATCH(ROWS($K$2:K455),$K$2:$K$1001,0),1)&gt;=100000,INDEX($R$1005:$W$1005,1,MATCH(COLUMNS($R$1006:T1006),$R$1006:$W$1006,0))&gt;=100000), " ",IF(INDEX($R$2:$W$1001,MATCH(ROWS($K$2:K455),$K$2:$K$1001,0),MATCH(COLUMNS($R$1006:T1006),$R$1006:$W$1006,0)), HYPERLINK("#",""), HYPERLINK(CONCATENATE("#Metadata!", ADDRESS(INDEX($M$2:$M$1001,MATCH(ROWS($K$2:K455),$K$2:$K$1001,0),0), INDEX($R$1004:$W$1004,1,MATCH(COLUMNS($R$1006:T1006),$R$1006:$W$1006,0)))),"Fix")))</f>
        <v>0</v>
      </c>
      <c r="E455" s="3">
        <f>IF(OR(INDEX($L$2:$L$1001,MATCH(ROWS($K$2:K455),$K$2:$K$1001,0),1)&gt;=100000,INDEX($R$1005:$W$1005,1,MATCH(COLUMNS($R$1006:U1006),$R$1006:$W$1006,0))&gt;=100000), " ",IF(INDEX($R$2:$W$1001,MATCH(ROWS($K$2:K455),$K$2:$K$1001,0),MATCH(COLUMNS($R$1006:U1006),$R$1006:$W$1006,0)), HYPERLINK("#",""), HYPERLINK(CONCATENATE("#Metadata!", ADDRESS(INDEX($M$2:$M$1001,MATCH(ROWS($K$2:K455),$K$2:$K$1001,0),0), INDEX($R$1004:$W$1004,1,MATCH(COLUMNS($R$1006:U1006),$R$1006:$W$1006,0)))),"Fix")))</f>
        <v>0</v>
      </c>
      <c r="F455" s="3">
        <f>IF(OR(INDEX($L$2:$L$1001,MATCH(ROWS($K$2:K455),$K$2:$K$1001,0),1)&gt;=100000,INDEX($R$1005:$W$1005,1,MATCH(COLUMNS($R$1006:V1006),$R$1006:$W$1006,0))&gt;=100000), " ",IF(INDEX($R$2:$W$1001,MATCH(ROWS($K$2:K455),$K$2:$K$1001,0),MATCH(COLUMNS($R$1006:V1006),$R$1006:$W$1006,0)), HYPERLINK("#",""), HYPERLINK(CONCATENATE("#Metadata!", ADDRESS(INDEX($M$2:$M$1001,MATCH(ROWS($K$2:K455),$K$2:$K$1001,0),0), INDEX($R$1004:$W$1004,1,MATCH(COLUMNS($R$1006:V1006),$R$1006:$W$1006,0)))),"Fix")))</f>
        <v>0</v>
      </c>
      <c r="G455" s="3">
        <f>IF(OR(INDEX($L$2:$L$1001,MATCH(ROWS($K$2:K455),$K$2:$K$1001,0),1)&gt;=100000,INDEX($R$1005:$W$1005,1,MATCH(COLUMNS($R$1006:W1006),$R$1006:$W$1006,0))&gt;=100000), " ",IF(INDEX($R$2:$W$1001,MATCH(ROWS($K$2:K455),$K$2:$K$1001,0),MATCH(COLUMNS($R$1006:W1006),$R$1006:$W$1006,0)), HYPERLINK("#",""), HYPERLINK(CONCATENATE("#Metadata!", ADDRESS(INDEX($M$2:$M$1001,MATCH(ROWS($K$2:K455),$K$2:$K$1001,0),0), INDEX($R$1004:$W$1004,1,MATCH(COLUMNS($R$1006:W1006),$R$1006:$W$1006,0)))),"Fix")))</f>
        <v>0</v>
      </c>
      <c r="K455">
        <v>0</v>
      </c>
      <c r="L455">
        <v>0</v>
      </c>
      <c r="M455">
        <v>0</v>
      </c>
      <c r="N455">
        <f>IF(O455,TRUE,AND(R455:W455))</f>
        <v>0</v>
      </c>
      <c r="O455">
        <f>COUNTBLANK(Metadata!B455:G455)=COLUMNS(Metadata!B455:G455)</f>
        <v>0</v>
      </c>
      <c r="P455">
        <v>0</v>
      </c>
      <c r="R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S455">
        <f>IF(Metadata!C455="",FALSE,TRUE)</f>
        <v>0</v>
      </c>
      <c r="T455">
        <f>IF(Metadata!D455="",FALSE,TRUE)</f>
        <v>0</v>
      </c>
      <c r="U455">
        <f>IF(Metadata!E455="",FALSE,TRUE)</f>
        <v>0</v>
      </c>
      <c r="V455">
        <f>AND(IF(Metadata!F455="",FALSE,TRUE),exact(Metadata!F455,"rat gut metagenome"))</f>
        <v>0</v>
      </c>
      <c r="W455">
        <f>AND(IF(Metadata!G455="",FALSE,TRUE),exact(Metadata!G455,"1436733"))</f>
        <v>0</v>
      </c>
    </row>
    <row r="456" spans="1:23">
      <c r="A456" s="4">
        <f>IF(B456=" "," ",HYPERLINK(CONCATENATE("#metadata!",ADDRESS(INDEX($M$2:$M$1001,MATCH(ROWS($K$2:K456),$K$2:$K$1001,0),0),1)),INDEX($P$2:$P$1001,MATCH(ROWS($K$2:K456),$K$2:$K$1001,0),0)))</f>
        <v>0</v>
      </c>
      <c r="B456" s="3">
        <f>IF(OR(INDEX($L$2:$L$1001,MATCH(ROWS($K$2:K456),$K$2:$K$1001,0),1)&gt;=100000,INDEX($R$1005:$W$1005,1,MATCH(COLUMNS($R$1006:R1006),$R$1006:$W$1006,0))&gt;=100000), " ",IF(INDEX($R$2:$W$1001,MATCH(ROWS($K$2:K456),$K$2:$K$1001,0),MATCH(COLUMNS($R$1006:R1006),$R$1006:$W$1006,0)), HYPERLINK("#",""), HYPERLINK(CONCATENATE("#Metadata!", ADDRESS(INDEX($M$2:$M$1001,MATCH(ROWS($K$2:K456),$K$2:$K$1001,0),0), INDEX($R$1004:$W$1004,1,MATCH(COLUMNS($R$1006:R1006),$R$1006:$W$1006,0)))),"Fix")))</f>
        <v>0</v>
      </c>
      <c r="C456" s="3">
        <f>IF(OR(INDEX($L$2:$L$1001,MATCH(ROWS($K$2:K456),$K$2:$K$1001,0),1)&gt;=100000,INDEX($R$1005:$W$1005,1,MATCH(COLUMNS($R$1006:S1006),$R$1006:$W$1006,0))&gt;=100000), " ",IF(INDEX($R$2:$W$1001,MATCH(ROWS($K$2:K456),$K$2:$K$1001,0),MATCH(COLUMNS($R$1006:S1006),$R$1006:$W$1006,0)), HYPERLINK("#",""), HYPERLINK(CONCATENATE("#Metadata!", ADDRESS(INDEX($M$2:$M$1001,MATCH(ROWS($K$2:K456),$K$2:$K$1001,0),0), INDEX($R$1004:$W$1004,1,MATCH(COLUMNS($R$1006:S1006),$R$1006:$W$1006,0)))),"Fix")))</f>
        <v>0</v>
      </c>
      <c r="D456" s="3">
        <f>IF(OR(INDEX($L$2:$L$1001,MATCH(ROWS($K$2:K456),$K$2:$K$1001,0),1)&gt;=100000,INDEX($R$1005:$W$1005,1,MATCH(COLUMNS($R$1006:T1006),$R$1006:$W$1006,0))&gt;=100000), " ",IF(INDEX($R$2:$W$1001,MATCH(ROWS($K$2:K456),$K$2:$K$1001,0),MATCH(COLUMNS($R$1006:T1006),$R$1006:$W$1006,0)), HYPERLINK("#",""), HYPERLINK(CONCATENATE("#Metadata!", ADDRESS(INDEX($M$2:$M$1001,MATCH(ROWS($K$2:K456),$K$2:$K$1001,0),0), INDEX($R$1004:$W$1004,1,MATCH(COLUMNS($R$1006:T1006),$R$1006:$W$1006,0)))),"Fix")))</f>
        <v>0</v>
      </c>
      <c r="E456" s="3">
        <f>IF(OR(INDEX($L$2:$L$1001,MATCH(ROWS($K$2:K456),$K$2:$K$1001,0),1)&gt;=100000,INDEX($R$1005:$W$1005,1,MATCH(COLUMNS($R$1006:U1006),$R$1006:$W$1006,0))&gt;=100000), " ",IF(INDEX($R$2:$W$1001,MATCH(ROWS($K$2:K456),$K$2:$K$1001,0),MATCH(COLUMNS($R$1006:U1006),$R$1006:$W$1006,0)), HYPERLINK("#",""), HYPERLINK(CONCATENATE("#Metadata!", ADDRESS(INDEX($M$2:$M$1001,MATCH(ROWS($K$2:K456),$K$2:$K$1001,0),0), INDEX($R$1004:$W$1004,1,MATCH(COLUMNS($R$1006:U1006),$R$1006:$W$1006,0)))),"Fix")))</f>
        <v>0</v>
      </c>
      <c r="F456" s="3">
        <f>IF(OR(INDEX($L$2:$L$1001,MATCH(ROWS($K$2:K456),$K$2:$K$1001,0),1)&gt;=100000,INDEX($R$1005:$W$1005,1,MATCH(COLUMNS($R$1006:V1006),$R$1006:$W$1006,0))&gt;=100000), " ",IF(INDEX($R$2:$W$1001,MATCH(ROWS($K$2:K456),$K$2:$K$1001,0),MATCH(COLUMNS($R$1006:V1006),$R$1006:$W$1006,0)), HYPERLINK("#",""), HYPERLINK(CONCATENATE("#Metadata!", ADDRESS(INDEX($M$2:$M$1001,MATCH(ROWS($K$2:K456),$K$2:$K$1001,0),0), INDEX($R$1004:$W$1004,1,MATCH(COLUMNS($R$1006:V1006),$R$1006:$W$1006,0)))),"Fix")))</f>
        <v>0</v>
      </c>
      <c r="G456" s="3">
        <f>IF(OR(INDEX($L$2:$L$1001,MATCH(ROWS($K$2:K456),$K$2:$K$1001,0),1)&gt;=100000,INDEX($R$1005:$W$1005,1,MATCH(COLUMNS($R$1006:W1006),$R$1006:$W$1006,0))&gt;=100000), " ",IF(INDEX($R$2:$W$1001,MATCH(ROWS($K$2:K456),$K$2:$K$1001,0),MATCH(COLUMNS($R$1006:W1006),$R$1006:$W$1006,0)), HYPERLINK("#",""), HYPERLINK(CONCATENATE("#Metadata!", ADDRESS(INDEX($M$2:$M$1001,MATCH(ROWS($K$2:K456),$K$2:$K$1001,0),0), INDEX($R$1004:$W$1004,1,MATCH(COLUMNS($R$1006:W1006),$R$1006:$W$1006,0)))),"Fix")))</f>
        <v>0</v>
      </c>
      <c r="K456">
        <v>0</v>
      </c>
      <c r="L456">
        <v>0</v>
      </c>
      <c r="M456">
        <v>0</v>
      </c>
      <c r="N456">
        <f>IF(O456,TRUE,AND(R456:W456))</f>
        <v>0</v>
      </c>
      <c r="O456">
        <f>COUNTBLANK(Metadata!B456:G456)=COLUMNS(Metadata!B456:G456)</f>
        <v>0</v>
      </c>
      <c r="P456">
        <v>0</v>
      </c>
      <c r="R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S456">
        <f>IF(Metadata!C456="",FALSE,TRUE)</f>
        <v>0</v>
      </c>
      <c r="T456">
        <f>IF(Metadata!D456="",FALSE,TRUE)</f>
        <v>0</v>
      </c>
      <c r="U456">
        <f>IF(Metadata!E456="",FALSE,TRUE)</f>
        <v>0</v>
      </c>
      <c r="V456">
        <f>AND(IF(Metadata!F456="",FALSE,TRUE),exact(Metadata!F456,"rat gut metagenome"))</f>
        <v>0</v>
      </c>
      <c r="W456">
        <f>AND(IF(Metadata!G456="",FALSE,TRUE),exact(Metadata!G456,"1436733"))</f>
        <v>0</v>
      </c>
    </row>
    <row r="457" spans="1:23">
      <c r="A457" s="4">
        <f>IF(B457=" "," ",HYPERLINK(CONCATENATE("#metadata!",ADDRESS(INDEX($M$2:$M$1001,MATCH(ROWS($K$2:K457),$K$2:$K$1001,0),0),1)),INDEX($P$2:$P$1001,MATCH(ROWS($K$2:K457),$K$2:$K$1001,0),0)))</f>
        <v>0</v>
      </c>
      <c r="B457" s="3">
        <f>IF(OR(INDEX($L$2:$L$1001,MATCH(ROWS($K$2:K457),$K$2:$K$1001,0),1)&gt;=100000,INDEX($R$1005:$W$1005,1,MATCH(COLUMNS($R$1006:R1006),$R$1006:$W$1006,0))&gt;=100000), " ",IF(INDEX($R$2:$W$1001,MATCH(ROWS($K$2:K457),$K$2:$K$1001,0),MATCH(COLUMNS($R$1006:R1006),$R$1006:$W$1006,0)), HYPERLINK("#",""), HYPERLINK(CONCATENATE("#Metadata!", ADDRESS(INDEX($M$2:$M$1001,MATCH(ROWS($K$2:K457),$K$2:$K$1001,0),0), INDEX($R$1004:$W$1004,1,MATCH(COLUMNS($R$1006:R1006),$R$1006:$W$1006,0)))),"Fix")))</f>
        <v>0</v>
      </c>
      <c r="C457" s="3">
        <f>IF(OR(INDEX($L$2:$L$1001,MATCH(ROWS($K$2:K457),$K$2:$K$1001,0),1)&gt;=100000,INDEX($R$1005:$W$1005,1,MATCH(COLUMNS($R$1006:S1006),$R$1006:$W$1006,0))&gt;=100000), " ",IF(INDEX($R$2:$W$1001,MATCH(ROWS($K$2:K457),$K$2:$K$1001,0),MATCH(COLUMNS($R$1006:S1006),$R$1006:$W$1006,0)), HYPERLINK("#",""), HYPERLINK(CONCATENATE("#Metadata!", ADDRESS(INDEX($M$2:$M$1001,MATCH(ROWS($K$2:K457),$K$2:$K$1001,0),0), INDEX($R$1004:$W$1004,1,MATCH(COLUMNS($R$1006:S1006),$R$1006:$W$1006,0)))),"Fix")))</f>
        <v>0</v>
      </c>
      <c r="D457" s="3">
        <f>IF(OR(INDEX($L$2:$L$1001,MATCH(ROWS($K$2:K457),$K$2:$K$1001,0),1)&gt;=100000,INDEX($R$1005:$W$1005,1,MATCH(COLUMNS($R$1006:T1006),$R$1006:$W$1006,0))&gt;=100000), " ",IF(INDEX($R$2:$W$1001,MATCH(ROWS($K$2:K457),$K$2:$K$1001,0),MATCH(COLUMNS($R$1006:T1006),$R$1006:$W$1006,0)), HYPERLINK("#",""), HYPERLINK(CONCATENATE("#Metadata!", ADDRESS(INDEX($M$2:$M$1001,MATCH(ROWS($K$2:K457),$K$2:$K$1001,0),0), INDEX($R$1004:$W$1004,1,MATCH(COLUMNS($R$1006:T1006),$R$1006:$W$1006,0)))),"Fix")))</f>
        <v>0</v>
      </c>
      <c r="E457" s="3">
        <f>IF(OR(INDEX($L$2:$L$1001,MATCH(ROWS($K$2:K457),$K$2:$K$1001,0),1)&gt;=100000,INDEX($R$1005:$W$1005,1,MATCH(COLUMNS($R$1006:U1006),$R$1006:$W$1006,0))&gt;=100000), " ",IF(INDEX($R$2:$W$1001,MATCH(ROWS($K$2:K457),$K$2:$K$1001,0),MATCH(COLUMNS($R$1006:U1006),$R$1006:$W$1006,0)), HYPERLINK("#",""), HYPERLINK(CONCATENATE("#Metadata!", ADDRESS(INDEX($M$2:$M$1001,MATCH(ROWS($K$2:K457),$K$2:$K$1001,0),0), INDEX($R$1004:$W$1004,1,MATCH(COLUMNS($R$1006:U1006),$R$1006:$W$1006,0)))),"Fix")))</f>
        <v>0</v>
      </c>
      <c r="F457" s="3">
        <f>IF(OR(INDEX($L$2:$L$1001,MATCH(ROWS($K$2:K457),$K$2:$K$1001,0),1)&gt;=100000,INDEX($R$1005:$W$1005,1,MATCH(COLUMNS($R$1006:V1006),$R$1006:$W$1006,0))&gt;=100000), " ",IF(INDEX($R$2:$W$1001,MATCH(ROWS($K$2:K457),$K$2:$K$1001,0),MATCH(COLUMNS($R$1006:V1006),$R$1006:$W$1006,0)), HYPERLINK("#",""), HYPERLINK(CONCATENATE("#Metadata!", ADDRESS(INDEX($M$2:$M$1001,MATCH(ROWS($K$2:K457),$K$2:$K$1001,0),0), INDEX($R$1004:$W$1004,1,MATCH(COLUMNS($R$1006:V1006),$R$1006:$W$1006,0)))),"Fix")))</f>
        <v>0</v>
      </c>
      <c r="G457" s="3">
        <f>IF(OR(INDEX($L$2:$L$1001,MATCH(ROWS($K$2:K457),$K$2:$K$1001,0),1)&gt;=100000,INDEX($R$1005:$W$1005,1,MATCH(COLUMNS($R$1006:W1006),$R$1006:$W$1006,0))&gt;=100000), " ",IF(INDEX($R$2:$W$1001,MATCH(ROWS($K$2:K457),$K$2:$K$1001,0),MATCH(COLUMNS($R$1006:W1006),$R$1006:$W$1006,0)), HYPERLINK("#",""), HYPERLINK(CONCATENATE("#Metadata!", ADDRESS(INDEX($M$2:$M$1001,MATCH(ROWS($K$2:K457),$K$2:$K$1001,0),0), INDEX($R$1004:$W$1004,1,MATCH(COLUMNS($R$1006:W1006),$R$1006:$W$1006,0)))),"Fix")))</f>
        <v>0</v>
      </c>
      <c r="K457">
        <v>0</v>
      </c>
      <c r="L457">
        <v>0</v>
      </c>
      <c r="M457">
        <v>0</v>
      </c>
      <c r="N457">
        <f>IF(O457,TRUE,AND(R457:W457))</f>
        <v>0</v>
      </c>
      <c r="O457">
        <f>COUNTBLANK(Metadata!B457:G457)=COLUMNS(Metadata!B457:G457)</f>
        <v>0</v>
      </c>
      <c r="P457">
        <v>0</v>
      </c>
      <c r="R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S457">
        <f>IF(Metadata!C457="",FALSE,TRUE)</f>
        <v>0</v>
      </c>
      <c r="T457">
        <f>IF(Metadata!D457="",FALSE,TRUE)</f>
        <v>0</v>
      </c>
      <c r="U457">
        <f>IF(Metadata!E457="",FALSE,TRUE)</f>
        <v>0</v>
      </c>
      <c r="V457">
        <f>AND(IF(Metadata!F457="",FALSE,TRUE),exact(Metadata!F457,"rat gut metagenome"))</f>
        <v>0</v>
      </c>
      <c r="W457">
        <f>AND(IF(Metadata!G457="",FALSE,TRUE),exact(Metadata!G457,"1436733"))</f>
        <v>0</v>
      </c>
    </row>
    <row r="458" spans="1:23">
      <c r="A458" s="4">
        <f>IF(B458=" "," ",HYPERLINK(CONCATENATE("#metadata!",ADDRESS(INDEX($M$2:$M$1001,MATCH(ROWS($K$2:K458),$K$2:$K$1001,0),0),1)),INDEX($P$2:$P$1001,MATCH(ROWS($K$2:K458),$K$2:$K$1001,0),0)))</f>
        <v>0</v>
      </c>
      <c r="B458" s="3">
        <f>IF(OR(INDEX($L$2:$L$1001,MATCH(ROWS($K$2:K458),$K$2:$K$1001,0),1)&gt;=100000,INDEX($R$1005:$W$1005,1,MATCH(COLUMNS($R$1006:R1006),$R$1006:$W$1006,0))&gt;=100000), " ",IF(INDEX($R$2:$W$1001,MATCH(ROWS($K$2:K458),$K$2:$K$1001,0),MATCH(COLUMNS($R$1006:R1006),$R$1006:$W$1006,0)), HYPERLINK("#",""), HYPERLINK(CONCATENATE("#Metadata!", ADDRESS(INDEX($M$2:$M$1001,MATCH(ROWS($K$2:K458),$K$2:$K$1001,0),0), INDEX($R$1004:$W$1004,1,MATCH(COLUMNS($R$1006:R1006),$R$1006:$W$1006,0)))),"Fix")))</f>
        <v>0</v>
      </c>
      <c r="C458" s="3">
        <f>IF(OR(INDEX($L$2:$L$1001,MATCH(ROWS($K$2:K458),$K$2:$K$1001,0),1)&gt;=100000,INDEX($R$1005:$W$1005,1,MATCH(COLUMNS($R$1006:S1006),$R$1006:$W$1006,0))&gt;=100000), " ",IF(INDEX($R$2:$W$1001,MATCH(ROWS($K$2:K458),$K$2:$K$1001,0),MATCH(COLUMNS($R$1006:S1006),$R$1006:$W$1006,0)), HYPERLINK("#",""), HYPERLINK(CONCATENATE("#Metadata!", ADDRESS(INDEX($M$2:$M$1001,MATCH(ROWS($K$2:K458),$K$2:$K$1001,0),0), INDEX($R$1004:$W$1004,1,MATCH(COLUMNS($R$1006:S1006),$R$1006:$W$1006,0)))),"Fix")))</f>
        <v>0</v>
      </c>
      <c r="D458" s="3">
        <f>IF(OR(INDEX($L$2:$L$1001,MATCH(ROWS($K$2:K458),$K$2:$K$1001,0),1)&gt;=100000,INDEX($R$1005:$W$1005,1,MATCH(COLUMNS($R$1006:T1006),$R$1006:$W$1006,0))&gt;=100000), " ",IF(INDEX($R$2:$W$1001,MATCH(ROWS($K$2:K458),$K$2:$K$1001,0),MATCH(COLUMNS($R$1006:T1006),$R$1006:$W$1006,0)), HYPERLINK("#",""), HYPERLINK(CONCATENATE("#Metadata!", ADDRESS(INDEX($M$2:$M$1001,MATCH(ROWS($K$2:K458),$K$2:$K$1001,0),0), INDEX($R$1004:$W$1004,1,MATCH(COLUMNS($R$1006:T1006),$R$1006:$W$1006,0)))),"Fix")))</f>
        <v>0</v>
      </c>
      <c r="E458" s="3">
        <f>IF(OR(INDEX($L$2:$L$1001,MATCH(ROWS($K$2:K458),$K$2:$K$1001,0),1)&gt;=100000,INDEX($R$1005:$W$1005,1,MATCH(COLUMNS($R$1006:U1006),$R$1006:$W$1006,0))&gt;=100000), " ",IF(INDEX($R$2:$W$1001,MATCH(ROWS($K$2:K458),$K$2:$K$1001,0),MATCH(COLUMNS($R$1006:U1006),$R$1006:$W$1006,0)), HYPERLINK("#",""), HYPERLINK(CONCATENATE("#Metadata!", ADDRESS(INDEX($M$2:$M$1001,MATCH(ROWS($K$2:K458),$K$2:$K$1001,0),0), INDEX($R$1004:$W$1004,1,MATCH(COLUMNS($R$1006:U1006),$R$1006:$W$1006,0)))),"Fix")))</f>
        <v>0</v>
      </c>
      <c r="F458" s="3">
        <f>IF(OR(INDEX($L$2:$L$1001,MATCH(ROWS($K$2:K458),$K$2:$K$1001,0),1)&gt;=100000,INDEX($R$1005:$W$1005,1,MATCH(COLUMNS($R$1006:V1006),$R$1006:$W$1006,0))&gt;=100000), " ",IF(INDEX($R$2:$W$1001,MATCH(ROWS($K$2:K458),$K$2:$K$1001,0),MATCH(COLUMNS($R$1006:V1006),$R$1006:$W$1006,0)), HYPERLINK("#",""), HYPERLINK(CONCATENATE("#Metadata!", ADDRESS(INDEX($M$2:$M$1001,MATCH(ROWS($K$2:K458),$K$2:$K$1001,0),0), INDEX($R$1004:$W$1004,1,MATCH(COLUMNS($R$1006:V1006),$R$1006:$W$1006,0)))),"Fix")))</f>
        <v>0</v>
      </c>
      <c r="G458" s="3">
        <f>IF(OR(INDEX($L$2:$L$1001,MATCH(ROWS($K$2:K458),$K$2:$K$1001,0),1)&gt;=100000,INDEX($R$1005:$W$1005,1,MATCH(COLUMNS($R$1006:W1006),$R$1006:$W$1006,0))&gt;=100000), " ",IF(INDEX($R$2:$W$1001,MATCH(ROWS($K$2:K458),$K$2:$K$1001,0),MATCH(COLUMNS($R$1006:W1006),$R$1006:$W$1006,0)), HYPERLINK("#",""), HYPERLINK(CONCATENATE("#Metadata!", ADDRESS(INDEX($M$2:$M$1001,MATCH(ROWS($K$2:K458),$K$2:$K$1001,0),0), INDEX($R$1004:$W$1004,1,MATCH(COLUMNS($R$1006:W1006),$R$1006:$W$1006,0)))),"Fix")))</f>
        <v>0</v>
      </c>
      <c r="K458">
        <v>0</v>
      </c>
      <c r="L458">
        <v>0</v>
      </c>
      <c r="M458">
        <v>0</v>
      </c>
      <c r="N458">
        <f>IF(O458,TRUE,AND(R458:W458))</f>
        <v>0</v>
      </c>
      <c r="O458">
        <f>COUNTBLANK(Metadata!B458:G458)=COLUMNS(Metadata!B458:G458)</f>
        <v>0</v>
      </c>
      <c r="P458">
        <v>0</v>
      </c>
      <c r="R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S458">
        <f>IF(Metadata!C458="",FALSE,TRUE)</f>
        <v>0</v>
      </c>
      <c r="T458">
        <f>IF(Metadata!D458="",FALSE,TRUE)</f>
        <v>0</v>
      </c>
      <c r="U458">
        <f>IF(Metadata!E458="",FALSE,TRUE)</f>
        <v>0</v>
      </c>
      <c r="V458">
        <f>AND(IF(Metadata!F458="",FALSE,TRUE),exact(Metadata!F458,"rat gut metagenome"))</f>
        <v>0</v>
      </c>
      <c r="W458">
        <f>AND(IF(Metadata!G458="",FALSE,TRUE),exact(Metadata!G458,"1436733"))</f>
        <v>0</v>
      </c>
    </row>
    <row r="459" spans="1:23">
      <c r="A459" s="4">
        <f>IF(B459=" "," ",HYPERLINK(CONCATENATE("#metadata!",ADDRESS(INDEX($M$2:$M$1001,MATCH(ROWS($K$2:K459),$K$2:$K$1001,0),0),1)),INDEX($P$2:$P$1001,MATCH(ROWS($K$2:K459),$K$2:$K$1001,0),0)))</f>
        <v>0</v>
      </c>
      <c r="B459" s="3">
        <f>IF(OR(INDEX($L$2:$L$1001,MATCH(ROWS($K$2:K459),$K$2:$K$1001,0),1)&gt;=100000,INDEX($R$1005:$W$1005,1,MATCH(COLUMNS($R$1006:R1006),$R$1006:$W$1006,0))&gt;=100000), " ",IF(INDEX($R$2:$W$1001,MATCH(ROWS($K$2:K459),$K$2:$K$1001,0),MATCH(COLUMNS($R$1006:R1006),$R$1006:$W$1006,0)), HYPERLINK("#",""), HYPERLINK(CONCATENATE("#Metadata!", ADDRESS(INDEX($M$2:$M$1001,MATCH(ROWS($K$2:K459),$K$2:$K$1001,0),0), INDEX($R$1004:$W$1004,1,MATCH(COLUMNS($R$1006:R1006),$R$1006:$W$1006,0)))),"Fix")))</f>
        <v>0</v>
      </c>
      <c r="C459" s="3">
        <f>IF(OR(INDEX($L$2:$L$1001,MATCH(ROWS($K$2:K459),$K$2:$K$1001,0),1)&gt;=100000,INDEX($R$1005:$W$1005,1,MATCH(COLUMNS($R$1006:S1006),$R$1006:$W$1006,0))&gt;=100000), " ",IF(INDEX($R$2:$W$1001,MATCH(ROWS($K$2:K459),$K$2:$K$1001,0),MATCH(COLUMNS($R$1006:S1006),$R$1006:$W$1006,0)), HYPERLINK("#",""), HYPERLINK(CONCATENATE("#Metadata!", ADDRESS(INDEX($M$2:$M$1001,MATCH(ROWS($K$2:K459),$K$2:$K$1001,0),0), INDEX($R$1004:$W$1004,1,MATCH(COLUMNS($R$1006:S1006),$R$1006:$W$1006,0)))),"Fix")))</f>
        <v>0</v>
      </c>
      <c r="D459" s="3">
        <f>IF(OR(INDEX($L$2:$L$1001,MATCH(ROWS($K$2:K459),$K$2:$K$1001,0),1)&gt;=100000,INDEX($R$1005:$W$1005,1,MATCH(COLUMNS($R$1006:T1006),$R$1006:$W$1006,0))&gt;=100000), " ",IF(INDEX($R$2:$W$1001,MATCH(ROWS($K$2:K459),$K$2:$K$1001,0),MATCH(COLUMNS($R$1006:T1006),$R$1006:$W$1006,0)), HYPERLINK("#",""), HYPERLINK(CONCATENATE("#Metadata!", ADDRESS(INDEX($M$2:$M$1001,MATCH(ROWS($K$2:K459),$K$2:$K$1001,0),0), INDEX($R$1004:$W$1004,1,MATCH(COLUMNS($R$1006:T1006),$R$1006:$W$1006,0)))),"Fix")))</f>
        <v>0</v>
      </c>
      <c r="E459" s="3">
        <f>IF(OR(INDEX($L$2:$L$1001,MATCH(ROWS($K$2:K459),$K$2:$K$1001,0),1)&gt;=100000,INDEX($R$1005:$W$1005,1,MATCH(COLUMNS($R$1006:U1006),$R$1006:$W$1006,0))&gt;=100000), " ",IF(INDEX($R$2:$W$1001,MATCH(ROWS($K$2:K459),$K$2:$K$1001,0),MATCH(COLUMNS($R$1006:U1006),$R$1006:$W$1006,0)), HYPERLINK("#",""), HYPERLINK(CONCATENATE("#Metadata!", ADDRESS(INDEX($M$2:$M$1001,MATCH(ROWS($K$2:K459),$K$2:$K$1001,0),0), INDEX($R$1004:$W$1004,1,MATCH(COLUMNS($R$1006:U1006),$R$1006:$W$1006,0)))),"Fix")))</f>
        <v>0</v>
      </c>
      <c r="F459" s="3">
        <f>IF(OR(INDEX($L$2:$L$1001,MATCH(ROWS($K$2:K459),$K$2:$K$1001,0),1)&gt;=100000,INDEX($R$1005:$W$1005,1,MATCH(COLUMNS($R$1006:V1006),$R$1006:$W$1006,0))&gt;=100000), " ",IF(INDEX($R$2:$W$1001,MATCH(ROWS($K$2:K459),$K$2:$K$1001,0),MATCH(COLUMNS($R$1006:V1006),$R$1006:$W$1006,0)), HYPERLINK("#",""), HYPERLINK(CONCATENATE("#Metadata!", ADDRESS(INDEX($M$2:$M$1001,MATCH(ROWS($K$2:K459),$K$2:$K$1001,0),0), INDEX($R$1004:$W$1004,1,MATCH(COLUMNS($R$1006:V1006),$R$1006:$W$1006,0)))),"Fix")))</f>
        <v>0</v>
      </c>
      <c r="G459" s="3">
        <f>IF(OR(INDEX($L$2:$L$1001,MATCH(ROWS($K$2:K459),$K$2:$K$1001,0),1)&gt;=100000,INDEX($R$1005:$W$1005,1,MATCH(COLUMNS($R$1006:W1006),$R$1006:$W$1006,0))&gt;=100000), " ",IF(INDEX($R$2:$W$1001,MATCH(ROWS($K$2:K459),$K$2:$K$1001,0),MATCH(COLUMNS($R$1006:W1006),$R$1006:$W$1006,0)), HYPERLINK("#",""), HYPERLINK(CONCATENATE("#Metadata!", ADDRESS(INDEX($M$2:$M$1001,MATCH(ROWS($K$2:K459),$K$2:$K$1001,0),0), INDEX($R$1004:$W$1004,1,MATCH(COLUMNS($R$1006:W1006),$R$1006:$W$1006,0)))),"Fix")))</f>
        <v>0</v>
      </c>
      <c r="K459">
        <v>0</v>
      </c>
      <c r="L459">
        <v>0</v>
      </c>
      <c r="M459">
        <v>0</v>
      </c>
      <c r="N459">
        <f>IF(O459,TRUE,AND(R459:W459))</f>
        <v>0</v>
      </c>
      <c r="O459">
        <f>COUNTBLANK(Metadata!B459:G459)=COLUMNS(Metadata!B459:G459)</f>
        <v>0</v>
      </c>
      <c r="P459">
        <v>0</v>
      </c>
      <c r="R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S459">
        <f>IF(Metadata!C459="",FALSE,TRUE)</f>
        <v>0</v>
      </c>
      <c r="T459">
        <f>IF(Metadata!D459="",FALSE,TRUE)</f>
        <v>0</v>
      </c>
      <c r="U459">
        <f>IF(Metadata!E459="",FALSE,TRUE)</f>
        <v>0</v>
      </c>
      <c r="V459">
        <f>AND(IF(Metadata!F459="",FALSE,TRUE),exact(Metadata!F459,"rat gut metagenome"))</f>
        <v>0</v>
      </c>
      <c r="W459">
        <f>AND(IF(Metadata!G459="",FALSE,TRUE),exact(Metadata!G459,"1436733"))</f>
        <v>0</v>
      </c>
    </row>
    <row r="460" spans="1:23">
      <c r="A460" s="4">
        <f>IF(B460=" "," ",HYPERLINK(CONCATENATE("#metadata!",ADDRESS(INDEX($M$2:$M$1001,MATCH(ROWS($K$2:K460),$K$2:$K$1001,0),0),1)),INDEX($P$2:$P$1001,MATCH(ROWS($K$2:K460),$K$2:$K$1001,0),0)))</f>
        <v>0</v>
      </c>
      <c r="B460" s="3">
        <f>IF(OR(INDEX($L$2:$L$1001,MATCH(ROWS($K$2:K460),$K$2:$K$1001,0),1)&gt;=100000,INDEX($R$1005:$W$1005,1,MATCH(COLUMNS($R$1006:R1006),$R$1006:$W$1006,0))&gt;=100000), " ",IF(INDEX($R$2:$W$1001,MATCH(ROWS($K$2:K460),$K$2:$K$1001,0),MATCH(COLUMNS($R$1006:R1006),$R$1006:$W$1006,0)), HYPERLINK("#",""), HYPERLINK(CONCATENATE("#Metadata!", ADDRESS(INDEX($M$2:$M$1001,MATCH(ROWS($K$2:K460),$K$2:$K$1001,0),0), INDEX($R$1004:$W$1004,1,MATCH(COLUMNS($R$1006:R1006),$R$1006:$W$1006,0)))),"Fix")))</f>
        <v>0</v>
      </c>
      <c r="C460" s="3">
        <f>IF(OR(INDEX($L$2:$L$1001,MATCH(ROWS($K$2:K460),$K$2:$K$1001,0),1)&gt;=100000,INDEX($R$1005:$W$1005,1,MATCH(COLUMNS($R$1006:S1006),$R$1006:$W$1006,0))&gt;=100000), " ",IF(INDEX($R$2:$W$1001,MATCH(ROWS($K$2:K460),$K$2:$K$1001,0),MATCH(COLUMNS($R$1006:S1006),$R$1006:$W$1006,0)), HYPERLINK("#",""), HYPERLINK(CONCATENATE("#Metadata!", ADDRESS(INDEX($M$2:$M$1001,MATCH(ROWS($K$2:K460),$K$2:$K$1001,0),0), INDEX($R$1004:$W$1004,1,MATCH(COLUMNS($R$1006:S1006),$R$1006:$W$1006,0)))),"Fix")))</f>
        <v>0</v>
      </c>
      <c r="D460" s="3">
        <f>IF(OR(INDEX($L$2:$L$1001,MATCH(ROWS($K$2:K460),$K$2:$K$1001,0),1)&gt;=100000,INDEX($R$1005:$W$1005,1,MATCH(COLUMNS($R$1006:T1006),$R$1006:$W$1006,0))&gt;=100000), " ",IF(INDEX($R$2:$W$1001,MATCH(ROWS($K$2:K460),$K$2:$K$1001,0),MATCH(COLUMNS($R$1006:T1006),$R$1006:$W$1006,0)), HYPERLINK("#",""), HYPERLINK(CONCATENATE("#Metadata!", ADDRESS(INDEX($M$2:$M$1001,MATCH(ROWS($K$2:K460),$K$2:$K$1001,0),0), INDEX($R$1004:$W$1004,1,MATCH(COLUMNS($R$1006:T1006),$R$1006:$W$1006,0)))),"Fix")))</f>
        <v>0</v>
      </c>
      <c r="E460" s="3">
        <f>IF(OR(INDEX($L$2:$L$1001,MATCH(ROWS($K$2:K460),$K$2:$K$1001,0),1)&gt;=100000,INDEX($R$1005:$W$1005,1,MATCH(COLUMNS($R$1006:U1006),$R$1006:$W$1006,0))&gt;=100000), " ",IF(INDEX($R$2:$W$1001,MATCH(ROWS($K$2:K460),$K$2:$K$1001,0),MATCH(COLUMNS($R$1006:U1006),$R$1006:$W$1006,0)), HYPERLINK("#",""), HYPERLINK(CONCATENATE("#Metadata!", ADDRESS(INDEX($M$2:$M$1001,MATCH(ROWS($K$2:K460),$K$2:$K$1001,0),0), INDEX($R$1004:$W$1004,1,MATCH(COLUMNS($R$1006:U1006),$R$1006:$W$1006,0)))),"Fix")))</f>
        <v>0</v>
      </c>
      <c r="F460" s="3">
        <f>IF(OR(INDEX($L$2:$L$1001,MATCH(ROWS($K$2:K460),$K$2:$K$1001,0),1)&gt;=100000,INDEX($R$1005:$W$1005,1,MATCH(COLUMNS($R$1006:V1006),$R$1006:$W$1006,0))&gt;=100000), " ",IF(INDEX($R$2:$W$1001,MATCH(ROWS($K$2:K460),$K$2:$K$1001,0),MATCH(COLUMNS($R$1006:V1006),$R$1006:$W$1006,0)), HYPERLINK("#",""), HYPERLINK(CONCATENATE("#Metadata!", ADDRESS(INDEX($M$2:$M$1001,MATCH(ROWS($K$2:K460),$K$2:$K$1001,0),0), INDEX($R$1004:$W$1004,1,MATCH(COLUMNS($R$1006:V1006),$R$1006:$W$1006,0)))),"Fix")))</f>
        <v>0</v>
      </c>
      <c r="G460" s="3">
        <f>IF(OR(INDEX($L$2:$L$1001,MATCH(ROWS($K$2:K460),$K$2:$K$1001,0),1)&gt;=100000,INDEX($R$1005:$W$1005,1,MATCH(COLUMNS($R$1006:W1006),$R$1006:$W$1006,0))&gt;=100000), " ",IF(INDEX($R$2:$W$1001,MATCH(ROWS($K$2:K460),$K$2:$K$1001,0),MATCH(COLUMNS($R$1006:W1006),$R$1006:$W$1006,0)), HYPERLINK("#",""), HYPERLINK(CONCATENATE("#Metadata!", ADDRESS(INDEX($M$2:$M$1001,MATCH(ROWS($K$2:K460),$K$2:$K$1001,0),0), INDEX($R$1004:$W$1004,1,MATCH(COLUMNS($R$1006:W1006),$R$1006:$W$1006,0)))),"Fix")))</f>
        <v>0</v>
      </c>
      <c r="K460">
        <v>0</v>
      </c>
      <c r="L460">
        <v>0</v>
      </c>
      <c r="M460">
        <v>0</v>
      </c>
      <c r="N460">
        <f>IF(O460,TRUE,AND(R460:W460))</f>
        <v>0</v>
      </c>
      <c r="O460">
        <f>COUNTBLANK(Metadata!B460:G460)=COLUMNS(Metadata!B460:G460)</f>
        <v>0</v>
      </c>
      <c r="P460">
        <v>0</v>
      </c>
      <c r="R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S460">
        <f>IF(Metadata!C460="",FALSE,TRUE)</f>
        <v>0</v>
      </c>
      <c r="T460">
        <f>IF(Metadata!D460="",FALSE,TRUE)</f>
        <v>0</v>
      </c>
      <c r="U460">
        <f>IF(Metadata!E460="",FALSE,TRUE)</f>
        <v>0</v>
      </c>
      <c r="V460">
        <f>AND(IF(Metadata!F460="",FALSE,TRUE),exact(Metadata!F460,"rat gut metagenome"))</f>
        <v>0</v>
      </c>
      <c r="W460">
        <f>AND(IF(Metadata!G460="",FALSE,TRUE),exact(Metadata!G460,"1436733"))</f>
        <v>0</v>
      </c>
    </row>
    <row r="461" spans="1:23">
      <c r="A461" s="4">
        <f>IF(B461=" "," ",HYPERLINK(CONCATENATE("#metadata!",ADDRESS(INDEX($M$2:$M$1001,MATCH(ROWS($K$2:K461),$K$2:$K$1001,0),0),1)),INDEX($P$2:$P$1001,MATCH(ROWS($K$2:K461),$K$2:$K$1001,0),0)))</f>
        <v>0</v>
      </c>
      <c r="B461" s="3">
        <f>IF(OR(INDEX($L$2:$L$1001,MATCH(ROWS($K$2:K461),$K$2:$K$1001,0),1)&gt;=100000,INDEX($R$1005:$W$1005,1,MATCH(COLUMNS($R$1006:R1006),$R$1006:$W$1006,0))&gt;=100000), " ",IF(INDEX($R$2:$W$1001,MATCH(ROWS($K$2:K461),$K$2:$K$1001,0),MATCH(COLUMNS($R$1006:R1006),$R$1006:$W$1006,0)), HYPERLINK("#",""), HYPERLINK(CONCATENATE("#Metadata!", ADDRESS(INDEX($M$2:$M$1001,MATCH(ROWS($K$2:K461),$K$2:$K$1001,0),0), INDEX($R$1004:$W$1004,1,MATCH(COLUMNS($R$1006:R1006),$R$1006:$W$1006,0)))),"Fix")))</f>
        <v>0</v>
      </c>
      <c r="C461" s="3">
        <f>IF(OR(INDEX($L$2:$L$1001,MATCH(ROWS($K$2:K461),$K$2:$K$1001,0),1)&gt;=100000,INDEX($R$1005:$W$1005,1,MATCH(COLUMNS($R$1006:S1006),$R$1006:$W$1006,0))&gt;=100000), " ",IF(INDEX($R$2:$W$1001,MATCH(ROWS($K$2:K461),$K$2:$K$1001,0),MATCH(COLUMNS($R$1006:S1006),$R$1006:$W$1006,0)), HYPERLINK("#",""), HYPERLINK(CONCATENATE("#Metadata!", ADDRESS(INDEX($M$2:$M$1001,MATCH(ROWS($K$2:K461),$K$2:$K$1001,0),0), INDEX($R$1004:$W$1004,1,MATCH(COLUMNS($R$1006:S1006),$R$1006:$W$1006,0)))),"Fix")))</f>
        <v>0</v>
      </c>
      <c r="D461" s="3">
        <f>IF(OR(INDEX($L$2:$L$1001,MATCH(ROWS($K$2:K461),$K$2:$K$1001,0),1)&gt;=100000,INDEX($R$1005:$W$1005,1,MATCH(COLUMNS($R$1006:T1006),$R$1006:$W$1006,0))&gt;=100000), " ",IF(INDEX($R$2:$W$1001,MATCH(ROWS($K$2:K461),$K$2:$K$1001,0),MATCH(COLUMNS($R$1006:T1006),$R$1006:$W$1006,0)), HYPERLINK("#",""), HYPERLINK(CONCATENATE("#Metadata!", ADDRESS(INDEX($M$2:$M$1001,MATCH(ROWS($K$2:K461),$K$2:$K$1001,0),0), INDEX($R$1004:$W$1004,1,MATCH(COLUMNS($R$1006:T1006),$R$1006:$W$1006,0)))),"Fix")))</f>
        <v>0</v>
      </c>
      <c r="E461" s="3">
        <f>IF(OR(INDEX($L$2:$L$1001,MATCH(ROWS($K$2:K461),$K$2:$K$1001,0),1)&gt;=100000,INDEX($R$1005:$W$1005,1,MATCH(COLUMNS($R$1006:U1006),$R$1006:$W$1006,0))&gt;=100000), " ",IF(INDEX($R$2:$W$1001,MATCH(ROWS($K$2:K461),$K$2:$K$1001,0),MATCH(COLUMNS($R$1006:U1006),$R$1006:$W$1006,0)), HYPERLINK("#",""), HYPERLINK(CONCATENATE("#Metadata!", ADDRESS(INDEX($M$2:$M$1001,MATCH(ROWS($K$2:K461),$K$2:$K$1001,0),0), INDEX($R$1004:$W$1004,1,MATCH(COLUMNS($R$1006:U1006),$R$1006:$W$1006,0)))),"Fix")))</f>
        <v>0</v>
      </c>
      <c r="F461" s="3">
        <f>IF(OR(INDEX($L$2:$L$1001,MATCH(ROWS($K$2:K461),$K$2:$K$1001,0),1)&gt;=100000,INDEX($R$1005:$W$1005,1,MATCH(COLUMNS($R$1006:V1006),$R$1006:$W$1006,0))&gt;=100000), " ",IF(INDEX($R$2:$W$1001,MATCH(ROWS($K$2:K461),$K$2:$K$1001,0),MATCH(COLUMNS($R$1006:V1006),$R$1006:$W$1006,0)), HYPERLINK("#",""), HYPERLINK(CONCATENATE("#Metadata!", ADDRESS(INDEX($M$2:$M$1001,MATCH(ROWS($K$2:K461),$K$2:$K$1001,0),0), INDEX($R$1004:$W$1004,1,MATCH(COLUMNS($R$1006:V1006),$R$1006:$W$1006,0)))),"Fix")))</f>
        <v>0</v>
      </c>
      <c r="G461" s="3">
        <f>IF(OR(INDEX($L$2:$L$1001,MATCH(ROWS($K$2:K461),$K$2:$K$1001,0),1)&gt;=100000,INDEX($R$1005:$W$1005,1,MATCH(COLUMNS($R$1006:W1006),$R$1006:$W$1006,0))&gt;=100000), " ",IF(INDEX($R$2:$W$1001,MATCH(ROWS($K$2:K461),$K$2:$K$1001,0),MATCH(COLUMNS($R$1006:W1006),$R$1006:$W$1006,0)), HYPERLINK("#",""), HYPERLINK(CONCATENATE("#Metadata!", ADDRESS(INDEX($M$2:$M$1001,MATCH(ROWS($K$2:K461),$K$2:$K$1001,0),0), INDEX($R$1004:$W$1004,1,MATCH(COLUMNS($R$1006:W1006),$R$1006:$W$1006,0)))),"Fix")))</f>
        <v>0</v>
      </c>
      <c r="K461">
        <v>0</v>
      </c>
      <c r="L461">
        <v>0</v>
      </c>
      <c r="M461">
        <v>0</v>
      </c>
      <c r="N461">
        <f>IF(O461,TRUE,AND(R461:W461))</f>
        <v>0</v>
      </c>
      <c r="O461">
        <f>COUNTBLANK(Metadata!B461:G461)=COLUMNS(Metadata!B461:G461)</f>
        <v>0</v>
      </c>
      <c r="P461">
        <v>0</v>
      </c>
      <c r="R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S461">
        <f>IF(Metadata!C461="",FALSE,TRUE)</f>
        <v>0</v>
      </c>
      <c r="T461">
        <f>IF(Metadata!D461="",FALSE,TRUE)</f>
        <v>0</v>
      </c>
      <c r="U461">
        <f>IF(Metadata!E461="",FALSE,TRUE)</f>
        <v>0</v>
      </c>
      <c r="V461">
        <f>AND(IF(Metadata!F461="",FALSE,TRUE),exact(Metadata!F461,"rat gut metagenome"))</f>
        <v>0</v>
      </c>
      <c r="W461">
        <f>AND(IF(Metadata!G461="",FALSE,TRUE),exact(Metadata!G461,"1436733"))</f>
        <v>0</v>
      </c>
    </row>
    <row r="462" spans="1:23">
      <c r="A462" s="4">
        <f>IF(B462=" "," ",HYPERLINK(CONCATENATE("#metadata!",ADDRESS(INDEX($M$2:$M$1001,MATCH(ROWS($K$2:K462),$K$2:$K$1001,0),0),1)),INDEX($P$2:$P$1001,MATCH(ROWS($K$2:K462),$K$2:$K$1001,0),0)))</f>
        <v>0</v>
      </c>
      <c r="B462" s="3">
        <f>IF(OR(INDEX($L$2:$L$1001,MATCH(ROWS($K$2:K462),$K$2:$K$1001,0),1)&gt;=100000,INDEX($R$1005:$W$1005,1,MATCH(COLUMNS($R$1006:R1006),$R$1006:$W$1006,0))&gt;=100000), " ",IF(INDEX($R$2:$W$1001,MATCH(ROWS($K$2:K462),$K$2:$K$1001,0),MATCH(COLUMNS($R$1006:R1006),$R$1006:$W$1006,0)), HYPERLINK("#",""), HYPERLINK(CONCATENATE("#Metadata!", ADDRESS(INDEX($M$2:$M$1001,MATCH(ROWS($K$2:K462),$K$2:$K$1001,0),0), INDEX($R$1004:$W$1004,1,MATCH(COLUMNS($R$1006:R1006),$R$1006:$W$1006,0)))),"Fix")))</f>
        <v>0</v>
      </c>
      <c r="C462" s="3">
        <f>IF(OR(INDEX($L$2:$L$1001,MATCH(ROWS($K$2:K462),$K$2:$K$1001,0),1)&gt;=100000,INDEX($R$1005:$W$1005,1,MATCH(COLUMNS($R$1006:S1006),$R$1006:$W$1006,0))&gt;=100000), " ",IF(INDEX($R$2:$W$1001,MATCH(ROWS($K$2:K462),$K$2:$K$1001,0),MATCH(COLUMNS($R$1006:S1006),$R$1006:$W$1006,0)), HYPERLINK("#",""), HYPERLINK(CONCATENATE("#Metadata!", ADDRESS(INDEX($M$2:$M$1001,MATCH(ROWS($K$2:K462),$K$2:$K$1001,0),0), INDEX($R$1004:$W$1004,1,MATCH(COLUMNS($R$1006:S1006),$R$1006:$W$1006,0)))),"Fix")))</f>
        <v>0</v>
      </c>
      <c r="D462" s="3">
        <f>IF(OR(INDEX($L$2:$L$1001,MATCH(ROWS($K$2:K462),$K$2:$K$1001,0),1)&gt;=100000,INDEX($R$1005:$W$1005,1,MATCH(COLUMNS($R$1006:T1006),$R$1006:$W$1006,0))&gt;=100000), " ",IF(INDEX($R$2:$W$1001,MATCH(ROWS($K$2:K462),$K$2:$K$1001,0),MATCH(COLUMNS($R$1006:T1006),$R$1006:$W$1006,0)), HYPERLINK("#",""), HYPERLINK(CONCATENATE("#Metadata!", ADDRESS(INDEX($M$2:$M$1001,MATCH(ROWS($K$2:K462),$K$2:$K$1001,0),0), INDEX($R$1004:$W$1004,1,MATCH(COLUMNS($R$1006:T1006),$R$1006:$W$1006,0)))),"Fix")))</f>
        <v>0</v>
      </c>
      <c r="E462" s="3">
        <f>IF(OR(INDEX($L$2:$L$1001,MATCH(ROWS($K$2:K462),$K$2:$K$1001,0),1)&gt;=100000,INDEX($R$1005:$W$1005,1,MATCH(COLUMNS($R$1006:U1006),$R$1006:$W$1006,0))&gt;=100000), " ",IF(INDEX($R$2:$W$1001,MATCH(ROWS($K$2:K462),$K$2:$K$1001,0),MATCH(COLUMNS($R$1006:U1006),$R$1006:$W$1006,0)), HYPERLINK("#",""), HYPERLINK(CONCATENATE("#Metadata!", ADDRESS(INDEX($M$2:$M$1001,MATCH(ROWS($K$2:K462),$K$2:$K$1001,0),0), INDEX($R$1004:$W$1004,1,MATCH(COLUMNS($R$1006:U1006),$R$1006:$W$1006,0)))),"Fix")))</f>
        <v>0</v>
      </c>
      <c r="F462" s="3">
        <f>IF(OR(INDEX($L$2:$L$1001,MATCH(ROWS($K$2:K462),$K$2:$K$1001,0),1)&gt;=100000,INDEX($R$1005:$W$1005,1,MATCH(COLUMNS($R$1006:V1006),$R$1006:$W$1006,0))&gt;=100000), " ",IF(INDEX($R$2:$W$1001,MATCH(ROWS($K$2:K462),$K$2:$K$1001,0),MATCH(COLUMNS($R$1006:V1006),$R$1006:$W$1006,0)), HYPERLINK("#",""), HYPERLINK(CONCATENATE("#Metadata!", ADDRESS(INDEX($M$2:$M$1001,MATCH(ROWS($K$2:K462),$K$2:$K$1001,0),0), INDEX($R$1004:$W$1004,1,MATCH(COLUMNS($R$1006:V1006),$R$1006:$W$1006,0)))),"Fix")))</f>
        <v>0</v>
      </c>
      <c r="G462" s="3">
        <f>IF(OR(INDEX($L$2:$L$1001,MATCH(ROWS($K$2:K462),$K$2:$K$1001,0),1)&gt;=100000,INDEX($R$1005:$W$1005,1,MATCH(COLUMNS($R$1006:W1006),$R$1006:$W$1006,0))&gt;=100000), " ",IF(INDEX($R$2:$W$1001,MATCH(ROWS($K$2:K462),$K$2:$K$1001,0),MATCH(COLUMNS($R$1006:W1006),$R$1006:$W$1006,0)), HYPERLINK("#",""), HYPERLINK(CONCATENATE("#Metadata!", ADDRESS(INDEX($M$2:$M$1001,MATCH(ROWS($K$2:K462),$K$2:$K$1001,0),0), INDEX($R$1004:$W$1004,1,MATCH(COLUMNS($R$1006:W1006),$R$1006:$W$1006,0)))),"Fix")))</f>
        <v>0</v>
      </c>
      <c r="K462">
        <v>0</v>
      </c>
      <c r="L462">
        <v>0</v>
      </c>
      <c r="M462">
        <v>0</v>
      </c>
      <c r="N462">
        <f>IF(O462,TRUE,AND(R462:W462))</f>
        <v>0</v>
      </c>
      <c r="O462">
        <f>COUNTBLANK(Metadata!B462:G462)=COLUMNS(Metadata!B462:G462)</f>
        <v>0</v>
      </c>
      <c r="P462">
        <v>0</v>
      </c>
      <c r="R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S462">
        <f>IF(Metadata!C462="",FALSE,TRUE)</f>
        <v>0</v>
      </c>
      <c r="T462">
        <f>IF(Metadata!D462="",FALSE,TRUE)</f>
        <v>0</v>
      </c>
      <c r="U462">
        <f>IF(Metadata!E462="",FALSE,TRUE)</f>
        <v>0</v>
      </c>
      <c r="V462">
        <f>AND(IF(Metadata!F462="",FALSE,TRUE),exact(Metadata!F462,"rat gut metagenome"))</f>
        <v>0</v>
      </c>
      <c r="W462">
        <f>AND(IF(Metadata!G462="",FALSE,TRUE),exact(Metadata!G462,"1436733"))</f>
        <v>0</v>
      </c>
    </row>
    <row r="463" spans="1:23">
      <c r="A463" s="4">
        <f>IF(B463=" "," ",HYPERLINK(CONCATENATE("#metadata!",ADDRESS(INDEX($M$2:$M$1001,MATCH(ROWS($K$2:K463),$K$2:$K$1001,0),0),1)),INDEX($P$2:$P$1001,MATCH(ROWS($K$2:K463),$K$2:$K$1001,0),0)))</f>
        <v>0</v>
      </c>
      <c r="B463" s="3">
        <f>IF(OR(INDEX($L$2:$L$1001,MATCH(ROWS($K$2:K463),$K$2:$K$1001,0),1)&gt;=100000,INDEX($R$1005:$W$1005,1,MATCH(COLUMNS($R$1006:R1006),$R$1006:$W$1006,0))&gt;=100000), " ",IF(INDEX($R$2:$W$1001,MATCH(ROWS($K$2:K463),$K$2:$K$1001,0),MATCH(COLUMNS($R$1006:R1006),$R$1006:$W$1006,0)), HYPERLINK("#",""), HYPERLINK(CONCATENATE("#Metadata!", ADDRESS(INDEX($M$2:$M$1001,MATCH(ROWS($K$2:K463),$K$2:$K$1001,0),0), INDEX($R$1004:$W$1004,1,MATCH(COLUMNS($R$1006:R1006),$R$1006:$W$1006,0)))),"Fix")))</f>
        <v>0</v>
      </c>
      <c r="C463" s="3">
        <f>IF(OR(INDEX($L$2:$L$1001,MATCH(ROWS($K$2:K463),$K$2:$K$1001,0),1)&gt;=100000,INDEX($R$1005:$W$1005,1,MATCH(COLUMNS($R$1006:S1006),$R$1006:$W$1006,0))&gt;=100000), " ",IF(INDEX($R$2:$W$1001,MATCH(ROWS($K$2:K463),$K$2:$K$1001,0),MATCH(COLUMNS($R$1006:S1006),$R$1006:$W$1006,0)), HYPERLINK("#",""), HYPERLINK(CONCATENATE("#Metadata!", ADDRESS(INDEX($M$2:$M$1001,MATCH(ROWS($K$2:K463),$K$2:$K$1001,0),0), INDEX($R$1004:$W$1004,1,MATCH(COLUMNS($R$1006:S1006),$R$1006:$W$1006,0)))),"Fix")))</f>
        <v>0</v>
      </c>
      <c r="D463" s="3">
        <f>IF(OR(INDEX($L$2:$L$1001,MATCH(ROWS($K$2:K463),$K$2:$K$1001,0),1)&gt;=100000,INDEX($R$1005:$W$1005,1,MATCH(COLUMNS($R$1006:T1006),$R$1006:$W$1006,0))&gt;=100000), " ",IF(INDEX($R$2:$W$1001,MATCH(ROWS($K$2:K463),$K$2:$K$1001,0),MATCH(COLUMNS($R$1006:T1006),$R$1006:$W$1006,0)), HYPERLINK("#",""), HYPERLINK(CONCATENATE("#Metadata!", ADDRESS(INDEX($M$2:$M$1001,MATCH(ROWS($K$2:K463),$K$2:$K$1001,0),0), INDEX($R$1004:$W$1004,1,MATCH(COLUMNS($R$1006:T1006),$R$1006:$W$1006,0)))),"Fix")))</f>
        <v>0</v>
      </c>
      <c r="E463" s="3">
        <f>IF(OR(INDEX($L$2:$L$1001,MATCH(ROWS($K$2:K463),$K$2:$K$1001,0),1)&gt;=100000,INDEX($R$1005:$W$1005,1,MATCH(COLUMNS($R$1006:U1006),$R$1006:$W$1006,0))&gt;=100000), " ",IF(INDEX($R$2:$W$1001,MATCH(ROWS($K$2:K463),$K$2:$K$1001,0),MATCH(COLUMNS($R$1006:U1006),$R$1006:$W$1006,0)), HYPERLINK("#",""), HYPERLINK(CONCATENATE("#Metadata!", ADDRESS(INDEX($M$2:$M$1001,MATCH(ROWS($K$2:K463),$K$2:$K$1001,0),0), INDEX($R$1004:$W$1004,1,MATCH(COLUMNS($R$1006:U1006),$R$1006:$W$1006,0)))),"Fix")))</f>
        <v>0</v>
      </c>
      <c r="F463" s="3">
        <f>IF(OR(INDEX($L$2:$L$1001,MATCH(ROWS($K$2:K463),$K$2:$K$1001,0),1)&gt;=100000,INDEX($R$1005:$W$1005,1,MATCH(COLUMNS($R$1006:V1006),$R$1006:$W$1006,0))&gt;=100000), " ",IF(INDEX($R$2:$W$1001,MATCH(ROWS($K$2:K463),$K$2:$K$1001,0),MATCH(COLUMNS($R$1006:V1006),$R$1006:$W$1006,0)), HYPERLINK("#",""), HYPERLINK(CONCATENATE("#Metadata!", ADDRESS(INDEX($M$2:$M$1001,MATCH(ROWS($K$2:K463),$K$2:$K$1001,0),0), INDEX($R$1004:$W$1004,1,MATCH(COLUMNS($R$1006:V1006),$R$1006:$W$1006,0)))),"Fix")))</f>
        <v>0</v>
      </c>
      <c r="G463" s="3">
        <f>IF(OR(INDEX($L$2:$L$1001,MATCH(ROWS($K$2:K463),$K$2:$K$1001,0),1)&gt;=100000,INDEX($R$1005:$W$1005,1,MATCH(COLUMNS($R$1006:W1006),$R$1006:$W$1006,0))&gt;=100000), " ",IF(INDEX($R$2:$W$1001,MATCH(ROWS($K$2:K463),$K$2:$K$1001,0),MATCH(COLUMNS($R$1006:W1006),$R$1006:$W$1006,0)), HYPERLINK("#",""), HYPERLINK(CONCATENATE("#Metadata!", ADDRESS(INDEX($M$2:$M$1001,MATCH(ROWS($K$2:K463),$K$2:$K$1001,0),0), INDEX($R$1004:$W$1004,1,MATCH(COLUMNS($R$1006:W1006),$R$1006:$W$1006,0)))),"Fix")))</f>
        <v>0</v>
      </c>
      <c r="K463">
        <v>0</v>
      </c>
      <c r="L463">
        <v>0</v>
      </c>
      <c r="M463">
        <v>0</v>
      </c>
      <c r="N463">
        <f>IF(O463,TRUE,AND(R463:W463))</f>
        <v>0</v>
      </c>
      <c r="O463">
        <f>COUNTBLANK(Metadata!B463:G463)=COLUMNS(Metadata!B463:G463)</f>
        <v>0</v>
      </c>
      <c r="P463">
        <v>0</v>
      </c>
      <c r="R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S463">
        <f>IF(Metadata!C463="",FALSE,TRUE)</f>
        <v>0</v>
      </c>
      <c r="T463">
        <f>IF(Metadata!D463="",FALSE,TRUE)</f>
        <v>0</v>
      </c>
      <c r="U463">
        <f>IF(Metadata!E463="",FALSE,TRUE)</f>
        <v>0</v>
      </c>
      <c r="V463">
        <f>AND(IF(Metadata!F463="",FALSE,TRUE),exact(Metadata!F463,"rat gut metagenome"))</f>
        <v>0</v>
      </c>
      <c r="W463">
        <f>AND(IF(Metadata!G463="",FALSE,TRUE),exact(Metadata!G463,"1436733"))</f>
        <v>0</v>
      </c>
    </row>
    <row r="464" spans="1:23">
      <c r="A464" s="4">
        <f>IF(B464=" "," ",HYPERLINK(CONCATENATE("#metadata!",ADDRESS(INDEX($M$2:$M$1001,MATCH(ROWS($K$2:K464),$K$2:$K$1001,0),0),1)),INDEX($P$2:$P$1001,MATCH(ROWS($K$2:K464),$K$2:$K$1001,0),0)))</f>
        <v>0</v>
      </c>
      <c r="B464" s="3">
        <f>IF(OR(INDEX($L$2:$L$1001,MATCH(ROWS($K$2:K464),$K$2:$K$1001,0),1)&gt;=100000,INDEX($R$1005:$W$1005,1,MATCH(COLUMNS($R$1006:R1006),$R$1006:$W$1006,0))&gt;=100000), " ",IF(INDEX($R$2:$W$1001,MATCH(ROWS($K$2:K464),$K$2:$K$1001,0),MATCH(COLUMNS($R$1006:R1006),$R$1006:$W$1006,0)), HYPERLINK("#",""), HYPERLINK(CONCATENATE("#Metadata!", ADDRESS(INDEX($M$2:$M$1001,MATCH(ROWS($K$2:K464),$K$2:$K$1001,0),0), INDEX($R$1004:$W$1004,1,MATCH(COLUMNS($R$1006:R1006),$R$1006:$W$1006,0)))),"Fix")))</f>
        <v>0</v>
      </c>
      <c r="C464" s="3">
        <f>IF(OR(INDEX($L$2:$L$1001,MATCH(ROWS($K$2:K464),$K$2:$K$1001,0),1)&gt;=100000,INDEX($R$1005:$W$1005,1,MATCH(COLUMNS($R$1006:S1006),$R$1006:$W$1006,0))&gt;=100000), " ",IF(INDEX($R$2:$W$1001,MATCH(ROWS($K$2:K464),$K$2:$K$1001,0),MATCH(COLUMNS($R$1006:S1006),$R$1006:$W$1006,0)), HYPERLINK("#",""), HYPERLINK(CONCATENATE("#Metadata!", ADDRESS(INDEX($M$2:$M$1001,MATCH(ROWS($K$2:K464),$K$2:$K$1001,0),0), INDEX($R$1004:$W$1004,1,MATCH(COLUMNS($R$1006:S1006),$R$1006:$W$1006,0)))),"Fix")))</f>
        <v>0</v>
      </c>
      <c r="D464" s="3">
        <f>IF(OR(INDEX($L$2:$L$1001,MATCH(ROWS($K$2:K464),$K$2:$K$1001,0),1)&gt;=100000,INDEX($R$1005:$W$1005,1,MATCH(COLUMNS($R$1006:T1006),$R$1006:$W$1006,0))&gt;=100000), " ",IF(INDEX($R$2:$W$1001,MATCH(ROWS($K$2:K464),$K$2:$K$1001,0),MATCH(COLUMNS($R$1006:T1006),$R$1006:$W$1006,0)), HYPERLINK("#",""), HYPERLINK(CONCATENATE("#Metadata!", ADDRESS(INDEX($M$2:$M$1001,MATCH(ROWS($K$2:K464),$K$2:$K$1001,0),0), INDEX($R$1004:$W$1004,1,MATCH(COLUMNS($R$1006:T1006),$R$1006:$W$1006,0)))),"Fix")))</f>
        <v>0</v>
      </c>
      <c r="E464" s="3">
        <f>IF(OR(INDEX($L$2:$L$1001,MATCH(ROWS($K$2:K464),$K$2:$K$1001,0),1)&gt;=100000,INDEX($R$1005:$W$1005,1,MATCH(COLUMNS($R$1006:U1006),$R$1006:$W$1006,0))&gt;=100000), " ",IF(INDEX($R$2:$W$1001,MATCH(ROWS($K$2:K464),$K$2:$K$1001,0),MATCH(COLUMNS($R$1006:U1006),$R$1006:$W$1006,0)), HYPERLINK("#",""), HYPERLINK(CONCATENATE("#Metadata!", ADDRESS(INDEX($M$2:$M$1001,MATCH(ROWS($K$2:K464),$K$2:$K$1001,0),0), INDEX($R$1004:$W$1004,1,MATCH(COLUMNS($R$1006:U1006),$R$1006:$W$1006,0)))),"Fix")))</f>
        <v>0</v>
      </c>
      <c r="F464" s="3">
        <f>IF(OR(INDEX($L$2:$L$1001,MATCH(ROWS($K$2:K464),$K$2:$K$1001,0),1)&gt;=100000,INDEX($R$1005:$W$1005,1,MATCH(COLUMNS($R$1006:V1006),$R$1006:$W$1006,0))&gt;=100000), " ",IF(INDEX($R$2:$W$1001,MATCH(ROWS($K$2:K464),$K$2:$K$1001,0),MATCH(COLUMNS($R$1006:V1006),$R$1006:$W$1006,0)), HYPERLINK("#",""), HYPERLINK(CONCATENATE("#Metadata!", ADDRESS(INDEX($M$2:$M$1001,MATCH(ROWS($K$2:K464),$K$2:$K$1001,0),0), INDEX($R$1004:$W$1004,1,MATCH(COLUMNS($R$1006:V1006),$R$1006:$W$1006,0)))),"Fix")))</f>
        <v>0</v>
      </c>
      <c r="G464" s="3">
        <f>IF(OR(INDEX($L$2:$L$1001,MATCH(ROWS($K$2:K464),$K$2:$K$1001,0),1)&gt;=100000,INDEX($R$1005:$W$1005,1,MATCH(COLUMNS($R$1006:W1006),$R$1006:$W$1006,0))&gt;=100000), " ",IF(INDEX($R$2:$W$1001,MATCH(ROWS($K$2:K464),$K$2:$K$1001,0),MATCH(COLUMNS($R$1006:W1006),$R$1006:$W$1006,0)), HYPERLINK("#",""), HYPERLINK(CONCATENATE("#Metadata!", ADDRESS(INDEX($M$2:$M$1001,MATCH(ROWS($K$2:K464),$K$2:$K$1001,0),0), INDEX($R$1004:$W$1004,1,MATCH(COLUMNS($R$1006:W1006),$R$1006:$W$1006,0)))),"Fix")))</f>
        <v>0</v>
      </c>
      <c r="K464">
        <v>0</v>
      </c>
      <c r="L464">
        <v>0</v>
      </c>
      <c r="M464">
        <v>0</v>
      </c>
      <c r="N464">
        <f>IF(O464,TRUE,AND(R464:W464))</f>
        <v>0</v>
      </c>
      <c r="O464">
        <f>COUNTBLANK(Metadata!B464:G464)=COLUMNS(Metadata!B464:G464)</f>
        <v>0</v>
      </c>
      <c r="P464">
        <v>0</v>
      </c>
      <c r="R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S464">
        <f>IF(Metadata!C464="",FALSE,TRUE)</f>
        <v>0</v>
      </c>
      <c r="T464">
        <f>IF(Metadata!D464="",FALSE,TRUE)</f>
        <v>0</v>
      </c>
      <c r="U464">
        <f>IF(Metadata!E464="",FALSE,TRUE)</f>
        <v>0</v>
      </c>
      <c r="V464">
        <f>AND(IF(Metadata!F464="",FALSE,TRUE),exact(Metadata!F464,"rat gut metagenome"))</f>
        <v>0</v>
      </c>
      <c r="W464">
        <f>AND(IF(Metadata!G464="",FALSE,TRUE),exact(Metadata!G464,"1436733"))</f>
        <v>0</v>
      </c>
    </row>
    <row r="465" spans="1:23">
      <c r="A465" s="4">
        <f>IF(B465=" "," ",HYPERLINK(CONCATENATE("#metadata!",ADDRESS(INDEX($M$2:$M$1001,MATCH(ROWS($K$2:K465),$K$2:$K$1001,0),0),1)),INDEX($P$2:$P$1001,MATCH(ROWS($K$2:K465),$K$2:$K$1001,0),0)))</f>
        <v>0</v>
      </c>
      <c r="B465" s="3">
        <f>IF(OR(INDEX($L$2:$L$1001,MATCH(ROWS($K$2:K465),$K$2:$K$1001,0),1)&gt;=100000,INDEX($R$1005:$W$1005,1,MATCH(COLUMNS($R$1006:R1006),$R$1006:$W$1006,0))&gt;=100000), " ",IF(INDEX($R$2:$W$1001,MATCH(ROWS($K$2:K465),$K$2:$K$1001,0),MATCH(COLUMNS($R$1006:R1006),$R$1006:$W$1006,0)), HYPERLINK("#",""), HYPERLINK(CONCATENATE("#Metadata!", ADDRESS(INDEX($M$2:$M$1001,MATCH(ROWS($K$2:K465),$K$2:$K$1001,0),0), INDEX($R$1004:$W$1004,1,MATCH(COLUMNS($R$1006:R1006),$R$1006:$W$1006,0)))),"Fix")))</f>
        <v>0</v>
      </c>
      <c r="C465" s="3">
        <f>IF(OR(INDEX($L$2:$L$1001,MATCH(ROWS($K$2:K465),$K$2:$K$1001,0),1)&gt;=100000,INDEX($R$1005:$W$1005,1,MATCH(COLUMNS($R$1006:S1006),$R$1006:$W$1006,0))&gt;=100000), " ",IF(INDEX($R$2:$W$1001,MATCH(ROWS($K$2:K465),$K$2:$K$1001,0),MATCH(COLUMNS($R$1006:S1006),$R$1006:$W$1006,0)), HYPERLINK("#",""), HYPERLINK(CONCATENATE("#Metadata!", ADDRESS(INDEX($M$2:$M$1001,MATCH(ROWS($K$2:K465),$K$2:$K$1001,0),0), INDEX($R$1004:$W$1004,1,MATCH(COLUMNS($R$1006:S1006),$R$1006:$W$1006,0)))),"Fix")))</f>
        <v>0</v>
      </c>
      <c r="D465" s="3">
        <f>IF(OR(INDEX($L$2:$L$1001,MATCH(ROWS($K$2:K465),$K$2:$K$1001,0),1)&gt;=100000,INDEX($R$1005:$W$1005,1,MATCH(COLUMNS($R$1006:T1006),$R$1006:$W$1006,0))&gt;=100000), " ",IF(INDEX($R$2:$W$1001,MATCH(ROWS($K$2:K465),$K$2:$K$1001,0),MATCH(COLUMNS($R$1006:T1006),$R$1006:$W$1006,0)), HYPERLINK("#",""), HYPERLINK(CONCATENATE("#Metadata!", ADDRESS(INDEX($M$2:$M$1001,MATCH(ROWS($K$2:K465),$K$2:$K$1001,0),0), INDEX($R$1004:$W$1004,1,MATCH(COLUMNS($R$1006:T1006),$R$1006:$W$1006,0)))),"Fix")))</f>
        <v>0</v>
      </c>
      <c r="E465" s="3">
        <f>IF(OR(INDEX($L$2:$L$1001,MATCH(ROWS($K$2:K465),$K$2:$K$1001,0),1)&gt;=100000,INDEX($R$1005:$W$1005,1,MATCH(COLUMNS($R$1006:U1006),$R$1006:$W$1006,0))&gt;=100000), " ",IF(INDEX($R$2:$W$1001,MATCH(ROWS($K$2:K465),$K$2:$K$1001,0),MATCH(COLUMNS($R$1006:U1006),$R$1006:$W$1006,0)), HYPERLINK("#",""), HYPERLINK(CONCATENATE("#Metadata!", ADDRESS(INDEX($M$2:$M$1001,MATCH(ROWS($K$2:K465),$K$2:$K$1001,0),0), INDEX($R$1004:$W$1004,1,MATCH(COLUMNS($R$1006:U1006),$R$1006:$W$1006,0)))),"Fix")))</f>
        <v>0</v>
      </c>
      <c r="F465" s="3">
        <f>IF(OR(INDEX($L$2:$L$1001,MATCH(ROWS($K$2:K465),$K$2:$K$1001,0),1)&gt;=100000,INDEX($R$1005:$W$1005,1,MATCH(COLUMNS($R$1006:V1006),$R$1006:$W$1006,0))&gt;=100000), " ",IF(INDEX($R$2:$W$1001,MATCH(ROWS($K$2:K465),$K$2:$K$1001,0),MATCH(COLUMNS($R$1006:V1006),$R$1006:$W$1006,0)), HYPERLINK("#",""), HYPERLINK(CONCATENATE("#Metadata!", ADDRESS(INDEX($M$2:$M$1001,MATCH(ROWS($K$2:K465),$K$2:$K$1001,0),0), INDEX($R$1004:$W$1004,1,MATCH(COLUMNS($R$1006:V1006),$R$1006:$W$1006,0)))),"Fix")))</f>
        <v>0</v>
      </c>
      <c r="G465" s="3">
        <f>IF(OR(INDEX($L$2:$L$1001,MATCH(ROWS($K$2:K465),$K$2:$K$1001,0),1)&gt;=100000,INDEX($R$1005:$W$1005,1,MATCH(COLUMNS($R$1006:W1006),$R$1006:$W$1006,0))&gt;=100000), " ",IF(INDEX($R$2:$W$1001,MATCH(ROWS($K$2:K465),$K$2:$K$1001,0),MATCH(COLUMNS($R$1006:W1006),$R$1006:$W$1006,0)), HYPERLINK("#",""), HYPERLINK(CONCATENATE("#Metadata!", ADDRESS(INDEX($M$2:$M$1001,MATCH(ROWS($K$2:K465),$K$2:$K$1001,0),0), INDEX($R$1004:$W$1004,1,MATCH(COLUMNS($R$1006:W1006),$R$1006:$W$1006,0)))),"Fix")))</f>
        <v>0</v>
      </c>
      <c r="K465">
        <v>0</v>
      </c>
      <c r="L465">
        <v>0</v>
      </c>
      <c r="M465">
        <v>0</v>
      </c>
      <c r="N465">
        <f>IF(O465,TRUE,AND(R465:W465))</f>
        <v>0</v>
      </c>
      <c r="O465">
        <f>COUNTBLANK(Metadata!B465:G465)=COLUMNS(Metadata!B465:G465)</f>
        <v>0</v>
      </c>
      <c r="P465">
        <v>0</v>
      </c>
      <c r="R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S465">
        <f>IF(Metadata!C465="",FALSE,TRUE)</f>
        <v>0</v>
      </c>
      <c r="T465">
        <f>IF(Metadata!D465="",FALSE,TRUE)</f>
        <v>0</v>
      </c>
      <c r="U465">
        <f>IF(Metadata!E465="",FALSE,TRUE)</f>
        <v>0</v>
      </c>
      <c r="V465">
        <f>AND(IF(Metadata!F465="",FALSE,TRUE),exact(Metadata!F465,"rat gut metagenome"))</f>
        <v>0</v>
      </c>
      <c r="W465">
        <f>AND(IF(Metadata!G465="",FALSE,TRUE),exact(Metadata!G465,"1436733"))</f>
        <v>0</v>
      </c>
    </row>
    <row r="466" spans="1:23">
      <c r="A466" s="4">
        <f>IF(B466=" "," ",HYPERLINK(CONCATENATE("#metadata!",ADDRESS(INDEX($M$2:$M$1001,MATCH(ROWS($K$2:K466),$K$2:$K$1001,0),0),1)),INDEX($P$2:$P$1001,MATCH(ROWS($K$2:K466),$K$2:$K$1001,0),0)))</f>
        <v>0</v>
      </c>
      <c r="B466" s="3">
        <f>IF(OR(INDEX($L$2:$L$1001,MATCH(ROWS($K$2:K466),$K$2:$K$1001,0),1)&gt;=100000,INDEX($R$1005:$W$1005,1,MATCH(COLUMNS($R$1006:R1006),$R$1006:$W$1006,0))&gt;=100000), " ",IF(INDEX($R$2:$W$1001,MATCH(ROWS($K$2:K466),$K$2:$K$1001,0),MATCH(COLUMNS($R$1006:R1006),$R$1006:$W$1006,0)), HYPERLINK("#",""), HYPERLINK(CONCATENATE("#Metadata!", ADDRESS(INDEX($M$2:$M$1001,MATCH(ROWS($K$2:K466),$K$2:$K$1001,0),0), INDEX($R$1004:$W$1004,1,MATCH(COLUMNS($R$1006:R1006),$R$1006:$W$1006,0)))),"Fix")))</f>
        <v>0</v>
      </c>
      <c r="C466" s="3">
        <f>IF(OR(INDEX($L$2:$L$1001,MATCH(ROWS($K$2:K466),$K$2:$K$1001,0),1)&gt;=100000,INDEX($R$1005:$W$1005,1,MATCH(COLUMNS($R$1006:S1006),$R$1006:$W$1006,0))&gt;=100000), " ",IF(INDEX($R$2:$W$1001,MATCH(ROWS($K$2:K466),$K$2:$K$1001,0),MATCH(COLUMNS($R$1006:S1006),$R$1006:$W$1006,0)), HYPERLINK("#",""), HYPERLINK(CONCATENATE("#Metadata!", ADDRESS(INDEX($M$2:$M$1001,MATCH(ROWS($K$2:K466),$K$2:$K$1001,0),0), INDEX($R$1004:$W$1004,1,MATCH(COLUMNS($R$1006:S1006),$R$1006:$W$1006,0)))),"Fix")))</f>
        <v>0</v>
      </c>
      <c r="D466" s="3">
        <f>IF(OR(INDEX($L$2:$L$1001,MATCH(ROWS($K$2:K466),$K$2:$K$1001,0),1)&gt;=100000,INDEX($R$1005:$W$1005,1,MATCH(COLUMNS($R$1006:T1006),$R$1006:$W$1006,0))&gt;=100000), " ",IF(INDEX($R$2:$W$1001,MATCH(ROWS($K$2:K466),$K$2:$K$1001,0),MATCH(COLUMNS($R$1006:T1006),$R$1006:$W$1006,0)), HYPERLINK("#",""), HYPERLINK(CONCATENATE("#Metadata!", ADDRESS(INDEX($M$2:$M$1001,MATCH(ROWS($K$2:K466),$K$2:$K$1001,0),0), INDEX($R$1004:$W$1004,1,MATCH(COLUMNS($R$1006:T1006),$R$1006:$W$1006,0)))),"Fix")))</f>
        <v>0</v>
      </c>
      <c r="E466" s="3">
        <f>IF(OR(INDEX($L$2:$L$1001,MATCH(ROWS($K$2:K466),$K$2:$K$1001,0),1)&gt;=100000,INDEX($R$1005:$W$1005,1,MATCH(COLUMNS($R$1006:U1006),$R$1006:$W$1006,0))&gt;=100000), " ",IF(INDEX($R$2:$W$1001,MATCH(ROWS($K$2:K466),$K$2:$K$1001,0),MATCH(COLUMNS($R$1006:U1006),$R$1006:$W$1006,0)), HYPERLINK("#",""), HYPERLINK(CONCATENATE("#Metadata!", ADDRESS(INDEX($M$2:$M$1001,MATCH(ROWS($K$2:K466),$K$2:$K$1001,0),0), INDEX($R$1004:$W$1004,1,MATCH(COLUMNS($R$1006:U1006),$R$1006:$W$1006,0)))),"Fix")))</f>
        <v>0</v>
      </c>
      <c r="F466" s="3">
        <f>IF(OR(INDEX($L$2:$L$1001,MATCH(ROWS($K$2:K466),$K$2:$K$1001,0),1)&gt;=100000,INDEX($R$1005:$W$1005,1,MATCH(COLUMNS($R$1006:V1006),$R$1006:$W$1006,0))&gt;=100000), " ",IF(INDEX($R$2:$W$1001,MATCH(ROWS($K$2:K466),$K$2:$K$1001,0),MATCH(COLUMNS($R$1006:V1006),$R$1006:$W$1006,0)), HYPERLINK("#",""), HYPERLINK(CONCATENATE("#Metadata!", ADDRESS(INDEX($M$2:$M$1001,MATCH(ROWS($K$2:K466),$K$2:$K$1001,0),0), INDEX($R$1004:$W$1004,1,MATCH(COLUMNS($R$1006:V1006),$R$1006:$W$1006,0)))),"Fix")))</f>
        <v>0</v>
      </c>
      <c r="G466" s="3">
        <f>IF(OR(INDEX($L$2:$L$1001,MATCH(ROWS($K$2:K466),$K$2:$K$1001,0),1)&gt;=100000,INDEX($R$1005:$W$1005,1,MATCH(COLUMNS($R$1006:W1006),$R$1006:$W$1006,0))&gt;=100000), " ",IF(INDEX($R$2:$W$1001,MATCH(ROWS($K$2:K466),$K$2:$K$1001,0),MATCH(COLUMNS($R$1006:W1006),$R$1006:$W$1006,0)), HYPERLINK("#",""), HYPERLINK(CONCATENATE("#Metadata!", ADDRESS(INDEX($M$2:$M$1001,MATCH(ROWS($K$2:K466),$K$2:$K$1001,0),0), INDEX($R$1004:$W$1004,1,MATCH(COLUMNS($R$1006:W1006),$R$1006:$W$1006,0)))),"Fix")))</f>
        <v>0</v>
      </c>
      <c r="K466">
        <v>0</v>
      </c>
      <c r="L466">
        <v>0</v>
      </c>
      <c r="M466">
        <v>0</v>
      </c>
      <c r="N466">
        <f>IF(O466,TRUE,AND(R466:W466))</f>
        <v>0</v>
      </c>
      <c r="O466">
        <f>COUNTBLANK(Metadata!B466:G466)=COLUMNS(Metadata!B466:G466)</f>
        <v>0</v>
      </c>
      <c r="P466">
        <v>0</v>
      </c>
      <c r="R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S466">
        <f>IF(Metadata!C466="",FALSE,TRUE)</f>
        <v>0</v>
      </c>
      <c r="T466">
        <f>IF(Metadata!D466="",FALSE,TRUE)</f>
        <v>0</v>
      </c>
      <c r="U466">
        <f>IF(Metadata!E466="",FALSE,TRUE)</f>
        <v>0</v>
      </c>
      <c r="V466">
        <f>AND(IF(Metadata!F466="",FALSE,TRUE),exact(Metadata!F466,"rat gut metagenome"))</f>
        <v>0</v>
      </c>
      <c r="W466">
        <f>AND(IF(Metadata!G466="",FALSE,TRUE),exact(Metadata!G466,"1436733"))</f>
        <v>0</v>
      </c>
    </row>
    <row r="467" spans="1:23">
      <c r="A467" s="4">
        <f>IF(B467=" "," ",HYPERLINK(CONCATENATE("#metadata!",ADDRESS(INDEX($M$2:$M$1001,MATCH(ROWS($K$2:K467),$K$2:$K$1001,0),0),1)),INDEX($P$2:$P$1001,MATCH(ROWS($K$2:K467),$K$2:$K$1001,0),0)))</f>
        <v>0</v>
      </c>
      <c r="B467" s="3">
        <f>IF(OR(INDEX($L$2:$L$1001,MATCH(ROWS($K$2:K467),$K$2:$K$1001,0),1)&gt;=100000,INDEX($R$1005:$W$1005,1,MATCH(COLUMNS($R$1006:R1006),$R$1006:$W$1006,0))&gt;=100000), " ",IF(INDEX($R$2:$W$1001,MATCH(ROWS($K$2:K467),$K$2:$K$1001,0),MATCH(COLUMNS($R$1006:R1006),$R$1006:$W$1006,0)), HYPERLINK("#",""), HYPERLINK(CONCATENATE("#Metadata!", ADDRESS(INDEX($M$2:$M$1001,MATCH(ROWS($K$2:K467),$K$2:$K$1001,0),0), INDEX($R$1004:$W$1004,1,MATCH(COLUMNS($R$1006:R1006),$R$1006:$W$1006,0)))),"Fix")))</f>
        <v>0</v>
      </c>
      <c r="C467" s="3">
        <f>IF(OR(INDEX($L$2:$L$1001,MATCH(ROWS($K$2:K467),$K$2:$K$1001,0),1)&gt;=100000,INDEX($R$1005:$W$1005,1,MATCH(COLUMNS($R$1006:S1006),$R$1006:$W$1006,0))&gt;=100000), " ",IF(INDEX($R$2:$W$1001,MATCH(ROWS($K$2:K467),$K$2:$K$1001,0),MATCH(COLUMNS($R$1006:S1006),$R$1006:$W$1006,0)), HYPERLINK("#",""), HYPERLINK(CONCATENATE("#Metadata!", ADDRESS(INDEX($M$2:$M$1001,MATCH(ROWS($K$2:K467),$K$2:$K$1001,0),0), INDEX($R$1004:$W$1004,1,MATCH(COLUMNS($R$1006:S1006),$R$1006:$W$1006,0)))),"Fix")))</f>
        <v>0</v>
      </c>
      <c r="D467" s="3">
        <f>IF(OR(INDEX($L$2:$L$1001,MATCH(ROWS($K$2:K467),$K$2:$K$1001,0),1)&gt;=100000,INDEX($R$1005:$W$1005,1,MATCH(COLUMNS($R$1006:T1006),$R$1006:$W$1006,0))&gt;=100000), " ",IF(INDEX($R$2:$W$1001,MATCH(ROWS($K$2:K467),$K$2:$K$1001,0),MATCH(COLUMNS($R$1006:T1006),$R$1006:$W$1006,0)), HYPERLINK("#",""), HYPERLINK(CONCATENATE("#Metadata!", ADDRESS(INDEX($M$2:$M$1001,MATCH(ROWS($K$2:K467),$K$2:$K$1001,0),0), INDEX($R$1004:$W$1004,1,MATCH(COLUMNS($R$1006:T1006),$R$1006:$W$1006,0)))),"Fix")))</f>
        <v>0</v>
      </c>
      <c r="E467" s="3">
        <f>IF(OR(INDEX($L$2:$L$1001,MATCH(ROWS($K$2:K467),$K$2:$K$1001,0),1)&gt;=100000,INDEX($R$1005:$W$1005,1,MATCH(COLUMNS($R$1006:U1006),$R$1006:$W$1006,0))&gt;=100000), " ",IF(INDEX($R$2:$W$1001,MATCH(ROWS($K$2:K467),$K$2:$K$1001,0),MATCH(COLUMNS($R$1006:U1006),$R$1006:$W$1006,0)), HYPERLINK("#",""), HYPERLINK(CONCATENATE("#Metadata!", ADDRESS(INDEX($M$2:$M$1001,MATCH(ROWS($K$2:K467),$K$2:$K$1001,0),0), INDEX($R$1004:$W$1004,1,MATCH(COLUMNS($R$1006:U1006),$R$1006:$W$1006,0)))),"Fix")))</f>
        <v>0</v>
      </c>
      <c r="F467" s="3">
        <f>IF(OR(INDEX($L$2:$L$1001,MATCH(ROWS($K$2:K467),$K$2:$K$1001,0),1)&gt;=100000,INDEX($R$1005:$W$1005,1,MATCH(COLUMNS($R$1006:V1006),$R$1006:$W$1006,0))&gt;=100000), " ",IF(INDEX($R$2:$W$1001,MATCH(ROWS($K$2:K467),$K$2:$K$1001,0),MATCH(COLUMNS($R$1006:V1006),$R$1006:$W$1006,0)), HYPERLINK("#",""), HYPERLINK(CONCATENATE("#Metadata!", ADDRESS(INDEX($M$2:$M$1001,MATCH(ROWS($K$2:K467),$K$2:$K$1001,0),0), INDEX($R$1004:$W$1004,1,MATCH(COLUMNS($R$1006:V1006),$R$1006:$W$1006,0)))),"Fix")))</f>
        <v>0</v>
      </c>
      <c r="G467" s="3">
        <f>IF(OR(INDEX($L$2:$L$1001,MATCH(ROWS($K$2:K467),$K$2:$K$1001,0),1)&gt;=100000,INDEX($R$1005:$W$1005,1,MATCH(COLUMNS($R$1006:W1006),$R$1006:$W$1006,0))&gt;=100000), " ",IF(INDEX($R$2:$W$1001,MATCH(ROWS($K$2:K467),$K$2:$K$1001,0),MATCH(COLUMNS($R$1006:W1006),$R$1006:$W$1006,0)), HYPERLINK("#",""), HYPERLINK(CONCATENATE("#Metadata!", ADDRESS(INDEX($M$2:$M$1001,MATCH(ROWS($K$2:K467),$K$2:$K$1001,0),0), INDEX($R$1004:$W$1004,1,MATCH(COLUMNS($R$1006:W1006),$R$1006:$W$1006,0)))),"Fix")))</f>
        <v>0</v>
      </c>
      <c r="K467">
        <v>0</v>
      </c>
      <c r="L467">
        <v>0</v>
      </c>
      <c r="M467">
        <v>0</v>
      </c>
      <c r="N467">
        <f>IF(O467,TRUE,AND(R467:W467))</f>
        <v>0</v>
      </c>
      <c r="O467">
        <f>COUNTBLANK(Metadata!B467:G467)=COLUMNS(Metadata!B467:G467)</f>
        <v>0</v>
      </c>
      <c r="P467">
        <v>0</v>
      </c>
      <c r="R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S467">
        <f>IF(Metadata!C467="",FALSE,TRUE)</f>
        <v>0</v>
      </c>
      <c r="T467">
        <f>IF(Metadata!D467="",FALSE,TRUE)</f>
        <v>0</v>
      </c>
      <c r="U467">
        <f>IF(Metadata!E467="",FALSE,TRUE)</f>
        <v>0</v>
      </c>
      <c r="V467">
        <f>AND(IF(Metadata!F467="",FALSE,TRUE),exact(Metadata!F467,"rat gut metagenome"))</f>
        <v>0</v>
      </c>
      <c r="W467">
        <f>AND(IF(Metadata!G467="",FALSE,TRUE),exact(Metadata!G467,"1436733"))</f>
        <v>0</v>
      </c>
    </row>
    <row r="468" spans="1:23">
      <c r="A468" s="4">
        <f>IF(B468=" "," ",HYPERLINK(CONCATENATE("#metadata!",ADDRESS(INDEX($M$2:$M$1001,MATCH(ROWS($K$2:K468),$K$2:$K$1001,0),0),1)),INDEX($P$2:$P$1001,MATCH(ROWS($K$2:K468),$K$2:$K$1001,0),0)))</f>
        <v>0</v>
      </c>
      <c r="B468" s="3">
        <f>IF(OR(INDEX($L$2:$L$1001,MATCH(ROWS($K$2:K468),$K$2:$K$1001,0),1)&gt;=100000,INDEX($R$1005:$W$1005,1,MATCH(COLUMNS($R$1006:R1006),$R$1006:$W$1006,0))&gt;=100000), " ",IF(INDEX($R$2:$W$1001,MATCH(ROWS($K$2:K468),$K$2:$K$1001,0),MATCH(COLUMNS($R$1006:R1006),$R$1006:$W$1006,0)), HYPERLINK("#",""), HYPERLINK(CONCATENATE("#Metadata!", ADDRESS(INDEX($M$2:$M$1001,MATCH(ROWS($K$2:K468),$K$2:$K$1001,0),0), INDEX($R$1004:$W$1004,1,MATCH(COLUMNS($R$1006:R1006),$R$1006:$W$1006,0)))),"Fix")))</f>
        <v>0</v>
      </c>
      <c r="C468" s="3">
        <f>IF(OR(INDEX($L$2:$L$1001,MATCH(ROWS($K$2:K468),$K$2:$K$1001,0),1)&gt;=100000,INDEX($R$1005:$W$1005,1,MATCH(COLUMNS($R$1006:S1006),$R$1006:$W$1006,0))&gt;=100000), " ",IF(INDEX($R$2:$W$1001,MATCH(ROWS($K$2:K468),$K$2:$K$1001,0),MATCH(COLUMNS($R$1006:S1006),$R$1006:$W$1006,0)), HYPERLINK("#",""), HYPERLINK(CONCATENATE("#Metadata!", ADDRESS(INDEX($M$2:$M$1001,MATCH(ROWS($K$2:K468),$K$2:$K$1001,0),0), INDEX($R$1004:$W$1004,1,MATCH(COLUMNS($R$1006:S1006),$R$1006:$W$1006,0)))),"Fix")))</f>
        <v>0</v>
      </c>
      <c r="D468" s="3">
        <f>IF(OR(INDEX($L$2:$L$1001,MATCH(ROWS($K$2:K468),$K$2:$K$1001,0),1)&gt;=100000,INDEX($R$1005:$W$1005,1,MATCH(COLUMNS($R$1006:T1006),$R$1006:$W$1006,0))&gt;=100000), " ",IF(INDEX($R$2:$W$1001,MATCH(ROWS($K$2:K468),$K$2:$K$1001,0),MATCH(COLUMNS($R$1006:T1006),$R$1006:$W$1006,0)), HYPERLINK("#",""), HYPERLINK(CONCATENATE("#Metadata!", ADDRESS(INDEX($M$2:$M$1001,MATCH(ROWS($K$2:K468),$K$2:$K$1001,0),0), INDEX($R$1004:$W$1004,1,MATCH(COLUMNS($R$1006:T1006),$R$1006:$W$1006,0)))),"Fix")))</f>
        <v>0</v>
      </c>
      <c r="E468" s="3">
        <f>IF(OR(INDEX($L$2:$L$1001,MATCH(ROWS($K$2:K468),$K$2:$K$1001,0),1)&gt;=100000,INDEX($R$1005:$W$1005,1,MATCH(COLUMNS($R$1006:U1006),$R$1006:$W$1006,0))&gt;=100000), " ",IF(INDEX($R$2:$W$1001,MATCH(ROWS($K$2:K468),$K$2:$K$1001,0),MATCH(COLUMNS($R$1006:U1006),$R$1006:$W$1006,0)), HYPERLINK("#",""), HYPERLINK(CONCATENATE("#Metadata!", ADDRESS(INDEX($M$2:$M$1001,MATCH(ROWS($K$2:K468),$K$2:$K$1001,0),0), INDEX($R$1004:$W$1004,1,MATCH(COLUMNS($R$1006:U1006),$R$1006:$W$1006,0)))),"Fix")))</f>
        <v>0</v>
      </c>
      <c r="F468" s="3">
        <f>IF(OR(INDEX($L$2:$L$1001,MATCH(ROWS($K$2:K468),$K$2:$K$1001,0),1)&gt;=100000,INDEX($R$1005:$W$1005,1,MATCH(COLUMNS($R$1006:V1006),$R$1006:$W$1006,0))&gt;=100000), " ",IF(INDEX($R$2:$W$1001,MATCH(ROWS($K$2:K468),$K$2:$K$1001,0),MATCH(COLUMNS($R$1006:V1006),$R$1006:$W$1006,0)), HYPERLINK("#",""), HYPERLINK(CONCATENATE("#Metadata!", ADDRESS(INDEX($M$2:$M$1001,MATCH(ROWS($K$2:K468),$K$2:$K$1001,0),0), INDEX($R$1004:$W$1004,1,MATCH(COLUMNS($R$1006:V1006),$R$1006:$W$1006,0)))),"Fix")))</f>
        <v>0</v>
      </c>
      <c r="G468" s="3">
        <f>IF(OR(INDEX($L$2:$L$1001,MATCH(ROWS($K$2:K468),$K$2:$K$1001,0),1)&gt;=100000,INDEX($R$1005:$W$1005,1,MATCH(COLUMNS($R$1006:W1006),$R$1006:$W$1006,0))&gt;=100000), " ",IF(INDEX($R$2:$W$1001,MATCH(ROWS($K$2:K468),$K$2:$K$1001,0),MATCH(COLUMNS($R$1006:W1006),$R$1006:$W$1006,0)), HYPERLINK("#",""), HYPERLINK(CONCATENATE("#Metadata!", ADDRESS(INDEX($M$2:$M$1001,MATCH(ROWS($K$2:K468),$K$2:$K$1001,0),0), INDEX($R$1004:$W$1004,1,MATCH(COLUMNS($R$1006:W1006),$R$1006:$W$1006,0)))),"Fix")))</f>
        <v>0</v>
      </c>
      <c r="K468">
        <v>0</v>
      </c>
      <c r="L468">
        <v>0</v>
      </c>
      <c r="M468">
        <v>0</v>
      </c>
      <c r="N468">
        <f>IF(O468,TRUE,AND(R468:W468))</f>
        <v>0</v>
      </c>
      <c r="O468">
        <f>COUNTBLANK(Metadata!B468:G468)=COLUMNS(Metadata!B468:G468)</f>
        <v>0</v>
      </c>
      <c r="P468">
        <v>0</v>
      </c>
      <c r="R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S468">
        <f>IF(Metadata!C468="",FALSE,TRUE)</f>
        <v>0</v>
      </c>
      <c r="T468">
        <f>IF(Metadata!D468="",FALSE,TRUE)</f>
        <v>0</v>
      </c>
      <c r="U468">
        <f>IF(Metadata!E468="",FALSE,TRUE)</f>
        <v>0</v>
      </c>
      <c r="V468">
        <f>AND(IF(Metadata!F468="",FALSE,TRUE),exact(Metadata!F468,"rat gut metagenome"))</f>
        <v>0</v>
      </c>
      <c r="W468">
        <f>AND(IF(Metadata!G468="",FALSE,TRUE),exact(Metadata!G468,"1436733"))</f>
        <v>0</v>
      </c>
    </row>
    <row r="469" spans="1:23">
      <c r="A469" s="4">
        <f>IF(B469=" "," ",HYPERLINK(CONCATENATE("#metadata!",ADDRESS(INDEX($M$2:$M$1001,MATCH(ROWS($K$2:K469),$K$2:$K$1001,0),0),1)),INDEX($P$2:$P$1001,MATCH(ROWS($K$2:K469),$K$2:$K$1001,0),0)))</f>
        <v>0</v>
      </c>
      <c r="B469" s="3">
        <f>IF(OR(INDEX($L$2:$L$1001,MATCH(ROWS($K$2:K469),$K$2:$K$1001,0),1)&gt;=100000,INDEX($R$1005:$W$1005,1,MATCH(COLUMNS($R$1006:R1006),$R$1006:$W$1006,0))&gt;=100000), " ",IF(INDEX($R$2:$W$1001,MATCH(ROWS($K$2:K469),$K$2:$K$1001,0),MATCH(COLUMNS($R$1006:R1006),$R$1006:$W$1006,0)), HYPERLINK("#",""), HYPERLINK(CONCATENATE("#Metadata!", ADDRESS(INDEX($M$2:$M$1001,MATCH(ROWS($K$2:K469),$K$2:$K$1001,0),0), INDEX($R$1004:$W$1004,1,MATCH(COLUMNS($R$1006:R1006),$R$1006:$W$1006,0)))),"Fix")))</f>
        <v>0</v>
      </c>
      <c r="C469" s="3">
        <f>IF(OR(INDEX($L$2:$L$1001,MATCH(ROWS($K$2:K469),$K$2:$K$1001,0),1)&gt;=100000,INDEX($R$1005:$W$1005,1,MATCH(COLUMNS($R$1006:S1006),$R$1006:$W$1006,0))&gt;=100000), " ",IF(INDEX($R$2:$W$1001,MATCH(ROWS($K$2:K469),$K$2:$K$1001,0),MATCH(COLUMNS($R$1006:S1006),$R$1006:$W$1006,0)), HYPERLINK("#",""), HYPERLINK(CONCATENATE("#Metadata!", ADDRESS(INDEX($M$2:$M$1001,MATCH(ROWS($K$2:K469),$K$2:$K$1001,0),0), INDEX($R$1004:$W$1004,1,MATCH(COLUMNS($R$1006:S1006),$R$1006:$W$1006,0)))),"Fix")))</f>
        <v>0</v>
      </c>
      <c r="D469" s="3">
        <f>IF(OR(INDEX($L$2:$L$1001,MATCH(ROWS($K$2:K469),$K$2:$K$1001,0),1)&gt;=100000,INDEX($R$1005:$W$1005,1,MATCH(COLUMNS($R$1006:T1006),$R$1006:$W$1006,0))&gt;=100000), " ",IF(INDEX($R$2:$W$1001,MATCH(ROWS($K$2:K469),$K$2:$K$1001,0),MATCH(COLUMNS($R$1006:T1006),$R$1006:$W$1006,0)), HYPERLINK("#",""), HYPERLINK(CONCATENATE("#Metadata!", ADDRESS(INDEX($M$2:$M$1001,MATCH(ROWS($K$2:K469),$K$2:$K$1001,0),0), INDEX($R$1004:$W$1004,1,MATCH(COLUMNS($R$1006:T1006),$R$1006:$W$1006,0)))),"Fix")))</f>
        <v>0</v>
      </c>
      <c r="E469" s="3">
        <f>IF(OR(INDEX($L$2:$L$1001,MATCH(ROWS($K$2:K469),$K$2:$K$1001,0),1)&gt;=100000,INDEX($R$1005:$W$1005,1,MATCH(COLUMNS($R$1006:U1006),$R$1006:$W$1006,0))&gt;=100000), " ",IF(INDEX($R$2:$W$1001,MATCH(ROWS($K$2:K469),$K$2:$K$1001,0),MATCH(COLUMNS($R$1006:U1006),$R$1006:$W$1006,0)), HYPERLINK("#",""), HYPERLINK(CONCATENATE("#Metadata!", ADDRESS(INDEX($M$2:$M$1001,MATCH(ROWS($K$2:K469),$K$2:$K$1001,0),0), INDEX($R$1004:$W$1004,1,MATCH(COLUMNS($R$1006:U1006),$R$1006:$W$1006,0)))),"Fix")))</f>
        <v>0</v>
      </c>
      <c r="F469" s="3">
        <f>IF(OR(INDEX($L$2:$L$1001,MATCH(ROWS($K$2:K469),$K$2:$K$1001,0),1)&gt;=100000,INDEX($R$1005:$W$1005,1,MATCH(COLUMNS($R$1006:V1006),$R$1006:$W$1006,0))&gt;=100000), " ",IF(INDEX($R$2:$W$1001,MATCH(ROWS($K$2:K469),$K$2:$K$1001,0),MATCH(COLUMNS($R$1006:V1006),$R$1006:$W$1006,0)), HYPERLINK("#",""), HYPERLINK(CONCATENATE("#Metadata!", ADDRESS(INDEX($M$2:$M$1001,MATCH(ROWS($K$2:K469),$K$2:$K$1001,0),0), INDEX($R$1004:$W$1004,1,MATCH(COLUMNS($R$1006:V1006),$R$1006:$W$1006,0)))),"Fix")))</f>
        <v>0</v>
      </c>
      <c r="G469" s="3">
        <f>IF(OR(INDEX($L$2:$L$1001,MATCH(ROWS($K$2:K469),$K$2:$K$1001,0),1)&gt;=100000,INDEX($R$1005:$W$1005,1,MATCH(COLUMNS($R$1006:W1006),$R$1006:$W$1006,0))&gt;=100000), " ",IF(INDEX($R$2:$W$1001,MATCH(ROWS($K$2:K469),$K$2:$K$1001,0),MATCH(COLUMNS($R$1006:W1006),$R$1006:$W$1006,0)), HYPERLINK("#",""), HYPERLINK(CONCATENATE("#Metadata!", ADDRESS(INDEX($M$2:$M$1001,MATCH(ROWS($K$2:K469),$K$2:$K$1001,0),0), INDEX($R$1004:$W$1004,1,MATCH(COLUMNS($R$1006:W1006),$R$1006:$W$1006,0)))),"Fix")))</f>
        <v>0</v>
      </c>
      <c r="K469">
        <v>0</v>
      </c>
      <c r="L469">
        <v>0</v>
      </c>
      <c r="M469">
        <v>0</v>
      </c>
      <c r="N469">
        <f>IF(O469,TRUE,AND(R469:W469))</f>
        <v>0</v>
      </c>
      <c r="O469">
        <f>COUNTBLANK(Metadata!B469:G469)=COLUMNS(Metadata!B469:G469)</f>
        <v>0</v>
      </c>
      <c r="P469">
        <v>0</v>
      </c>
      <c r="R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S469">
        <f>IF(Metadata!C469="",FALSE,TRUE)</f>
        <v>0</v>
      </c>
      <c r="T469">
        <f>IF(Metadata!D469="",FALSE,TRUE)</f>
        <v>0</v>
      </c>
      <c r="U469">
        <f>IF(Metadata!E469="",FALSE,TRUE)</f>
        <v>0</v>
      </c>
      <c r="V469">
        <f>AND(IF(Metadata!F469="",FALSE,TRUE),exact(Metadata!F469,"rat gut metagenome"))</f>
        <v>0</v>
      </c>
      <c r="W469">
        <f>AND(IF(Metadata!G469="",FALSE,TRUE),exact(Metadata!G469,"1436733"))</f>
        <v>0</v>
      </c>
    </row>
    <row r="470" spans="1:23">
      <c r="A470" s="4">
        <f>IF(B470=" "," ",HYPERLINK(CONCATENATE("#metadata!",ADDRESS(INDEX($M$2:$M$1001,MATCH(ROWS($K$2:K470),$K$2:$K$1001,0),0),1)),INDEX($P$2:$P$1001,MATCH(ROWS($K$2:K470),$K$2:$K$1001,0),0)))</f>
        <v>0</v>
      </c>
      <c r="B470" s="3">
        <f>IF(OR(INDEX($L$2:$L$1001,MATCH(ROWS($K$2:K470),$K$2:$K$1001,0),1)&gt;=100000,INDEX($R$1005:$W$1005,1,MATCH(COLUMNS($R$1006:R1006),$R$1006:$W$1006,0))&gt;=100000), " ",IF(INDEX($R$2:$W$1001,MATCH(ROWS($K$2:K470),$K$2:$K$1001,0),MATCH(COLUMNS($R$1006:R1006),$R$1006:$W$1006,0)), HYPERLINK("#",""), HYPERLINK(CONCATENATE("#Metadata!", ADDRESS(INDEX($M$2:$M$1001,MATCH(ROWS($K$2:K470),$K$2:$K$1001,0),0), INDEX($R$1004:$W$1004,1,MATCH(COLUMNS($R$1006:R1006),$R$1006:$W$1006,0)))),"Fix")))</f>
        <v>0</v>
      </c>
      <c r="C470" s="3">
        <f>IF(OR(INDEX($L$2:$L$1001,MATCH(ROWS($K$2:K470),$K$2:$K$1001,0),1)&gt;=100000,INDEX($R$1005:$W$1005,1,MATCH(COLUMNS($R$1006:S1006),$R$1006:$W$1006,0))&gt;=100000), " ",IF(INDEX($R$2:$W$1001,MATCH(ROWS($K$2:K470),$K$2:$K$1001,0),MATCH(COLUMNS($R$1006:S1006),$R$1006:$W$1006,0)), HYPERLINK("#",""), HYPERLINK(CONCATENATE("#Metadata!", ADDRESS(INDEX($M$2:$M$1001,MATCH(ROWS($K$2:K470),$K$2:$K$1001,0),0), INDEX($R$1004:$W$1004,1,MATCH(COLUMNS($R$1006:S1006),$R$1006:$W$1006,0)))),"Fix")))</f>
        <v>0</v>
      </c>
      <c r="D470" s="3">
        <f>IF(OR(INDEX($L$2:$L$1001,MATCH(ROWS($K$2:K470),$K$2:$K$1001,0),1)&gt;=100000,INDEX($R$1005:$W$1005,1,MATCH(COLUMNS($R$1006:T1006),$R$1006:$W$1006,0))&gt;=100000), " ",IF(INDEX($R$2:$W$1001,MATCH(ROWS($K$2:K470),$K$2:$K$1001,0),MATCH(COLUMNS($R$1006:T1006),$R$1006:$W$1006,0)), HYPERLINK("#",""), HYPERLINK(CONCATENATE("#Metadata!", ADDRESS(INDEX($M$2:$M$1001,MATCH(ROWS($K$2:K470),$K$2:$K$1001,0),0), INDEX($R$1004:$W$1004,1,MATCH(COLUMNS($R$1006:T1006),$R$1006:$W$1006,0)))),"Fix")))</f>
        <v>0</v>
      </c>
      <c r="E470" s="3">
        <f>IF(OR(INDEX($L$2:$L$1001,MATCH(ROWS($K$2:K470),$K$2:$K$1001,0),1)&gt;=100000,INDEX($R$1005:$W$1005,1,MATCH(COLUMNS($R$1006:U1006),$R$1006:$W$1006,0))&gt;=100000), " ",IF(INDEX($R$2:$W$1001,MATCH(ROWS($K$2:K470),$K$2:$K$1001,0),MATCH(COLUMNS($R$1006:U1006),$R$1006:$W$1006,0)), HYPERLINK("#",""), HYPERLINK(CONCATENATE("#Metadata!", ADDRESS(INDEX($M$2:$M$1001,MATCH(ROWS($K$2:K470),$K$2:$K$1001,0),0), INDEX($R$1004:$W$1004,1,MATCH(COLUMNS($R$1006:U1006),$R$1006:$W$1006,0)))),"Fix")))</f>
        <v>0</v>
      </c>
      <c r="F470" s="3">
        <f>IF(OR(INDEX($L$2:$L$1001,MATCH(ROWS($K$2:K470),$K$2:$K$1001,0),1)&gt;=100000,INDEX($R$1005:$W$1005,1,MATCH(COLUMNS($R$1006:V1006),$R$1006:$W$1006,0))&gt;=100000), " ",IF(INDEX($R$2:$W$1001,MATCH(ROWS($K$2:K470),$K$2:$K$1001,0),MATCH(COLUMNS($R$1006:V1006),$R$1006:$W$1006,0)), HYPERLINK("#",""), HYPERLINK(CONCATENATE("#Metadata!", ADDRESS(INDEX($M$2:$M$1001,MATCH(ROWS($K$2:K470),$K$2:$K$1001,0),0), INDEX($R$1004:$W$1004,1,MATCH(COLUMNS($R$1006:V1006),$R$1006:$W$1006,0)))),"Fix")))</f>
        <v>0</v>
      </c>
      <c r="G470" s="3">
        <f>IF(OR(INDEX($L$2:$L$1001,MATCH(ROWS($K$2:K470),$K$2:$K$1001,0),1)&gt;=100000,INDEX($R$1005:$W$1005,1,MATCH(COLUMNS($R$1006:W1006),$R$1006:$W$1006,0))&gt;=100000), " ",IF(INDEX($R$2:$W$1001,MATCH(ROWS($K$2:K470),$K$2:$K$1001,0),MATCH(COLUMNS($R$1006:W1006),$R$1006:$W$1006,0)), HYPERLINK("#",""), HYPERLINK(CONCATENATE("#Metadata!", ADDRESS(INDEX($M$2:$M$1001,MATCH(ROWS($K$2:K470),$K$2:$K$1001,0),0), INDEX($R$1004:$W$1004,1,MATCH(COLUMNS($R$1006:W1006),$R$1006:$W$1006,0)))),"Fix")))</f>
        <v>0</v>
      </c>
      <c r="K470">
        <v>0</v>
      </c>
      <c r="L470">
        <v>0</v>
      </c>
      <c r="M470">
        <v>0</v>
      </c>
      <c r="N470">
        <f>IF(O470,TRUE,AND(R470:W470))</f>
        <v>0</v>
      </c>
      <c r="O470">
        <f>COUNTBLANK(Metadata!B470:G470)=COLUMNS(Metadata!B470:G470)</f>
        <v>0</v>
      </c>
      <c r="P470">
        <v>0</v>
      </c>
      <c r="R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S470">
        <f>IF(Metadata!C470="",FALSE,TRUE)</f>
        <v>0</v>
      </c>
      <c r="T470">
        <f>IF(Metadata!D470="",FALSE,TRUE)</f>
        <v>0</v>
      </c>
      <c r="U470">
        <f>IF(Metadata!E470="",FALSE,TRUE)</f>
        <v>0</v>
      </c>
      <c r="V470">
        <f>AND(IF(Metadata!F470="",FALSE,TRUE),exact(Metadata!F470,"rat gut metagenome"))</f>
        <v>0</v>
      </c>
      <c r="W470">
        <f>AND(IF(Metadata!G470="",FALSE,TRUE),exact(Metadata!G470,"1436733"))</f>
        <v>0</v>
      </c>
    </row>
    <row r="471" spans="1:23">
      <c r="A471" s="4">
        <f>IF(B471=" "," ",HYPERLINK(CONCATENATE("#metadata!",ADDRESS(INDEX($M$2:$M$1001,MATCH(ROWS($K$2:K471),$K$2:$K$1001,0),0),1)),INDEX($P$2:$P$1001,MATCH(ROWS($K$2:K471),$K$2:$K$1001,0),0)))</f>
        <v>0</v>
      </c>
      <c r="B471" s="3">
        <f>IF(OR(INDEX($L$2:$L$1001,MATCH(ROWS($K$2:K471),$K$2:$K$1001,0),1)&gt;=100000,INDEX($R$1005:$W$1005,1,MATCH(COLUMNS($R$1006:R1006),$R$1006:$W$1006,0))&gt;=100000), " ",IF(INDEX($R$2:$W$1001,MATCH(ROWS($K$2:K471),$K$2:$K$1001,0),MATCH(COLUMNS($R$1006:R1006),$R$1006:$W$1006,0)), HYPERLINK("#",""), HYPERLINK(CONCATENATE("#Metadata!", ADDRESS(INDEX($M$2:$M$1001,MATCH(ROWS($K$2:K471),$K$2:$K$1001,0),0), INDEX($R$1004:$W$1004,1,MATCH(COLUMNS($R$1006:R1006),$R$1006:$W$1006,0)))),"Fix")))</f>
        <v>0</v>
      </c>
      <c r="C471" s="3">
        <f>IF(OR(INDEX($L$2:$L$1001,MATCH(ROWS($K$2:K471),$K$2:$K$1001,0),1)&gt;=100000,INDEX($R$1005:$W$1005,1,MATCH(COLUMNS($R$1006:S1006),$R$1006:$W$1006,0))&gt;=100000), " ",IF(INDEX($R$2:$W$1001,MATCH(ROWS($K$2:K471),$K$2:$K$1001,0),MATCH(COLUMNS($R$1006:S1006),$R$1006:$W$1006,0)), HYPERLINK("#",""), HYPERLINK(CONCATENATE("#Metadata!", ADDRESS(INDEX($M$2:$M$1001,MATCH(ROWS($K$2:K471),$K$2:$K$1001,0),0), INDEX($R$1004:$W$1004,1,MATCH(COLUMNS($R$1006:S1006),$R$1006:$W$1006,0)))),"Fix")))</f>
        <v>0</v>
      </c>
      <c r="D471" s="3">
        <f>IF(OR(INDEX($L$2:$L$1001,MATCH(ROWS($K$2:K471),$K$2:$K$1001,0),1)&gt;=100000,INDEX($R$1005:$W$1005,1,MATCH(COLUMNS($R$1006:T1006),$R$1006:$W$1006,0))&gt;=100000), " ",IF(INDEX($R$2:$W$1001,MATCH(ROWS($K$2:K471),$K$2:$K$1001,0),MATCH(COLUMNS($R$1006:T1006),$R$1006:$W$1006,0)), HYPERLINK("#",""), HYPERLINK(CONCATENATE("#Metadata!", ADDRESS(INDEX($M$2:$M$1001,MATCH(ROWS($K$2:K471),$K$2:$K$1001,0),0), INDEX($R$1004:$W$1004,1,MATCH(COLUMNS($R$1006:T1006),$R$1006:$W$1006,0)))),"Fix")))</f>
        <v>0</v>
      </c>
      <c r="E471" s="3">
        <f>IF(OR(INDEX($L$2:$L$1001,MATCH(ROWS($K$2:K471),$K$2:$K$1001,0),1)&gt;=100000,INDEX($R$1005:$W$1005,1,MATCH(COLUMNS($R$1006:U1006),$R$1006:$W$1006,0))&gt;=100000), " ",IF(INDEX($R$2:$W$1001,MATCH(ROWS($K$2:K471),$K$2:$K$1001,0),MATCH(COLUMNS($R$1006:U1006),$R$1006:$W$1006,0)), HYPERLINK("#",""), HYPERLINK(CONCATENATE("#Metadata!", ADDRESS(INDEX($M$2:$M$1001,MATCH(ROWS($K$2:K471),$K$2:$K$1001,0),0), INDEX($R$1004:$W$1004,1,MATCH(COLUMNS($R$1006:U1006),$R$1006:$W$1006,0)))),"Fix")))</f>
        <v>0</v>
      </c>
      <c r="F471" s="3">
        <f>IF(OR(INDEX($L$2:$L$1001,MATCH(ROWS($K$2:K471),$K$2:$K$1001,0),1)&gt;=100000,INDEX($R$1005:$W$1005,1,MATCH(COLUMNS($R$1006:V1006),$R$1006:$W$1006,0))&gt;=100000), " ",IF(INDEX($R$2:$W$1001,MATCH(ROWS($K$2:K471),$K$2:$K$1001,0),MATCH(COLUMNS($R$1006:V1006),$R$1006:$W$1006,0)), HYPERLINK("#",""), HYPERLINK(CONCATENATE("#Metadata!", ADDRESS(INDEX($M$2:$M$1001,MATCH(ROWS($K$2:K471),$K$2:$K$1001,0),0), INDEX($R$1004:$W$1004,1,MATCH(COLUMNS($R$1006:V1006),$R$1006:$W$1006,0)))),"Fix")))</f>
        <v>0</v>
      </c>
      <c r="G471" s="3">
        <f>IF(OR(INDEX($L$2:$L$1001,MATCH(ROWS($K$2:K471),$K$2:$K$1001,0),1)&gt;=100000,INDEX($R$1005:$W$1005,1,MATCH(COLUMNS($R$1006:W1006),$R$1006:$W$1006,0))&gt;=100000), " ",IF(INDEX($R$2:$W$1001,MATCH(ROWS($K$2:K471),$K$2:$K$1001,0),MATCH(COLUMNS($R$1006:W1006),$R$1006:$W$1006,0)), HYPERLINK("#",""), HYPERLINK(CONCATENATE("#Metadata!", ADDRESS(INDEX($M$2:$M$1001,MATCH(ROWS($K$2:K471),$K$2:$K$1001,0),0), INDEX($R$1004:$W$1004,1,MATCH(COLUMNS($R$1006:W1006),$R$1006:$W$1006,0)))),"Fix")))</f>
        <v>0</v>
      </c>
      <c r="K471">
        <v>0</v>
      </c>
      <c r="L471">
        <v>0</v>
      </c>
      <c r="M471">
        <v>0</v>
      </c>
      <c r="N471">
        <f>IF(O471,TRUE,AND(R471:W471))</f>
        <v>0</v>
      </c>
      <c r="O471">
        <f>COUNTBLANK(Metadata!B471:G471)=COLUMNS(Metadata!B471:G471)</f>
        <v>0</v>
      </c>
      <c r="P471">
        <v>0</v>
      </c>
      <c r="R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S471">
        <f>IF(Metadata!C471="",FALSE,TRUE)</f>
        <v>0</v>
      </c>
      <c r="T471">
        <f>IF(Metadata!D471="",FALSE,TRUE)</f>
        <v>0</v>
      </c>
      <c r="U471">
        <f>IF(Metadata!E471="",FALSE,TRUE)</f>
        <v>0</v>
      </c>
      <c r="V471">
        <f>AND(IF(Metadata!F471="",FALSE,TRUE),exact(Metadata!F471,"rat gut metagenome"))</f>
        <v>0</v>
      </c>
      <c r="W471">
        <f>AND(IF(Metadata!G471="",FALSE,TRUE),exact(Metadata!G471,"1436733"))</f>
        <v>0</v>
      </c>
    </row>
    <row r="472" spans="1:23">
      <c r="A472" s="4">
        <f>IF(B472=" "," ",HYPERLINK(CONCATENATE("#metadata!",ADDRESS(INDEX($M$2:$M$1001,MATCH(ROWS($K$2:K472),$K$2:$K$1001,0),0),1)),INDEX($P$2:$P$1001,MATCH(ROWS($K$2:K472),$K$2:$K$1001,0),0)))</f>
        <v>0</v>
      </c>
      <c r="B472" s="3">
        <f>IF(OR(INDEX($L$2:$L$1001,MATCH(ROWS($K$2:K472),$K$2:$K$1001,0),1)&gt;=100000,INDEX($R$1005:$W$1005,1,MATCH(COLUMNS($R$1006:R1006),$R$1006:$W$1006,0))&gt;=100000), " ",IF(INDEX($R$2:$W$1001,MATCH(ROWS($K$2:K472),$K$2:$K$1001,0),MATCH(COLUMNS($R$1006:R1006),$R$1006:$W$1006,0)), HYPERLINK("#",""), HYPERLINK(CONCATENATE("#Metadata!", ADDRESS(INDEX($M$2:$M$1001,MATCH(ROWS($K$2:K472),$K$2:$K$1001,0),0), INDEX($R$1004:$W$1004,1,MATCH(COLUMNS($R$1006:R1006),$R$1006:$W$1006,0)))),"Fix")))</f>
        <v>0</v>
      </c>
      <c r="C472" s="3">
        <f>IF(OR(INDEX($L$2:$L$1001,MATCH(ROWS($K$2:K472),$K$2:$K$1001,0),1)&gt;=100000,INDEX($R$1005:$W$1005,1,MATCH(COLUMNS($R$1006:S1006),$R$1006:$W$1006,0))&gt;=100000), " ",IF(INDEX($R$2:$W$1001,MATCH(ROWS($K$2:K472),$K$2:$K$1001,0),MATCH(COLUMNS($R$1006:S1006),$R$1006:$W$1006,0)), HYPERLINK("#",""), HYPERLINK(CONCATENATE("#Metadata!", ADDRESS(INDEX($M$2:$M$1001,MATCH(ROWS($K$2:K472),$K$2:$K$1001,0),0), INDEX($R$1004:$W$1004,1,MATCH(COLUMNS($R$1006:S1006),$R$1006:$W$1006,0)))),"Fix")))</f>
        <v>0</v>
      </c>
      <c r="D472" s="3">
        <f>IF(OR(INDEX($L$2:$L$1001,MATCH(ROWS($K$2:K472),$K$2:$K$1001,0),1)&gt;=100000,INDEX($R$1005:$W$1005,1,MATCH(COLUMNS($R$1006:T1006),$R$1006:$W$1006,0))&gt;=100000), " ",IF(INDEX($R$2:$W$1001,MATCH(ROWS($K$2:K472),$K$2:$K$1001,0),MATCH(COLUMNS($R$1006:T1006),$R$1006:$W$1006,0)), HYPERLINK("#",""), HYPERLINK(CONCATENATE("#Metadata!", ADDRESS(INDEX($M$2:$M$1001,MATCH(ROWS($K$2:K472),$K$2:$K$1001,0),0), INDEX($R$1004:$W$1004,1,MATCH(COLUMNS($R$1006:T1006),$R$1006:$W$1006,0)))),"Fix")))</f>
        <v>0</v>
      </c>
      <c r="E472" s="3">
        <f>IF(OR(INDEX($L$2:$L$1001,MATCH(ROWS($K$2:K472),$K$2:$K$1001,0),1)&gt;=100000,INDEX($R$1005:$W$1005,1,MATCH(COLUMNS($R$1006:U1006),$R$1006:$W$1006,0))&gt;=100000), " ",IF(INDEX($R$2:$W$1001,MATCH(ROWS($K$2:K472),$K$2:$K$1001,0),MATCH(COLUMNS($R$1006:U1006),$R$1006:$W$1006,0)), HYPERLINK("#",""), HYPERLINK(CONCATENATE("#Metadata!", ADDRESS(INDEX($M$2:$M$1001,MATCH(ROWS($K$2:K472),$K$2:$K$1001,0),0), INDEX($R$1004:$W$1004,1,MATCH(COLUMNS($R$1006:U1006),$R$1006:$W$1006,0)))),"Fix")))</f>
        <v>0</v>
      </c>
      <c r="F472" s="3">
        <f>IF(OR(INDEX($L$2:$L$1001,MATCH(ROWS($K$2:K472),$K$2:$K$1001,0),1)&gt;=100000,INDEX($R$1005:$W$1005,1,MATCH(COLUMNS($R$1006:V1006),$R$1006:$W$1006,0))&gt;=100000), " ",IF(INDEX($R$2:$W$1001,MATCH(ROWS($K$2:K472),$K$2:$K$1001,0),MATCH(COLUMNS($R$1006:V1006),$R$1006:$W$1006,0)), HYPERLINK("#",""), HYPERLINK(CONCATENATE("#Metadata!", ADDRESS(INDEX($M$2:$M$1001,MATCH(ROWS($K$2:K472),$K$2:$K$1001,0),0), INDEX($R$1004:$W$1004,1,MATCH(COLUMNS($R$1006:V1006),$R$1006:$W$1006,0)))),"Fix")))</f>
        <v>0</v>
      </c>
      <c r="G472" s="3">
        <f>IF(OR(INDEX($L$2:$L$1001,MATCH(ROWS($K$2:K472),$K$2:$K$1001,0),1)&gt;=100000,INDEX($R$1005:$W$1005,1,MATCH(COLUMNS($R$1006:W1006),$R$1006:$W$1006,0))&gt;=100000), " ",IF(INDEX($R$2:$W$1001,MATCH(ROWS($K$2:K472),$K$2:$K$1001,0),MATCH(COLUMNS($R$1006:W1006),$R$1006:$W$1006,0)), HYPERLINK("#",""), HYPERLINK(CONCATENATE("#Metadata!", ADDRESS(INDEX($M$2:$M$1001,MATCH(ROWS($K$2:K472),$K$2:$K$1001,0),0), INDEX($R$1004:$W$1004,1,MATCH(COLUMNS($R$1006:W1006),$R$1006:$W$1006,0)))),"Fix")))</f>
        <v>0</v>
      </c>
      <c r="K472">
        <v>0</v>
      </c>
      <c r="L472">
        <v>0</v>
      </c>
      <c r="M472">
        <v>0</v>
      </c>
      <c r="N472">
        <f>IF(O472,TRUE,AND(R472:W472))</f>
        <v>0</v>
      </c>
      <c r="O472">
        <f>COUNTBLANK(Metadata!B472:G472)=COLUMNS(Metadata!B472:G472)</f>
        <v>0</v>
      </c>
      <c r="P472">
        <v>0</v>
      </c>
      <c r="R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S472">
        <f>IF(Metadata!C472="",FALSE,TRUE)</f>
        <v>0</v>
      </c>
      <c r="T472">
        <f>IF(Metadata!D472="",FALSE,TRUE)</f>
        <v>0</v>
      </c>
      <c r="U472">
        <f>IF(Metadata!E472="",FALSE,TRUE)</f>
        <v>0</v>
      </c>
      <c r="V472">
        <f>AND(IF(Metadata!F472="",FALSE,TRUE),exact(Metadata!F472,"rat gut metagenome"))</f>
        <v>0</v>
      </c>
      <c r="W472">
        <f>AND(IF(Metadata!G472="",FALSE,TRUE),exact(Metadata!G472,"1436733"))</f>
        <v>0</v>
      </c>
    </row>
    <row r="473" spans="1:23">
      <c r="A473" s="4">
        <f>IF(B473=" "," ",HYPERLINK(CONCATENATE("#metadata!",ADDRESS(INDEX($M$2:$M$1001,MATCH(ROWS($K$2:K473),$K$2:$K$1001,0),0),1)),INDEX($P$2:$P$1001,MATCH(ROWS($K$2:K473),$K$2:$K$1001,0),0)))</f>
        <v>0</v>
      </c>
      <c r="B473" s="3">
        <f>IF(OR(INDEX($L$2:$L$1001,MATCH(ROWS($K$2:K473),$K$2:$K$1001,0),1)&gt;=100000,INDEX($R$1005:$W$1005,1,MATCH(COLUMNS($R$1006:R1006),$R$1006:$W$1006,0))&gt;=100000), " ",IF(INDEX($R$2:$W$1001,MATCH(ROWS($K$2:K473),$K$2:$K$1001,0),MATCH(COLUMNS($R$1006:R1006),$R$1006:$W$1006,0)), HYPERLINK("#",""), HYPERLINK(CONCATENATE("#Metadata!", ADDRESS(INDEX($M$2:$M$1001,MATCH(ROWS($K$2:K473),$K$2:$K$1001,0),0), INDEX($R$1004:$W$1004,1,MATCH(COLUMNS($R$1006:R1006),$R$1006:$W$1006,0)))),"Fix")))</f>
        <v>0</v>
      </c>
      <c r="C473" s="3">
        <f>IF(OR(INDEX($L$2:$L$1001,MATCH(ROWS($K$2:K473),$K$2:$K$1001,0),1)&gt;=100000,INDEX($R$1005:$W$1005,1,MATCH(COLUMNS($R$1006:S1006),$R$1006:$W$1006,0))&gt;=100000), " ",IF(INDEX($R$2:$W$1001,MATCH(ROWS($K$2:K473),$K$2:$K$1001,0),MATCH(COLUMNS($R$1006:S1006),$R$1006:$W$1006,0)), HYPERLINK("#",""), HYPERLINK(CONCATENATE("#Metadata!", ADDRESS(INDEX($M$2:$M$1001,MATCH(ROWS($K$2:K473),$K$2:$K$1001,0),0), INDEX($R$1004:$W$1004,1,MATCH(COLUMNS($R$1006:S1006),$R$1006:$W$1006,0)))),"Fix")))</f>
        <v>0</v>
      </c>
      <c r="D473" s="3">
        <f>IF(OR(INDEX($L$2:$L$1001,MATCH(ROWS($K$2:K473),$K$2:$K$1001,0),1)&gt;=100000,INDEX($R$1005:$W$1005,1,MATCH(COLUMNS($R$1006:T1006),$R$1006:$W$1006,0))&gt;=100000), " ",IF(INDEX($R$2:$W$1001,MATCH(ROWS($K$2:K473),$K$2:$K$1001,0),MATCH(COLUMNS($R$1006:T1006),$R$1006:$W$1006,0)), HYPERLINK("#",""), HYPERLINK(CONCATENATE("#Metadata!", ADDRESS(INDEX($M$2:$M$1001,MATCH(ROWS($K$2:K473),$K$2:$K$1001,0),0), INDEX($R$1004:$W$1004,1,MATCH(COLUMNS($R$1006:T1006),$R$1006:$W$1006,0)))),"Fix")))</f>
        <v>0</v>
      </c>
      <c r="E473" s="3">
        <f>IF(OR(INDEX($L$2:$L$1001,MATCH(ROWS($K$2:K473),$K$2:$K$1001,0),1)&gt;=100000,INDEX($R$1005:$W$1005,1,MATCH(COLUMNS($R$1006:U1006),$R$1006:$W$1006,0))&gt;=100000), " ",IF(INDEX($R$2:$W$1001,MATCH(ROWS($K$2:K473),$K$2:$K$1001,0),MATCH(COLUMNS($R$1006:U1006),$R$1006:$W$1006,0)), HYPERLINK("#",""), HYPERLINK(CONCATENATE("#Metadata!", ADDRESS(INDEX($M$2:$M$1001,MATCH(ROWS($K$2:K473),$K$2:$K$1001,0),0), INDEX($R$1004:$W$1004,1,MATCH(COLUMNS($R$1006:U1006),$R$1006:$W$1006,0)))),"Fix")))</f>
        <v>0</v>
      </c>
      <c r="F473" s="3">
        <f>IF(OR(INDEX($L$2:$L$1001,MATCH(ROWS($K$2:K473),$K$2:$K$1001,0),1)&gt;=100000,INDEX($R$1005:$W$1005,1,MATCH(COLUMNS($R$1006:V1006),$R$1006:$W$1006,0))&gt;=100000), " ",IF(INDEX($R$2:$W$1001,MATCH(ROWS($K$2:K473),$K$2:$K$1001,0),MATCH(COLUMNS($R$1006:V1006),$R$1006:$W$1006,0)), HYPERLINK("#",""), HYPERLINK(CONCATENATE("#Metadata!", ADDRESS(INDEX($M$2:$M$1001,MATCH(ROWS($K$2:K473),$K$2:$K$1001,0),0), INDEX($R$1004:$W$1004,1,MATCH(COLUMNS($R$1006:V1006),$R$1006:$W$1006,0)))),"Fix")))</f>
        <v>0</v>
      </c>
      <c r="G473" s="3">
        <f>IF(OR(INDEX($L$2:$L$1001,MATCH(ROWS($K$2:K473),$K$2:$K$1001,0),1)&gt;=100000,INDEX($R$1005:$W$1005,1,MATCH(COLUMNS($R$1006:W1006),$R$1006:$W$1006,0))&gt;=100000), " ",IF(INDEX($R$2:$W$1001,MATCH(ROWS($K$2:K473),$K$2:$K$1001,0),MATCH(COLUMNS($R$1006:W1006),$R$1006:$W$1006,0)), HYPERLINK("#",""), HYPERLINK(CONCATENATE("#Metadata!", ADDRESS(INDEX($M$2:$M$1001,MATCH(ROWS($K$2:K473),$K$2:$K$1001,0),0), INDEX($R$1004:$W$1004,1,MATCH(COLUMNS($R$1006:W1006),$R$1006:$W$1006,0)))),"Fix")))</f>
        <v>0</v>
      </c>
      <c r="K473">
        <v>0</v>
      </c>
      <c r="L473">
        <v>0</v>
      </c>
      <c r="M473">
        <v>0</v>
      </c>
      <c r="N473">
        <f>IF(O473,TRUE,AND(R473:W473))</f>
        <v>0</v>
      </c>
      <c r="O473">
        <f>COUNTBLANK(Metadata!B473:G473)=COLUMNS(Metadata!B473:G473)</f>
        <v>0</v>
      </c>
      <c r="P473">
        <v>0</v>
      </c>
      <c r="R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S473">
        <f>IF(Metadata!C473="",FALSE,TRUE)</f>
        <v>0</v>
      </c>
      <c r="T473">
        <f>IF(Metadata!D473="",FALSE,TRUE)</f>
        <v>0</v>
      </c>
      <c r="U473">
        <f>IF(Metadata!E473="",FALSE,TRUE)</f>
        <v>0</v>
      </c>
      <c r="V473">
        <f>AND(IF(Metadata!F473="",FALSE,TRUE),exact(Metadata!F473,"rat gut metagenome"))</f>
        <v>0</v>
      </c>
      <c r="W473">
        <f>AND(IF(Metadata!G473="",FALSE,TRUE),exact(Metadata!G473,"1436733"))</f>
        <v>0</v>
      </c>
    </row>
    <row r="474" spans="1:23">
      <c r="A474" s="4">
        <f>IF(B474=" "," ",HYPERLINK(CONCATENATE("#metadata!",ADDRESS(INDEX($M$2:$M$1001,MATCH(ROWS($K$2:K474),$K$2:$K$1001,0),0),1)),INDEX($P$2:$P$1001,MATCH(ROWS($K$2:K474),$K$2:$K$1001,0),0)))</f>
        <v>0</v>
      </c>
      <c r="B474" s="3">
        <f>IF(OR(INDEX($L$2:$L$1001,MATCH(ROWS($K$2:K474),$K$2:$K$1001,0),1)&gt;=100000,INDEX($R$1005:$W$1005,1,MATCH(COLUMNS($R$1006:R1006),$R$1006:$W$1006,0))&gt;=100000), " ",IF(INDEX($R$2:$W$1001,MATCH(ROWS($K$2:K474),$K$2:$K$1001,0),MATCH(COLUMNS($R$1006:R1006),$R$1006:$W$1006,0)), HYPERLINK("#",""), HYPERLINK(CONCATENATE("#Metadata!", ADDRESS(INDEX($M$2:$M$1001,MATCH(ROWS($K$2:K474),$K$2:$K$1001,0),0), INDEX($R$1004:$W$1004,1,MATCH(COLUMNS($R$1006:R1006),$R$1006:$W$1006,0)))),"Fix")))</f>
        <v>0</v>
      </c>
      <c r="C474" s="3">
        <f>IF(OR(INDEX($L$2:$L$1001,MATCH(ROWS($K$2:K474),$K$2:$K$1001,0),1)&gt;=100000,INDEX($R$1005:$W$1005,1,MATCH(COLUMNS($R$1006:S1006),$R$1006:$W$1006,0))&gt;=100000), " ",IF(INDEX($R$2:$W$1001,MATCH(ROWS($K$2:K474),$K$2:$K$1001,0),MATCH(COLUMNS($R$1006:S1006),$R$1006:$W$1006,0)), HYPERLINK("#",""), HYPERLINK(CONCATENATE("#Metadata!", ADDRESS(INDEX($M$2:$M$1001,MATCH(ROWS($K$2:K474),$K$2:$K$1001,0),0), INDEX($R$1004:$W$1004,1,MATCH(COLUMNS($R$1006:S1006),$R$1006:$W$1006,0)))),"Fix")))</f>
        <v>0</v>
      </c>
      <c r="D474" s="3">
        <f>IF(OR(INDEX($L$2:$L$1001,MATCH(ROWS($K$2:K474),$K$2:$K$1001,0),1)&gt;=100000,INDEX($R$1005:$W$1005,1,MATCH(COLUMNS($R$1006:T1006),$R$1006:$W$1006,0))&gt;=100000), " ",IF(INDEX($R$2:$W$1001,MATCH(ROWS($K$2:K474),$K$2:$K$1001,0),MATCH(COLUMNS($R$1006:T1006),$R$1006:$W$1006,0)), HYPERLINK("#",""), HYPERLINK(CONCATENATE("#Metadata!", ADDRESS(INDEX($M$2:$M$1001,MATCH(ROWS($K$2:K474),$K$2:$K$1001,0),0), INDEX($R$1004:$W$1004,1,MATCH(COLUMNS($R$1006:T1006),$R$1006:$W$1006,0)))),"Fix")))</f>
        <v>0</v>
      </c>
      <c r="E474" s="3">
        <f>IF(OR(INDEX($L$2:$L$1001,MATCH(ROWS($K$2:K474),$K$2:$K$1001,0),1)&gt;=100000,INDEX($R$1005:$W$1005,1,MATCH(COLUMNS($R$1006:U1006),$R$1006:$W$1006,0))&gt;=100000), " ",IF(INDEX($R$2:$W$1001,MATCH(ROWS($K$2:K474),$K$2:$K$1001,0),MATCH(COLUMNS($R$1006:U1006),$R$1006:$W$1006,0)), HYPERLINK("#",""), HYPERLINK(CONCATENATE("#Metadata!", ADDRESS(INDEX($M$2:$M$1001,MATCH(ROWS($K$2:K474),$K$2:$K$1001,0),0), INDEX($R$1004:$W$1004,1,MATCH(COLUMNS($R$1006:U1006),$R$1006:$W$1006,0)))),"Fix")))</f>
        <v>0</v>
      </c>
      <c r="F474" s="3">
        <f>IF(OR(INDEX($L$2:$L$1001,MATCH(ROWS($K$2:K474),$K$2:$K$1001,0),1)&gt;=100000,INDEX($R$1005:$W$1005,1,MATCH(COLUMNS($R$1006:V1006),$R$1006:$W$1006,0))&gt;=100000), " ",IF(INDEX($R$2:$W$1001,MATCH(ROWS($K$2:K474),$K$2:$K$1001,0),MATCH(COLUMNS($R$1006:V1006),$R$1006:$W$1006,0)), HYPERLINK("#",""), HYPERLINK(CONCATENATE("#Metadata!", ADDRESS(INDEX($M$2:$M$1001,MATCH(ROWS($K$2:K474),$K$2:$K$1001,0),0), INDEX($R$1004:$W$1004,1,MATCH(COLUMNS($R$1006:V1006),$R$1006:$W$1006,0)))),"Fix")))</f>
        <v>0</v>
      </c>
      <c r="G474" s="3">
        <f>IF(OR(INDEX($L$2:$L$1001,MATCH(ROWS($K$2:K474),$K$2:$K$1001,0),1)&gt;=100000,INDEX($R$1005:$W$1005,1,MATCH(COLUMNS($R$1006:W1006),$R$1006:$W$1006,0))&gt;=100000), " ",IF(INDEX($R$2:$W$1001,MATCH(ROWS($K$2:K474),$K$2:$K$1001,0),MATCH(COLUMNS($R$1006:W1006),$R$1006:$W$1006,0)), HYPERLINK("#",""), HYPERLINK(CONCATENATE("#Metadata!", ADDRESS(INDEX($M$2:$M$1001,MATCH(ROWS($K$2:K474),$K$2:$K$1001,0),0), INDEX($R$1004:$W$1004,1,MATCH(COLUMNS($R$1006:W1006),$R$1006:$W$1006,0)))),"Fix")))</f>
        <v>0</v>
      </c>
      <c r="K474">
        <v>0</v>
      </c>
      <c r="L474">
        <v>0</v>
      </c>
      <c r="M474">
        <v>0</v>
      </c>
      <c r="N474">
        <f>IF(O474,TRUE,AND(R474:W474))</f>
        <v>0</v>
      </c>
      <c r="O474">
        <f>COUNTBLANK(Metadata!B474:G474)=COLUMNS(Metadata!B474:G474)</f>
        <v>0</v>
      </c>
      <c r="P474">
        <v>0</v>
      </c>
      <c r="R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S474">
        <f>IF(Metadata!C474="",FALSE,TRUE)</f>
        <v>0</v>
      </c>
      <c r="T474">
        <f>IF(Metadata!D474="",FALSE,TRUE)</f>
        <v>0</v>
      </c>
      <c r="U474">
        <f>IF(Metadata!E474="",FALSE,TRUE)</f>
        <v>0</v>
      </c>
      <c r="V474">
        <f>AND(IF(Metadata!F474="",FALSE,TRUE),exact(Metadata!F474,"rat gut metagenome"))</f>
        <v>0</v>
      </c>
      <c r="W474">
        <f>AND(IF(Metadata!G474="",FALSE,TRUE),exact(Metadata!G474,"1436733"))</f>
        <v>0</v>
      </c>
    </row>
    <row r="475" spans="1:23">
      <c r="A475" s="4">
        <f>IF(B475=" "," ",HYPERLINK(CONCATENATE("#metadata!",ADDRESS(INDEX($M$2:$M$1001,MATCH(ROWS($K$2:K475),$K$2:$K$1001,0),0),1)),INDEX($P$2:$P$1001,MATCH(ROWS($K$2:K475),$K$2:$K$1001,0),0)))</f>
        <v>0</v>
      </c>
      <c r="B475" s="3">
        <f>IF(OR(INDEX($L$2:$L$1001,MATCH(ROWS($K$2:K475),$K$2:$K$1001,0),1)&gt;=100000,INDEX($R$1005:$W$1005,1,MATCH(COLUMNS($R$1006:R1006),$R$1006:$W$1006,0))&gt;=100000), " ",IF(INDEX($R$2:$W$1001,MATCH(ROWS($K$2:K475),$K$2:$K$1001,0),MATCH(COLUMNS($R$1006:R1006),$R$1006:$W$1006,0)), HYPERLINK("#",""), HYPERLINK(CONCATENATE("#Metadata!", ADDRESS(INDEX($M$2:$M$1001,MATCH(ROWS($K$2:K475),$K$2:$K$1001,0),0), INDEX($R$1004:$W$1004,1,MATCH(COLUMNS($R$1006:R1006),$R$1006:$W$1006,0)))),"Fix")))</f>
        <v>0</v>
      </c>
      <c r="C475" s="3">
        <f>IF(OR(INDEX($L$2:$L$1001,MATCH(ROWS($K$2:K475),$K$2:$K$1001,0),1)&gt;=100000,INDEX($R$1005:$W$1005,1,MATCH(COLUMNS($R$1006:S1006),$R$1006:$W$1006,0))&gt;=100000), " ",IF(INDEX($R$2:$W$1001,MATCH(ROWS($K$2:K475),$K$2:$K$1001,0),MATCH(COLUMNS($R$1006:S1006),$R$1006:$W$1006,0)), HYPERLINK("#",""), HYPERLINK(CONCATENATE("#Metadata!", ADDRESS(INDEX($M$2:$M$1001,MATCH(ROWS($K$2:K475),$K$2:$K$1001,0),0), INDEX($R$1004:$W$1004,1,MATCH(COLUMNS($R$1006:S1006),$R$1006:$W$1006,0)))),"Fix")))</f>
        <v>0</v>
      </c>
      <c r="D475" s="3">
        <f>IF(OR(INDEX($L$2:$L$1001,MATCH(ROWS($K$2:K475),$K$2:$K$1001,0),1)&gt;=100000,INDEX($R$1005:$W$1005,1,MATCH(COLUMNS($R$1006:T1006),$R$1006:$W$1006,0))&gt;=100000), " ",IF(INDEX($R$2:$W$1001,MATCH(ROWS($K$2:K475),$K$2:$K$1001,0),MATCH(COLUMNS($R$1006:T1006),$R$1006:$W$1006,0)), HYPERLINK("#",""), HYPERLINK(CONCATENATE("#Metadata!", ADDRESS(INDEX($M$2:$M$1001,MATCH(ROWS($K$2:K475),$K$2:$K$1001,0),0), INDEX($R$1004:$W$1004,1,MATCH(COLUMNS($R$1006:T1006),$R$1006:$W$1006,0)))),"Fix")))</f>
        <v>0</v>
      </c>
      <c r="E475" s="3">
        <f>IF(OR(INDEX($L$2:$L$1001,MATCH(ROWS($K$2:K475),$K$2:$K$1001,0),1)&gt;=100000,INDEX($R$1005:$W$1005,1,MATCH(COLUMNS($R$1006:U1006),$R$1006:$W$1006,0))&gt;=100000), " ",IF(INDEX($R$2:$W$1001,MATCH(ROWS($K$2:K475),$K$2:$K$1001,0),MATCH(COLUMNS($R$1006:U1006),$R$1006:$W$1006,0)), HYPERLINK("#",""), HYPERLINK(CONCATENATE("#Metadata!", ADDRESS(INDEX($M$2:$M$1001,MATCH(ROWS($K$2:K475),$K$2:$K$1001,0),0), INDEX($R$1004:$W$1004,1,MATCH(COLUMNS($R$1006:U1006),$R$1006:$W$1006,0)))),"Fix")))</f>
        <v>0</v>
      </c>
      <c r="F475" s="3">
        <f>IF(OR(INDEX($L$2:$L$1001,MATCH(ROWS($K$2:K475),$K$2:$K$1001,0),1)&gt;=100000,INDEX($R$1005:$W$1005,1,MATCH(COLUMNS($R$1006:V1006),$R$1006:$W$1006,0))&gt;=100000), " ",IF(INDEX($R$2:$W$1001,MATCH(ROWS($K$2:K475),$K$2:$K$1001,0),MATCH(COLUMNS($R$1006:V1006),$R$1006:$W$1006,0)), HYPERLINK("#",""), HYPERLINK(CONCATENATE("#Metadata!", ADDRESS(INDEX($M$2:$M$1001,MATCH(ROWS($K$2:K475),$K$2:$K$1001,0),0), INDEX($R$1004:$W$1004,1,MATCH(COLUMNS($R$1006:V1006),$R$1006:$W$1006,0)))),"Fix")))</f>
        <v>0</v>
      </c>
      <c r="G475" s="3">
        <f>IF(OR(INDEX($L$2:$L$1001,MATCH(ROWS($K$2:K475),$K$2:$K$1001,0),1)&gt;=100000,INDEX($R$1005:$W$1005,1,MATCH(COLUMNS($R$1006:W1006),$R$1006:$W$1006,0))&gt;=100000), " ",IF(INDEX($R$2:$W$1001,MATCH(ROWS($K$2:K475),$K$2:$K$1001,0),MATCH(COLUMNS($R$1006:W1006),$R$1006:$W$1006,0)), HYPERLINK("#",""), HYPERLINK(CONCATENATE("#Metadata!", ADDRESS(INDEX($M$2:$M$1001,MATCH(ROWS($K$2:K475),$K$2:$K$1001,0),0), INDEX($R$1004:$W$1004,1,MATCH(COLUMNS($R$1006:W1006),$R$1006:$W$1006,0)))),"Fix")))</f>
        <v>0</v>
      </c>
      <c r="K475">
        <v>0</v>
      </c>
      <c r="L475">
        <v>0</v>
      </c>
      <c r="M475">
        <v>0</v>
      </c>
      <c r="N475">
        <f>IF(O475,TRUE,AND(R475:W475))</f>
        <v>0</v>
      </c>
      <c r="O475">
        <f>COUNTBLANK(Metadata!B475:G475)=COLUMNS(Metadata!B475:G475)</f>
        <v>0</v>
      </c>
      <c r="P475">
        <v>0</v>
      </c>
      <c r="R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S475">
        <f>IF(Metadata!C475="",FALSE,TRUE)</f>
        <v>0</v>
      </c>
      <c r="T475">
        <f>IF(Metadata!D475="",FALSE,TRUE)</f>
        <v>0</v>
      </c>
      <c r="U475">
        <f>IF(Metadata!E475="",FALSE,TRUE)</f>
        <v>0</v>
      </c>
      <c r="V475">
        <f>AND(IF(Metadata!F475="",FALSE,TRUE),exact(Metadata!F475,"rat gut metagenome"))</f>
        <v>0</v>
      </c>
      <c r="W475">
        <f>AND(IF(Metadata!G475="",FALSE,TRUE),exact(Metadata!G475,"1436733"))</f>
        <v>0</v>
      </c>
    </row>
    <row r="476" spans="1:23">
      <c r="A476" s="4">
        <f>IF(B476=" "," ",HYPERLINK(CONCATENATE("#metadata!",ADDRESS(INDEX($M$2:$M$1001,MATCH(ROWS($K$2:K476),$K$2:$K$1001,0),0),1)),INDEX($P$2:$P$1001,MATCH(ROWS($K$2:K476),$K$2:$K$1001,0),0)))</f>
        <v>0</v>
      </c>
      <c r="B476" s="3">
        <f>IF(OR(INDEX($L$2:$L$1001,MATCH(ROWS($K$2:K476),$K$2:$K$1001,0),1)&gt;=100000,INDEX($R$1005:$W$1005,1,MATCH(COLUMNS($R$1006:R1006),$R$1006:$W$1006,0))&gt;=100000), " ",IF(INDEX($R$2:$W$1001,MATCH(ROWS($K$2:K476),$K$2:$K$1001,0),MATCH(COLUMNS($R$1006:R1006),$R$1006:$W$1006,0)), HYPERLINK("#",""), HYPERLINK(CONCATENATE("#Metadata!", ADDRESS(INDEX($M$2:$M$1001,MATCH(ROWS($K$2:K476),$K$2:$K$1001,0),0), INDEX($R$1004:$W$1004,1,MATCH(COLUMNS($R$1006:R1006),$R$1006:$W$1006,0)))),"Fix")))</f>
        <v>0</v>
      </c>
      <c r="C476" s="3">
        <f>IF(OR(INDEX($L$2:$L$1001,MATCH(ROWS($K$2:K476),$K$2:$K$1001,0),1)&gt;=100000,INDEX($R$1005:$W$1005,1,MATCH(COLUMNS($R$1006:S1006),$R$1006:$W$1006,0))&gt;=100000), " ",IF(INDEX($R$2:$W$1001,MATCH(ROWS($K$2:K476),$K$2:$K$1001,0),MATCH(COLUMNS($R$1006:S1006),$R$1006:$W$1006,0)), HYPERLINK("#",""), HYPERLINK(CONCATENATE("#Metadata!", ADDRESS(INDEX($M$2:$M$1001,MATCH(ROWS($K$2:K476),$K$2:$K$1001,0),0), INDEX($R$1004:$W$1004,1,MATCH(COLUMNS($R$1006:S1006),$R$1006:$W$1006,0)))),"Fix")))</f>
        <v>0</v>
      </c>
      <c r="D476" s="3">
        <f>IF(OR(INDEX($L$2:$L$1001,MATCH(ROWS($K$2:K476),$K$2:$K$1001,0),1)&gt;=100000,INDEX($R$1005:$W$1005,1,MATCH(COLUMNS($R$1006:T1006),$R$1006:$W$1006,0))&gt;=100000), " ",IF(INDEX($R$2:$W$1001,MATCH(ROWS($K$2:K476),$K$2:$K$1001,0),MATCH(COLUMNS($R$1006:T1006),$R$1006:$W$1006,0)), HYPERLINK("#",""), HYPERLINK(CONCATENATE("#Metadata!", ADDRESS(INDEX($M$2:$M$1001,MATCH(ROWS($K$2:K476),$K$2:$K$1001,0),0), INDEX($R$1004:$W$1004,1,MATCH(COLUMNS($R$1006:T1006),$R$1006:$W$1006,0)))),"Fix")))</f>
        <v>0</v>
      </c>
      <c r="E476" s="3">
        <f>IF(OR(INDEX($L$2:$L$1001,MATCH(ROWS($K$2:K476),$K$2:$K$1001,0),1)&gt;=100000,INDEX($R$1005:$W$1005,1,MATCH(COLUMNS($R$1006:U1006),$R$1006:$W$1006,0))&gt;=100000), " ",IF(INDEX($R$2:$W$1001,MATCH(ROWS($K$2:K476),$K$2:$K$1001,0),MATCH(COLUMNS($R$1006:U1006),$R$1006:$W$1006,0)), HYPERLINK("#",""), HYPERLINK(CONCATENATE("#Metadata!", ADDRESS(INDEX($M$2:$M$1001,MATCH(ROWS($K$2:K476),$K$2:$K$1001,0),0), INDEX($R$1004:$W$1004,1,MATCH(COLUMNS($R$1006:U1006),$R$1006:$W$1006,0)))),"Fix")))</f>
        <v>0</v>
      </c>
      <c r="F476" s="3">
        <f>IF(OR(INDEX($L$2:$L$1001,MATCH(ROWS($K$2:K476),$K$2:$K$1001,0),1)&gt;=100000,INDEX($R$1005:$W$1005,1,MATCH(COLUMNS($R$1006:V1006),$R$1006:$W$1006,0))&gt;=100000), " ",IF(INDEX($R$2:$W$1001,MATCH(ROWS($K$2:K476),$K$2:$K$1001,0),MATCH(COLUMNS($R$1006:V1006),$R$1006:$W$1006,0)), HYPERLINK("#",""), HYPERLINK(CONCATENATE("#Metadata!", ADDRESS(INDEX($M$2:$M$1001,MATCH(ROWS($K$2:K476),$K$2:$K$1001,0),0), INDEX($R$1004:$W$1004,1,MATCH(COLUMNS($R$1006:V1006),$R$1006:$W$1006,0)))),"Fix")))</f>
        <v>0</v>
      </c>
      <c r="G476" s="3">
        <f>IF(OR(INDEX($L$2:$L$1001,MATCH(ROWS($K$2:K476),$K$2:$K$1001,0),1)&gt;=100000,INDEX($R$1005:$W$1005,1,MATCH(COLUMNS($R$1006:W1006),$R$1006:$W$1006,0))&gt;=100000), " ",IF(INDEX($R$2:$W$1001,MATCH(ROWS($K$2:K476),$K$2:$K$1001,0),MATCH(COLUMNS($R$1006:W1006),$R$1006:$W$1006,0)), HYPERLINK("#",""), HYPERLINK(CONCATENATE("#Metadata!", ADDRESS(INDEX($M$2:$M$1001,MATCH(ROWS($K$2:K476),$K$2:$K$1001,0),0), INDEX($R$1004:$W$1004,1,MATCH(COLUMNS($R$1006:W1006),$R$1006:$W$1006,0)))),"Fix")))</f>
        <v>0</v>
      </c>
      <c r="K476">
        <v>0</v>
      </c>
      <c r="L476">
        <v>0</v>
      </c>
      <c r="M476">
        <v>0</v>
      </c>
      <c r="N476">
        <f>IF(O476,TRUE,AND(R476:W476))</f>
        <v>0</v>
      </c>
      <c r="O476">
        <f>COUNTBLANK(Metadata!B476:G476)=COLUMNS(Metadata!B476:G476)</f>
        <v>0</v>
      </c>
      <c r="P476">
        <v>0</v>
      </c>
      <c r="R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S476">
        <f>IF(Metadata!C476="",FALSE,TRUE)</f>
        <v>0</v>
      </c>
      <c r="T476">
        <f>IF(Metadata!D476="",FALSE,TRUE)</f>
        <v>0</v>
      </c>
      <c r="U476">
        <f>IF(Metadata!E476="",FALSE,TRUE)</f>
        <v>0</v>
      </c>
      <c r="V476">
        <f>AND(IF(Metadata!F476="",FALSE,TRUE),exact(Metadata!F476,"rat gut metagenome"))</f>
        <v>0</v>
      </c>
      <c r="W476">
        <f>AND(IF(Metadata!G476="",FALSE,TRUE),exact(Metadata!G476,"1436733"))</f>
        <v>0</v>
      </c>
    </row>
    <row r="477" spans="1:23">
      <c r="A477" s="4">
        <f>IF(B477=" "," ",HYPERLINK(CONCATENATE("#metadata!",ADDRESS(INDEX($M$2:$M$1001,MATCH(ROWS($K$2:K477),$K$2:$K$1001,0),0),1)),INDEX($P$2:$P$1001,MATCH(ROWS($K$2:K477),$K$2:$K$1001,0),0)))</f>
        <v>0</v>
      </c>
      <c r="B477" s="3">
        <f>IF(OR(INDEX($L$2:$L$1001,MATCH(ROWS($K$2:K477),$K$2:$K$1001,0),1)&gt;=100000,INDEX($R$1005:$W$1005,1,MATCH(COLUMNS($R$1006:R1006),$R$1006:$W$1006,0))&gt;=100000), " ",IF(INDEX($R$2:$W$1001,MATCH(ROWS($K$2:K477),$K$2:$K$1001,0),MATCH(COLUMNS($R$1006:R1006),$R$1006:$W$1006,0)), HYPERLINK("#",""), HYPERLINK(CONCATENATE("#Metadata!", ADDRESS(INDEX($M$2:$M$1001,MATCH(ROWS($K$2:K477),$K$2:$K$1001,0),0), INDEX($R$1004:$W$1004,1,MATCH(COLUMNS($R$1006:R1006),$R$1006:$W$1006,0)))),"Fix")))</f>
        <v>0</v>
      </c>
      <c r="C477" s="3">
        <f>IF(OR(INDEX($L$2:$L$1001,MATCH(ROWS($K$2:K477),$K$2:$K$1001,0),1)&gt;=100000,INDEX($R$1005:$W$1005,1,MATCH(COLUMNS($R$1006:S1006),$R$1006:$W$1006,0))&gt;=100000), " ",IF(INDEX($R$2:$W$1001,MATCH(ROWS($K$2:K477),$K$2:$K$1001,0),MATCH(COLUMNS($R$1006:S1006),$R$1006:$W$1006,0)), HYPERLINK("#",""), HYPERLINK(CONCATENATE("#Metadata!", ADDRESS(INDEX($M$2:$M$1001,MATCH(ROWS($K$2:K477),$K$2:$K$1001,0),0), INDEX($R$1004:$W$1004,1,MATCH(COLUMNS($R$1006:S1006),$R$1006:$W$1006,0)))),"Fix")))</f>
        <v>0</v>
      </c>
      <c r="D477" s="3">
        <f>IF(OR(INDEX($L$2:$L$1001,MATCH(ROWS($K$2:K477),$K$2:$K$1001,0),1)&gt;=100000,INDEX($R$1005:$W$1005,1,MATCH(COLUMNS($R$1006:T1006),$R$1006:$W$1006,0))&gt;=100000), " ",IF(INDEX($R$2:$W$1001,MATCH(ROWS($K$2:K477),$K$2:$K$1001,0),MATCH(COLUMNS($R$1006:T1006),$R$1006:$W$1006,0)), HYPERLINK("#",""), HYPERLINK(CONCATENATE("#Metadata!", ADDRESS(INDEX($M$2:$M$1001,MATCH(ROWS($K$2:K477),$K$2:$K$1001,0),0), INDEX($R$1004:$W$1004,1,MATCH(COLUMNS($R$1006:T1006),$R$1006:$W$1006,0)))),"Fix")))</f>
        <v>0</v>
      </c>
      <c r="E477" s="3">
        <f>IF(OR(INDEX($L$2:$L$1001,MATCH(ROWS($K$2:K477),$K$2:$K$1001,0),1)&gt;=100000,INDEX($R$1005:$W$1005,1,MATCH(COLUMNS($R$1006:U1006),$R$1006:$W$1006,0))&gt;=100000), " ",IF(INDEX($R$2:$W$1001,MATCH(ROWS($K$2:K477),$K$2:$K$1001,0),MATCH(COLUMNS($R$1006:U1006),$R$1006:$W$1006,0)), HYPERLINK("#",""), HYPERLINK(CONCATENATE("#Metadata!", ADDRESS(INDEX($M$2:$M$1001,MATCH(ROWS($K$2:K477),$K$2:$K$1001,0),0), INDEX($R$1004:$W$1004,1,MATCH(COLUMNS($R$1006:U1006),$R$1006:$W$1006,0)))),"Fix")))</f>
        <v>0</v>
      </c>
      <c r="F477" s="3">
        <f>IF(OR(INDEX($L$2:$L$1001,MATCH(ROWS($K$2:K477),$K$2:$K$1001,0),1)&gt;=100000,INDEX($R$1005:$W$1005,1,MATCH(COLUMNS($R$1006:V1006),$R$1006:$W$1006,0))&gt;=100000), " ",IF(INDEX($R$2:$W$1001,MATCH(ROWS($K$2:K477),$K$2:$K$1001,0),MATCH(COLUMNS($R$1006:V1006),$R$1006:$W$1006,0)), HYPERLINK("#",""), HYPERLINK(CONCATENATE("#Metadata!", ADDRESS(INDEX($M$2:$M$1001,MATCH(ROWS($K$2:K477),$K$2:$K$1001,0),0), INDEX($R$1004:$W$1004,1,MATCH(COLUMNS($R$1006:V1006),$R$1006:$W$1006,0)))),"Fix")))</f>
        <v>0</v>
      </c>
      <c r="G477" s="3">
        <f>IF(OR(INDEX($L$2:$L$1001,MATCH(ROWS($K$2:K477),$K$2:$K$1001,0),1)&gt;=100000,INDEX($R$1005:$W$1005,1,MATCH(COLUMNS($R$1006:W1006),$R$1006:$W$1006,0))&gt;=100000), " ",IF(INDEX($R$2:$W$1001,MATCH(ROWS($K$2:K477),$K$2:$K$1001,0),MATCH(COLUMNS($R$1006:W1006),$R$1006:$W$1006,0)), HYPERLINK("#",""), HYPERLINK(CONCATENATE("#Metadata!", ADDRESS(INDEX($M$2:$M$1001,MATCH(ROWS($K$2:K477),$K$2:$K$1001,0),0), INDEX($R$1004:$W$1004,1,MATCH(COLUMNS($R$1006:W1006),$R$1006:$W$1006,0)))),"Fix")))</f>
        <v>0</v>
      </c>
      <c r="K477">
        <v>0</v>
      </c>
      <c r="L477">
        <v>0</v>
      </c>
      <c r="M477">
        <v>0</v>
      </c>
      <c r="N477">
        <f>IF(O477,TRUE,AND(R477:W477))</f>
        <v>0</v>
      </c>
      <c r="O477">
        <f>COUNTBLANK(Metadata!B477:G477)=COLUMNS(Metadata!B477:G477)</f>
        <v>0</v>
      </c>
      <c r="P477">
        <v>0</v>
      </c>
      <c r="R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S477">
        <f>IF(Metadata!C477="",FALSE,TRUE)</f>
        <v>0</v>
      </c>
      <c r="T477">
        <f>IF(Metadata!D477="",FALSE,TRUE)</f>
        <v>0</v>
      </c>
      <c r="U477">
        <f>IF(Metadata!E477="",FALSE,TRUE)</f>
        <v>0</v>
      </c>
      <c r="V477">
        <f>AND(IF(Metadata!F477="",FALSE,TRUE),exact(Metadata!F477,"rat gut metagenome"))</f>
        <v>0</v>
      </c>
      <c r="W477">
        <f>AND(IF(Metadata!G477="",FALSE,TRUE),exact(Metadata!G477,"1436733"))</f>
        <v>0</v>
      </c>
    </row>
    <row r="478" spans="1:23">
      <c r="A478" s="4">
        <f>IF(B478=" "," ",HYPERLINK(CONCATENATE("#metadata!",ADDRESS(INDEX($M$2:$M$1001,MATCH(ROWS($K$2:K478),$K$2:$K$1001,0),0),1)),INDEX($P$2:$P$1001,MATCH(ROWS($K$2:K478),$K$2:$K$1001,0),0)))</f>
        <v>0</v>
      </c>
      <c r="B478" s="3">
        <f>IF(OR(INDEX($L$2:$L$1001,MATCH(ROWS($K$2:K478),$K$2:$K$1001,0),1)&gt;=100000,INDEX($R$1005:$W$1005,1,MATCH(COLUMNS($R$1006:R1006),$R$1006:$W$1006,0))&gt;=100000), " ",IF(INDEX($R$2:$W$1001,MATCH(ROWS($K$2:K478),$K$2:$K$1001,0),MATCH(COLUMNS($R$1006:R1006),$R$1006:$W$1006,0)), HYPERLINK("#",""), HYPERLINK(CONCATENATE("#Metadata!", ADDRESS(INDEX($M$2:$M$1001,MATCH(ROWS($K$2:K478),$K$2:$K$1001,0),0), INDEX($R$1004:$W$1004,1,MATCH(COLUMNS($R$1006:R1006),$R$1006:$W$1006,0)))),"Fix")))</f>
        <v>0</v>
      </c>
      <c r="C478" s="3">
        <f>IF(OR(INDEX($L$2:$L$1001,MATCH(ROWS($K$2:K478),$K$2:$K$1001,0),1)&gt;=100000,INDEX($R$1005:$W$1005,1,MATCH(COLUMNS($R$1006:S1006),$R$1006:$W$1006,0))&gt;=100000), " ",IF(INDEX($R$2:$W$1001,MATCH(ROWS($K$2:K478),$K$2:$K$1001,0),MATCH(COLUMNS($R$1006:S1006),$R$1006:$W$1006,0)), HYPERLINK("#",""), HYPERLINK(CONCATENATE("#Metadata!", ADDRESS(INDEX($M$2:$M$1001,MATCH(ROWS($K$2:K478),$K$2:$K$1001,0),0), INDEX($R$1004:$W$1004,1,MATCH(COLUMNS($R$1006:S1006),$R$1006:$W$1006,0)))),"Fix")))</f>
        <v>0</v>
      </c>
      <c r="D478" s="3">
        <f>IF(OR(INDEX($L$2:$L$1001,MATCH(ROWS($K$2:K478),$K$2:$K$1001,0),1)&gt;=100000,INDEX($R$1005:$W$1005,1,MATCH(COLUMNS($R$1006:T1006),$R$1006:$W$1006,0))&gt;=100000), " ",IF(INDEX($R$2:$W$1001,MATCH(ROWS($K$2:K478),$K$2:$K$1001,0),MATCH(COLUMNS($R$1006:T1006),$R$1006:$W$1006,0)), HYPERLINK("#",""), HYPERLINK(CONCATENATE("#Metadata!", ADDRESS(INDEX($M$2:$M$1001,MATCH(ROWS($K$2:K478),$K$2:$K$1001,0),0), INDEX($R$1004:$W$1004,1,MATCH(COLUMNS($R$1006:T1006),$R$1006:$W$1006,0)))),"Fix")))</f>
        <v>0</v>
      </c>
      <c r="E478" s="3">
        <f>IF(OR(INDEX($L$2:$L$1001,MATCH(ROWS($K$2:K478),$K$2:$K$1001,0),1)&gt;=100000,INDEX($R$1005:$W$1005,1,MATCH(COLUMNS($R$1006:U1006),$R$1006:$W$1006,0))&gt;=100000), " ",IF(INDEX($R$2:$W$1001,MATCH(ROWS($K$2:K478),$K$2:$K$1001,0),MATCH(COLUMNS($R$1006:U1006),$R$1006:$W$1006,0)), HYPERLINK("#",""), HYPERLINK(CONCATENATE("#Metadata!", ADDRESS(INDEX($M$2:$M$1001,MATCH(ROWS($K$2:K478),$K$2:$K$1001,0),0), INDEX($R$1004:$W$1004,1,MATCH(COLUMNS($R$1006:U1006),$R$1006:$W$1006,0)))),"Fix")))</f>
        <v>0</v>
      </c>
      <c r="F478" s="3">
        <f>IF(OR(INDEX($L$2:$L$1001,MATCH(ROWS($K$2:K478),$K$2:$K$1001,0),1)&gt;=100000,INDEX($R$1005:$W$1005,1,MATCH(COLUMNS($R$1006:V1006),$R$1006:$W$1006,0))&gt;=100000), " ",IF(INDEX($R$2:$W$1001,MATCH(ROWS($K$2:K478),$K$2:$K$1001,0),MATCH(COLUMNS($R$1006:V1006),$R$1006:$W$1006,0)), HYPERLINK("#",""), HYPERLINK(CONCATENATE("#Metadata!", ADDRESS(INDEX($M$2:$M$1001,MATCH(ROWS($K$2:K478),$K$2:$K$1001,0),0), INDEX($R$1004:$W$1004,1,MATCH(COLUMNS($R$1006:V1006),$R$1006:$W$1006,0)))),"Fix")))</f>
        <v>0</v>
      </c>
      <c r="G478" s="3">
        <f>IF(OR(INDEX($L$2:$L$1001,MATCH(ROWS($K$2:K478),$K$2:$K$1001,0),1)&gt;=100000,INDEX($R$1005:$W$1005,1,MATCH(COLUMNS($R$1006:W1006),$R$1006:$W$1006,0))&gt;=100000), " ",IF(INDEX($R$2:$W$1001,MATCH(ROWS($K$2:K478),$K$2:$K$1001,0),MATCH(COLUMNS($R$1006:W1006),$R$1006:$W$1006,0)), HYPERLINK("#",""), HYPERLINK(CONCATENATE("#Metadata!", ADDRESS(INDEX($M$2:$M$1001,MATCH(ROWS($K$2:K478),$K$2:$K$1001,0),0), INDEX($R$1004:$W$1004,1,MATCH(COLUMNS($R$1006:W1006),$R$1006:$W$1006,0)))),"Fix")))</f>
        <v>0</v>
      </c>
      <c r="K478">
        <v>0</v>
      </c>
      <c r="L478">
        <v>0</v>
      </c>
      <c r="M478">
        <v>0</v>
      </c>
      <c r="N478">
        <f>IF(O478,TRUE,AND(R478:W478))</f>
        <v>0</v>
      </c>
      <c r="O478">
        <f>COUNTBLANK(Metadata!B478:G478)=COLUMNS(Metadata!B478:G478)</f>
        <v>0</v>
      </c>
      <c r="P478">
        <v>0</v>
      </c>
      <c r="R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S478">
        <f>IF(Metadata!C478="",FALSE,TRUE)</f>
        <v>0</v>
      </c>
      <c r="T478">
        <f>IF(Metadata!D478="",FALSE,TRUE)</f>
        <v>0</v>
      </c>
      <c r="U478">
        <f>IF(Metadata!E478="",FALSE,TRUE)</f>
        <v>0</v>
      </c>
      <c r="V478">
        <f>AND(IF(Metadata!F478="",FALSE,TRUE),exact(Metadata!F478,"rat gut metagenome"))</f>
        <v>0</v>
      </c>
      <c r="W478">
        <f>AND(IF(Metadata!G478="",FALSE,TRUE),exact(Metadata!G478,"1436733"))</f>
        <v>0</v>
      </c>
    </row>
    <row r="479" spans="1:23">
      <c r="A479" s="4">
        <f>IF(B479=" "," ",HYPERLINK(CONCATENATE("#metadata!",ADDRESS(INDEX($M$2:$M$1001,MATCH(ROWS($K$2:K479),$K$2:$K$1001,0),0),1)),INDEX($P$2:$P$1001,MATCH(ROWS($K$2:K479),$K$2:$K$1001,0),0)))</f>
        <v>0</v>
      </c>
      <c r="B479" s="3">
        <f>IF(OR(INDEX($L$2:$L$1001,MATCH(ROWS($K$2:K479),$K$2:$K$1001,0),1)&gt;=100000,INDEX($R$1005:$W$1005,1,MATCH(COLUMNS($R$1006:R1006),$R$1006:$W$1006,0))&gt;=100000), " ",IF(INDEX($R$2:$W$1001,MATCH(ROWS($K$2:K479),$K$2:$K$1001,0),MATCH(COLUMNS($R$1006:R1006),$R$1006:$W$1006,0)), HYPERLINK("#",""), HYPERLINK(CONCATENATE("#Metadata!", ADDRESS(INDEX($M$2:$M$1001,MATCH(ROWS($K$2:K479),$K$2:$K$1001,0),0), INDEX($R$1004:$W$1004,1,MATCH(COLUMNS($R$1006:R1006),$R$1006:$W$1006,0)))),"Fix")))</f>
        <v>0</v>
      </c>
      <c r="C479" s="3">
        <f>IF(OR(INDEX($L$2:$L$1001,MATCH(ROWS($K$2:K479),$K$2:$K$1001,0),1)&gt;=100000,INDEX($R$1005:$W$1005,1,MATCH(COLUMNS($R$1006:S1006),$R$1006:$W$1006,0))&gt;=100000), " ",IF(INDEX($R$2:$W$1001,MATCH(ROWS($K$2:K479),$K$2:$K$1001,0),MATCH(COLUMNS($R$1006:S1006),$R$1006:$W$1006,0)), HYPERLINK("#",""), HYPERLINK(CONCATENATE("#Metadata!", ADDRESS(INDEX($M$2:$M$1001,MATCH(ROWS($K$2:K479),$K$2:$K$1001,0),0), INDEX($R$1004:$W$1004,1,MATCH(COLUMNS($R$1006:S1006),$R$1006:$W$1006,0)))),"Fix")))</f>
        <v>0</v>
      </c>
      <c r="D479" s="3">
        <f>IF(OR(INDEX($L$2:$L$1001,MATCH(ROWS($K$2:K479),$K$2:$K$1001,0),1)&gt;=100000,INDEX($R$1005:$W$1005,1,MATCH(COLUMNS($R$1006:T1006),$R$1006:$W$1006,0))&gt;=100000), " ",IF(INDEX($R$2:$W$1001,MATCH(ROWS($K$2:K479),$K$2:$K$1001,0),MATCH(COLUMNS($R$1006:T1006),$R$1006:$W$1006,0)), HYPERLINK("#",""), HYPERLINK(CONCATENATE("#Metadata!", ADDRESS(INDEX($M$2:$M$1001,MATCH(ROWS($K$2:K479),$K$2:$K$1001,0),0), INDEX($R$1004:$W$1004,1,MATCH(COLUMNS($R$1006:T1006),$R$1006:$W$1006,0)))),"Fix")))</f>
        <v>0</v>
      </c>
      <c r="E479" s="3">
        <f>IF(OR(INDEX($L$2:$L$1001,MATCH(ROWS($K$2:K479),$K$2:$K$1001,0),1)&gt;=100000,INDEX($R$1005:$W$1005,1,MATCH(COLUMNS($R$1006:U1006),$R$1006:$W$1006,0))&gt;=100000), " ",IF(INDEX($R$2:$W$1001,MATCH(ROWS($K$2:K479),$K$2:$K$1001,0),MATCH(COLUMNS($R$1006:U1006),$R$1006:$W$1006,0)), HYPERLINK("#",""), HYPERLINK(CONCATENATE("#Metadata!", ADDRESS(INDEX($M$2:$M$1001,MATCH(ROWS($K$2:K479),$K$2:$K$1001,0),0), INDEX($R$1004:$W$1004,1,MATCH(COLUMNS($R$1006:U1006),$R$1006:$W$1006,0)))),"Fix")))</f>
        <v>0</v>
      </c>
      <c r="F479" s="3">
        <f>IF(OR(INDEX($L$2:$L$1001,MATCH(ROWS($K$2:K479),$K$2:$K$1001,0),1)&gt;=100000,INDEX($R$1005:$W$1005,1,MATCH(COLUMNS($R$1006:V1006),$R$1006:$W$1006,0))&gt;=100000), " ",IF(INDEX($R$2:$W$1001,MATCH(ROWS($K$2:K479),$K$2:$K$1001,0),MATCH(COLUMNS($R$1006:V1006),$R$1006:$W$1006,0)), HYPERLINK("#",""), HYPERLINK(CONCATENATE("#Metadata!", ADDRESS(INDEX($M$2:$M$1001,MATCH(ROWS($K$2:K479),$K$2:$K$1001,0),0), INDEX($R$1004:$W$1004,1,MATCH(COLUMNS($R$1006:V1006),$R$1006:$W$1006,0)))),"Fix")))</f>
        <v>0</v>
      </c>
      <c r="G479" s="3">
        <f>IF(OR(INDEX($L$2:$L$1001,MATCH(ROWS($K$2:K479),$K$2:$K$1001,0),1)&gt;=100000,INDEX($R$1005:$W$1005,1,MATCH(COLUMNS($R$1006:W1006),$R$1006:$W$1006,0))&gt;=100000), " ",IF(INDEX($R$2:$W$1001,MATCH(ROWS($K$2:K479),$K$2:$K$1001,0),MATCH(COLUMNS($R$1006:W1006),$R$1006:$W$1006,0)), HYPERLINK("#",""), HYPERLINK(CONCATENATE("#Metadata!", ADDRESS(INDEX($M$2:$M$1001,MATCH(ROWS($K$2:K479),$K$2:$K$1001,0),0), INDEX($R$1004:$W$1004,1,MATCH(COLUMNS($R$1006:W1006),$R$1006:$W$1006,0)))),"Fix")))</f>
        <v>0</v>
      </c>
      <c r="K479">
        <v>0</v>
      </c>
      <c r="L479">
        <v>0</v>
      </c>
      <c r="M479">
        <v>0</v>
      </c>
      <c r="N479">
        <f>IF(O479,TRUE,AND(R479:W479))</f>
        <v>0</v>
      </c>
      <c r="O479">
        <f>COUNTBLANK(Metadata!B479:G479)=COLUMNS(Metadata!B479:G479)</f>
        <v>0</v>
      </c>
      <c r="P479">
        <v>0</v>
      </c>
      <c r="R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S479">
        <f>IF(Metadata!C479="",FALSE,TRUE)</f>
        <v>0</v>
      </c>
      <c r="T479">
        <f>IF(Metadata!D479="",FALSE,TRUE)</f>
        <v>0</v>
      </c>
      <c r="U479">
        <f>IF(Metadata!E479="",FALSE,TRUE)</f>
        <v>0</v>
      </c>
      <c r="V479">
        <f>AND(IF(Metadata!F479="",FALSE,TRUE),exact(Metadata!F479,"rat gut metagenome"))</f>
        <v>0</v>
      </c>
      <c r="W479">
        <f>AND(IF(Metadata!G479="",FALSE,TRUE),exact(Metadata!G479,"1436733"))</f>
        <v>0</v>
      </c>
    </row>
    <row r="480" spans="1:23">
      <c r="A480" s="4">
        <f>IF(B480=" "," ",HYPERLINK(CONCATENATE("#metadata!",ADDRESS(INDEX($M$2:$M$1001,MATCH(ROWS($K$2:K480),$K$2:$K$1001,0),0),1)),INDEX($P$2:$P$1001,MATCH(ROWS($K$2:K480),$K$2:$K$1001,0),0)))</f>
        <v>0</v>
      </c>
      <c r="B480" s="3">
        <f>IF(OR(INDEX($L$2:$L$1001,MATCH(ROWS($K$2:K480),$K$2:$K$1001,0),1)&gt;=100000,INDEX($R$1005:$W$1005,1,MATCH(COLUMNS($R$1006:R1006),$R$1006:$W$1006,0))&gt;=100000), " ",IF(INDEX($R$2:$W$1001,MATCH(ROWS($K$2:K480),$K$2:$K$1001,0),MATCH(COLUMNS($R$1006:R1006),$R$1006:$W$1006,0)), HYPERLINK("#",""), HYPERLINK(CONCATENATE("#Metadata!", ADDRESS(INDEX($M$2:$M$1001,MATCH(ROWS($K$2:K480),$K$2:$K$1001,0),0), INDEX($R$1004:$W$1004,1,MATCH(COLUMNS($R$1006:R1006),$R$1006:$W$1006,0)))),"Fix")))</f>
        <v>0</v>
      </c>
      <c r="C480" s="3">
        <f>IF(OR(INDEX($L$2:$L$1001,MATCH(ROWS($K$2:K480),$K$2:$K$1001,0),1)&gt;=100000,INDEX($R$1005:$W$1005,1,MATCH(COLUMNS($R$1006:S1006),$R$1006:$W$1006,0))&gt;=100000), " ",IF(INDEX($R$2:$W$1001,MATCH(ROWS($K$2:K480),$K$2:$K$1001,0),MATCH(COLUMNS($R$1006:S1006),$R$1006:$W$1006,0)), HYPERLINK("#",""), HYPERLINK(CONCATENATE("#Metadata!", ADDRESS(INDEX($M$2:$M$1001,MATCH(ROWS($K$2:K480),$K$2:$K$1001,0),0), INDEX($R$1004:$W$1004,1,MATCH(COLUMNS($R$1006:S1006),$R$1006:$W$1006,0)))),"Fix")))</f>
        <v>0</v>
      </c>
      <c r="D480" s="3">
        <f>IF(OR(INDEX($L$2:$L$1001,MATCH(ROWS($K$2:K480),$K$2:$K$1001,0),1)&gt;=100000,INDEX($R$1005:$W$1005,1,MATCH(COLUMNS($R$1006:T1006),$R$1006:$W$1006,0))&gt;=100000), " ",IF(INDEX($R$2:$W$1001,MATCH(ROWS($K$2:K480),$K$2:$K$1001,0),MATCH(COLUMNS($R$1006:T1006),$R$1006:$W$1006,0)), HYPERLINK("#",""), HYPERLINK(CONCATENATE("#Metadata!", ADDRESS(INDEX($M$2:$M$1001,MATCH(ROWS($K$2:K480),$K$2:$K$1001,0),0), INDEX($R$1004:$W$1004,1,MATCH(COLUMNS($R$1006:T1006),$R$1006:$W$1006,0)))),"Fix")))</f>
        <v>0</v>
      </c>
      <c r="E480" s="3">
        <f>IF(OR(INDEX($L$2:$L$1001,MATCH(ROWS($K$2:K480),$K$2:$K$1001,0),1)&gt;=100000,INDEX($R$1005:$W$1005,1,MATCH(COLUMNS($R$1006:U1006),$R$1006:$W$1006,0))&gt;=100000), " ",IF(INDEX($R$2:$W$1001,MATCH(ROWS($K$2:K480),$K$2:$K$1001,0),MATCH(COLUMNS($R$1006:U1006),$R$1006:$W$1006,0)), HYPERLINK("#",""), HYPERLINK(CONCATENATE("#Metadata!", ADDRESS(INDEX($M$2:$M$1001,MATCH(ROWS($K$2:K480),$K$2:$K$1001,0),0), INDEX($R$1004:$W$1004,1,MATCH(COLUMNS($R$1006:U1006),$R$1006:$W$1006,0)))),"Fix")))</f>
        <v>0</v>
      </c>
      <c r="F480" s="3">
        <f>IF(OR(INDEX($L$2:$L$1001,MATCH(ROWS($K$2:K480),$K$2:$K$1001,0),1)&gt;=100000,INDEX($R$1005:$W$1005,1,MATCH(COLUMNS($R$1006:V1006),$R$1006:$W$1006,0))&gt;=100000), " ",IF(INDEX($R$2:$W$1001,MATCH(ROWS($K$2:K480),$K$2:$K$1001,0),MATCH(COLUMNS($R$1006:V1006),$R$1006:$W$1006,0)), HYPERLINK("#",""), HYPERLINK(CONCATENATE("#Metadata!", ADDRESS(INDEX($M$2:$M$1001,MATCH(ROWS($K$2:K480),$K$2:$K$1001,0),0), INDEX($R$1004:$W$1004,1,MATCH(COLUMNS($R$1006:V1006),$R$1006:$W$1006,0)))),"Fix")))</f>
        <v>0</v>
      </c>
      <c r="G480" s="3">
        <f>IF(OR(INDEX($L$2:$L$1001,MATCH(ROWS($K$2:K480),$K$2:$K$1001,0),1)&gt;=100000,INDEX($R$1005:$W$1005,1,MATCH(COLUMNS($R$1006:W1006),$R$1006:$W$1006,0))&gt;=100000), " ",IF(INDEX($R$2:$W$1001,MATCH(ROWS($K$2:K480),$K$2:$K$1001,0),MATCH(COLUMNS($R$1006:W1006),$R$1006:$W$1006,0)), HYPERLINK("#",""), HYPERLINK(CONCATENATE("#Metadata!", ADDRESS(INDEX($M$2:$M$1001,MATCH(ROWS($K$2:K480),$K$2:$K$1001,0),0), INDEX($R$1004:$W$1004,1,MATCH(COLUMNS($R$1006:W1006),$R$1006:$W$1006,0)))),"Fix")))</f>
        <v>0</v>
      </c>
      <c r="K480">
        <v>0</v>
      </c>
      <c r="L480">
        <v>0</v>
      </c>
      <c r="M480">
        <v>0</v>
      </c>
      <c r="N480">
        <f>IF(O480,TRUE,AND(R480:W480))</f>
        <v>0</v>
      </c>
      <c r="O480">
        <f>COUNTBLANK(Metadata!B480:G480)=COLUMNS(Metadata!B480:G480)</f>
        <v>0</v>
      </c>
      <c r="P480">
        <v>0</v>
      </c>
      <c r="R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S480">
        <f>IF(Metadata!C480="",FALSE,TRUE)</f>
        <v>0</v>
      </c>
      <c r="T480">
        <f>IF(Metadata!D480="",FALSE,TRUE)</f>
        <v>0</v>
      </c>
      <c r="U480">
        <f>IF(Metadata!E480="",FALSE,TRUE)</f>
        <v>0</v>
      </c>
      <c r="V480">
        <f>AND(IF(Metadata!F480="",FALSE,TRUE),exact(Metadata!F480,"rat gut metagenome"))</f>
        <v>0</v>
      </c>
      <c r="W480">
        <f>AND(IF(Metadata!G480="",FALSE,TRUE),exact(Metadata!G480,"1436733"))</f>
        <v>0</v>
      </c>
    </row>
    <row r="481" spans="1:23">
      <c r="A481" s="4">
        <f>IF(B481=" "," ",HYPERLINK(CONCATENATE("#metadata!",ADDRESS(INDEX($M$2:$M$1001,MATCH(ROWS($K$2:K481),$K$2:$K$1001,0),0),1)),INDEX($P$2:$P$1001,MATCH(ROWS($K$2:K481),$K$2:$K$1001,0),0)))</f>
        <v>0</v>
      </c>
      <c r="B481" s="3">
        <f>IF(OR(INDEX($L$2:$L$1001,MATCH(ROWS($K$2:K481),$K$2:$K$1001,0),1)&gt;=100000,INDEX($R$1005:$W$1005,1,MATCH(COLUMNS($R$1006:R1006),$R$1006:$W$1006,0))&gt;=100000), " ",IF(INDEX($R$2:$W$1001,MATCH(ROWS($K$2:K481),$K$2:$K$1001,0),MATCH(COLUMNS($R$1006:R1006),$R$1006:$W$1006,0)), HYPERLINK("#",""), HYPERLINK(CONCATENATE("#Metadata!", ADDRESS(INDEX($M$2:$M$1001,MATCH(ROWS($K$2:K481),$K$2:$K$1001,0),0), INDEX($R$1004:$W$1004,1,MATCH(COLUMNS($R$1006:R1006),$R$1006:$W$1006,0)))),"Fix")))</f>
        <v>0</v>
      </c>
      <c r="C481" s="3">
        <f>IF(OR(INDEX($L$2:$L$1001,MATCH(ROWS($K$2:K481),$K$2:$K$1001,0),1)&gt;=100000,INDEX($R$1005:$W$1005,1,MATCH(COLUMNS($R$1006:S1006),$R$1006:$W$1006,0))&gt;=100000), " ",IF(INDEX($R$2:$W$1001,MATCH(ROWS($K$2:K481),$K$2:$K$1001,0),MATCH(COLUMNS($R$1006:S1006),$R$1006:$W$1006,0)), HYPERLINK("#",""), HYPERLINK(CONCATENATE("#Metadata!", ADDRESS(INDEX($M$2:$M$1001,MATCH(ROWS($K$2:K481),$K$2:$K$1001,0),0), INDEX($R$1004:$W$1004,1,MATCH(COLUMNS($R$1006:S1006),$R$1006:$W$1006,0)))),"Fix")))</f>
        <v>0</v>
      </c>
      <c r="D481" s="3">
        <f>IF(OR(INDEX($L$2:$L$1001,MATCH(ROWS($K$2:K481),$K$2:$K$1001,0),1)&gt;=100000,INDEX($R$1005:$W$1005,1,MATCH(COLUMNS($R$1006:T1006),$R$1006:$W$1006,0))&gt;=100000), " ",IF(INDEX($R$2:$W$1001,MATCH(ROWS($K$2:K481),$K$2:$K$1001,0),MATCH(COLUMNS($R$1006:T1006),$R$1006:$W$1006,0)), HYPERLINK("#",""), HYPERLINK(CONCATENATE("#Metadata!", ADDRESS(INDEX($M$2:$M$1001,MATCH(ROWS($K$2:K481),$K$2:$K$1001,0),0), INDEX($R$1004:$W$1004,1,MATCH(COLUMNS($R$1006:T1006),$R$1006:$W$1006,0)))),"Fix")))</f>
        <v>0</v>
      </c>
      <c r="E481" s="3">
        <f>IF(OR(INDEX($L$2:$L$1001,MATCH(ROWS($K$2:K481),$K$2:$K$1001,0),1)&gt;=100000,INDEX($R$1005:$W$1005,1,MATCH(COLUMNS($R$1006:U1006),$R$1006:$W$1006,0))&gt;=100000), " ",IF(INDEX($R$2:$W$1001,MATCH(ROWS($K$2:K481),$K$2:$K$1001,0),MATCH(COLUMNS($R$1006:U1006),$R$1006:$W$1006,0)), HYPERLINK("#",""), HYPERLINK(CONCATENATE("#Metadata!", ADDRESS(INDEX($M$2:$M$1001,MATCH(ROWS($K$2:K481),$K$2:$K$1001,0),0), INDEX($R$1004:$W$1004,1,MATCH(COLUMNS($R$1006:U1006),$R$1006:$W$1006,0)))),"Fix")))</f>
        <v>0</v>
      </c>
      <c r="F481" s="3">
        <f>IF(OR(INDEX($L$2:$L$1001,MATCH(ROWS($K$2:K481),$K$2:$K$1001,0),1)&gt;=100000,INDEX($R$1005:$W$1005,1,MATCH(COLUMNS($R$1006:V1006),$R$1006:$W$1006,0))&gt;=100000), " ",IF(INDEX($R$2:$W$1001,MATCH(ROWS($K$2:K481),$K$2:$K$1001,0),MATCH(COLUMNS($R$1006:V1006),$R$1006:$W$1006,0)), HYPERLINK("#",""), HYPERLINK(CONCATENATE("#Metadata!", ADDRESS(INDEX($M$2:$M$1001,MATCH(ROWS($K$2:K481),$K$2:$K$1001,0),0), INDEX($R$1004:$W$1004,1,MATCH(COLUMNS($R$1006:V1006),$R$1006:$W$1006,0)))),"Fix")))</f>
        <v>0</v>
      </c>
      <c r="G481" s="3">
        <f>IF(OR(INDEX($L$2:$L$1001,MATCH(ROWS($K$2:K481),$K$2:$K$1001,0),1)&gt;=100000,INDEX($R$1005:$W$1005,1,MATCH(COLUMNS($R$1006:W1006),$R$1006:$W$1006,0))&gt;=100000), " ",IF(INDEX($R$2:$W$1001,MATCH(ROWS($K$2:K481),$K$2:$K$1001,0),MATCH(COLUMNS($R$1006:W1006),$R$1006:$W$1006,0)), HYPERLINK("#",""), HYPERLINK(CONCATENATE("#Metadata!", ADDRESS(INDEX($M$2:$M$1001,MATCH(ROWS($K$2:K481),$K$2:$K$1001,0),0), INDEX($R$1004:$W$1004,1,MATCH(COLUMNS($R$1006:W1006),$R$1006:$W$1006,0)))),"Fix")))</f>
        <v>0</v>
      </c>
      <c r="K481">
        <v>0</v>
      </c>
      <c r="L481">
        <v>0</v>
      </c>
      <c r="M481">
        <v>0</v>
      </c>
      <c r="N481">
        <f>IF(O481,TRUE,AND(R481:W481))</f>
        <v>0</v>
      </c>
      <c r="O481">
        <f>COUNTBLANK(Metadata!B481:G481)=COLUMNS(Metadata!B481:G481)</f>
        <v>0</v>
      </c>
      <c r="P481">
        <v>0</v>
      </c>
      <c r="R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S481">
        <f>IF(Metadata!C481="",FALSE,TRUE)</f>
        <v>0</v>
      </c>
      <c r="T481">
        <f>IF(Metadata!D481="",FALSE,TRUE)</f>
        <v>0</v>
      </c>
      <c r="U481">
        <f>IF(Metadata!E481="",FALSE,TRUE)</f>
        <v>0</v>
      </c>
      <c r="V481">
        <f>AND(IF(Metadata!F481="",FALSE,TRUE),exact(Metadata!F481,"rat gut metagenome"))</f>
        <v>0</v>
      </c>
      <c r="W481">
        <f>AND(IF(Metadata!G481="",FALSE,TRUE),exact(Metadata!G481,"1436733"))</f>
        <v>0</v>
      </c>
    </row>
    <row r="482" spans="1:23">
      <c r="A482" s="4">
        <f>IF(B482=" "," ",HYPERLINK(CONCATENATE("#metadata!",ADDRESS(INDEX($M$2:$M$1001,MATCH(ROWS($K$2:K482),$K$2:$K$1001,0),0),1)),INDEX($P$2:$P$1001,MATCH(ROWS($K$2:K482),$K$2:$K$1001,0),0)))</f>
        <v>0</v>
      </c>
      <c r="B482" s="3">
        <f>IF(OR(INDEX($L$2:$L$1001,MATCH(ROWS($K$2:K482),$K$2:$K$1001,0),1)&gt;=100000,INDEX($R$1005:$W$1005,1,MATCH(COLUMNS($R$1006:R1006),$R$1006:$W$1006,0))&gt;=100000), " ",IF(INDEX($R$2:$W$1001,MATCH(ROWS($K$2:K482),$K$2:$K$1001,0),MATCH(COLUMNS($R$1006:R1006),$R$1006:$W$1006,0)), HYPERLINK("#",""), HYPERLINK(CONCATENATE("#Metadata!", ADDRESS(INDEX($M$2:$M$1001,MATCH(ROWS($K$2:K482),$K$2:$K$1001,0),0), INDEX($R$1004:$W$1004,1,MATCH(COLUMNS($R$1006:R1006),$R$1006:$W$1006,0)))),"Fix")))</f>
        <v>0</v>
      </c>
      <c r="C482" s="3">
        <f>IF(OR(INDEX($L$2:$L$1001,MATCH(ROWS($K$2:K482),$K$2:$K$1001,0),1)&gt;=100000,INDEX($R$1005:$W$1005,1,MATCH(COLUMNS($R$1006:S1006),$R$1006:$W$1006,0))&gt;=100000), " ",IF(INDEX($R$2:$W$1001,MATCH(ROWS($K$2:K482),$K$2:$K$1001,0),MATCH(COLUMNS($R$1006:S1006),$R$1006:$W$1006,0)), HYPERLINK("#",""), HYPERLINK(CONCATENATE("#Metadata!", ADDRESS(INDEX($M$2:$M$1001,MATCH(ROWS($K$2:K482),$K$2:$K$1001,0),0), INDEX($R$1004:$W$1004,1,MATCH(COLUMNS($R$1006:S1006),$R$1006:$W$1006,0)))),"Fix")))</f>
        <v>0</v>
      </c>
      <c r="D482" s="3">
        <f>IF(OR(INDEX($L$2:$L$1001,MATCH(ROWS($K$2:K482),$K$2:$K$1001,0),1)&gt;=100000,INDEX($R$1005:$W$1005,1,MATCH(COLUMNS($R$1006:T1006),$R$1006:$W$1006,0))&gt;=100000), " ",IF(INDEX($R$2:$W$1001,MATCH(ROWS($K$2:K482),$K$2:$K$1001,0),MATCH(COLUMNS($R$1006:T1006),$R$1006:$W$1006,0)), HYPERLINK("#",""), HYPERLINK(CONCATENATE("#Metadata!", ADDRESS(INDEX($M$2:$M$1001,MATCH(ROWS($K$2:K482),$K$2:$K$1001,0),0), INDEX($R$1004:$W$1004,1,MATCH(COLUMNS($R$1006:T1006),$R$1006:$W$1006,0)))),"Fix")))</f>
        <v>0</v>
      </c>
      <c r="E482" s="3">
        <f>IF(OR(INDEX($L$2:$L$1001,MATCH(ROWS($K$2:K482),$K$2:$K$1001,0),1)&gt;=100000,INDEX($R$1005:$W$1005,1,MATCH(COLUMNS($R$1006:U1006),$R$1006:$W$1006,0))&gt;=100000), " ",IF(INDEX($R$2:$W$1001,MATCH(ROWS($K$2:K482),$K$2:$K$1001,0),MATCH(COLUMNS($R$1006:U1006),$R$1006:$W$1006,0)), HYPERLINK("#",""), HYPERLINK(CONCATENATE("#Metadata!", ADDRESS(INDEX($M$2:$M$1001,MATCH(ROWS($K$2:K482),$K$2:$K$1001,0),0), INDEX($R$1004:$W$1004,1,MATCH(COLUMNS($R$1006:U1006),$R$1006:$W$1006,0)))),"Fix")))</f>
        <v>0</v>
      </c>
      <c r="F482" s="3">
        <f>IF(OR(INDEX($L$2:$L$1001,MATCH(ROWS($K$2:K482),$K$2:$K$1001,0),1)&gt;=100000,INDEX($R$1005:$W$1005,1,MATCH(COLUMNS($R$1006:V1006),$R$1006:$W$1006,0))&gt;=100000), " ",IF(INDEX($R$2:$W$1001,MATCH(ROWS($K$2:K482),$K$2:$K$1001,0),MATCH(COLUMNS($R$1006:V1006),$R$1006:$W$1006,0)), HYPERLINK("#",""), HYPERLINK(CONCATENATE("#Metadata!", ADDRESS(INDEX($M$2:$M$1001,MATCH(ROWS($K$2:K482),$K$2:$K$1001,0),0), INDEX($R$1004:$W$1004,1,MATCH(COLUMNS($R$1006:V1006),$R$1006:$W$1006,0)))),"Fix")))</f>
        <v>0</v>
      </c>
      <c r="G482" s="3">
        <f>IF(OR(INDEX($L$2:$L$1001,MATCH(ROWS($K$2:K482),$K$2:$K$1001,0),1)&gt;=100000,INDEX($R$1005:$W$1005,1,MATCH(COLUMNS($R$1006:W1006),$R$1006:$W$1006,0))&gt;=100000), " ",IF(INDEX($R$2:$W$1001,MATCH(ROWS($K$2:K482),$K$2:$K$1001,0),MATCH(COLUMNS($R$1006:W1006),$R$1006:$W$1006,0)), HYPERLINK("#",""), HYPERLINK(CONCATENATE("#Metadata!", ADDRESS(INDEX($M$2:$M$1001,MATCH(ROWS($K$2:K482),$K$2:$K$1001,0),0), INDEX($R$1004:$W$1004,1,MATCH(COLUMNS($R$1006:W1006),$R$1006:$W$1006,0)))),"Fix")))</f>
        <v>0</v>
      </c>
      <c r="K482">
        <v>0</v>
      </c>
      <c r="L482">
        <v>0</v>
      </c>
      <c r="M482">
        <v>0</v>
      </c>
      <c r="N482">
        <f>IF(O482,TRUE,AND(R482:W482))</f>
        <v>0</v>
      </c>
      <c r="O482">
        <f>COUNTBLANK(Metadata!B482:G482)=COLUMNS(Metadata!B482:G482)</f>
        <v>0</v>
      </c>
      <c r="P482">
        <v>0</v>
      </c>
      <c r="R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S482">
        <f>IF(Metadata!C482="",FALSE,TRUE)</f>
        <v>0</v>
      </c>
      <c r="T482">
        <f>IF(Metadata!D482="",FALSE,TRUE)</f>
        <v>0</v>
      </c>
      <c r="U482">
        <f>IF(Metadata!E482="",FALSE,TRUE)</f>
        <v>0</v>
      </c>
      <c r="V482">
        <f>AND(IF(Metadata!F482="",FALSE,TRUE),exact(Metadata!F482,"rat gut metagenome"))</f>
        <v>0</v>
      </c>
      <c r="W482">
        <f>AND(IF(Metadata!G482="",FALSE,TRUE),exact(Metadata!G482,"1436733"))</f>
        <v>0</v>
      </c>
    </row>
    <row r="483" spans="1:23">
      <c r="A483" s="4">
        <f>IF(B483=" "," ",HYPERLINK(CONCATENATE("#metadata!",ADDRESS(INDEX($M$2:$M$1001,MATCH(ROWS($K$2:K483),$K$2:$K$1001,0),0),1)),INDEX($P$2:$P$1001,MATCH(ROWS($K$2:K483),$K$2:$K$1001,0),0)))</f>
        <v>0</v>
      </c>
      <c r="B483" s="3">
        <f>IF(OR(INDEX($L$2:$L$1001,MATCH(ROWS($K$2:K483),$K$2:$K$1001,0),1)&gt;=100000,INDEX($R$1005:$W$1005,1,MATCH(COLUMNS($R$1006:R1006),$R$1006:$W$1006,0))&gt;=100000), " ",IF(INDEX($R$2:$W$1001,MATCH(ROWS($K$2:K483),$K$2:$K$1001,0),MATCH(COLUMNS($R$1006:R1006),$R$1006:$W$1006,0)), HYPERLINK("#",""), HYPERLINK(CONCATENATE("#Metadata!", ADDRESS(INDEX($M$2:$M$1001,MATCH(ROWS($K$2:K483),$K$2:$K$1001,0),0), INDEX($R$1004:$W$1004,1,MATCH(COLUMNS($R$1006:R1006),$R$1006:$W$1006,0)))),"Fix")))</f>
        <v>0</v>
      </c>
      <c r="C483" s="3">
        <f>IF(OR(INDEX($L$2:$L$1001,MATCH(ROWS($K$2:K483),$K$2:$K$1001,0),1)&gt;=100000,INDEX($R$1005:$W$1005,1,MATCH(COLUMNS($R$1006:S1006),$R$1006:$W$1006,0))&gt;=100000), " ",IF(INDEX($R$2:$W$1001,MATCH(ROWS($K$2:K483),$K$2:$K$1001,0),MATCH(COLUMNS($R$1006:S1006),$R$1006:$W$1006,0)), HYPERLINK("#",""), HYPERLINK(CONCATENATE("#Metadata!", ADDRESS(INDEX($M$2:$M$1001,MATCH(ROWS($K$2:K483),$K$2:$K$1001,0),0), INDEX($R$1004:$W$1004,1,MATCH(COLUMNS($R$1006:S1006),$R$1006:$W$1006,0)))),"Fix")))</f>
        <v>0</v>
      </c>
      <c r="D483" s="3">
        <f>IF(OR(INDEX($L$2:$L$1001,MATCH(ROWS($K$2:K483),$K$2:$K$1001,0),1)&gt;=100000,INDEX($R$1005:$W$1005,1,MATCH(COLUMNS($R$1006:T1006),$R$1006:$W$1006,0))&gt;=100000), " ",IF(INDEX($R$2:$W$1001,MATCH(ROWS($K$2:K483),$K$2:$K$1001,0),MATCH(COLUMNS($R$1006:T1006),$R$1006:$W$1006,0)), HYPERLINK("#",""), HYPERLINK(CONCATENATE("#Metadata!", ADDRESS(INDEX($M$2:$M$1001,MATCH(ROWS($K$2:K483),$K$2:$K$1001,0),0), INDEX($R$1004:$W$1004,1,MATCH(COLUMNS($R$1006:T1006),$R$1006:$W$1006,0)))),"Fix")))</f>
        <v>0</v>
      </c>
      <c r="E483" s="3">
        <f>IF(OR(INDEX($L$2:$L$1001,MATCH(ROWS($K$2:K483),$K$2:$K$1001,0),1)&gt;=100000,INDEX($R$1005:$W$1005,1,MATCH(COLUMNS($R$1006:U1006),$R$1006:$W$1006,0))&gt;=100000), " ",IF(INDEX($R$2:$W$1001,MATCH(ROWS($K$2:K483),$K$2:$K$1001,0),MATCH(COLUMNS($R$1006:U1006),$R$1006:$W$1006,0)), HYPERLINK("#",""), HYPERLINK(CONCATENATE("#Metadata!", ADDRESS(INDEX($M$2:$M$1001,MATCH(ROWS($K$2:K483),$K$2:$K$1001,0),0), INDEX($R$1004:$W$1004,1,MATCH(COLUMNS($R$1006:U1006),$R$1006:$W$1006,0)))),"Fix")))</f>
        <v>0</v>
      </c>
      <c r="F483" s="3">
        <f>IF(OR(INDEX($L$2:$L$1001,MATCH(ROWS($K$2:K483),$K$2:$K$1001,0),1)&gt;=100000,INDEX($R$1005:$W$1005,1,MATCH(COLUMNS($R$1006:V1006),$R$1006:$W$1006,0))&gt;=100000), " ",IF(INDEX($R$2:$W$1001,MATCH(ROWS($K$2:K483),$K$2:$K$1001,0),MATCH(COLUMNS($R$1006:V1006),$R$1006:$W$1006,0)), HYPERLINK("#",""), HYPERLINK(CONCATENATE("#Metadata!", ADDRESS(INDEX($M$2:$M$1001,MATCH(ROWS($K$2:K483),$K$2:$K$1001,0),0), INDEX($R$1004:$W$1004,1,MATCH(COLUMNS($R$1006:V1006),$R$1006:$W$1006,0)))),"Fix")))</f>
        <v>0</v>
      </c>
      <c r="G483" s="3">
        <f>IF(OR(INDEX($L$2:$L$1001,MATCH(ROWS($K$2:K483),$K$2:$K$1001,0),1)&gt;=100000,INDEX($R$1005:$W$1005,1,MATCH(COLUMNS($R$1006:W1006),$R$1006:$W$1006,0))&gt;=100000), " ",IF(INDEX($R$2:$W$1001,MATCH(ROWS($K$2:K483),$K$2:$K$1001,0),MATCH(COLUMNS($R$1006:W1006),$R$1006:$W$1006,0)), HYPERLINK("#",""), HYPERLINK(CONCATENATE("#Metadata!", ADDRESS(INDEX($M$2:$M$1001,MATCH(ROWS($K$2:K483),$K$2:$K$1001,0),0), INDEX($R$1004:$W$1004,1,MATCH(COLUMNS($R$1006:W1006),$R$1006:$W$1006,0)))),"Fix")))</f>
        <v>0</v>
      </c>
      <c r="K483">
        <v>0</v>
      </c>
      <c r="L483">
        <v>0</v>
      </c>
      <c r="M483">
        <v>0</v>
      </c>
      <c r="N483">
        <f>IF(O483,TRUE,AND(R483:W483))</f>
        <v>0</v>
      </c>
      <c r="O483">
        <f>COUNTBLANK(Metadata!B483:G483)=COLUMNS(Metadata!B483:G483)</f>
        <v>0</v>
      </c>
      <c r="P483">
        <v>0</v>
      </c>
      <c r="R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S483">
        <f>IF(Metadata!C483="",FALSE,TRUE)</f>
        <v>0</v>
      </c>
      <c r="T483">
        <f>IF(Metadata!D483="",FALSE,TRUE)</f>
        <v>0</v>
      </c>
      <c r="U483">
        <f>IF(Metadata!E483="",FALSE,TRUE)</f>
        <v>0</v>
      </c>
      <c r="V483">
        <f>AND(IF(Metadata!F483="",FALSE,TRUE),exact(Metadata!F483,"rat gut metagenome"))</f>
        <v>0</v>
      </c>
      <c r="W483">
        <f>AND(IF(Metadata!G483="",FALSE,TRUE),exact(Metadata!G483,"1436733"))</f>
        <v>0</v>
      </c>
    </row>
    <row r="484" spans="1:23">
      <c r="A484" s="4">
        <f>IF(B484=" "," ",HYPERLINK(CONCATENATE("#metadata!",ADDRESS(INDEX($M$2:$M$1001,MATCH(ROWS($K$2:K484),$K$2:$K$1001,0),0),1)),INDEX($P$2:$P$1001,MATCH(ROWS($K$2:K484),$K$2:$K$1001,0),0)))</f>
        <v>0</v>
      </c>
      <c r="B484" s="3">
        <f>IF(OR(INDEX($L$2:$L$1001,MATCH(ROWS($K$2:K484),$K$2:$K$1001,0),1)&gt;=100000,INDEX($R$1005:$W$1005,1,MATCH(COLUMNS($R$1006:R1006),$R$1006:$W$1006,0))&gt;=100000), " ",IF(INDEX($R$2:$W$1001,MATCH(ROWS($K$2:K484),$K$2:$K$1001,0),MATCH(COLUMNS($R$1006:R1006),$R$1006:$W$1006,0)), HYPERLINK("#",""), HYPERLINK(CONCATENATE("#Metadata!", ADDRESS(INDEX($M$2:$M$1001,MATCH(ROWS($K$2:K484),$K$2:$K$1001,0),0), INDEX($R$1004:$W$1004,1,MATCH(COLUMNS($R$1006:R1006),$R$1006:$W$1006,0)))),"Fix")))</f>
        <v>0</v>
      </c>
      <c r="C484" s="3">
        <f>IF(OR(INDEX($L$2:$L$1001,MATCH(ROWS($K$2:K484),$K$2:$K$1001,0),1)&gt;=100000,INDEX($R$1005:$W$1005,1,MATCH(COLUMNS($R$1006:S1006),$R$1006:$W$1006,0))&gt;=100000), " ",IF(INDEX($R$2:$W$1001,MATCH(ROWS($K$2:K484),$K$2:$K$1001,0),MATCH(COLUMNS($R$1006:S1006),$R$1006:$W$1006,0)), HYPERLINK("#",""), HYPERLINK(CONCATENATE("#Metadata!", ADDRESS(INDEX($M$2:$M$1001,MATCH(ROWS($K$2:K484),$K$2:$K$1001,0),0), INDEX($R$1004:$W$1004,1,MATCH(COLUMNS($R$1006:S1006),$R$1006:$W$1006,0)))),"Fix")))</f>
        <v>0</v>
      </c>
      <c r="D484" s="3">
        <f>IF(OR(INDEX($L$2:$L$1001,MATCH(ROWS($K$2:K484),$K$2:$K$1001,0),1)&gt;=100000,INDEX($R$1005:$W$1005,1,MATCH(COLUMNS($R$1006:T1006),$R$1006:$W$1006,0))&gt;=100000), " ",IF(INDEX($R$2:$W$1001,MATCH(ROWS($K$2:K484),$K$2:$K$1001,0),MATCH(COLUMNS($R$1006:T1006),$R$1006:$W$1006,0)), HYPERLINK("#",""), HYPERLINK(CONCATENATE("#Metadata!", ADDRESS(INDEX($M$2:$M$1001,MATCH(ROWS($K$2:K484),$K$2:$K$1001,0),0), INDEX($R$1004:$W$1004,1,MATCH(COLUMNS($R$1006:T1006),$R$1006:$W$1006,0)))),"Fix")))</f>
        <v>0</v>
      </c>
      <c r="E484" s="3">
        <f>IF(OR(INDEX($L$2:$L$1001,MATCH(ROWS($K$2:K484),$K$2:$K$1001,0),1)&gt;=100000,INDEX($R$1005:$W$1005,1,MATCH(COLUMNS($R$1006:U1006),$R$1006:$W$1006,0))&gt;=100000), " ",IF(INDEX($R$2:$W$1001,MATCH(ROWS($K$2:K484),$K$2:$K$1001,0),MATCH(COLUMNS($R$1006:U1006),$R$1006:$W$1006,0)), HYPERLINK("#",""), HYPERLINK(CONCATENATE("#Metadata!", ADDRESS(INDEX($M$2:$M$1001,MATCH(ROWS($K$2:K484),$K$2:$K$1001,0),0), INDEX($R$1004:$W$1004,1,MATCH(COLUMNS($R$1006:U1006),$R$1006:$W$1006,0)))),"Fix")))</f>
        <v>0</v>
      </c>
      <c r="F484" s="3">
        <f>IF(OR(INDEX($L$2:$L$1001,MATCH(ROWS($K$2:K484),$K$2:$K$1001,0),1)&gt;=100000,INDEX($R$1005:$W$1005,1,MATCH(COLUMNS($R$1006:V1006),$R$1006:$W$1006,0))&gt;=100000), " ",IF(INDEX($R$2:$W$1001,MATCH(ROWS($K$2:K484),$K$2:$K$1001,0),MATCH(COLUMNS($R$1006:V1006),$R$1006:$W$1006,0)), HYPERLINK("#",""), HYPERLINK(CONCATENATE("#Metadata!", ADDRESS(INDEX($M$2:$M$1001,MATCH(ROWS($K$2:K484),$K$2:$K$1001,0),0), INDEX($R$1004:$W$1004,1,MATCH(COLUMNS($R$1006:V1006),$R$1006:$W$1006,0)))),"Fix")))</f>
        <v>0</v>
      </c>
      <c r="G484" s="3">
        <f>IF(OR(INDEX($L$2:$L$1001,MATCH(ROWS($K$2:K484),$K$2:$K$1001,0),1)&gt;=100000,INDEX($R$1005:$W$1005,1,MATCH(COLUMNS($R$1006:W1006),$R$1006:$W$1006,0))&gt;=100000), " ",IF(INDEX($R$2:$W$1001,MATCH(ROWS($K$2:K484),$K$2:$K$1001,0),MATCH(COLUMNS($R$1006:W1006),$R$1006:$W$1006,0)), HYPERLINK("#",""), HYPERLINK(CONCATENATE("#Metadata!", ADDRESS(INDEX($M$2:$M$1001,MATCH(ROWS($K$2:K484),$K$2:$K$1001,0),0), INDEX($R$1004:$W$1004,1,MATCH(COLUMNS($R$1006:W1006),$R$1006:$W$1006,0)))),"Fix")))</f>
        <v>0</v>
      </c>
      <c r="K484">
        <v>0</v>
      </c>
      <c r="L484">
        <v>0</v>
      </c>
      <c r="M484">
        <v>0</v>
      </c>
      <c r="N484">
        <f>IF(O484,TRUE,AND(R484:W484))</f>
        <v>0</v>
      </c>
      <c r="O484">
        <f>COUNTBLANK(Metadata!B484:G484)=COLUMNS(Metadata!B484:G484)</f>
        <v>0</v>
      </c>
      <c r="P484">
        <v>0</v>
      </c>
      <c r="R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S484">
        <f>IF(Metadata!C484="",FALSE,TRUE)</f>
        <v>0</v>
      </c>
      <c r="T484">
        <f>IF(Metadata!D484="",FALSE,TRUE)</f>
        <v>0</v>
      </c>
      <c r="U484">
        <f>IF(Metadata!E484="",FALSE,TRUE)</f>
        <v>0</v>
      </c>
      <c r="V484">
        <f>AND(IF(Metadata!F484="",FALSE,TRUE),exact(Metadata!F484,"rat gut metagenome"))</f>
        <v>0</v>
      </c>
      <c r="W484">
        <f>AND(IF(Metadata!G484="",FALSE,TRUE),exact(Metadata!G484,"1436733"))</f>
        <v>0</v>
      </c>
    </row>
    <row r="485" spans="1:23">
      <c r="A485" s="4">
        <f>IF(B485=" "," ",HYPERLINK(CONCATENATE("#metadata!",ADDRESS(INDEX($M$2:$M$1001,MATCH(ROWS($K$2:K485),$K$2:$K$1001,0),0),1)),INDEX($P$2:$P$1001,MATCH(ROWS($K$2:K485),$K$2:$K$1001,0),0)))</f>
        <v>0</v>
      </c>
      <c r="B485" s="3">
        <f>IF(OR(INDEX($L$2:$L$1001,MATCH(ROWS($K$2:K485),$K$2:$K$1001,0),1)&gt;=100000,INDEX($R$1005:$W$1005,1,MATCH(COLUMNS($R$1006:R1006),$R$1006:$W$1006,0))&gt;=100000), " ",IF(INDEX($R$2:$W$1001,MATCH(ROWS($K$2:K485),$K$2:$K$1001,0),MATCH(COLUMNS($R$1006:R1006),$R$1006:$W$1006,0)), HYPERLINK("#",""), HYPERLINK(CONCATENATE("#Metadata!", ADDRESS(INDEX($M$2:$M$1001,MATCH(ROWS($K$2:K485),$K$2:$K$1001,0),0), INDEX($R$1004:$W$1004,1,MATCH(COLUMNS($R$1006:R1006),$R$1006:$W$1006,0)))),"Fix")))</f>
        <v>0</v>
      </c>
      <c r="C485" s="3">
        <f>IF(OR(INDEX($L$2:$L$1001,MATCH(ROWS($K$2:K485),$K$2:$K$1001,0),1)&gt;=100000,INDEX($R$1005:$W$1005,1,MATCH(COLUMNS($R$1006:S1006),$R$1006:$W$1006,0))&gt;=100000), " ",IF(INDEX($R$2:$W$1001,MATCH(ROWS($K$2:K485),$K$2:$K$1001,0),MATCH(COLUMNS($R$1006:S1006),$R$1006:$W$1006,0)), HYPERLINK("#",""), HYPERLINK(CONCATENATE("#Metadata!", ADDRESS(INDEX($M$2:$M$1001,MATCH(ROWS($K$2:K485),$K$2:$K$1001,0),0), INDEX($R$1004:$W$1004,1,MATCH(COLUMNS($R$1006:S1006),$R$1006:$W$1006,0)))),"Fix")))</f>
        <v>0</v>
      </c>
      <c r="D485" s="3">
        <f>IF(OR(INDEX($L$2:$L$1001,MATCH(ROWS($K$2:K485),$K$2:$K$1001,0),1)&gt;=100000,INDEX($R$1005:$W$1005,1,MATCH(COLUMNS($R$1006:T1006),$R$1006:$W$1006,0))&gt;=100000), " ",IF(INDEX($R$2:$W$1001,MATCH(ROWS($K$2:K485),$K$2:$K$1001,0),MATCH(COLUMNS($R$1006:T1006),$R$1006:$W$1006,0)), HYPERLINK("#",""), HYPERLINK(CONCATENATE("#Metadata!", ADDRESS(INDEX($M$2:$M$1001,MATCH(ROWS($K$2:K485),$K$2:$K$1001,0),0), INDEX($R$1004:$W$1004,1,MATCH(COLUMNS($R$1006:T1006),$R$1006:$W$1006,0)))),"Fix")))</f>
        <v>0</v>
      </c>
      <c r="E485" s="3">
        <f>IF(OR(INDEX($L$2:$L$1001,MATCH(ROWS($K$2:K485),$K$2:$K$1001,0),1)&gt;=100000,INDEX($R$1005:$W$1005,1,MATCH(COLUMNS($R$1006:U1006),$R$1006:$W$1006,0))&gt;=100000), " ",IF(INDEX($R$2:$W$1001,MATCH(ROWS($K$2:K485),$K$2:$K$1001,0),MATCH(COLUMNS($R$1006:U1006),$R$1006:$W$1006,0)), HYPERLINK("#",""), HYPERLINK(CONCATENATE("#Metadata!", ADDRESS(INDEX($M$2:$M$1001,MATCH(ROWS($K$2:K485),$K$2:$K$1001,0),0), INDEX($R$1004:$W$1004,1,MATCH(COLUMNS($R$1006:U1006),$R$1006:$W$1006,0)))),"Fix")))</f>
        <v>0</v>
      </c>
      <c r="F485" s="3">
        <f>IF(OR(INDEX($L$2:$L$1001,MATCH(ROWS($K$2:K485),$K$2:$K$1001,0),1)&gt;=100000,INDEX($R$1005:$W$1005,1,MATCH(COLUMNS($R$1006:V1006),$R$1006:$W$1006,0))&gt;=100000), " ",IF(INDEX($R$2:$W$1001,MATCH(ROWS($K$2:K485),$K$2:$K$1001,0),MATCH(COLUMNS($R$1006:V1006),$R$1006:$W$1006,0)), HYPERLINK("#",""), HYPERLINK(CONCATENATE("#Metadata!", ADDRESS(INDEX($M$2:$M$1001,MATCH(ROWS($K$2:K485),$K$2:$K$1001,0),0), INDEX($R$1004:$W$1004,1,MATCH(COLUMNS($R$1006:V1006),$R$1006:$W$1006,0)))),"Fix")))</f>
        <v>0</v>
      </c>
      <c r="G485" s="3">
        <f>IF(OR(INDEX($L$2:$L$1001,MATCH(ROWS($K$2:K485),$K$2:$K$1001,0),1)&gt;=100000,INDEX($R$1005:$W$1005,1,MATCH(COLUMNS($R$1006:W1006),$R$1006:$W$1006,0))&gt;=100000), " ",IF(INDEX($R$2:$W$1001,MATCH(ROWS($K$2:K485),$K$2:$K$1001,0),MATCH(COLUMNS($R$1006:W1006),$R$1006:$W$1006,0)), HYPERLINK("#",""), HYPERLINK(CONCATENATE("#Metadata!", ADDRESS(INDEX($M$2:$M$1001,MATCH(ROWS($K$2:K485),$K$2:$K$1001,0),0), INDEX($R$1004:$W$1004,1,MATCH(COLUMNS($R$1006:W1006),$R$1006:$W$1006,0)))),"Fix")))</f>
        <v>0</v>
      </c>
      <c r="K485">
        <v>0</v>
      </c>
      <c r="L485">
        <v>0</v>
      </c>
      <c r="M485">
        <v>0</v>
      </c>
      <c r="N485">
        <f>IF(O485,TRUE,AND(R485:W485))</f>
        <v>0</v>
      </c>
      <c r="O485">
        <f>COUNTBLANK(Metadata!B485:G485)=COLUMNS(Metadata!B485:G485)</f>
        <v>0</v>
      </c>
      <c r="P485">
        <v>0</v>
      </c>
      <c r="R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S485">
        <f>IF(Metadata!C485="",FALSE,TRUE)</f>
        <v>0</v>
      </c>
      <c r="T485">
        <f>IF(Metadata!D485="",FALSE,TRUE)</f>
        <v>0</v>
      </c>
      <c r="U485">
        <f>IF(Metadata!E485="",FALSE,TRUE)</f>
        <v>0</v>
      </c>
      <c r="V485">
        <f>AND(IF(Metadata!F485="",FALSE,TRUE),exact(Metadata!F485,"rat gut metagenome"))</f>
        <v>0</v>
      </c>
      <c r="W485">
        <f>AND(IF(Metadata!G485="",FALSE,TRUE),exact(Metadata!G485,"1436733"))</f>
        <v>0</v>
      </c>
    </row>
    <row r="486" spans="1:23">
      <c r="A486" s="4">
        <f>IF(B486=" "," ",HYPERLINK(CONCATENATE("#metadata!",ADDRESS(INDEX($M$2:$M$1001,MATCH(ROWS($K$2:K486),$K$2:$K$1001,0),0),1)),INDEX($P$2:$P$1001,MATCH(ROWS($K$2:K486),$K$2:$K$1001,0),0)))</f>
        <v>0</v>
      </c>
      <c r="B486" s="3">
        <f>IF(OR(INDEX($L$2:$L$1001,MATCH(ROWS($K$2:K486),$K$2:$K$1001,0),1)&gt;=100000,INDEX($R$1005:$W$1005,1,MATCH(COLUMNS($R$1006:R1006),$R$1006:$W$1006,0))&gt;=100000), " ",IF(INDEX($R$2:$W$1001,MATCH(ROWS($K$2:K486),$K$2:$K$1001,0),MATCH(COLUMNS($R$1006:R1006),$R$1006:$W$1006,0)), HYPERLINK("#",""), HYPERLINK(CONCATENATE("#Metadata!", ADDRESS(INDEX($M$2:$M$1001,MATCH(ROWS($K$2:K486),$K$2:$K$1001,0),0), INDEX($R$1004:$W$1004,1,MATCH(COLUMNS($R$1006:R1006),$R$1006:$W$1006,0)))),"Fix")))</f>
        <v>0</v>
      </c>
      <c r="C486" s="3">
        <f>IF(OR(INDEX($L$2:$L$1001,MATCH(ROWS($K$2:K486),$K$2:$K$1001,0),1)&gt;=100000,INDEX($R$1005:$W$1005,1,MATCH(COLUMNS($R$1006:S1006),$R$1006:$W$1006,0))&gt;=100000), " ",IF(INDEX($R$2:$W$1001,MATCH(ROWS($K$2:K486),$K$2:$K$1001,0),MATCH(COLUMNS($R$1006:S1006),$R$1006:$W$1006,0)), HYPERLINK("#",""), HYPERLINK(CONCATENATE("#Metadata!", ADDRESS(INDEX($M$2:$M$1001,MATCH(ROWS($K$2:K486),$K$2:$K$1001,0),0), INDEX($R$1004:$W$1004,1,MATCH(COLUMNS($R$1006:S1006),$R$1006:$W$1006,0)))),"Fix")))</f>
        <v>0</v>
      </c>
      <c r="D486" s="3">
        <f>IF(OR(INDEX($L$2:$L$1001,MATCH(ROWS($K$2:K486),$K$2:$K$1001,0),1)&gt;=100000,INDEX($R$1005:$W$1005,1,MATCH(COLUMNS($R$1006:T1006),$R$1006:$W$1006,0))&gt;=100000), " ",IF(INDEX($R$2:$W$1001,MATCH(ROWS($K$2:K486),$K$2:$K$1001,0),MATCH(COLUMNS($R$1006:T1006),$R$1006:$W$1006,0)), HYPERLINK("#",""), HYPERLINK(CONCATENATE("#Metadata!", ADDRESS(INDEX($M$2:$M$1001,MATCH(ROWS($K$2:K486),$K$2:$K$1001,0),0), INDEX($R$1004:$W$1004,1,MATCH(COLUMNS($R$1006:T1006),$R$1006:$W$1006,0)))),"Fix")))</f>
        <v>0</v>
      </c>
      <c r="E486" s="3">
        <f>IF(OR(INDEX($L$2:$L$1001,MATCH(ROWS($K$2:K486),$K$2:$K$1001,0),1)&gt;=100000,INDEX($R$1005:$W$1005,1,MATCH(COLUMNS($R$1006:U1006),$R$1006:$W$1006,0))&gt;=100000), " ",IF(INDEX($R$2:$W$1001,MATCH(ROWS($K$2:K486),$K$2:$K$1001,0),MATCH(COLUMNS($R$1006:U1006),$R$1006:$W$1006,0)), HYPERLINK("#",""), HYPERLINK(CONCATENATE("#Metadata!", ADDRESS(INDEX($M$2:$M$1001,MATCH(ROWS($K$2:K486),$K$2:$K$1001,0),0), INDEX($R$1004:$W$1004,1,MATCH(COLUMNS($R$1006:U1006),$R$1006:$W$1006,0)))),"Fix")))</f>
        <v>0</v>
      </c>
      <c r="F486" s="3">
        <f>IF(OR(INDEX($L$2:$L$1001,MATCH(ROWS($K$2:K486),$K$2:$K$1001,0),1)&gt;=100000,INDEX($R$1005:$W$1005,1,MATCH(COLUMNS($R$1006:V1006),$R$1006:$W$1006,0))&gt;=100000), " ",IF(INDEX($R$2:$W$1001,MATCH(ROWS($K$2:K486),$K$2:$K$1001,0),MATCH(COLUMNS($R$1006:V1006),$R$1006:$W$1006,0)), HYPERLINK("#",""), HYPERLINK(CONCATENATE("#Metadata!", ADDRESS(INDEX($M$2:$M$1001,MATCH(ROWS($K$2:K486),$K$2:$K$1001,0),0), INDEX($R$1004:$W$1004,1,MATCH(COLUMNS($R$1006:V1006),$R$1006:$W$1006,0)))),"Fix")))</f>
        <v>0</v>
      </c>
      <c r="G486" s="3">
        <f>IF(OR(INDEX($L$2:$L$1001,MATCH(ROWS($K$2:K486),$K$2:$K$1001,0),1)&gt;=100000,INDEX($R$1005:$W$1005,1,MATCH(COLUMNS($R$1006:W1006),$R$1006:$W$1006,0))&gt;=100000), " ",IF(INDEX($R$2:$W$1001,MATCH(ROWS($K$2:K486),$K$2:$K$1001,0),MATCH(COLUMNS($R$1006:W1006),$R$1006:$W$1006,0)), HYPERLINK("#",""), HYPERLINK(CONCATENATE("#Metadata!", ADDRESS(INDEX($M$2:$M$1001,MATCH(ROWS($K$2:K486),$K$2:$K$1001,0),0), INDEX($R$1004:$W$1004,1,MATCH(COLUMNS($R$1006:W1006),$R$1006:$W$1006,0)))),"Fix")))</f>
        <v>0</v>
      </c>
      <c r="K486">
        <v>0</v>
      </c>
      <c r="L486">
        <v>0</v>
      </c>
      <c r="M486">
        <v>0</v>
      </c>
      <c r="N486">
        <f>IF(O486,TRUE,AND(R486:W486))</f>
        <v>0</v>
      </c>
      <c r="O486">
        <f>COUNTBLANK(Metadata!B486:G486)=COLUMNS(Metadata!B486:G486)</f>
        <v>0</v>
      </c>
      <c r="P486">
        <v>0</v>
      </c>
      <c r="R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S486">
        <f>IF(Metadata!C486="",FALSE,TRUE)</f>
        <v>0</v>
      </c>
      <c r="T486">
        <f>IF(Metadata!D486="",FALSE,TRUE)</f>
        <v>0</v>
      </c>
      <c r="U486">
        <f>IF(Metadata!E486="",FALSE,TRUE)</f>
        <v>0</v>
      </c>
      <c r="V486">
        <f>AND(IF(Metadata!F486="",FALSE,TRUE),exact(Metadata!F486,"rat gut metagenome"))</f>
        <v>0</v>
      </c>
      <c r="W486">
        <f>AND(IF(Metadata!G486="",FALSE,TRUE),exact(Metadata!G486,"1436733"))</f>
        <v>0</v>
      </c>
    </row>
    <row r="487" spans="1:23">
      <c r="A487" s="4">
        <f>IF(B487=" "," ",HYPERLINK(CONCATENATE("#metadata!",ADDRESS(INDEX($M$2:$M$1001,MATCH(ROWS($K$2:K487),$K$2:$K$1001,0),0),1)),INDEX($P$2:$P$1001,MATCH(ROWS($K$2:K487),$K$2:$K$1001,0),0)))</f>
        <v>0</v>
      </c>
      <c r="B487" s="3">
        <f>IF(OR(INDEX($L$2:$L$1001,MATCH(ROWS($K$2:K487),$K$2:$K$1001,0),1)&gt;=100000,INDEX($R$1005:$W$1005,1,MATCH(COLUMNS($R$1006:R1006),$R$1006:$W$1006,0))&gt;=100000), " ",IF(INDEX($R$2:$W$1001,MATCH(ROWS($K$2:K487),$K$2:$K$1001,0),MATCH(COLUMNS($R$1006:R1006),$R$1006:$W$1006,0)), HYPERLINK("#",""), HYPERLINK(CONCATENATE("#Metadata!", ADDRESS(INDEX($M$2:$M$1001,MATCH(ROWS($K$2:K487),$K$2:$K$1001,0),0), INDEX($R$1004:$W$1004,1,MATCH(COLUMNS($R$1006:R1006),$R$1006:$W$1006,0)))),"Fix")))</f>
        <v>0</v>
      </c>
      <c r="C487" s="3">
        <f>IF(OR(INDEX($L$2:$L$1001,MATCH(ROWS($K$2:K487),$K$2:$K$1001,0),1)&gt;=100000,INDEX($R$1005:$W$1005,1,MATCH(COLUMNS($R$1006:S1006),$R$1006:$W$1006,0))&gt;=100000), " ",IF(INDEX($R$2:$W$1001,MATCH(ROWS($K$2:K487),$K$2:$K$1001,0),MATCH(COLUMNS($R$1006:S1006),$R$1006:$W$1006,0)), HYPERLINK("#",""), HYPERLINK(CONCATENATE("#Metadata!", ADDRESS(INDEX($M$2:$M$1001,MATCH(ROWS($K$2:K487),$K$2:$K$1001,0),0), INDEX($R$1004:$W$1004,1,MATCH(COLUMNS($R$1006:S1006),$R$1006:$W$1006,0)))),"Fix")))</f>
        <v>0</v>
      </c>
      <c r="D487" s="3">
        <f>IF(OR(INDEX($L$2:$L$1001,MATCH(ROWS($K$2:K487),$K$2:$K$1001,0),1)&gt;=100000,INDEX($R$1005:$W$1005,1,MATCH(COLUMNS($R$1006:T1006),$R$1006:$W$1006,0))&gt;=100000), " ",IF(INDEX($R$2:$W$1001,MATCH(ROWS($K$2:K487),$K$2:$K$1001,0),MATCH(COLUMNS($R$1006:T1006),$R$1006:$W$1006,0)), HYPERLINK("#",""), HYPERLINK(CONCATENATE("#Metadata!", ADDRESS(INDEX($M$2:$M$1001,MATCH(ROWS($K$2:K487),$K$2:$K$1001,0),0), INDEX($R$1004:$W$1004,1,MATCH(COLUMNS($R$1006:T1006),$R$1006:$W$1006,0)))),"Fix")))</f>
        <v>0</v>
      </c>
      <c r="E487" s="3">
        <f>IF(OR(INDEX($L$2:$L$1001,MATCH(ROWS($K$2:K487),$K$2:$K$1001,0),1)&gt;=100000,INDEX($R$1005:$W$1005,1,MATCH(COLUMNS($R$1006:U1006),$R$1006:$W$1006,0))&gt;=100000), " ",IF(INDEX($R$2:$W$1001,MATCH(ROWS($K$2:K487),$K$2:$K$1001,0),MATCH(COLUMNS($R$1006:U1006),$R$1006:$W$1006,0)), HYPERLINK("#",""), HYPERLINK(CONCATENATE("#Metadata!", ADDRESS(INDEX($M$2:$M$1001,MATCH(ROWS($K$2:K487),$K$2:$K$1001,0),0), INDEX($R$1004:$W$1004,1,MATCH(COLUMNS($R$1006:U1006),$R$1006:$W$1006,0)))),"Fix")))</f>
        <v>0</v>
      </c>
      <c r="F487" s="3">
        <f>IF(OR(INDEX($L$2:$L$1001,MATCH(ROWS($K$2:K487),$K$2:$K$1001,0),1)&gt;=100000,INDEX($R$1005:$W$1005,1,MATCH(COLUMNS($R$1006:V1006),$R$1006:$W$1006,0))&gt;=100000), " ",IF(INDEX($R$2:$W$1001,MATCH(ROWS($K$2:K487),$K$2:$K$1001,0),MATCH(COLUMNS($R$1006:V1006),$R$1006:$W$1006,0)), HYPERLINK("#",""), HYPERLINK(CONCATENATE("#Metadata!", ADDRESS(INDEX($M$2:$M$1001,MATCH(ROWS($K$2:K487),$K$2:$K$1001,0),0), INDEX($R$1004:$W$1004,1,MATCH(COLUMNS($R$1006:V1006),$R$1006:$W$1006,0)))),"Fix")))</f>
        <v>0</v>
      </c>
      <c r="G487" s="3">
        <f>IF(OR(INDEX($L$2:$L$1001,MATCH(ROWS($K$2:K487),$K$2:$K$1001,0),1)&gt;=100000,INDEX($R$1005:$W$1005,1,MATCH(COLUMNS($R$1006:W1006),$R$1006:$W$1006,0))&gt;=100000), " ",IF(INDEX($R$2:$W$1001,MATCH(ROWS($K$2:K487),$K$2:$K$1001,0),MATCH(COLUMNS($R$1006:W1006),$R$1006:$W$1006,0)), HYPERLINK("#",""), HYPERLINK(CONCATENATE("#Metadata!", ADDRESS(INDEX($M$2:$M$1001,MATCH(ROWS($K$2:K487),$K$2:$K$1001,0),0), INDEX($R$1004:$W$1004,1,MATCH(COLUMNS($R$1006:W1006),$R$1006:$W$1006,0)))),"Fix")))</f>
        <v>0</v>
      </c>
      <c r="K487">
        <v>0</v>
      </c>
      <c r="L487">
        <v>0</v>
      </c>
      <c r="M487">
        <v>0</v>
      </c>
      <c r="N487">
        <f>IF(O487,TRUE,AND(R487:W487))</f>
        <v>0</v>
      </c>
      <c r="O487">
        <f>COUNTBLANK(Metadata!B487:G487)=COLUMNS(Metadata!B487:G487)</f>
        <v>0</v>
      </c>
      <c r="P487">
        <v>0</v>
      </c>
      <c r="R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S487">
        <f>IF(Metadata!C487="",FALSE,TRUE)</f>
        <v>0</v>
      </c>
      <c r="T487">
        <f>IF(Metadata!D487="",FALSE,TRUE)</f>
        <v>0</v>
      </c>
      <c r="U487">
        <f>IF(Metadata!E487="",FALSE,TRUE)</f>
        <v>0</v>
      </c>
      <c r="V487">
        <f>AND(IF(Metadata!F487="",FALSE,TRUE),exact(Metadata!F487,"rat gut metagenome"))</f>
        <v>0</v>
      </c>
      <c r="W487">
        <f>AND(IF(Metadata!G487="",FALSE,TRUE),exact(Metadata!G487,"1436733"))</f>
        <v>0</v>
      </c>
    </row>
    <row r="488" spans="1:23">
      <c r="A488" s="4">
        <f>IF(B488=" "," ",HYPERLINK(CONCATENATE("#metadata!",ADDRESS(INDEX($M$2:$M$1001,MATCH(ROWS($K$2:K488),$K$2:$K$1001,0),0),1)),INDEX($P$2:$P$1001,MATCH(ROWS($K$2:K488),$K$2:$K$1001,0),0)))</f>
        <v>0</v>
      </c>
      <c r="B488" s="3">
        <f>IF(OR(INDEX($L$2:$L$1001,MATCH(ROWS($K$2:K488),$K$2:$K$1001,0),1)&gt;=100000,INDEX($R$1005:$W$1005,1,MATCH(COLUMNS($R$1006:R1006),$R$1006:$W$1006,0))&gt;=100000), " ",IF(INDEX($R$2:$W$1001,MATCH(ROWS($K$2:K488),$K$2:$K$1001,0),MATCH(COLUMNS($R$1006:R1006),$R$1006:$W$1006,0)), HYPERLINK("#",""), HYPERLINK(CONCATENATE("#Metadata!", ADDRESS(INDEX($M$2:$M$1001,MATCH(ROWS($K$2:K488),$K$2:$K$1001,0),0), INDEX($R$1004:$W$1004,1,MATCH(COLUMNS($R$1006:R1006),$R$1006:$W$1006,0)))),"Fix")))</f>
        <v>0</v>
      </c>
      <c r="C488" s="3">
        <f>IF(OR(INDEX($L$2:$L$1001,MATCH(ROWS($K$2:K488),$K$2:$K$1001,0),1)&gt;=100000,INDEX($R$1005:$W$1005,1,MATCH(COLUMNS($R$1006:S1006),$R$1006:$W$1006,0))&gt;=100000), " ",IF(INDEX($R$2:$W$1001,MATCH(ROWS($K$2:K488),$K$2:$K$1001,0),MATCH(COLUMNS($R$1006:S1006),$R$1006:$W$1006,0)), HYPERLINK("#",""), HYPERLINK(CONCATENATE("#Metadata!", ADDRESS(INDEX($M$2:$M$1001,MATCH(ROWS($K$2:K488),$K$2:$K$1001,0),0), INDEX($R$1004:$W$1004,1,MATCH(COLUMNS($R$1006:S1006),$R$1006:$W$1006,0)))),"Fix")))</f>
        <v>0</v>
      </c>
      <c r="D488" s="3">
        <f>IF(OR(INDEX($L$2:$L$1001,MATCH(ROWS($K$2:K488),$K$2:$K$1001,0),1)&gt;=100000,INDEX($R$1005:$W$1005,1,MATCH(COLUMNS($R$1006:T1006),$R$1006:$W$1006,0))&gt;=100000), " ",IF(INDEX($R$2:$W$1001,MATCH(ROWS($K$2:K488),$K$2:$K$1001,0),MATCH(COLUMNS($R$1006:T1006),$R$1006:$W$1006,0)), HYPERLINK("#",""), HYPERLINK(CONCATENATE("#Metadata!", ADDRESS(INDEX($M$2:$M$1001,MATCH(ROWS($K$2:K488),$K$2:$K$1001,0),0), INDEX($R$1004:$W$1004,1,MATCH(COLUMNS($R$1006:T1006),$R$1006:$W$1006,0)))),"Fix")))</f>
        <v>0</v>
      </c>
      <c r="E488" s="3">
        <f>IF(OR(INDEX($L$2:$L$1001,MATCH(ROWS($K$2:K488),$K$2:$K$1001,0),1)&gt;=100000,INDEX($R$1005:$W$1005,1,MATCH(COLUMNS($R$1006:U1006),$R$1006:$W$1006,0))&gt;=100000), " ",IF(INDEX($R$2:$W$1001,MATCH(ROWS($K$2:K488),$K$2:$K$1001,0),MATCH(COLUMNS($R$1006:U1006),$R$1006:$W$1006,0)), HYPERLINK("#",""), HYPERLINK(CONCATENATE("#Metadata!", ADDRESS(INDEX($M$2:$M$1001,MATCH(ROWS($K$2:K488),$K$2:$K$1001,0),0), INDEX($R$1004:$W$1004,1,MATCH(COLUMNS($R$1006:U1006),$R$1006:$W$1006,0)))),"Fix")))</f>
        <v>0</v>
      </c>
      <c r="F488" s="3">
        <f>IF(OR(INDEX($L$2:$L$1001,MATCH(ROWS($K$2:K488),$K$2:$K$1001,0),1)&gt;=100000,INDEX($R$1005:$W$1005,1,MATCH(COLUMNS($R$1006:V1006),$R$1006:$W$1006,0))&gt;=100000), " ",IF(INDEX($R$2:$W$1001,MATCH(ROWS($K$2:K488),$K$2:$K$1001,0),MATCH(COLUMNS($R$1006:V1006),$R$1006:$W$1006,0)), HYPERLINK("#",""), HYPERLINK(CONCATENATE("#Metadata!", ADDRESS(INDEX($M$2:$M$1001,MATCH(ROWS($K$2:K488),$K$2:$K$1001,0),0), INDEX($R$1004:$W$1004,1,MATCH(COLUMNS($R$1006:V1006),$R$1006:$W$1006,0)))),"Fix")))</f>
        <v>0</v>
      </c>
      <c r="G488" s="3">
        <f>IF(OR(INDEX($L$2:$L$1001,MATCH(ROWS($K$2:K488),$K$2:$K$1001,0),1)&gt;=100000,INDEX($R$1005:$W$1005,1,MATCH(COLUMNS($R$1006:W1006),$R$1006:$W$1006,0))&gt;=100000), " ",IF(INDEX($R$2:$W$1001,MATCH(ROWS($K$2:K488),$K$2:$K$1001,0),MATCH(COLUMNS($R$1006:W1006),$R$1006:$W$1006,0)), HYPERLINK("#",""), HYPERLINK(CONCATENATE("#Metadata!", ADDRESS(INDEX($M$2:$M$1001,MATCH(ROWS($K$2:K488),$K$2:$K$1001,0),0), INDEX($R$1004:$W$1004,1,MATCH(COLUMNS($R$1006:W1006),$R$1006:$W$1006,0)))),"Fix")))</f>
        <v>0</v>
      </c>
      <c r="K488">
        <v>0</v>
      </c>
      <c r="L488">
        <v>0</v>
      </c>
      <c r="M488">
        <v>0</v>
      </c>
      <c r="N488">
        <f>IF(O488,TRUE,AND(R488:W488))</f>
        <v>0</v>
      </c>
      <c r="O488">
        <f>COUNTBLANK(Metadata!B488:G488)=COLUMNS(Metadata!B488:G488)</f>
        <v>0</v>
      </c>
      <c r="P488">
        <v>0</v>
      </c>
      <c r="R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S488">
        <f>IF(Metadata!C488="",FALSE,TRUE)</f>
        <v>0</v>
      </c>
      <c r="T488">
        <f>IF(Metadata!D488="",FALSE,TRUE)</f>
        <v>0</v>
      </c>
      <c r="U488">
        <f>IF(Metadata!E488="",FALSE,TRUE)</f>
        <v>0</v>
      </c>
      <c r="V488">
        <f>AND(IF(Metadata!F488="",FALSE,TRUE),exact(Metadata!F488,"rat gut metagenome"))</f>
        <v>0</v>
      </c>
      <c r="W488">
        <f>AND(IF(Metadata!G488="",FALSE,TRUE),exact(Metadata!G488,"1436733"))</f>
        <v>0</v>
      </c>
    </row>
    <row r="489" spans="1:23">
      <c r="A489" s="4">
        <f>IF(B489=" "," ",HYPERLINK(CONCATENATE("#metadata!",ADDRESS(INDEX($M$2:$M$1001,MATCH(ROWS($K$2:K489),$K$2:$K$1001,0),0),1)),INDEX($P$2:$P$1001,MATCH(ROWS($K$2:K489),$K$2:$K$1001,0),0)))</f>
        <v>0</v>
      </c>
      <c r="B489" s="3">
        <f>IF(OR(INDEX($L$2:$L$1001,MATCH(ROWS($K$2:K489),$K$2:$K$1001,0),1)&gt;=100000,INDEX($R$1005:$W$1005,1,MATCH(COLUMNS($R$1006:R1006),$R$1006:$W$1006,0))&gt;=100000), " ",IF(INDEX($R$2:$W$1001,MATCH(ROWS($K$2:K489),$K$2:$K$1001,0),MATCH(COLUMNS($R$1006:R1006),$R$1006:$W$1006,0)), HYPERLINK("#",""), HYPERLINK(CONCATENATE("#Metadata!", ADDRESS(INDEX($M$2:$M$1001,MATCH(ROWS($K$2:K489),$K$2:$K$1001,0),0), INDEX($R$1004:$W$1004,1,MATCH(COLUMNS($R$1006:R1006),$R$1006:$W$1006,0)))),"Fix")))</f>
        <v>0</v>
      </c>
      <c r="C489" s="3">
        <f>IF(OR(INDEX($L$2:$L$1001,MATCH(ROWS($K$2:K489),$K$2:$K$1001,0),1)&gt;=100000,INDEX($R$1005:$W$1005,1,MATCH(COLUMNS($R$1006:S1006),$R$1006:$W$1006,0))&gt;=100000), " ",IF(INDEX($R$2:$W$1001,MATCH(ROWS($K$2:K489),$K$2:$K$1001,0),MATCH(COLUMNS($R$1006:S1006),$R$1006:$W$1006,0)), HYPERLINK("#",""), HYPERLINK(CONCATENATE("#Metadata!", ADDRESS(INDEX($M$2:$M$1001,MATCH(ROWS($K$2:K489),$K$2:$K$1001,0),0), INDEX($R$1004:$W$1004,1,MATCH(COLUMNS($R$1006:S1006),$R$1006:$W$1006,0)))),"Fix")))</f>
        <v>0</v>
      </c>
      <c r="D489" s="3">
        <f>IF(OR(INDEX($L$2:$L$1001,MATCH(ROWS($K$2:K489),$K$2:$K$1001,0),1)&gt;=100000,INDEX($R$1005:$W$1005,1,MATCH(COLUMNS($R$1006:T1006),$R$1006:$W$1006,0))&gt;=100000), " ",IF(INDEX($R$2:$W$1001,MATCH(ROWS($K$2:K489),$K$2:$K$1001,0),MATCH(COLUMNS($R$1006:T1006),$R$1006:$W$1006,0)), HYPERLINK("#",""), HYPERLINK(CONCATENATE("#Metadata!", ADDRESS(INDEX($M$2:$M$1001,MATCH(ROWS($K$2:K489),$K$2:$K$1001,0),0), INDEX($R$1004:$W$1004,1,MATCH(COLUMNS($R$1006:T1006),$R$1006:$W$1006,0)))),"Fix")))</f>
        <v>0</v>
      </c>
      <c r="E489" s="3">
        <f>IF(OR(INDEX($L$2:$L$1001,MATCH(ROWS($K$2:K489),$K$2:$K$1001,0),1)&gt;=100000,INDEX($R$1005:$W$1005,1,MATCH(COLUMNS($R$1006:U1006),$R$1006:$W$1006,0))&gt;=100000), " ",IF(INDEX($R$2:$W$1001,MATCH(ROWS($K$2:K489),$K$2:$K$1001,0),MATCH(COLUMNS($R$1006:U1006),$R$1006:$W$1006,0)), HYPERLINK("#",""), HYPERLINK(CONCATENATE("#Metadata!", ADDRESS(INDEX($M$2:$M$1001,MATCH(ROWS($K$2:K489),$K$2:$K$1001,0),0), INDEX($R$1004:$W$1004,1,MATCH(COLUMNS($R$1006:U1006),$R$1006:$W$1006,0)))),"Fix")))</f>
        <v>0</v>
      </c>
      <c r="F489" s="3">
        <f>IF(OR(INDEX($L$2:$L$1001,MATCH(ROWS($K$2:K489),$K$2:$K$1001,0),1)&gt;=100000,INDEX($R$1005:$W$1005,1,MATCH(COLUMNS($R$1006:V1006),$R$1006:$W$1006,0))&gt;=100000), " ",IF(INDEX($R$2:$W$1001,MATCH(ROWS($K$2:K489),$K$2:$K$1001,0),MATCH(COLUMNS($R$1006:V1006),$R$1006:$W$1006,0)), HYPERLINK("#",""), HYPERLINK(CONCATENATE("#Metadata!", ADDRESS(INDEX($M$2:$M$1001,MATCH(ROWS($K$2:K489),$K$2:$K$1001,0),0), INDEX($R$1004:$W$1004,1,MATCH(COLUMNS($R$1006:V1006),$R$1006:$W$1006,0)))),"Fix")))</f>
        <v>0</v>
      </c>
      <c r="G489" s="3">
        <f>IF(OR(INDEX($L$2:$L$1001,MATCH(ROWS($K$2:K489),$K$2:$K$1001,0),1)&gt;=100000,INDEX($R$1005:$W$1005,1,MATCH(COLUMNS($R$1006:W1006),$R$1006:$W$1006,0))&gt;=100000), " ",IF(INDEX($R$2:$W$1001,MATCH(ROWS($K$2:K489),$K$2:$K$1001,0),MATCH(COLUMNS($R$1006:W1006),$R$1006:$W$1006,0)), HYPERLINK("#",""), HYPERLINK(CONCATENATE("#Metadata!", ADDRESS(INDEX($M$2:$M$1001,MATCH(ROWS($K$2:K489),$K$2:$K$1001,0),0), INDEX($R$1004:$W$1004,1,MATCH(COLUMNS($R$1006:W1006),$R$1006:$W$1006,0)))),"Fix")))</f>
        <v>0</v>
      </c>
      <c r="K489">
        <v>0</v>
      </c>
      <c r="L489">
        <v>0</v>
      </c>
      <c r="M489">
        <v>0</v>
      </c>
      <c r="N489">
        <f>IF(O489,TRUE,AND(R489:W489))</f>
        <v>0</v>
      </c>
      <c r="O489">
        <f>COUNTBLANK(Metadata!B489:G489)=COLUMNS(Metadata!B489:G489)</f>
        <v>0</v>
      </c>
      <c r="P489">
        <v>0</v>
      </c>
      <c r="R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S489">
        <f>IF(Metadata!C489="",FALSE,TRUE)</f>
        <v>0</v>
      </c>
      <c r="T489">
        <f>IF(Metadata!D489="",FALSE,TRUE)</f>
        <v>0</v>
      </c>
      <c r="U489">
        <f>IF(Metadata!E489="",FALSE,TRUE)</f>
        <v>0</v>
      </c>
      <c r="V489">
        <f>AND(IF(Metadata!F489="",FALSE,TRUE),exact(Metadata!F489,"rat gut metagenome"))</f>
        <v>0</v>
      </c>
      <c r="W489">
        <f>AND(IF(Metadata!G489="",FALSE,TRUE),exact(Metadata!G489,"1436733"))</f>
        <v>0</v>
      </c>
    </row>
    <row r="490" spans="1:23">
      <c r="A490" s="4">
        <f>IF(B490=" "," ",HYPERLINK(CONCATENATE("#metadata!",ADDRESS(INDEX($M$2:$M$1001,MATCH(ROWS($K$2:K490),$K$2:$K$1001,0),0),1)),INDEX($P$2:$P$1001,MATCH(ROWS($K$2:K490),$K$2:$K$1001,0),0)))</f>
        <v>0</v>
      </c>
      <c r="B490" s="3">
        <f>IF(OR(INDEX($L$2:$L$1001,MATCH(ROWS($K$2:K490),$K$2:$K$1001,0),1)&gt;=100000,INDEX($R$1005:$W$1005,1,MATCH(COLUMNS($R$1006:R1006),$R$1006:$W$1006,0))&gt;=100000), " ",IF(INDEX($R$2:$W$1001,MATCH(ROWS($K$2:K490),$K$2:$K$1001,0),MATCH(COLUMNS($R$1006:R1006),$R$1006:$W$1006,0)), HYPERLINK("#",""), HYPERLINK(CONCATENATE("#Metadata!", ADDRESS(INDEX($M$2:$M$1001,MATCH(ROWS($K$2:K490),$K$2:$K$1001,0),0), INDEX($R$1004:$W$1004,1,MATCH(COLUMNS($R$1006:R1006),$R$1006:$W$1006,0)))),"Fix")))</f>
        <v>0</v>
      </c>
      <c r="C490" s="3">
        <f>IF(OR(INDEX($L$2:$L$1001,MATCH(ROWS($K$2:K490),$K$2:$K$1001,0),1)&gt;=100000,INDEX($R$1005:$W$1005,1,MATCH(COLUMNS($R$1006:S1006),$R$1006:$W$1006,0))&gt;=100000), " ",IF(INDEX($R$2:$W$1001,MATCH(ROWS($K$2:K490),$K$2:$K$1001,0),MATCH(COLUMNS($R$1006:S1006),$R$1006:$W$1006,0)), HYPERLINK("#",""), HYPERLINK(CONCATENATE("#Metadata!", ADDRESS(INDEX($M$2:$M$1001,MATCH(ROWS($K$2:K490),$K$2:$K$1001,0),0), INDEX($R$1004:$W$1004,1,MATCH(COLUMNS($R$1006:S1006),$R$1006:$W$1006,0)))),"Fix")))</f>
        <v>0</v>
      </c>
      <c r="D490" s="3">
        <f>IF(OR(INDEX($L$2:$L$1001,MATCH(ROWS($K$2:K490),$K$2:$K$1001,0),1)&gt;=100000,INDEX($R$1005:$W$1005,1,MATCH(COLUMNS($R$1006:T1006),$R$1006:$W$1006,0))&gt;=100000), " ",IF(INDEX($R$2:$W$1001,MATCH(ROWS($K$2:K490),$K$2:$K$1001,0),MATCH(COLUMNS($R$1006:T1006),$R$1006:$W$1006,0)), HYPERLINK("#",""), HYPERLINK(CONCATENATE("#Metadata!", ADDRESS(INDEX($M$2:$M$1001,MATCH(ROWS($K$2:K490),$K$2:$K$1001,0),0), INDEX($R$1004:$W$1004,1,MATCH(COLUMNS($R$1006:T1006),$R$1006:$W$1006,0)))),"Fix")))</f>
        <v>0</v>
      </c>
      <c r="E490" s="3">
        <f>IF(OR(INDEX($L$2:$L$1001,MATCH(ROWS($K$2:K490),$K$2:$K$1001,0),1)&gt;=100000,INDEX($R$1005:$W$1005,1,MATCH(COLUMNS($R$1006:U1006),$R$1006:$W$1006,0))&gt;=100000), " ",IF(INDEX($R$2:$W$1001,MATCH(ROWS($K$2:K490),$K$2:$K$1001,0),MATCH(COLUMNS($R$1006:U1006),$R$1006:$W$1006,0)), HYPERLINK("#",""), HYPERLINK(CONCATENATE("#Metadata!", ADDRESS(INDEX($M$2:$M$1001,MATCH(ROWS($K$2:K490),$K$2:$K$1001,0),0), INDEX($R$1004:$W$1004,1,MATCH(COLUMNS($R$1006:U1006),$R$1006:$W$1006,0)))),"Fix")))</f>
        <v>0</v>
      </c>
      <c r="F490" s="3">
        <f>IF(OR(INDEX($L$2:$L$1001,MATCH(ROWS($K$2:K490),$K$2:$K$1001,0),1)&gt;=100000,INDEX($R$1005:$W$1005,1,MATCH(COLUMNS($R$1006:V1006),$R$1006:$W$1006,0))&gt;=100000), " ",IF(INDEX($R$2:$W$1001,MATCH(ROWS($K$2:K490),$K$2:$K$1001,0),MATCH(COLUMNS($R$1006:V1006),$R$1006:$W$1006,0)), HYPERLINK("#",""), HYPERLINK(CONCATENATE("#Metadata!", ADDRESS(INDEX($M$2:$M$1001,MATCH(ROWS($K$2:K490),$K$2:$K$1001,0),0), INDEX($R$1004:$W$1004,1,MATCH(COLUMNS($R$1006:V1006),$R$1006:$W$1006,0)))),"Fix")))</f>
        <v>0</v>
      </c>
      <c r="G490" s="3">
        <f>IF(OR(INDEX($L$2:$L$1001,MATCH(ROWS($K$2:K490),$K$2:$K$1001,0),1)&gt;=100000,INDEX($R$1005:$W$1005,1,MATCH(COLUMNS($R$1006:W1006),$R$1006:$W$1006,0))&gt;=100000), " ",IF(INDEX($R$2:$W$1001,MATCH(ROWS($K$2:K490),$K$2:$K$1001,0),MATCH(COLUMNS($R$1006:W1006),$R$1006:$W$1006,0)), HYPERLINK("#",""), HYPERLINK(CONCATENATE("#Metadata!", ADDRESS(INDEX($M$2:$M$1001,MATCH(ROWS($K$2:K490),$K$2:$K$1001,0),0), INDEX($R$1004:$W$1004,1,MATCH(COLUMNS($R$1006:W1006),$R$1006:$W$1006,0)))),"Fix")))</f>
        <v>0</v>
      </c>
      <c r="K490">
        <v>0</v>
      </c>
      <c r="L490">
        <v>0</v>
      </c>
      <c r="M490">
        <v>0</v>
      </c>
      <c r="N490">
        <f>IF(O490,TRUE,AND(R490:W490))</f>
        <v>0</v>
      </c>
      <c r="O490">
        <f>COUNTBLANK(Metadata!B490:G490)=COLUMNS(Metadata!B490:G490)</f>
        <v>0</v>
      </c>
      <c r="P490">
        <v>0</v>
      </c>
      <c r="R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S490">
        <f>IF(Metadata!C490="",FALSE,TRUE)</f>
        <v>0</v>
      </c>
      <c r="T490">
        <f>IF(Metadata!D490="",FALSE,TRUE)</f>
        <v>0</v>
      </c>
      <c r="U490">
        <f>IF(Metadata!E490="",FALSE,TRUE)</f>
        <v>0</v>
      </c>
      <c r="V490">
        <f>AND(IF(Metadata!F490="",FALSE,TRUE),exact(Metadata!F490,"rat gut metagenome"))</f>
        <v>0</v>
      </c>
      <c r="W490">
        <f>AND(IF(Metadata!G490="",FALSE,TRUE),exact(Metadata!G490,"1436733"))</f>
        <v>0</v>
      </c>
    </row>
    <row r="491" spans="1:23">
      <c r="A491" s="4">
        <f>IF(B491=" "," ",HYPERLINK(CONCATENATE("#metadata!",ADDRESS(INDEX($M$2:$M$1001,MATCH(ROWS($K$2:K491),$K$2:$K$1001,0),0),1)),INDEX($P$2:$P$1001,MATCH(ROWS($K$2:K491),$K$2:$K$1001,0),0)))</f>
        <v>0</v>
      </c>
      <c r="B491" s="3">
        <f>IF(OR(INDEX($L$2:$L$1001,MATCH(ROWS($K$2:K491),$K$2:$K$1001,0),1)&gt;=100000,INDEX($R$1005:$W$1005,1,MATCH(COLUMNS($R$1006:R1006),$R$1006:$W$1006,0))&gt;=100000), " ",IF(INDEX($R$2:$W$1001,MATCH(ROWS($K$2:K491),$K$2:$K$1001,0),MATCH(COLUMNS($R$1006:R1006),$R$1006:$W$1006,0)), HYPERLINK("#",""), HYPERLINK(CONCATENATE("#Metadata!", ADDRESS(INDEX($M$2:$M$1001,MATCH(ROWS($K$2:K491),$K$2:$K$1001,0),0), INDEX($R$1004:$W$1004,1,MATCH(COLUMNS($R$1006:R1006),$R$1006:$W$1006,0)))),"Fix")))</f>
        <v>0</v>
      </c>
      <c r="C491" s="3">
        <f>IF(OR(INDEX($L$2:$L$1001,MATCH(ROWS($K$2:K491),$K$2:$K$1001,0),1)&gt;=100000,INDEX($R$1005:$W$1005,1,MATCH(COLUMNS($R$1006:S1006),$R$1006:$W$1006,0))&gt;=100000), " ",IF(INDEX($R$2:$W$1001,MATCH(ROWS($K$2:K491),$K$2:$K$1001,0),MATCH(COLUMNS($R$1006:S1006),$R$1006:$W$1006,0)), HYPERLINK("#",""), HYPERLINK(CONCATENATE("#Metadata!", ADDRESS(INDEX($M$2:$M$1001,MATCH(ROWS($K$2:K491),$K$2:$K$1001,0),0), INDEX($R$1004:$W$1004,1,MATCH(COLUMNS($R$1006:S1006),$R$1006:$W$1006,0)))),"Fix")))</f>
        <v>0</v>
      </c>
      <c r="D491" s="3">
        <f>IF(OR(INDEX($L$2:$L$1001,MATCH(ROWS($K$2:K491),$K$2:$K$1001,0),1)&gt;=100000,INDEX($R$1005:$W$1005,1,MATCH(COLUMNS($R$1006:T1006),$R$1006:$W$1006,0))&gt;=100000), " ",IF(INDEX($R$2:$W$1001,MATCH(ROWS($K$2:K491),$K$2:$K$1001,0),MATCH(COLUMNS($R$1006:T1006),$R$1006:$W$1006,0)), HYPERLINK("#",""), HYPERLINK(CONCATENATE("#Metadata!", ADDRESS(INDEX($M$2:$M$1001,MATCH(ROWS($K$2:K491),$K$2:$K$1001,0),0), INDEX($R$1004:$W$1004,1,MATCH(COLUMNS($R$1006:T1006),$R$1006:$W$1006,0)))),"Fix")))</f>
        <v>0</v>
      </c>
      <c r="E491" s="3">
        <f>IF(OR(INDEX($L$2:$L$1001,MATCH(ROWS($K$2:K491),$K$2:$K$1001,0),1)&gt;=100000,INDEX($R$1005:$W$1005,1,MATCH(COLUMNS($R$1006:U1006),$R$1006:$W$1006,0))&gt;=100000), " ",IF(INDEX($R$2:$W$1001,MATCH(ROWS($K$2:K491),$K$2:$K$1001,0),MATCH(COLUMNS($R$1006:U1006),$R$1006:$W$1006,0)), HYPERLINK("#",""), HYPERLINK(CONCATENATE("#Metadata!", ADDRESS(INDEX($M$2:$M$1001,MATCH(ROWS($K$2:K491),$K$2:$K$1001,0),0), INDEX($R$1004:$W$1004,1,MATCH(COLUMNS($R$1006:U1006),$R$1006:$W$1006,0)))),"Fix")))</f>
        <v>0</v>
      </c>
      <c r="F491" s="3">
        <f>IF(OR(INDEX($L$2:$L$1001,MATCH(ROWS($K$2:K491),$K$2:$K$1001,0),1)&gt;=100000,INDEX($R$1005:$W$1005,1,MATCH(COLUMNS($R$1006:V1006),$R$1006:$W$1006,0))&gt;=100000), " ",IF(INDEX($R$2:$W$1001,MATCH(ROWS($K$2:K491),$K$2:$K$1001,0),MATCH(COLUMNS($R$1006:V1006),$R$1006:$W$1006,0)), HYPERLINK("#",""), HYPERLINK(CONCATENATE("#Metadata!", ADDRESS(INDEX($M$2:$M$1001,MATCH(ROWS($K$2:K491),$K$2:$K$1001,0),0), INDEX($R$1004:$W$1004,1,MATCH(COLUMNS($R$1006:V1006),$R$1006:$W$1006,0)))),"Fix")))</f>
        <v>0</v>
      </c>
      <c r="G491" s="3">
        <f>IF(OR(INDEX($L$2:$L$1001,MATCH(ROWS($K$2:K491),$K$2:$K$1001,0),1)&gt;=100000,INDEX($R$1005:$W$1005,1,MATCH(COLUMNS($R$1006:W1006),$R$1006:$W$1006,0))&gt;=100000), " ",IF(INDEX($R$2:$W$1001,MATCH(ROWS($K$2:K491),$K$2:$K$1001,0),MATCH(COLUMNS($R$1006:W1006),$R$1006:$W$1006,0)), HYPERLINK("#",""), HYPERLINK(CONCATENATE("#Metadata!", ADDRESS(INDEX($M$2:$M$1001,MATCH(ROWS($K$2:K491),$K$2:$K$1001,0),0), INDEX($R$1004:$W$1004,1,MATCH(COLUMNS($R$1006:W1006),$R$1006:$W$1006,0)))),"Fix")))</f>
        <v>0</v>
      </c>
      <c r="K491">
        <v>0</v>
      </c>
      <c r="L491">
        <v>0</v>
      </c>
      <c r="M491">
        <v>0</v>
      </c>
      <c r="N491">
        <f>IF(O491,TRUE,AND(R491:W491))</f>
        <v>0</v>
      </c>
      <c r="O491">
        <f>COUNTBLANK(Metadata!B491:G491)=COLUMNS(Metadata!B491:G491)</f>
        <v>0</v>
      </c>
      <c r="P491">
        <v>0</v>
      </c>
      <c r="R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S491">
        <f>IF(Metadata!C491="",FALSE,TRUE)</f>
        <v>0</v>
      </c>
      <c r="T491">
        <f>IF(Metadata!D491="",FALSE,TRUE)</f>
        <v>0</v>
      </c>
      <c r="U491">
        <f>IF(Metadata!E491="",FALSE,TRUE)</f>
        <v>0</v>
      </c>
      <c r="V491">
        <f>AND(IF(Metadata!F491="",FALSE,TRUE),exact(Metadata!F491,"rat gut metagenome"))</f>
        <v>0</v>
      </c>
      <c r="W491">
        <f>AND(IF(Metadata!G491="",FALSE,TRUE),exact(Metadata!G491,"1436733"))</f>
        <v>0</v>
      </c>
    </row>
    <row r="492" spans="1:23">
      <c r="A492" s="4">
        <f>IF(B492=" "," ",HYPERLINK(CONCATENATE("#metadata!",ADDRESS(INDEX($M$2:$M$1001,MATCH(ROWS($K$2:K492),$K$2:$K$1001,0),0),1)),INDEX($P$2:$P$1001,MATCH(ROWS($K$2:K492),$K$2:$K$1001,0),0)))</f>
        <v>0</v>
      </c>
      <c r="B492" s="3">
        <f>IF(OR(INDEX($L$2:$L$1001,MATCH(ROWS($K$2:K492),$K$2:$K$1001,0),1)&gt;=100000,INDEX($R$1005:$W$1005,1,MATCH(COLUMNS($R$1006:R1006),$R$1006:$W$1006,0))&gt;=100000), " ",IF(INDEX($R$2:$W$1001,MATCH(ROWS($K$2:K492),$K$2:$K$1001,0),MATCH(COLUMNS($R$1006:R1006),$R$1006:$W$1006,0)), HYPERLINK("#",""), HYPERLINK(CONCATENATE("#Metadata!", ADDRESS(INDEX($M$2:$M$1001,MATCH(ROWS($K$2:K492),$K$2:$K$1001,0),0), INDEX($R$1004:$W$1004,1,MATCH(COLUMNS($R$1006:R1006),$R$1006:$W$1006,0)))),"Fix")))</f>
        <v>0</v>
      </c>
      <c r="C492" s="3">
        <f>IF(OR(INDEX($L$2:$L$1001,MATCH(ROWS($K$2:K492),$K$2:$K$1001,0),1)&gt;=100000,INDEX($R$1005:$W$1005,1,MATCH(COLUMNS($R$1006:S1006),$R$1006:$W$1006,0))&gt;=100000), " ",IF(INDEX($R$2:$W$1001,MATCH(ROWS($K$2:K492),$K$2:$K$1001,0),MATCH(COLUMNS($R$1006:S1006),$R$1006:$W$1006,0)), HYPERLINK("#",""), HYPERLINK(CONCATENATE("#Metadata!", ADDRESS(INDEX($M$2:$M$1001,MATCH(ROWS($K$2:K492),$K$2:$K$1001,0),0), INDEX($R$1004:$W$1004,1,MATCH(COLUMNS($R$1006:S1006),$R$1006:$W$1006,0)))),"Fix")))</f>
        <v>0</v>
      </c>
      <c r="D492" s="3">
        <f>IF(OR(INDEX($L$2:$L$1001,MATCH(ROWS($K$2:K492),$K$2:$K$1001,0),1)&gt;=100000,INDEX($R$1005:$W$1005,1,MATCH(COLUMNS($R$1006:T1006),$R$1006:$W$1006,0))&gt;=100000), " ",IF(INDEX($R$2:$W$1001,MATCH(ROWS($K$2:K492),$K$2:$K$1001,0),MATCH(COLUMNS($R$1006:T1006),$R$1006:$W$1006,0)), HYPERLINK("#",""), HYPERLINK(CONCATENATE("#Metadata!", ADDRESS(INDEX($M$2:$M$1001,MATCH(ROWS($K$2:K492),$K$2:$K$1001,0),0), INDEX($R$1004:$W$1004,1,MATCH(COLUMNS($R$1006:T1006),$R$1006:$W$1006,0)))),"Fix")))</f>
        <v>0</v>
      </c>
      <c r="E492" s="3">
        <f>IF(OR(INDEX($L$2:$L$1001,MATCH(ROWS($K$2:K492),$K$2:$K$1001,0),1)&gt;=100000,INDEX($R$1005:$W$1005,1,MATCH(COLUMNS($R$1006:U1006),$R$1006:$W$1006,0))&gt;=100000), " ",IF(INDEX($R$2:$W$1001,MATCH(ROWS($K$2:K492),$K$2:$K$1001,0),MATCH(COLUMNS($R$1006:U1006),$R$1006:$W$1006,0)), HYPERLINK("#",""), HYPERLINK(CONCATENATE("#Metadata!", ADDRESS(INDEX($M$2:$M$1001,MATCH(ROWS($K$2:K492),$K$2:$K$1001,0),0), INDEX($R$1004:$W$1004,1,MATCH(COLUMNS($R$1006:U1006),$R$1006:$W$1006,0)))),"Fix")))</f>
        <v>0</v>
      </c>
      <c r="F492" s="3">
        <f>IF(OR(INDEX($L$2:$L$1001,MATCH(ROWS($K$2:K492),$K$2:$K$1001,0),1)&gt;=100000,INDEX($R$1005:$W$1005,1,MATCH(COLUMNS($R$1006:V1006),$R$1006:$W$1006,0))&gt;=100000), " ",IF(INDEX($R$2:$W$1001,MATCH(ROWS($K$2:K492),$K$2:$K$1001,0),MATCH(COLUMNS($R$1006:V1006),$R$1006:$W$1006,0)), HYPERLINK("#",""), HYPERLINK(CONCATENATE("#Metadata!", ADDRESS(INDEX($M$2:$M$1001,MATCH(ROWS($K$2:K492),$K$2:$K$1001,0),0), INDEX($R$1004:$W$1004,1,MATCH(COLUMNS($R$1006:V1006),$R$1006:$W$1006,0)))),"Fix")))</f>
        <v>0</v>
      </c>
      <c r="G492" s="3">
        <f>IF(OR(INDEX($L$2:$L$1001,MATCH(ROWS($K$2:K492),$K$2:$K$1001,0),1)&gt;=100000,INDEX($R$1005:$W$1005,1,MATCH(COLUMNS($R$1006:W1006),$R$1006:$W$1006,0))&gt;=100000), " ",IF(INDEX($R$2:$W$1001,MATCH(ROWS($K$2:K492),$K$2:$K$1001,0),MATCH(COLUMNS($R$1006:W1006),$R$1006:$W$1006,0)), HYPERLINK("#",""), HYPERLINK(CONCATENATE("#Metadata!", ADDRESS(INDEX($M$2:$M$1001,MATCH(ROWS($K$2:K492),$K$2:$K$1001,0),0), INDEX($R$1004:$W$1004,1,MATCH(COLUMNS($R$1006:W1006),$R$1006:$W$1006,0)))),"Fix")))</f>
        <v>0</v>
      </c>
      <c r="K492">
        <v>0</v>
      </c>
      <c r="L492">
        <v>0</v>
      </c>
      <c r="M492">
        <v>0</v>
      </c>
      <c r="N492">
        <f>IF(O492,TRUE,AND(R492:W492))</f>
        <v>0</v>
      </c>
      <c r="O492">
        <f>COUNTBLANK(Metadata!B492:G492)=COLUMNS(Metadata!B492:G492)</f>
        <v>0</v>
      </c>
      <c r="P492">
        <v>0</v>
      </c>
      <c r="R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S492">
        <f>IF(Metadata!C492="",FALSE,TRUE)</f>
        <v>0</v>
      </c>
      <c r="T492">
        <f>IF(Metadata!D492="",FALSE,TRUE)</f>
        <v>0</v>
      </c>
      <c r="U492">
        <f>IF(Metadata!E492="",FALSE,TRUE)</f>
        <v>0</v>
      </c>
      <c r="V492">
        <f>AND(IF(Metadata!F492="",FALSE,TRUE),exact(Metadata!F492,"rat gut metagenome"))</f>
        <v>0</v>
      </c>
      <c r="W492">
        <f>AND(IF(Metadata!G492="",FALSE,TRUE),exact(Metadata!G492,"1436733"))</f>
        <v>0</v>
      </c>
    </row>
    <row r="493" spans="1:23">
      <c r="A493" s="4">
        <f>IF(B493=" "," ",HYPERLINK(CONCATENATE("#metadata!",ADDRESS(INDEX($M$2:$M$1001,MATCH(ROWS($K$2:K493),$K$2:$K$1001,0),0),1)),INDEX($P$2:$P$1001,MATCH(ROWS($K$2:K493),$K$2:$K$1001,0),0)))</f>
        <v>0</v>
      </c>
      <c r="B493" s="3">
        <f>IF(OR(INDEX($L$2:$L$1001,MATCH(ROWS($K$2:K493),$K$2:$K$1001,0),1)&gt;=100000,INDEX($R$1005:$W$1005,1,MATCH(COLUMNS($R$1006:R1006),$R$1006:$W$1006,0))&gt;=100000), " ",IF(INDEX($R$2:$W$1001,MATCH(ROWS($K$2:K493),$K$2:$K$1001,0),MATCH(COLUMNS($R$1006:R1006),$R$1006:$W$1006,0)), HYPERLINK("#",""), HYPERLINK(CONCATENATE("#Metadata!", ADDRESS(INDEX($M$2:$M$1001,MATCH(ROWS($K$2:K493),$K$2:$K$1001,0),0), INDEX($R$1004:$W$1004,1,MATCH(COLUMNS($R$1006:R1006),$R$1006:$W$1006,0)))),"Fix")))</f>
        <v>0</v>
      </c>
      <c r="C493" s="3">
        <f>IF(OR(INDEX($L$2:$L$1001,MATCH(ROWS($K$2:K493),$K$2:$K$1001,0),1)&gt;=100000,INDEX($R$1005:$W$1005,1,MATCH(COLUMNS($R$1006:S1006),$R$1006:$W$1006,0))&gt;=100000), " ",IF(INDEX($R$2:$W$1001,MATCH(ROWS($K$2:K493),$K$2:$K$1001,0),MATCH(COLUMNS($R$1006:S1006),$R$1006:$W$1006,0)), HYPERLINK("#",""), HYPERLINK(CONCATENATE("#Metadata!", ADDRESS(INDEX($M$2:$M$1001,MATCH(ROWS($K$2:K493),$K$2:$K$1001,0),0), INDEX($R$1004:$W$1004,1,MATCH(COLUMNS($R$1006:S1006),$R$1006:$W$1006,0)))),"Fix")))</f>
        <v>0</v>
      </c>
      <c r="D493" s="3">
        <f>IF(OR(INDEX($L$2:$L$1001,MATCH(ROWS($K$2:K493),$K$2:$K$1001,0),1)&gt;=100000,INDEX($R$1005:$W$1005,1,MATCH(COLUMNS($R$1006:T1006),$R$1006:$W$1006,0))&gt;=100000), " ",IF(INDEX($R$2:$W$1001,MATCH(ROWS($K$2:K493),$K$2:$K$1001,0),MATCH(COLUMNS($R$1006:T1006),$R$1006:$W$1006,0)), HYPERLINK("#",""), HYPERLINK(CONCATENATE("#Metadata!", ADDRESS(INDEX($M$2:$M$1001,MATCH(ROWS($K$2:K493),$K$2:$K$1001,0),0), INDEX($R$1004:$W$1004,1,MATCH(COLUMNS($R$1006:T1006),$R$1006:$W$1006,0)))),"Fix")))</f>
        <v>0</v>
      </c>
      <c r="E493" s="3">
        <f>IF(OR(INDEX($L$2:$L$1001,MATCH(ROWS($K$2:K493),$K$2:$K$1001,0),1)&gt;=100000,INDEX($R$1005:$W$1005,1,MATCH(COLUMNS($R$1006:U1006),$R$1006:$W$1006,0))&gt;=100000), " ",IF(INDEX($R$2:$W$1001,MATCH(ROWS($K$2:K493),$K$2:$K$1001,0),MATCH(COLUMNS($R$1006:U1006),$R$1006:$W$1006,0)), HYPERLINK("#",""), HYPERLINK(CONCATENATE("#Metadata!", ADDRESS(INDEX($M$2:$M$1001,MATCH(ROWS($K$2:K493),$K$2:$K$1001,0),0), INDEX($R$1004:$W$1004,1,MATCH(COLUMNS($R$1006:U1006),$R$1006:$W$1006,0)))),"Fix")))</f>
        <v>0</v>
      </c>
      <c r="F493" s="3">
        <f>IF(OR(INDEX($L$2:$L$1001,MATCH(ROWS($K$2:K493),$K$2:$K$1001,0),1)&gt;=100000,INDEX($R$1005:$W$1005,1,MATCH(COLUMNS($R$1006:V1006),$R$1006:$W$1006,0))&gt;=100000), " ",IF(INDEX($R$2:$W$1001,MATCH(ROWS($K$2:K493),$K$2:$K$1001,0),MATCH(COLUMNS($R$1006:V1006),$R$1006:$W$1006,0)), HYPERLINK("#",""), HYPERLINK(CONCATENATE("#Metadata!", ADDRESS(INDEX($M$2:$M$1001,MATCH(ROWS($K$2:K493),$K$2:$K$1001,0),0), INDEX($R$1004:$W$1004,1,MATCH(COLUMNS($R$1006:V1006),$R$1006:$W$1006,0)))),"Fix")))</f>
        <v>0</v>
      </c>
      <c r="G493" s="3">
        <f>IF(OR(INDEX($L$2:$L$1001,MATCH(ROWS($K$2:K493),$K$2:$K$1001,0),1)&gt;=100000,INDEX($R$1005:$W$1005,1,MATCH(COLUMNS($R$1006:W1006),$R$1006:$W$1006,0))&gt;=100000), " ",IF(INDEX($R$2:$W$1001,MATCH(ROWS($K$2:K493),$K$2:$K$1001,0),MATCH(COLUMNS($R$1006:W1006),$R$1006:$W$1006,0)), HYPERLINK("#",""), HYPERLINK(CONCATENATE("#Metadata!", ADDRESS(INDEX($M$2:$M$1001,MATCH(ROWS($K$2:K493),$K$2:$K$1001,0),0), INDEX($R$1004:$W$1004,1,MATCH(COLUMNS($R$1006:W1006),$R$1006:$W$1006,0)))),"Fix")))</f>
        <v>0</v>
      </c>
      <c r="K493">
        <v>0</v>
      </c>
      <c r="L493">
        <v>0</v>
      </c>
      <c r="M493">
        <v>0</v>
      </c>
      <c r="N493">
        <f>IF(O493,TRUE,AND(R493:W493))</f>
        <v>0</v>
      </c>
      <c r="O493">
        <f>COUNTBLANK(Metadata!B493:G493)=COLUMNS(Metadata!B493:G493)</f>
        <v>0</v>
      </c>
      <c r="P493">
        <v>0</v>
      </c>
      <c r="R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S493">
        <f>IF(Metadata!C493="",FALSE,TRUE)</f>
        <v>0</v>
      </c>
      <c r="T493">
        <f>IF(Metadata!D493="",FALSE,TRUE)</f>
        <v>0</v>
      </c>
      <c r="U493">
        <f>IF(Metadata!E493="",FALSE,TRUE)</f>
        <v>0</v>
      </c>
      <c r="V493">
        <f>AND(IF(Metadata!F493="",FALSE,TRUE),exact(Metadata!F493,"rat gut metagenome"))</f>
        <v>0</v>
      </c>
      <c r="W493">
        <f>AND(IF(Metadata!G493="",FALSE,TRUE),exact(Metadata!G493,"1436733"))</f>
        <v>0</v>
      </c>
    </row>
    <row r="494" spans="1:23">
      <c r="A494" s="4">
        <f>IF(B494=" "," ",HYPERLINK(CONCATENATE("#metadata!",ADDRESS(INDEX($M$2:$M$1001,MATCH(ROWS($K$2:K494),$K$2:$K$1001,0),0),1)),INDEX($P$2:$P$1001,MATCH(ROWS($K$2:K494),$K$2:$K$1001,0),0)))</f>
        <v>0</v>
      </c>
      <c r="B494" s="3">
        <f>IF(OR(INDEX($L$2:$L$1001,MATCH(ROWS($K$2:K494),$K$2:$K$1001,0),1)&gt;=100000,INDEX($R$1005:$W$1005,1,MATCH(COLUMNS($R$1006:R1006),$R$1006:$W$1006,0))&gt;=100000), " ",IF(INDEX($R$2:$W$1001,MATCH(ROWS($K$2:K494),$K$2:$K$1001,0),MATCH(COLUMNS($R$1006:R1006),$R$1006:$W$1006,0)), HYPERLINK("#",""), HYPERLINK(CONCATENATE("#Metadata!", ADDRESS(INDEX($M$2:$M$1001,MATCH(ROWS($K$2:K494),$K$2:$K$1001,0),0), INDEX($R$1004:$W$1004,1,MATCH(COLUMNS($R$1006:R1006),$R$1006:$W$1006,0)))),"Fix")))</f>
        <v>0</v>
      </c>
      <c r="C494" s="3">
        <f>IF(OR(INDEX($L$2:$L$1001,MATCH(ROWS($K$2:K494),$K$2:$K$1001,0),1)&gt;=100000,INDEX($R$1005:$W$1005,1,MATCH(COLUMNS($R$1006:S1006),$R$1006:$W$1006,0))&gt;=100000), " ",IF(INDEX($R$2:$W$1001,MATCH(ROWS($K$2:K494),$K$2:$K$1001,0),MATCH(COLUMNS($R$1006:S1006),$R$1006:$W$1006,0)), HYPERLINK("#",""), HYPERLINK(CONCATENATE("#Metadata!", ADDRESS(INDEX($M$2:$M$1001,MATCH(ROWS($K$2:K494),$K$2:$K$1001,0),0), INDEX($R$1004:$W$1004,1,MATCH(COLUMNS($R$1006:S1006),$R$1006:$W$1006,0)))),"Fix")))</f>
        <v>0</v>
      </c>
      <c r="D494" s="3">
        <f>IF(OR(INDEX($L$2:$L$1001,MATCH(ROWS($K$2:K494),$K$2:$K$1001,0),1)&gt;=100000,INDEX($R$1005:$W$1005,1,MATCH(COLUMNS($R$1006:T1006),$R$1006:$W$1006,0))&gt;=100000), " ",IF(INDEX($R$2:$W$1001,MATCH(ROWS($K$2:K494),$K$2:$K$1001,0),MATCH(COLUMNS($R$1006:T1006),$R$1006:$W$1006,0)), HYPERLINK("#",""), HYPERLINK(CONCATENATE("#Metadata!", ADDRESS(INDEX($M$2:$M$1001,MATCH(ROWS($K$2:K494),$K$2:$K$1001,0),0), INDEX($R$1004:$W$1004,1,MATCH(COLUMNS($R$1006:T1006),$R$1006:$W$1006,0)))),"Fix")))</f>
        <v>0</v>
      </c>
      <c r="E494" s="3">
        <f>IF(OR(INDEX($L$2:$L$1001,MATCH(ROWS($K$2:K494),$K$2:$K$1001,0),1)&gt;=100000,INDEX($R$1005:$W$1005,1,MATCH(COLUMNS($R$1006:U1006),$R$1006:$W$1006,0))&gt;=100000), " ",IF(INDEX($R$2:$W$1001,MATCH(ROWS($K$2:K494),$K$2:$K$1001,0),MATCH(COLUMNS($R$1006:U1006),$R$1006:$W$1006,0)), HYPERLINK("#",""), HYPERLINK(CONCATENATE("#Metadata!", ADDRESS(INDEX($M$2:$M$1001,MATCH(ROWS($K$2:K494),$K$2:$K$1001,0),0), INDEX($R$1004:$W$1004,1,MATCH(COLUMNS($R$1006:U1006),$R$1006:$W$1006,0)))),"Fix")))</f>
        <v>0</v>
      </c>
      <c r="F494" s="3">
        <f>IF(OR(INDEX($L$2:$L$1001,MATCH(ROWS($K$2:K494),$K$2:$K$1001,0),1)&gt;=100000,INDEX($R$1005:$W$1005,1,MATCH(COLUMNS($R$1006:V1006),$R$1006:$W$1006,0))&gt;=100000), " ",IF(INDEX($R$2:$W$1001,MATCH(ROWS($K$2:K494),$K$2:$K$1001,0),MATCH(COLUMNS($R$1006:V1006),$R$1006:$W$1006,0)), HYPERLINK("#",""), HYPERLINK(CONCATENATE("#Metadata!", ADDRESS(INDEX($M$2:$M$1001,MATCH(ROWS($K$2:K494),$K$2:$K$1001,0),0), INDEX($R$1004:$W$1004,1,MATCH(COLUMNS($R$1006:V1006),$R$1006:$W$1006,0)))),"Fix")))</f>
        <v>0</v>
      </c>
      <c r="G494" s="3">
        <f>IF(OR(INDEX($L$2:$L$1001,MATCH(ROWS($K$2:K494),$K$2:$K$1001,0),1)&gt;=100000,INDEX($R$1005:$W$1005,1,MATCH(COLUMNS($R$1006:W1006),$R$1006:$W$1006,0))&gt;=100000), " ",IF(INDEX($R$2:$W$1001,MATCH(ROWS($K$2:K494),$K$2:$K$1001,0),MATCH(COLUMNS($R$1006:W1006),$R$1006:$W$1006,0)), HYPERLINK("#",""), HYPERLINK(CONCATENATE("#Metadata!", ADDRESS(INDEX($M$2:$M$1001,MATCH(ROWS($K$2:K494),$K$2:$K$1001,0),0), INDEX($R$1004:$W$1004,1,MATCH(COLUMNS($R$1006:W1006),$R$1006:$W$1006,0)))),"Fix")))</f>
        <v>0</v>
      </c>
      <c r="K494">
        <v>0</v>
      </c>
      <c r="L494">
        <v>0</v>
      </c>
      <c r="M494">
        <v>0</v>
      </c>
      <c r="N494">
        <f>IF(O494,TRUE,AND(R494:W494))</f>
        <v>0</v>
      </c>
      <c r="O494">
        <f>COUNTBLANK(Metadata!B494:G494)=COLUMNS(Metadata!B494:G494)</f>
        <v>0</v>
      </c>
      <c r="P494">
        <v>0</v>
      </c>
      <c r="R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S494">
        <f>IF(Metadata!C494="",FALSE,TRUE)</f>
        <v>0</v>
      </c>
      <c r="T494">
        <f>IF(Metadata!D494="",FALSE,TRUE)</f>
        <v>0</v>
      </c>
      <c r="U494">
        <f>IF(Metadata!E494="",FALSE,TRUE)</f>
        <v>0</v>
      </c>
      <c r="V494">
        <f>AND(IF(Metadata!F494="",FALSE,TRUE),exact(Metadata!F494,"rat gut metagenome"))</f>
        <v>0</v>
      </c>
      <c r="W494">
        <f>AND(IF(Metadata!G494="",FALSE,TRUE),exact(Metadata!G494,"1436733"))</f>
        <v>0</v>
      </c>
    </row>
    <row r="495" spans="1:23">
      <c r="A495" s="4">
        <f>IF(B495=" "," ",HYPERLINK(CONCATENATE("#metadata!",ADDRESS(INDEX($M$2:$M$1001,MATCH(ROWS($K$2:K495),$K$2:$K$1001,0),0),1)),INDEX($P$2:$P$1001,MATCH(ROWS($K$2:K495),$K$2:$K$1001,0),0)))</f>
        <v>0</v>
      </c>
      <c r="B495" s="3">
        <f>IF(OR(INDEX($L$2:$L$1001,MATCH(ROWS($K$2:K495),$K$2:$K$1001,0),1)&gt;=100000,INDEX($R$1005:$W$1005,1,MATCH(COLUMNS($R$1006:R1006),$R$1006:$W$1006,0))&gt;=100000), " ",IF(INDEX($R$2:$W$1001,MATCH(ROWS($K$2:K495),$K$2:$K$1001,0),MATCH(COLUMNS($R$1006:R1006),$R$1006:$W$1006,0)), HYPERLINK("#",""), HYPERLINK(CONCATENATE("#Metadata!", ADDRESS(INDEX($M$2:$M$1001,MATCH(ROWS($K$2:K495),$K$2:$K$1001,0),0), INDEX($R$1004:$W$1004,1,MATCH(COLUMNS($R$1006:R1006),$R$1006:$W$1006,0)))),"Fix")))</f>
        <v>0</v>
      </c>
      <c r="C495" s="3">
        <f>IF(OR(INDEX($L$2:$L$1001,MATCH(ROWS($K$2:K495),$K$2:$K$1001,0),1)&gt;=100000,INDEX($R$1005:$W$1005,1,MATCH(COLUMNS($R$1006:S1006),$R$1006:$W$1006,0))&gt;=100000), " ",IF(INDEX($R$2:$W$1001,MATCH(ROWS($K$2:K495),$K$2:$K$1001,0),MATCH(COLUMNS($R$1006:S1006),$R$1006:$W$1006,0)), HYPERLINK("#",""), HYPERLINK(CONCATENATE("#Metadata!", ADDRESS(INDEX($M$2:$M$1001,MATCH(ROWS($K$2:K495),$K$2:$K$1001,0),0), INDEX($R$1004:$W$1004,1,MATCH(COLUMNS($R$1006:S1006),$R$1006:$W$1006,0)))),"Fix")))</f>
        <v>0</v>
      </c>
      <c r="D495" s="3">
        <f>IF(OR(INDEX($L$2:$L$1001,MATCH(ROWS($K$2:K495),$K$2:$K$1001,0),1)&gt;=100000,INDEX($R$1005:$W$1005,1,MATCH(COLUMNS($R$1006:T1006),$R$1006:$W$1006,0))&gt;=100000), " ",IF(INDEX($R$2:$W$1001,MATCH(ROWS($K$2:K495),$K$2:$K$1001,0),MATCH(COLUMNS($R$1006:T1006),$R$1006:$W$1006,0)), HYPERLINK("#",""), HYPERLINK(CONCATENATE("#Metadata!", ADDRESS(INDEX($M$2:$M$1001,MATCH(ROWS($K$2:K495),$K$2:$K$1001,0),0), INDEX($R$1004:$W$1004,1,MATCH(COLUMNS($R$1006:T1006),$R$1006:$W$1006,0)))),"Fix")))</f>
        <v>0</v>
      </c>
      <c r="E495" s="3">
        <f>IF(OR(INDEX($L$2:$L$1001,MATCH(ROWS($K$2:K495),$K$2:$K$1001,0),1)&gt;=100000,INDEX($R$1005:$W$1005,1,MATCH(COLUMNS($R$1006:U1006),$R$1006:$W$1006,0))&gt;=100000), " ",IF(INDEX($R$2:$W$1001,MATCH(ROWS($K$2:K495),$K$2:$K$1001,0),MATCH(COLUMNS($R$1006:U1006),$R$1006:$W$1006,0)), HYPERLINK("#",""), HYPERLINK(CONCATENATE("#Metadata!", ADDRESS(INDEX($M$2:$M$1001,MATCH(ROWS($K$2:K495),$K$2:$K$1001,0),0), INDEX($R$1004:$W$1004,1,MATCH(COLUMNS($R$1006:U1006),$R$1006:$W$1006,0)))),"Fix")))</f>
        <v>0</v>
      </c>
      <c r="F495" s="3">
        <f>IF(OR(INDEX($L$2:$L$1001,MATCH(ROWS($K$2:K495),$K$2:$K$1001,0),1)&gt;=100000,INDEX($R$1005:$W$1005,1,MATCH(COLUMNS($R$1006:V1006),$R$1006:$W$1006,0))&gt;=100000), " ",IF(INDEX($R$2:$W$1001,MATCH(ROWS($K$2:K495),$K$2:$K$1001,0),MATCH(COLUMNS($R$1006:V1006),$R$1006:$W$1006,0)), HYPERLINK("#",""), HYPERLINK(CONCATENATE("#Metadata!", ADDRESS(INDEX($M$2:$M$1001,MATCH(ROWS($K$2:K495),$K$2:$K$1001,0),0), INDEX($R$1004:$W$1004,1,MATCH(COLUMNS($R$1006:V1006),$R$1006:$W$1006,0)))),"Fix")))</f>
        <v>0</v>
      </c>
      <c r="G495" s="3">
        <f>IF(OR(INDEX($L$2:$L$1001,MATCH(ROWS($K$2:K495),$K$2:$K$1001,0),1)&gt;=100000,INDEX($R$1005:$W$1005,1,MATCH(COLUMNS($R$1006:W1006),$R$1006:$W$1006,0))&gt;=100000), " ",IF(INDEX($R$2:$W$1001,MATCH(ROWS($K$2:K495),$K$2:$K$1001,0),MATCH(COLUMNS($R$1006:W1006),$R$1006:$W$1006,0)), HYPERLINK("#",""), HYPERLINK(CONCATENATE("#Metadata!", ADDRESS(INDEX($M$2:$M$1001,MATCH(ROWS($K$2:K495),$K$2:$K$1001,0),0), INDEX($R$1004:$W$1004,1,MATCH(COLUMNS($R$1006:W1006),$R$1006:$W$1006,0)))),"Fix")))</f>
        <v>0</v>
      </c>
      <c r="K495">
        <v>0</v>
      </c>
      <c r="L495">
        <v>0</v>
      </c>
      <c r="M495">
        <v>0</v>
      </c>
      <c r="N495">
        <f>IF(O495,TRUE,AND(R495:W495))</f>
        <v>0</v>
      </c>
      <c r="O495">
        <f>COUNTBLANK(Metadata!B495:G495)=COLUMNS(Metadata!B495:G495)</f>
        <v>0</v>
      </c>
      <c r="P495">
        <v>0</v>
      </c>
      <c r="R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S495">
        <f>IF(Metadata!C495="",FALSE,TRUE)</f>
        <v>0</v>
      </c>
      <c r="T495">
        <f>IF(Metadata!D495="",FALSE,TRUE)</f>
        <v>0</v>
      </c>
      <c r="U495">
        <f>IF(Metadata!E495="",FALSE,TRUE)</f>
        <v>0</v>
      </c>
      <c r="V495">
        <f>AND(IF(Metadata!F495="",FALSE,TRUE),exact(Metadata!F495,"rat gut metagenome"))</f>
        <v>0</v>
      </c>
      <c r="W495">
        <f>AND(IF(Metadata!G495="",FALSE,TRUE),exact(Metadata!G495,"1436733"))</f>
        <v>0</v>
      </c>
    </row>
    <row r="496" spans="1:23">
      <c r="A496" s="4">
        <f>IF(B496=" "," ",HYPERLINK(CONCATENATE("#metadata!",ADDRESS(INDEX($M$2:$M$1001,MATCH(ROWS($K$2:K496),$K$2:$K$1001,0),0),1)),INDEX($P$2:$P$1001,MATCH(ROWS($K$2:K496),$K$2:$K$1001,0),0)))</f>
        <v>0</v>
      </c>
      <c r="B496" s="3">
        <f>IF(OR(INDEX($L$2:$L$1001,MATCH(ROWS($K$2:K496),$K$2:$K$1001,0),1)&gt;=100000,INDEX($R$1005:$W$1005,1,MATCH(COLUMNS($R$1006:R1006),$R$1006:$W$1006,0))&gt;=100000), " ",IF(INDEX($R$2:$W$1001,MATCH(ROWS($K$2:K496),$K$2:$K$1001,0),MATCH(COLUMNS($R$1006:R1006),$R$1006:$W$1006,0)), HYPERLINK("#",""), HYPERLINK(CONCATENATE("#Metadata!", ADDRESS(INDEX($M$2:$M$1001,MATCH(ROWS($K$2:K496),$K$2:$K$1001,0),0), INDEX($R$1004:$W$1004,1,MATCH(COLUMNS($R$1006:R1006),$R$1006:$W$1006,0)))),"Fix")))</f>
        <v>0</v>
      </c>
      <c r="C496" s="3">
        <f>IF(OR(INDEX($L$2:$L$1001,MATCH(ROWS($K$2:K496),$K$2:$K$1001,0),1)&gt;=100000,INDEX($R$1005:$W$1005,1,MATCH(COLUMNS($R$1006:S1006),$R$1006:$W$1006,0))&gt;=100000), " ",IF(INDEX($R$2:$W$1001,MATCH(ROWS($K$2:K496),$K$2:$K$1001,0),MATCH(COLUMNS($R$1006:S1006),$R$1006:$W$1006,0)), HYPERLINK("#",""), HYPERLINK(CONCATENATE("#Metadata!", ADDRESS(INDEX($M$2:$M$1001,MATCH(ROWS($K$2:K496),$K$2:$K$1001,0),0), INDEX($R$1004:$W$1004,1,MATCH(COLUMNS($R$1006:S1006),$R$1006:$W$1006,0)))),"Fix")))</f>
        <v>0</v>
      </c>
      <c r="D496" s="3">
        <f>IF(OR(INDEX($L$2:$L$1001,MATCH(ROWS($K$2:K496),$K$2:$K$1001,0),1)&gt;=100000,INDEX($R$1005:$W$1005,1,MATCH(COLUMNS($R$1006:T1006),$R$1006:$W$1006,0))&gt;=100000), " ",IF(INDEX($R$2:$W$1001,MATCH(ROWS($K$2:K496),$K$2:$K$1001,0),MATCH(COLUMNS($R$1006:T1006),$R$1006:$W$1006,0)), HYPERLINK("#",""), HYPERLINK(CONCATENATE("#Metadata!", ADDRESS(INDEX($M$2:$M$1001,MATCH(ROWS($K$2:K496),$K$2:$K$1001,0),0), INDEX($R$1004:$W$1004,1,MATCH(COLUMNS($R$1006:T1006),$R$1006:$W$1006,0)))),"Fix")))</f>
        <v>0</v>
      </c>
      <c r="E496" s="3">
        <f>IF(OR(INDEX($L$2:$L$1001,MATCH(ROWS($K$2:K496),$K$2:$K$1001,0),1)&gt;=100000,INDEX($R$1005:$W$1005,1,MATCH(COLUMNS($R$1006:U1006),$R$1006:$W$1006,0))&gt;=100000), " ",IF(INDEX($R$2:$W$1001,MATCH(ROWS($K$2:K496),$K$2:$K$1001,0),MATCH(COLUMNS($R$1006:U1006),$R$1006:$W$1006,0)), HYPERLINK("#",""), HYPERLINK(CONCATENATE("#Metadata!", ADDRESS(INDEX($M$2:$M$1001,MATCH(ROWS($K$2:K496),$K$2:$K$1001,0),0), INDEX($R$1004:$W$1004,1,MATCH(COLUMNS($R$1006:U1006),$R$1006:$W$1006,0)))),"Fix")))</f>
        <v>0</v>
      </c>
      <c r="F496" s="3">
        <f>IF(OR(INDEX($L$2:$L$1001,MATCH(ROWS($K$2:K496),$K$2:$K$1001,0),1)&gt;=100000,INDEX($R$1005:$W$1005,1,MATCH(COLUMNS($R$1006:V1006),$R$1006:$W$1006,0))&gt;=100000), " ",IF(INDEX($R$2:$W$1001,MATCH(ROWS($K$2:K496),$K$2:$K$1001,0),MATCH(COLUMNS($R$1006:V1006),$R$1006:$W$1006,0)), HYPERLINK("#",""), HYPERLINK(CONCATENATE("#Metadata!", ADDRESS(INDEX($M$2:$M$1001,MATCH(ROWS($K$2:K496),$K$2:$K$1001,0),0), INDEX($R$1004:$W$1004,1,MATCH(COLUMNS($R$1006:V1006),$R$1006:$W$1006,0)))),"Fix")))</f>
        <v>0</v>
      </c>
      <c r="G496" s="3">
        <f>IF(OR(INDEX($L$2:$L$1001,MATCH(ROWS($K$2:K496),$K$2:$K$1001,0),1)&gt;=100000,INDEX($R$1005:$W$1005,1,MATCH(COLUMNS($R$1006:W1006),$R$1006:$W$1006,0))&gt;=100000), " ",IF(INDEX($R$2:$W$1001,MATCH(ROWS($K$2:K496),$K$2:$K$1001,0),MATCH(COLUMNS($R$1006:W1006),$R$1006:$W$1006,0)), HYPERLINK("#",""), HYPERLINK(CONCATENATE("#Metadata!", ADDRESS(INDEX($M$2:$M$1001,MATCH(ROWS($K$2:K496),$K$2:$K$1001,0),0), INDEX($R$1004:$W$1004,1,MATCH(COLUMNS($R$1006:W1006),$R$1006:$W$1006,0)))),"Fix")))</f>
        <v>0</v>
      </c>
      <c r="K496">
        <v>0</v>
      </c>
      <c r="L496">
        <v>0</v>
      </c>
      <c r="M496">
        <v>0</v>
      </c>
      <c r="N496">
        <f>IF(O496,TRUE,AND(R496:W496))</f>
        <v>0</v>
      </c>
      <c r="O496">
        <f>COUNTBLANK(Metadata!B496:G496)=COLUMNS(Metadata!B496:G496)</f>
        <v>0</v>
      </c>
      <c r="P496">
        <v>0</v>
      </c>
      <c r="R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S496">
        <f>IF(Metadata!C496="",FALSE,TRUE)</f>
        <v>0</v>
      </c>
      <c r="T496">
        <f>IF(Metadata!D496="",FALSE,TRUE)</f>
        <v>0</v>
      </c>
      <c r="U496">
        <f>IF(Metadata!E496="",FALSE,TRUE)</f>
        <v>0</v>
      </c>
      <c r="V496">
        <f>AND(IF(Metadata!F496="",FALSE,TRUE),exact(Metadata!F496,"rat gut metagenome"))</f>
        <v>0</v>
      </c>
      <c r="W496">
        <f>AND(IF(Metadata!G496="",FALSE,TRUE),exact(Metadata!G496,"1436733"))</f>
        <v>0</v>
      </c>
    </row>
    <row r="497" spans="1:23">
      <c r="A497" s="4">
        <f>IF(B497=" "," ",HYPERLINK(CONCATENATE("#metadata!",ADDRESS(INDEX($M$2:$M$1001,MATCH(ROWS($K$2:K497),$K$2:$K$1001,0),0),1)),INDEX($P$2:$P$1001,MATCH(ROWS($K$2:K497),$K$2:$K$1001,0),0)))</f>
        <v>0</v>
      </c>
      <c r="B497" s="3">
        <f>IF(OR(INDEX($L$2:$L$1001,MATCH(ROWS($K$2:K497),$K$2:$K$1001,0),1)&gt;=100000,INDEX($R$1005:$W$1005,1,MATCH(COLUMNS($R$1006:R1006),$R$1006:$W$1006,0))&gt;=100000), " ",IF(INDEX($R$2:$W$1001,MATCH(ROWS($K$2:K497),$K$2:$K$1001,0),MATCH(COLUMNS($R$1006:R1006),$R$1006:$W$1006,0)), HYPERLINK("#",""), HYPERLINK(CONCATENATE("#Metadata!", ADDRESS(INDEX($M$2:$M$1001,MATCH(ROWS($K$2:K497),$K$2:$K$1001,0),0), INDEX($R$1004:$W$1004,1,MATCH(COLUMNS($R$1006:R1006),$R$1006:$W$1006,0)))),"Fix")))</f>
        <v>0</v>
      </c>
      <c r="C497" s="3">
        <f>IF(OR(INDEX($L$2:$L$1001,MATCH(ROWS($K$2:K497),$K$2:$K$1001,0),1)&gt;=100000,INDEX($R$1005:$W$1005,1,MATCH(COLUMNS($R$1006:S1006),$R$1006:$W$1006,0))&gt;=100000), " ",IF(INDEX($R$2:$W$1001,MATCH(ROWS($K$2:K497),$K$2:$K$1001,0),MATCH(COLUMNS($R$1006:S1006),$R$1006:$W$1006,0)), HYPERLINK("#",""), HYPERLINK(CONCATENATE("#Metadata!", ADDRESS(INDEX($M$2:$M$1001,MATCH(ROWS($K$2:K497),$K$2:$K$1001,0),0), INDEX($R$1004:$W$1004,1,MATCH(COLUMNS($R$1006:S1006),$R$1006:$W$1006,0)))),"Fix")))</f>
        <v>0</v>
      </c>
      <c r="D497" s="3">
        <f>IF(OR(INDEX($L$2:$L$1001,MATCH(ROWS($K$2:K497),$K$2:$K$1001,0),1)&gt;=100000,INDEX($R$1005:$W$1005,1,MATCH(COLUMNS($R$1006:T1006),$R$1006:$W$1006,0))&gt;=100000), " ",IF(INDEX($R$2:$W$1001,MATCH(ROWS($K$2:K497),$K$2:$K$1001,0),MATCH(COLUMNS($R$1006:T1006),$R$1006:$W$1006,0)), HYPERLINK("#",""), HYPERLINK(CONCATENATE("#Metadata!", ADDRESS(INDEX($M$2:$M$1001,MATCH(ROWS($K$2:K497),$K$2:$K$1001,0),0), INDEX($R$1004:$W$1004,1,MATCH(COLUMNS($R$1006:T1006),$R$1006:$W$1006,0)))),"Fix")))</f>
        <v>0</v>
      </c>
      <c r="E497" s="3">
        <f>IF(OR(INDEX($L$2:$L$1001,MATCH(ROWS($K$2:K497),$K$2:$K$1001,0),1)&gt;=100000,INDEX($R$1005:$W$1005,1,MATCH(COLUMNS($R$1006:U1006),$R$1006:$W$1006,0))&gt;=100000), " ",IF(INDEX($R$2:$W$1001,MATCH(ROWS($K$2:K497),$K$2:$K$1001,0),MATCH(COLUMNS($R$1006:U1006),$R$1006:$W$1006,0)), HYPERLINK("#",""), HYPERLINK(CONCATENATE("#Metadata!", ADDRESS(INDEX($M$2:$M$1001,MATCH(ROWS($K$2:K497),$K$2:$K$1001,0),0), INDEX($R$1004:$W$1004,1,MATCH(COLUMNS($R$1006:U1006),$R$1006:$W$1006,0)))),"Fix")))</f>
        <v>0</v>
      </c>
      <c r="F497" s="3">
        <f>IF(OR(INDEX($L$2:$L$1001,MATCH(ROWS($K$2:K497),$K$2:$K$1001,0),1)&gt;=100000,INDEX($R$1005:$W$1005,1,MATCH(COLUMNS($R$1006:V1006),$R$1006:$W$1006,0))&gt;=100000), " ",IF(INDEX($R$2:$W$1001,MATCH(ROWS($K$2:K497),$K$2:$K$1001,0),MATCH(COLUMNS($R$1006:V1006),$R$1006:$W$1006,0)), HYPERLINK("#",""), HYPERLINK(CONCATENATE("#Metadata!", ADDRESS(INDEX($M$2:$M$1001,MATCH(ROWS($K$2:K497),$K$2:$K$1001,0),0), INDEX($R$1004:$W$1004,1,MATCH(COLUMNS($R$1006:V1006),$R$1006:$W$1006,0)))),"Fix")))</f>
        <v>0</v>
      </c>
      <c r="G497" s="3">
        <f>IF(OR(INDEX($L$2:$L$1001,MATCH(ROWS($K$2:K497),$K$2:$K$1001,0),1)&gt;=100000,INDEX($R$1005:$W$1005,1,MATCH(COLUMNS($R$1006:W1006),$R$1006:$W$1006,0))&gt;=100000), " ",IF(INDEX($R$2:$W$1001,MATCH(ROWS($K$2:K497),$K$2:$K$1001,0),MATCH(COLUMNS($R$1006:W1006),$R$1006:$W$1006,0)), HYPERLINK("#",""), HYPERLINK(CONCATENATE("#Metadata!", ADDRESS(INDEX($M$2:$M$1001,MATCH(ROWS($K$2:K497),$K$2:$K$1001,0),0), INDEX($R$1004:$W$1004,1,MATCH(COLUMNS($R$1006:W1006),$R$1006:$W$1006,0)))),"Fix")))</f>
        <v>0</v>
      </c>
      <c r="K497">
        <v>0</v>
      </c>
      <c r="L497">
        <v>0</v>
      </c>
      <c r="M497">
        <v>0</v>
      </c>
      <c r="N497">
        <f>IF(O497,TRUE,AND(R497:W497))</f>
        <v>0</v>
      </c>
      <c r="O497">
        <f>COUNTBLANK(Metadata!B497:G497)=COLUMNS(Metadata!B497:G497)</f>
        <v>0</v>
      </c>
      <c r="P497">
        <v>0</v>
      </c>
      <c r="R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S497">
        <f>IF(Metadata!C497="",FALSE,TRUE)</f>
        <v>0</v>
      </c>
      <c r="T497">
        <f>IF(Metadata!D497="",FALSE,TRUE)</f>
        <v>0</v>
      </c>
      <c r="U497">
        <f>IF(Metadata!E497="",FALSE,TRUE)</f>
        <v>0</v>
      </c>
      <c r="V497">
        <f>AND(IF(Metadata!F497="",FALSE,TRUE),exact(Metadata!F497,"rat gut metagenome"))</f>
        <v>0</v>
      </c>
      <c r="W497">
        <f>AND(IF(Metadata!G497="",FALSE,TRUE),exact(Metadata!G497,"1436733"))</f>
        <v>0</v>
      </c>
    </row>
    <row r="498" spans="1:23">
      <c r="A498" s="4">
        <f>IF(B498=" "," ",HYPERLINK(CONCATENATE("#metadata!",ADDRESS(INDEX($M$2:$M$1001,MATCH(ROWS($K$2:K498),$K$2:$K$1001,0),0),1)),INDEX($P$2:$P$1001,MATCH(ROWS($K$2:K498),$K$2:$K$1001,0),0)))</f>
        <v>0</v>
      </c>
      <c r="B498" s="3">
        <f>IF(OR(INDEX($L$2:$L$1001,MATCH(ROWS($K$2:K498),$K$2:$K$1001,0),1)&gt;=100000,INDEX($R$1005:$W$1005,1,MATCH(COLUMNS($R$1006:R1006),$R$1006:$W$1006,0))&gt;=100000), " ",IF(INDEX($R$2:$W$1001,MATCH(ROWS($K$2:K498),$K$2:$K$1001,0),MATCH(COLUMNS($R$1006:R1006),$R$1006:$W$1006,0)), HYPERLINK("#",""), HYPERLINK(CONCATENATE("#Metadata!", ADDRESS(INDEX($M$2:$M$1001,MATCH(ROWS($K$2:K498),$K$2:$K$1001,0),0), INDEX($R$1004:$W$1004,1,MATCH(COLUMNS($R$1006:R1006),$R$1006:$W$1006,0)))),"Fix")))</f>
        <v>0</v>
      </c>
      <c r="C498" s="3">
        <f>IF(OR(INDEX($L$2:$L$1001,MATCH(ROWS($K$2:K498),$K$2:$K$1001,0),1)&gt;=100000,INDEX($R$1005:$W$1005,1,MATCH(COLUMNS($R$1006:S1006),$R$1006:$W$1006,0))&gt;=100000), " ",IF(INDEX($R$2:$W$1001,MATCH(ROWS($K$2:K498),$K$2:$K$1001,0),MATCH(COLUMNS($R$1006:S1006),$R$1006:$W$1006,0)), HYPERLINK("#",""), HYPERLINK(CONCATENATE("#Metadata!", ADDRESS(INDEX($M$2:$M$1001,MATCH(ROWS($K$2:K498),$K$2:$K$1001,0),0), INDEX($R$1004:$W$1004,1,MATCH(COLUMNS($R$1006:S1006),$R$1006:$W$1006,0)))),"Fix")))</f>
        <v>0</v>
      </c>
      <c r="D498" s="3">
        <f>IF(OR(INDEX($L$2:$L$1001,MATCH(ROWS($K$2:K498),$K$2:$K$1001,0),1)&gt;=100000,INDEX($R$1005:$W$1005,1,MATCH(COLUMNS($R$1006:T1006),$R$1006:$W$1006,0))&gt;=100000), " ",IF(INDEX($R$2:$W$1001,MATCH(ROWS($K$2:K498),$K$2:$K$1001,0),MATCH(COLUMNS($R$1006:T1006),$R$1006:$W$1006,0)), HYPERLINK("#",""), HYPERLINK(CONCATENATE("#Metadata!", ADDRESS(INDEX($M$2:$M$1001,MATCH(ROWS($K$2:K498),$K$2:$K$1001,0),0), INDEX($R$1004:$W$1004,1,MATCH(COLUMNS($R$1006:T1006),$R$1006:$W$1006,0)))),"Fix")))</f>
        <v>0</v>
      </c>
      <c r="E498" s="3">
        <f>IF(OR(INDEX($L$2:$L$1001,MATCH(ROWS($K$2:K498),$K$2:$K$1001,0),1)&gt;=100000,INDEX($R$1005:$W$1005,1,MATCH(COLUMNS($R$1006:U1006),$R$1006:$W$1006,0))&gt;=100000), " ",IF(INDEX($R$2:$W$1001,MATCH(ROWS($K$2:K498),$K$2:$K$1001,0),MATCH(COLUMNS($R$1006:U1006),$R$1006:$W$1006,0)), HYPERLINK("#",""), HYPERLINK(CONCATENATE("#Metadata!", ADDRESS(INDEX($M$2:$M$1001,MATCH(ROWS($K$2:K498),$K$2:$K$1001,0),0), INDEX($R$1004:$W$1004,1,MATCH(COLUMNS($R$1006:U1006),$R$1006:$W$1006,0)))),"Fix")))</f>
        <v>0</v>
      </c>
      <c r="F498" s="3">
        <f>IF(OR(INDEX($L$2:$L$1001,MATCH(ROWS($K$2:K498),$K$2:$K$1001,0),1)&gt;=100000,INDEX($R$1005:$W$1005,1,MATCH(COLUMNS($R$1006:V1006),$R$1006:$W$1006,0))&gt;=100000), " ",IF(INDEX($R$2:$W$1001,MATCH(ROWS($K$2:K498),$K$2:$K$1001,0),MATCH(COLUMNS($R$1006:V1006),$R$1006:$W$1006,0)), HYPERLINK("#",""), HYPERLINK(CONCATENATE("#Metadata!", ADDRESS(INDEX($M$2:$M$1001,MATCH(ROWS($K$2:K498),$K$2:$K$1001,0),0), INDEX($R$1004:$W$1004,1,MATCH(COLUMNS($R$1006:V1006),$R$1006:$W$1006,0)))),"Fix")))</f>
        <v>0</v>
      </c>
      <c r="G498" s="3">
        <f>IF(OR(INDEX($L$2:$L$1001,MATCH(ROWS($K$2:K498),$K$2:$K$1001,0),1)&gt;=100000,INDEX($R$1005:$W$1005,1,MATCH(COLUMNS($R$1006:W1006),$R$1006:$W$1006,0))&gt;=100000), " ",IF(INDEX($R$2:$W$1001,MATCH(ROWS($K$2:K498),$K$2:$K$1001,0),MATCH(COLUMNS($R$1006:W1006),$R$1006:$W$1006,0)), HYPERLINK("#",""), HYPERLINK(CONCATENATE("#Metadata!", ADDRESS(INDEX($M$2:$M$1001,MATCH(ROWS($K$2:K498),$K$2:$K$1001,0),0), INDEX($R$1004:$W$1004,1,MATCH(COLUMNS($R$1006:W1006),$R$1006:$W$1006,0)))),"Fix")))</f>
        <v>0</v>
      </c>
      <c r="K498">
        <v>0</v>
      </c>
      <c r="L498">
        <v>0</v>
      </c>
      <c r="M498">
        <v>0</v>
      </c>
      <c r="N498">
        <f>IF(O498,TRUE,AND(R498:W498))</f>
        <v>0</v>
      </c>
      <c r="O498">
        <f>COUNTBLANK(Metadata!B498:G498)=COLUMNS(Metadata!B498:G498)</f>
        <v>0</v>
      </c>
      <c r="P498">
        <v>0</v>
      </c>
      <c r="R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S498">
        <f>IF(Metadata!C498="",FALSE,TRUE)</f>
        <v>0</v>
      </c>
      <c r="T498">
        <f>IF(Metadata!D498="",FALSE,TRUE)</f>
        <v>0</v>
      </c>
      <c r="U498">
        <f>IF(Metadata!E498="",FALSE,TRUE)</f>
        <v>0</v>
      </c>
      <c r="V498">
        <f>AND(IF(Metadata!F498="",FALSE,TRUE),exact(Metadata!F498,"rat gut metagenome"))</f>
        <v>0</v>
      </c>
      <c r="W498">
        <f>AND(IF(Metadata!G498="",FALSE,TRUE),exact(Metadata!G498,"1436733"))</f>
        <v>0</v>
      </c>
    </row>
    <row r="499" spans="1:23">
      <c r="A499" s="4">
        <f>IF(B499=" "," ",HYPERLINK(CONCATENATE("#metadata!",ADDRESS(INDEX($M$2:$M$1001,MATCH(ROWS($K$2:K499),$K$2:$K$1001,0),0),1)),INDEX($P$2:$P$1001,MATCH(ROWS($K$2:K499),$K$2:$K$1001,0),0)))</f>
        <v>0</v>
      </c>
      <c r="B499" s="3">
        <f>IF(OR(INDEX($L$2:$L$1001,MATCH(ROWS($K$2:K499),$K$2:$K$1001,0),1)&gt;=100000,INDEX($R$1005:$W$1005,1,MATCH(COLUMNS($R$1006:R1006),$R$1006:$W$1006,0))&gt;=100000), " ",IF(INDEX($R$2:$W$1001,MATCH(ROWS($K$2:K499),$K$2:$K$1001,0),MATCH(COLUMNS($R$1006:R1006),$R$1006:$W$1006,0)), HYPERLINK("#",""), HYPERLINK(CONCATENATE("#Metadata!", ADDRESS(INDEX($M$2:$M$1001,MATCH(ROWS($K$2:K499),$K$2:$K$1001,0),0), INDEX($R$1004:$W$1004,1,MATCH(COLUMNS($R$1006:R1006),$R$1006:$W$1006,0)))),"Fix")))</f>
        <v>0</v>
      </c>
      <c r="C499" s="3">
        <f>IF(OR(INDEX($L$2:$L$1001,MATCH(ROWS($K$2:K499),$K$2:$K$1001,0),1)&gt;=100000,INDEX($R$1005:$W$1005,1,MATCH(COLUMNS($R$1006:S1006),$R$1006:$W$1006,0))&gt;=100000), " ",IF(INDEX($R$2:$W$1001,MATCH(ROWS($K$2:K499),$K$2:$K$1001,0),MATCH(COLUMNS($R$1006:S1006),$R$1006:$W$1006,0)), HYPERLINK("#",""), HYPERLINK(CONCATENATE("#Metadata!", ADDRESS(INDEX($M$2:$M$1001,MATCH(ROWS($K$2:K499),$K$2:$K$1001,0),0), INDEX($R$1004:$W$1004,1,MATCH(COLUMNS($R$1006:S1006),$R$1006:$W$1006,0)))),"Fix")))</f>
        <v>0</v>
      </c>
      <c r="D499" s="3">
        <f>IF(OR(INDEX($L$2:$L$1001,MATCH(ROWS($K$2:K499),$K$2:$K$1001,0),1)&gt;=100000,INDEX($R$1005:$W$1005,1,MATCH(COLUMNS($R$1006:T1006),$R$1006:$W$1006,0))&gt;=100000), " ",IF(INDEX($R$2:$W$1001,MATCH(ROWS($K$2:K499),$K$2:$K$1001,0),MATCH(COLUMNS($R$1006:T1006),$R$1006:$W$1006,0)), HYPERLINK("#",""), HYPERLINK(CONCATENATE("#Metadata!", ADDRESS(INDEX($M$2:$M$1001,MATCH(ROWS($K$2:K499),$K$2:$K$1001,0),0), INDEX($R$1004:$W$1004,1,MATCH(COLUMNS($R$1006:T1006),$R$1006:$W$1006,0)))),"Fix")))</f>
        <v>0</v>
      </c>
      <c r="E499" s="3">
        <f>IF(OR(INDEX($L$2:$L$1001,MATCH(ROWS($K$2:K499),$K$2:$K$1001,0),1)&gt;=100000,INDEX($R$1005:$W$1005,1,MATCH(COLUMNS($R$1006:U1006),$R$1006:$W$1006,0))&gt;=100000), " ",IF(INDEX($R$2:$W$1001,MATCH(ROWS($K$2:K499),$K$2:$K$1001,0),MATCH(COLUMNS($R$1006:U1006),$R$1006:$W$1006,0)), HYPERLINK("#",""), HYPERLINK(CONCATENATE("#Metadata!", ADDRESS(INDEX($M$2:$M$1001,MATCH(ROWS($K$2:K499),$K$2:$K$1001,0),0), INDEX($R$1004:$W$1004,1,MATCH(COLUMNS($R$1006:U1006),$R$1006:$W$1006,0)))),"Fix")))</f>
        <v>0</v>
      </c>
      <c r="F499" s="3">
        <f>IF(OR(INDEX($L$2:$L$1001,MATCH(ROWS($K$2:K499),$K$2:$K$1001,0),1)&gt;=100000,INDEX($R$1005:$W$1005,1,MATCH(COLUMNS($R$1006:V1006),$R$1006:$W$1006,0))&gt;=100000), " ",IF(INDEX($R$2:$W$1001,MATCH(ROWS($K$2:K499),$K$2:$K$1001,0),MATCH(COLUMNS($R$1006:V1006),$R$1006:$W$1006,0)), HYPERLINK("#",""), HYPERLINK(CONCATENATE("#Metadata!", ADDRESS(INDEX($M$2:$M$1001,MATCH(ROWS($K$2:K499),$K$2:$K$1001,0),0), INDEX($R$1004:$W$1004,1,MATCH(COLUMNS($R$1006:V1006),$R$1006:$W$1006,0)))),"Fix")))</f>
        <v>0</v>
      </c>
      <c r="G499" s="3">
        <f>IF(OR(INDEX($L$2:$L$1001,MATCH(ROWS($K$2:K499),$K$2:$K$1001,0),1)&gt;=100000,INDEX($R$1005:$W$1005,1,MATCH(COLUMNS($R$1006:W1006),$R$1006:$W$1006,0))&gt;=100000), " ",IF(INDEX($R$2:$W$1001,MATCH(ROWS($K$2:K499),$K$2:$K$1001,0),MATCH(COLUMNS($R$1006:W1006),$R$1006:$W$1006,0)), HYPERLINK("#",""), HYPERLINK(CONCATENATE("#Metadata!", ADDRESS(INDEX($M$2:$M$1001,MATCH(ROWS($K$2:K499),$K$2:$K$1001,0),0), INDEX($R$1004:$W$1004,1,MATCH(COLUMNS($R$1006:W1006),$R$1006:$W$1006,0)))),"Fix")))</f>
        <v>0</v>
      </c>
      <c r="K499">
        <v>0</v>
      </c>
      <c r="L499">
        <v>0</v>
      </c>
      <c r="M499">
        <v>0</v>
      </c>
      <c r="N499">
        <f>IF(O499,TRUE,AND(R499:W499))</f>
        <v>0</v>
      </c>
      <c r="O499">
        <f>COUNTBLANK(Metadata!B499:G499)=COLUMNS(Metadata!B499:G499)</f>
        <v>0</v>
      </c>
      <c r="P499">
        <v>0</v>
      </c>
      <c r="R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S499">
        <f>IF(Metadata!C499="",FALSE,TRUE)</f>
        <v>0</v>
      </c>
      <c r="T499">
        <f>IF(Metadata!D499="",FALSE,TRUE)</f>
        <v>0</v>
      </c>
      <c r="U499">
        <f>IF(Metadata!E499="",FALSE,TRUE)</f>
        <v>0</v>
      </c>
      <c r="V499">
        <f>AND(IF(Metadata!F499="",FALSE,TRUE),exact(Metadata!F499,"rat gut metagenome"))</f>
        <v>0</v>
      </c>
      <c r="W499">
        <f>AND(IF(Metadata!G499="",FALSE,TRUE),exact(Metadata!G499,"1436733"))</f>
        <v>0</v>
      </c>
    </row>
    <row r="500" spans="1:23">
      <c r="A500" s="4">
        <f>IF(B500=" "," ",HYPERLINK(CONCATENATE("#metadata!",ADDRESS(INDEX($M$2:$M$1001,MATCH(ROWS($K$2:K500),$K$2:$K$1001,0),0),1)),INDEX($P$2:$P$1001,MATCH(ROWS($K$2:K500),$K$2:$K$1001,0),0)))</f>
        <v>0</v>
      </c>
      <c r="B500" s="3">
        <f>IF(OR(INDEX($L$2:$L$1001,MATCH(ROWS($K$2:K500),$K$2:$K$1001,0),1)&gt;=100000,INDEX($R$1005:$W$1005,1,MATCH(COLUMNS($R$1006:R1006),$R$1006:$W$1006,0))&gt;=100000), " ",IF(INDEX($R$2:$W$1001,MATCH(ROWS($K$2:K500),$K$2:$K$1001,0),MATCH(COLUMNS($R$1006:R1006),$R$1006:$W$1006,0)), HYPERLINK("#",""), HYPERLINK(CONCATENATE("#Metadata!", ADDRESS(INDEX($M$2:$M$1001,MATCH(ROWS($K$2:K500),$K$2:$K$1001,0),0), INDEX($R$1004:$W$1004,1,MATCH(COLUMNS($R$1006:R1006),$R$1006:$W$1006,0)))),"Fix")))</f>
        <v>0</v>
      </c>
      <c r="C500" s="3">
        <f>IF(OR(INDEX($L$2:$L$1001,MATCH(ROWS($K$2:K500),$K$2:$K$1001,0),1)&gt;=100000,INDEX($R$1005:$W$1005,1,MATCH(COLUMNS($R$1006:S1006),$R$1006:$W$1006,0))&gt;=100000), " ",IF(INDEX($R$2:$W$1001,MATCH(ROWS($K$2:K500),$K$2:$K$1001,0),MATCH(COLUMNS($R$1006:S1006),$R$1006:$W$1006,0)), HYPERLINK("#",""), HYPERLINK(CONCATENATE("#Metadata!", ADDRESS(INDEX($M$2:$M$1001,MATCH(ROWS($K$2:K500),$K$2:$K$1001,0),0), INDEX($R$1004:$W$1004,1,MATCH(COLUMNS($R$1006:S1006),$R$1006:$W$1006,0)))),"Fix")))</f>
        <v>0</v>
      </c>
      <c r="D500" s="3">
        <f>IF(OR(INDEX($L$2:$L$1001,MATCH(ROWS($K$2:K500),$K$2:$K$1001,0),1)&gt;=100000,INDEX($R$1005:$W$1005,1,MATCH(COLUMNS($R$1006:T1006),$R$1006:$W$1006,0))&gt;=100000), " ",IF(INDEX($R$2:$W$1001,MATCH(ROWS($K$2:K500),$K$2:$K$1001,0),MATCH(COLUMNS($R$1006:T1006),$R$1006:$W$1006,0)), HYPERLINK("#",""), HYPERLINK(CONCATENATE("#Metadata!", ADDRESS(INDEX($M$2:$M$1001,MATCH(ROWS($K$2:K500),$K$2:$K$1001,0),0), INDEX($R$1004:$W$1004,1,MATCH(COLUMNS($R$1006:T1006),$R$1006:$W$1006,0)))),"Fix")))</f>
        <v>0</v>
      </c>
      <c r="E500" s="3">
        <f>IF(OR(INDEX($L$2:$L$1001,MATCH(ROWS($K$2:K500),$K$2:$K$1001,0),1)&gt;=100000,INDEX($R$1005:$W$1005,1,MATCH(COLUMNS($R$1006:U1006),$R$1006:$W$1006,0))&gt;=100000), " ",IF(INDEX($R$2:$W$1001,MATCH(ROWS($K$2:K500),$K$2:$K$1001,0),MATCH(COLUMNS($R$1006:U1006),$R$1006:$W$1006,0)), HYPERLINK("#",""), HYPERLINK(CONCATENATE("#Metadata!", ADDRESS(INDEX($M$2:$M$1001,MATCH(ROWS($K$2:K500),$K$2:$K$1001,0),0), INDEX($R$1004:$W$1004,1,MATCH(COLUMNS($R$1006:U1006),$R$1006:$W$1006,0)))),"Fix")))</f>
        <v>0</v>
      </c>
      <c r="F500" s="3">
        <f>IF(OR(INDEX($L$2:$L$1001,MATCH(ROWS($K$2:K500),$K$2:$K$1001,0),1)&gt;=100000,INDEX($R$1005:$W$1005,1,MATCH(COLUMNS($R$1006:V1006),$R$1006:$W$1006,0))&gt;=100000), " ",IF(INDEX($R$2:$W$1001,MATCH(ROWS($K$2:K500),$K$2:$K$1001,0),MATCH(COLUMNS($R$1006:V1006),$R$1006:$W$1006,0)), HYPERLINK("#",""), HYPERLINK(CONCATENATE("#Metadata!", ADDRESS(INDEX($M$2:$M$1001,MATCH(ROWS($K$2:K500),$K$2:$K$1001,0),0), INDEX($R$1004:$W$1004,1,MATCH(COLUMNS($R$1006:V1006),$R$1006:$W$1006,0)))),"Fix")))</f>
        <v>0</v>
      </c>
      <c r="G500" s="3">
        <f>IF(OR(INDEX($L$2:$L$1001,MATCH(ROWS($K$2:K500),$K$2:$K$1001,0),1)&gt;=100000,INDEX($R$1005:$W$1005,1,MATCH(COLUMNS($R$1006:W1006),$R$1006:$W$1006,0))&gt;=100000), " ",IF(INDEX($R$2:$W$1001,MATCH(ROWS($K$2:K500),$K$2:$K$1001,0),MATCH(COLUMNS($R$1006:W1006),$R$1006:$W$1006,0)), HYPERLINK("#",""), HYPERLINK(CONCATENATE("#Metadata!", ADDRESS(INDEX($M$2:$M$1001,MATCH(ROWS($K$2:K500),$K$2:$K$1001,0),0), INDEX($R$1004:$W$1004,1,MATCH(COLUMNS($R$1006:W1006),$R$1006:$W$1006,0)))),"Fix")))</f>
        <v>0</v>
      </c>
      <c r="K500">
        <v>0</v>
      </c>
      <c r="L500">
        <v>0</v>
      </c>
      <c r="M500">
        <v>0</v>
      </c>
      <c r="N500">
        <f>IF(O500,TRUE,AND(R500:W500))</f>
        <v>0</v>
      </c>
      <c r="O500">
        <f>COUNTBLANK(Metadata!B500:G500)=COLUMNS(Metadata!B500:G500)</f>
        <v>0</v>
      </c>
      <c r="P500">
        <v>0</v>
      </c>
      <c r="R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S500">
        <f>IF(Metadata!C500="",FALSE,TRUE)</f>
        <v>0</v>
      </c>
      <c r="T500">
        <f>IF(Metadata!D500="",FALSE,TRUE)</f>
        <v>0</v>
      </c>
      <c r="U500">
        <f>IF(Metadata!E500="",FALSE,TRUE)</f>
        <v>0</v>
      </c>
      <c r="V500">
        <f>AND(IF(Metadata!F500="",FALSE,TRUE),exact(Metadata!F500,"rat gut metagenome"))</f>
        <v>0</v>
      </c>
      <c r="W500">
        <f>AND(IF(Metadata!G500="",FALSE,TRUE),exact(Metadata!G500,"1436733"))</f>
        <v>0</v>
      </c>
    </row>
    <row r="501" spans="1:23">
      <c r="A501" s="4">
        <f>IF(B501=" "," ",HYPERLINK(CONCATENATE("#metadata!",ADDRESS(INDEX($M$2:$M$1001,MATCH(ROWS($K$2:K501),$K$2:$K$1001,0),0),1)),INDEX($P$2:$P$1001,MATCH(ROWS($K$2:K501),$K$2:$K$1001,0),0)))</f>
        <v>0</v>
      </c>
      <c r="B501" s="3">
        <f>IF(OR(INDEX($L$2:$L$1001,MATCH(ROWS($K$2:K501),$K$2:$K$1001,0),1)&gt;=100000,INDEX($R$1005:$W$1005,1,MATCH(COLUMNS($R$1006:R1006),$R$1006:$W$1006,0))&gt;=100000), " ",IF(INDEX($R$2:$W$1001,MATCH(ROWS($K$2:K501),$K$2:$K$1001,0),MATCH(COLUMNS($R$1006:R1006),$R$1006:$W$1006,0)), HYPERLINK("#",""), HYPERLINK(CONCATENATE("#Metadata!", ADDRESS(INDEX($M$2:$M$1001,MATCH(ROWS($K$2:K501),$K$2:$K$1001,0),0), INDEX($R$1004:$W$1004,1,MATCH(COLUMNS($R$1006:R1006),$R$1006:$W$1006,0)))),"Fix")))</f>
        <v>0</v>
      </c>
      <c r="C501" s="3">
        <f>IF(OR(INDEX($L$2:$L$1001,MATCH(ROWS($K$2:K501),$K$2:$K$1001,0),1)&gt;=100000,INDEX($R$1005:$W$1005,1,MATCH(COLUMNS($R$1006:S1006),$R$1006:$W$1006,0))&gt;=100000), " ",IF(INDEX($R$2:$W$1001,MATCH(ROWS($K$2:K501),$K$2:$K$1001,0),MATCH(COLUMNS($R$1006:S1006),$R$1006:$W$1006,0)), HYPERLINK("#",""), HYPERLINK(CONCATENATE("#Metadata!", ADDRESS(INDEX($M$2:$M$1001,MATCH(ROWS($K$2:K501),$K$2:$K$1001,0),0), INDEX($R$1004:$W$1004,1,MATCH(COLUMNS($R$1006:S1006),$R$1006:$W$1006,0)))),"Fix")))</f>
        <v>0</v>
      </c>
      <c r="D501" s="3">
        <f>IF(OR(INDEX($L$2:$L$1001,MATCH(ROWS($K$2:K501),$K$2:$K$1001,0),1)&gt;=100000,INDEX($R$1005:$W$1005,1,MATCH(COLUMNS($R$1006:T1006),$R$1006:$W$1006,0))&gt;=100000), " ",IF(INDEX($R$2:$W$1001,MATCH(ROWS($K$2:K501),$K$2:$K$1001,0),MATCH(COLUMNS($R$1006:T1006),$R$1006:$W$1006,0)), HYPERLINK("#",""), HYPERLINK(CONCATENATE("#Metadata!", ADDRESS(INDEX($M$2:$M$1001,MATCH(ROWS($K$2:K501),$K$2:$K$1001,0),0), INDEX($R$1004:$W$1004,1,MATCH(COLUMNS($R$1006:T1006),$R$1006:$W$1006,0)))),"Fix")))</f>
        <v>0</v>
      </c>
      <c r="E501" s="3">
        <f>IF(OR(INDEX($L$2:$L$1001,MATCH(ROWS($K$2:K501),$K$2:$K$1001,0),1)&gt;=100000,INDEX($R$1005:$W$1005,1,MATCH(COLUMNS($R$1006:U1006),$R$1006:$W$1006,0))&gt;=100000), " ",IF(INDEX($R$2:$W$1001,MATCH(ROWS($K$2:K501),$K$2:$K$1001,0),MATCH(COLUMNS($R$1006:U1006),$R$1006:$W$1006,0)), HYPERLINK("#",""), HYPERLINK(CONCATENATE("#Metadata!", ADDRESS(INDEX($M$2:$M$1001,MATCH(ROWS($K$2:K501),$K$2:$K$1001,0),0), INDEX($R$1004:$W$1004,1,MATCH(COLUMNS($R$1006:U1006),$R$1006:$W$1006,0)))),"Fix")))</f>
        <v>0</v>
      </c>
      <c r="F501" s="3">
        <f>IF(OR(INDEX($L$2:$L$1001,MATCH(ROWS($K$2:K501),$K$2:$K$1001,0),1)&gt;=100000,INDEX($R$1005:$W$1005,1,MATCH(COLUMNS($R$1006:V1006),$R$1006:$W$1006,0))&gt;=100000), " ",IF(INDEX($R$2:$W$1001,MATCH(ROWS($K$2:K501),$K$2:$K$1001,0),MATCH(COLUMNS($R$1006:V1006),$R$1006:$W$1006,0)), HYPERLINK("#",""), HYPERLINK(CONCATENATE("#Metadata!", ADDRESS(INDEX($M$2:$M$1001,MATCH(ROWS($K$2:K501),$K$2:$K$1001,0),0), INDEX($R$1004:$W$1004,1,MATCH(COLUMNS($R$1006:V1006),$R$1006:$W$1006,0)))),"Fix")))</f>
        <v>0</v>
      </c>
      <c r="G501" s="3">
        <f>IF(OR(INDEX($L$2:$L$1001,MATCH(ROWS($K$2:K501),$K$2:$K$1001,0),1)&gt;=100000,INDEX($R$1005:$W$1005,1,MATCH(COLUMNS($R$1006:W1006),$R$1006:$W$1006,0))&gt;=100000), " ",IF(INDEX($R$2:$W$1001,MATCH(ROWS($K$2:K501),$K$2:$K$1001,0),MATCH(COLUMNS($R$1006:W1006),$R$1006:$W$1006,0)), HYPERLINK("#",""), HYPERLINK(CONCATENATE("#Metadata!", ADDRESS(INDEX($M$2:$M$1001,MATCH(ROWS($K$2:K501),$K$2:$K$1001,0),0), INDEX($R$1004:$W$1004,1,MATCH(COLUMNS($R$1006:W1006),$R$1006:$W$1006,0)))),"Fix")))</f>
        <v>0</v>
      </c>
      <c r="K501">
        <v>0</v>
      </c>
      <c r="L501">
        <v>0</v>
      </c>
      <c r="M501">
        <v>0</v>
      </c>
      <c r="N501">
        <f>IF(O501,TRUE,AND(R501:W501))</f>
        <v>0</v>
      </c>
      <c r="O501">
        <f>COUNTBLANK(Metadata!B501:G501)=COLUMNS(Metadata!B501:G501)</f>
        <v>0</v>
      </c>
      <c r="P501">
        <v>0</v>
      </c>
      <c r="R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S501">
        <f>IF(Metadata!C501="",FALSE,TRUE)</f>
        <v>0</v>
      </c>
      <c r="T501">
        <f>IF(Metadata!D501="",FALSE,TRUE)</f>
        <v>0</v>
      </c>
      <c r="U501">
        <f>IF(Metadata!E501="",FALSE,TRUE)</f>
        <v>0</v>
      </c>
      <c r="V501">
        <f>AND(IF(Metadata!F501="",FALSE,TRUE),exact(Metadata!F501,"rat gut metagenome"))</f>
        <v>0</v>
      </c>
      <c r="W501">
        <f>AND(IF(Metadata!G501="",FALSE,TRUE),exact(Metadata!G501,"1436733"))</f>
        <v>0</v>
      </c>
    </row>
    <row r="502" spans="1:23">
      <c r="A502" s="4">
        <f>IF(B502=" "," ",HYPERLINK(CONCATENATE("#metadata!",ADDRESS(INDEX($M$2:$M$1001,MATCH(ROWS($K$2:K502),$K$2:$K$1001,0),0),1)),INDEX($P$2:$P$1001,MATCH(ROWS($K$2:K502),$K$2:$K$1001,0),0)))</f>
        <v>0</v>
      </c>
      <c r="B502" s="3">
        <f>IF(OR(INDEX($L$2:$L$1001,MATCH(ROWS($K$2:K502),$K$2:$K$1001,0),1)&gt;=100000,INDEX($R$1005:$W$1005,1,MATCH(COLUMNS($R$1006:R1006),$R$1006:$W$1006,0))&gt;=100000), " ",IF(INDEX($R$2:$W$1001,MATCH(ROWS($K$2:K502),$K$2:$K$1001,0),MATCH(COLUMNS($R$1006:R1006),$R$1006:$W$1006,0)), HYPERLINK("#",""), HYPERLINK(CONCATENATE("#Metadata!", ADDRESS(INDEX($M$2:$M$1001,MATCH(ROWS($K$2:K502),$K$2:$K$1001,0),0), INDEX($R$1004:$W$1004,1,MATCH(COLUMNS($R$1006:R1006),$R$1006:$W$1006,0)))),"Fix")))</f>
        <v>0</v>
      </c>
      <c r="C502" s="3">
        <f>IF(OR(INDEX($L$2:$L$1001,MATCH(ROWS($K$2:K502),$K$2:$K$1001,0),1)&gt;=100000,INDEX($R$1005:$W$1005,1,MATCH(COLUMNS($R$1006:S1006),$R$1006:$W$1006,0))&gt;=100000), " ",IF(INDEX($R$2:$W$1001,MATCH(ROWS($K$2:K502),$K$2:$K$1001,0),MATCH(COLUMNS($R$1006:S1006),$R$1006:$W$1006,0)), HYPERLINK("#",""), HYPERLINK(CONCATENATE("#Metadata!", ADDRESS(INDEX($M$2:$M$1001,MATCH(ROWS($K$2:K502),$K$2:$K$1001,0),0), INDEX($R$1004:$W$1004,1,MATCH(COLUMNS($R$1006:S1006),$R$1006:$W$1006,0)))),"Fix")))</f>
        <v>0</v>
      </c>
      <c r="D502" s="3">
        <f>IF(OR(INDEX($L$2:$L$1001,MATCH(ROWS($K$2:K502),$K$2:$K$1001,0),1)&gt;=100000,INDEX($R$1005:$W$1005,1,MATCH(COLUMNS($R$1006:T1006),$R$1006:$W$1006,0))&gt;=100000), " ",IF(INDEX($R$2:$W$1001,MATCH(ROWS($K$2:K502),$K$2:$K$1001,0),MATCH(COLUMNS($R$1006:T1006),$R$1006:$W$1006,0)), HYPERLINK("#",""), HYPERLINK(CONCATENATE("#Metadata!", ADDRESS(INDEX($M$2:$M$1001,MATCH(ROWS($K$2:K502),$K$2:$K$1001,0),0), INDEX($R$1004:$W$1004,1,MATCH(COLUMNS($R$1006:T1006),$R$1006:$W$1006,0)))),"Fix")))</f>
        <v>0</v>
      </c>
      <c r="E502" s="3">
        <f>IF(OR(INDEX($L$2:$L$1001,MATCH(ROWS($K$2:K502),$K$2:$K$1001,0),1)&gt;=100000,INDEX($R$1005:$W$1005,1,MATCH(COLUMNS($R$1006:U1006),$R$1006:$W$1006,0))&gt;=100000), " ",IF(INDEX($R$2:$W$1001,MATCH(ROWS($K$2:K502),$K$2:$K$1001,0),MATCH(COLUMNS($R$1006:U1006),$R$1006:$W$1006,0)), HYPERLINK("#",""), HYPERLINK(CONCATENATE("#Metadata!", ADDRESS(INDEX($M$2:$M$1001,MATCH(ROWS($K$2:K502),$K$2:$K$1001,0),0), INDEX($R$1004:$W$1004,1,MATCH(COLUMNS($R$1006:U1006),$R$1006:$W$1006,0)))),"Fix")))</f>
        <v>0</v>
      </c>
      <c r="F502" s="3">
        <f>IF(OR(INDEX($L$2:$L$1001,MATCH(ROWS($K$2:K502),$K$2:$K$1001,0),1)&gt;=100000,INDEX($R$1005:$W$1005,1,MATCH(COLUMNS($R$1006:V1006),$R$1006:$W$1006,0))&gt;=100000), " ",IF(INDEX($R$2:$W$1001,MATCH(ROWS($K$2:K502),$K$2:$K$1001,0),MATCH(COLUMNS($R$1006:V1006),$R$1006:$W$1006,0)), HYPERLINK("#",""), HYPERLINK(CONCATENATE("#Metadata!", ADDRESS(INDEX($M$2:$M$1001,MATCH(ROWS($K$2:K502),$K$2:$K$1001,0),0), INDEX($R$1004:$W$1004,1,MATCH(COLUMNS($R$1006:V1006),$R$1006:$W$1006,0)))),"Fix")))</f>
        <v>0</v>
      </c>
      <c r="G502" s="3">
        <f>IF(OR(INDEX($L$2:$L$1001,MATCH(ROWS($K$2:K502),$K$2:$K$1001,0),1)&gt;=100000,INDEX($R$1005:$W$1005,1,MATCH(COLUMNS($R$1006:W1006),$R$1006:$W$1006,0))&gt;=100000), " ",IF(INDEX($R$2:$W$1001,MATCH(ROWS($K$2:K502),$K$2:$K$1001,0),MATCH(COLUMNS($R$1006:W1006),$R$1006:$W$1006,0)), HYPERLINK("#",""), HYPERLINK(CONCATENATE("#Metadata!", ADDRESS(INDEX($M$2:$M$1001,MATCH(ROWS($K$2:K502),$K$2:$K$1001,0),0), INDEX($R$1004:$W$1004,1,MATCH(COLUMNS($R$1006:W1006),$R$1006:$W$1006,0)))),"Fix")))</f>
        <v>0</v>
      </c>
      <c r="K502">
        <v>0</v>
      </c>
      <c r="L502">
        <v>0</v>
      </c>
      <c r="M502">
        <v>0</v>
      </c>
      <c r="N502">
        <f>IF(O502,TRUE,AND(R502:W502))</f>
        <v>0</v>
      </c>
      <c r="O502">
        <f>COUNTBLANK(Metadata!B502:G502)=COLUMNS(Metadata!B502:G502)</f>
        <v>0</v>
      </c>
      <c r="P502">
        <v>0</v>
      </c>
      <c r="R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S502">
        <f>IF(Metadata!C502="",FALSE,TRUE)</f>
        <v>0</v>
      </c>
      <c r="T502">
        <f>IF(Metadata!D502="",FALSE,TRUE)</f>
        <v>0</v>
      </c>
      <c r="U502">
        <f>IF(Metadata!E502="",FALSE,TRUE)</f>
        <v>0</v>
      </c>
      <c r="V502">
        <f>AND(IF(Metadata!F502="",FALSE,TRUE),exact(Metadata!F502,"rat gut metagenome"))</f>
        <v>0</v>
      </c>
      <c r="W502">
        <f>AND(IF(Metadata!G502="",FALSE,TRUE),exact(Metadata!G502,"1436733"))</f>
        <v>0</v>
      </c>
    </row>
    <row r="503" spans="1:23">
      <c r="A503" s="4">
        <f>IF(B503=" "," ",HYPERLINK(CONCATENATE("#metadata!",ADDRESS(INDEX($M$2:$M$1001,MATCH(ROWS($K$2:K503),$K$2:$K$1001,0),0),1)),INDEX($P$2:$P$1001,MATCH(ROWS($K$2:K503),$K$2:$K$1001,0),0)))</f>
        <v>0</v>
      </c>
      <c r="B503" s="3">
        <f>IF(OR(INDEX($L$2:$L$1001,MATCH(ROWS($K$2:K503),$K$2:$K$1001,0),1)&gt;=100000,INDEX($R$1005:$W$1005,1,MATCH(COLUMNS($R$1006:R1006),$R$1006:$W$1006,0))&gt;=100000), " ",IF(INDEX($R$2:$W$1001,MATCH(ROWS($K$2:K503),$K$2:$K$1001,0),MATCH(COLUMNS($R$1006:R1006),$R$1006:$W$1006,0)), HYPERLINK("#",""), HYPERLINK(CONCATENATE("#Metadata!", ADDRESS(INDEX($M$2:$M$1001,MATCH(ROWS($K$2:K503),$K$2:$K$1001,0),0), INDEX($R$1004:$W$1004,1,MATCH(COLUMNS($R$1006:R1006),$R$1006:$W$1006,0)))),"Fix")))</f>
        <v>0</v>
      </c>
      <c r="C503" s="3">
        <f>IF(OR(INDEX($L$2:$L$1001,MATCH(ROWS($K$2:K503),$K$2:$K$1001,0),1)&gt;=100000,INDEX($R$1005:$W$1005,1,MATCH(COLUMNS($R$1006:S1006),$R$1006:$W$1006,0))&gt;=100000), " ",IF(INDEX($R$2:$W$1001,MATCH(ROWS($K$2:K503),$K$2:$K$1001,0),MATCH(COLUMNS($R$1006:S1006),$R$1006:$W$1006,0)), HYPERLINK("#",""), HYPERLINK(CONCATENATE("#Metadata!", ADDRESS(INDEX($M$2:$M$1001,MATCH(ROWS($K$2:K503),$K$2:$K$1001,0),0), INDEX($R$1004:$W$1004,1,MATCH(COLUMNS($R$1006:S1006),$R$1006:$W$1006,0)))),"Fix")))</f>
        <v>0</v>
      </c>
      <c r="D503" s="3">
        <f>IF(OR(INDEX($L$2:$L$1001,MATCH(ROWS($K$2:K503),$K$2:$K$1001,0),1)&gt;=100000,INDEX($R$1005:$W$1005,1,MATCH(COLUMNS($R$1006:T1006),$R$1006:$W$1006,0))&gt;=100000), " ",IF(INDEX($R$2:$W$1001,MATCH(ROWS($K$2:K503),$K$2:$K$1001,0),MATCH(COLUMNS($R$1006:T1006),$R$1006:$W$1006,0)), HYPERLINK("#",""), HYPERLINK(CONCATENATE("#Metadata!", ADDRESS(INDEX($M$2:$M$1001,MATCH(ROWS($K$2:K503),$K$2:$K$1001,0),0), INDEX($R$1004:$W$1004,1,MATCH(COLUMNS($R$1006:T1006),$R$1006:$W$1006,0)))),"Fix")))</f>
        <v>0</v>
      </c>
      <c r="E503" s="3">
        <f>IF(OR(INDEX($L$2:$L$1001,MATCH(ROWS($K$2:K503),$K$2:$K$1001,0),1)&gt;=100000,INDEX($R$1005:$W$1005,1,MATCH(COLUMNS($R$1006:U1006),$R$1006:$W$1006,0))&gt;=100000), " ",IF(INDEX($R$2:$W$1001,MATCH(ROWS($K$2:K503),$K$2:$K$1001,0),MATCH(COLUMNS($R$1006:U1006),$R$1006:$W$1006,0)), HYPERLINK("#",""), HYPERLINK(CONCATENATE("#Metadata!", ADDRESS(INDEX($M$2:$M$1001,MATCH(ROWS($K$2:K503),$K$2:$K$1001,0),0), INDEX($R$1004:$W$1004,1,MATCH(COLUMNS($R$1006:U1006),$R$1006:$W$1006,0)))),"Fix")))</f>
        <v>0</v>
      </c>
      <c r="F503" s="3">
        <f>IF(OR(INDEX($L$2:$L$1001,MATCH(ROWS($K$2:K503),$K$2:$K$1001,0),1)&gt;=100000,INDEX($R$1005:$W$1005,1,MATCH(COLUMNS($R$1006:V1006),$R$1006:$W$1006,0))&gt;=100000), " ",IF(INDEX($R$2:$W$1001,MATCH(ROWS($K$2:K503),$K$2:$K$1001,0),MATCH(COLUMNS($R$1006:V1006),$R$1006:$W$1006,0)), HYPERLINK("#",""), HYPERLINK(CONCATENATE("#Metadata!", ADDRESS(INDEX($M$2:$M$1001,MATCH(ROWS($K$2:K503),$K$2:$K$1001,0),0), INDEX($R$1004:$W$1004,1,MATCH(COLUMNS($R$1006:V1006),$R$1006:$W$1006,0)))),"Fix")))</f>
        <v>0</v>
      </c>
      <c r="G503" s="3">
        <f>IF(OR(INDEX($L$2:$L$1001,MATCH(ROWS($K$2:K503),$K$2:$K$1001,0),1)&gt;=100000,INDEX($R$1005:$W$1005,1,MATCH(COLUMNS($R$1006:W1006),$R$1006:$W$1006,0))&gt;=100000), " ",IF(INDEX($R$2:$W$1001,MATCH(ROWS($K$2:K503),$K$2:$K$1001,0),MATCH(COLUMNS($R$1006:W1006),$R$1006:$W$1006,0)), HYPERLINK("#",""), HYPERLINK(CONCATENATE("#Metadata!", ADDRESS(INDEX($M$2:$M$1001,MATCH(ROWS($K$2:K503),$K$2:$K$1001,0),0), INDEX($R$1004:$W$1004,1,MATCH(COLUMNS($R$1006:W1006),$R$1006:$W$1006,0)))),"Fix")))</f>
        <v>0</v>
      </c>
      <c r="K503">
        <v>0</v>
      </c>
      <c r="L503">
        <v>0</v>
      </c>
      <c r="M503">
        <v>0</v>
      </c>
      <c r="N503">
        <f>IF(O503,TRUE,AND(R503:W503))</f>
        <v>0</v>
      </c>
      <c r="O503">
        <f>COUNTBLANK(Metadata!B503:G503)=COLUMNS(Metadata!B503:G503)</f>
        <v>0</v>
      </c>
      <c r="P503">
        <v>0</v>
      </c>
      <c r="R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S503">
        <f>IF(Metadata!C503="",FALSE,TRUE)</f>
        <v>0</v>
      </c>
      <c r="T503">
        <f>IF(Metadata!D503="",FALSE,TRUE)</f>
        <v>0</v>
      </c>
      <c r="U503">
        <f>IF(Metadata!E503="",FALSE,TRUE)</f>
        <v>0</v>
      </c>
      <c r="V503">
        <f>AND(IF(Metadata!F503="",FALSE,TRUE),exact(Metadata!F503,"rat gut metagenome"))</f>
        <v>0</v>
      </c>
      <c r="W503">
        <f>AND(IF(Metadata!G503="",FALSE,TRUE),exact(Metadata!G503,"1436733"))</f>
        <v>0</v>
      </c>
    </row>
    <row r="504" spans="1:23">
      <c r="A504" s="4">
        <f>IF(B504=" "," ",HYPERLINK(CONCATENATE("#metadata!",ADDRESS(INDEX($M$2:$M$1001,MATCH(ROWS($K$2:K504),$K$2:$K$1001,0),0),1)),INDEX($P$2:$P$1001,MATCH(ROWS($K$2:K504),$K$2:$K$1001,0),0)))</f>
        <v>0</v>
      </c>
      <c r="B504" s="3">
        <f>IF(OR(INDEX($L$2:$L$1001,MATCH(ROWS($K$2:K504),$K$2:$K$1001,0),1)&gt;=100000,INDEX($R$1005:$W$1005,1,MATCH(COLUMNS($R$1006:R1006),$R$1006:$W$1006,0))&gt;=100000), " ",IF(INDEX($R$2:$W$1001,MATCH(ROWS($K$2:K504),$K$2:$K$1001,0),MATCH(COLUMNS($R$1006:R1006),$R$1006:$W$1006,0)), HYPERLINK("#",""), HYPERLINK(CONCATENATE("#Metadata!", ADDRESS(INDEX($M$2:$M$1001,MATCH(ROWS($K$2:K504),$K$2:$K$1001,0),0), INDEX($R$1004:$W$1004,1,MATCH(COLUMNS($R$1006:R1006),$R$1006:$W$1006,0)))),"Fix")))</f>
        <v>0</v>
      </c>
      <c r="C504" s="3">
        <f>IF(OR(INDEX($L$2:$L$1001,MATCH(ROWS($K$2:K504),$K$2:$K$1001,0),1)&gt;=100000,INDEX($R$1005:$W$1005,1,MATCH(COLUMNS($R$1006:S1006),$R$1006:$W$1006,0))&gt;=100000), " ",IF(INDEX($R$2:$W$1001,MATCH(ROWS($K$2:K504),$K$2:$K$1001,0),MATCH(COLUMNS($R$1006:S1006),$R$1006:$W$1006,0)), HYPERLINK("#",""), HYPERLINK(CONCATENATE("#Metadata!", ADDRESS(INDEX($M$2:$M$1001,MATCH(ROWS($K$2:K504),$K$2:$K$1001,0),0), INDEX($R$1004:$W$1004,1,MATCH(COLUMNS($R$1006:S1006),$R$1006:$W$1006,0)))),"Fix")))</f>
        <v>0</v>
      </c>
      <c r="D504" s="3">
        <f>IF(OR(INDEX($L$2:$L$1001,MATCH(ROWS($K$2:K504),$K$2:$K$1001,0),1)&gt;=100000,INDEX($R$1005:$W$1005,1,MATCH(COLUMNS($R$1006:T1006),$R$1006:$W$1006,0))&gt;=100000), " ",IF(INDEX($R$2:$W$1001,MATCH(ROWS($K$2:K504),$K$2:$K$1001,0),MATCH(COLUMNS($R$1006:T1006),$R$1006:$W$1006,0)), HYPERLINK("#",""), HYPERLINK(CONCATENATE("#Metadata!", ADDRESS(INDEX($M$2:$M$1001,MATCH(ROWS($K$2:K504),$K$2:$K$1001,0),0), INDEX($R$1004:$W$1004,1,MATCH(COLUMNS($R$1006:T1006),$R$1006:$W$1006,0)))),"Fix")))</f>
        <v>0</v>
      </c>
      <c r="E504" s="3">
        <f>IF(OR(INDEX($L$2:$L$1001,MATCH(ROWS($K$2:K504),$K$2:$K$1001,0),1)&gt;=100000,INDEX($R$1005:$W$1005,1,MATCH(COLUMNS($R$1006:U1006),$R$1006:$W$1006,0))&gt;=100000), " ",IF(INDEX($R$2:$W$1001,MATCH(ROWS($K$2:K504),$K$2:$K$1001,0),MATCH(COLUMNS($R$1006:U1006),$R$1006:$W$1006,0)), HYPERLINK("#",""), HYPERLINK(CONCATENATE("#Metadata!", ADDRESS(INDEX($M$2:$M$1001,MATCH(ROWS($K$2:K504),$K$2:$K$1001,0),0), INDEX($R$1004:$W$1004,1,MATCH(COLUMNS($R$1006:U1006),$R$1006:$W$1006,0)))),"Fix")))</f>
        <v>0</v>
      </c>
      <c r="F504" s="3">
        <f>IF(OR(INDEX($L$2:$L$1001,MATCH(ROWS($K$2:K504),$K$2:$K$1001,0),1)&gt;=100000,INDEX($R$1005:$W$1005,1,MATCH(COLUMNS($R$1006:V1006),$R$1006:$W$1006,0))&gt;=100000), " ",IF(INDEX($R$2:$W$1001,MATCH(ROWS($K$2:K504),$K$2:$K$1001,0),MATCH(COLUMNS($R$1006:V1006),$R$1006:$W$1006,0)), HYPERLINK("#",""), HYPERLINK(CONCATENATE("#Metadata!", ADDRESS(INDEX($M$2:$M$1001,MATCH(ROWS($K$2:K504),$K$2:$K$1001,0),0), INDEX($R$1004:$W$1004,1,MATCH(COLUMNS($R$1006:V1006),$R$1006:$W$1006,0)))),"Fix")))</f>
        <v>0</v>
      </c>
      <c r="G504" s="3">
        <f>IF(OR(INDEX($L$2:$L$1001,MATCH(ROWS($K$2:K504),$K$2:$K$1001,0),1)&gt;=100000,INDEX($R$1005:$W$1005,1,MATCH(COLUMNS($R$1006:W1006),$R$1006:$W$1006,0))&gt;=100000), " ",IF(INDEX($R$2:$W$1001,MATCH(ROWS($K$2:K504),$K$2:$K$1001,0),MATCH(COLUMNS($R$1006:W1006),$R$1006:$W$1006,0)), HYPERLINK("#",""), HYPERLINK(CONCATENATE("#Metadata!", ADDRESS(INDEX($M$2:$M$1001,MATCH(ROWS($K$2:K504),$K$2:$K$1001,0),0), INDEX($R$1004:$W$1004,1,MATCH(COLUMNS($R$1006:W1006),$R$1006:$W$1006,0)))),"Fix")))</f>
        <v>0</v>
      </c>
      <c r="K504">
        <v>0</v>
      </c>
      <c r="L504">
        <v>0</v>
      </c>
      <c r="M504">
        <v>0</v>
      </c>
      <c r="N504">
        <f>IF(O504,TRUE,AND(R504:W504))</f>
        <v>0</v>
      </c>
      <c r="O504">
        <f>COUNTBLANK(Metadata!B504:G504)=COLUMNS(Metadata!B504:G504)</f>
        <v>0</v>
      </c>
      <c r="P504">
        <v>0</v>
      </c>
      <c r="R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S504">
        <f>IF(Metadata!C504="",FALSE,TRUE)</f>
        <v>0</v>
      </c>
      <c r="T504">
        <f>IF(Metadata!D504="",FALSE,TRUE)</f>
        <v>0</v>
      </c>
      <c r="U504">
        <f>IF(Metadata!E504="",FALSE,TRUE)</f>
        <v>0</v>
      </c>
      <c r="V504">
        <f>AND(IF(Metadata!F504="",FALSE,TRUE),exact(Metadata!F504,"rat gut metagenome"))</f>
        <v>0</v>
      </c>
      <c r="W504">
        <f>AND(IF(Metadata!G504="",FALSE,TRUE),exact(Metadata!G504,"1436733"))</f>
        <v>0</v>
      </c>
    </row>
    <row r="505" spans="1:23">
      <c r="A505" s="4">
        <f>IF(B505=" "," ",HYPERLINK(CONCATENATE("#metadata!",ADDRESS(INDEX($M$2:$M$1001,MATCH(ROWS($K$2:K505),$K$2:$K$1001,0),0),1)),INDEX($P$2:$P$1001,MATCH(ROWS($K$2:K505),$K$2:$K$1001,0),0)))</f>
        <v>0</v>
      </c>
      <c r="B505" s="3">
        <f>IF(OR(INDEX($L$2:$L$1001,MATCH(ROWS($K$2:K505),$K$2:$K$1001,0),1)&gt;=100000,INDEX($R$1005:$W$1005,1,MATCH(COLUMNS($R$1006:R1006),$R$1006:$W$1006,0))&gt;=100000), " ",IF(INDEX($R$2:$W$1001,MATCH(ROWS($K$2:K505),$K$2:$K$1001,0),MATCH(COLUMNS($R$1006:R1006),$R$1006:$W$1006,0)), HYPERLINK("#",""), HYPERLINK(CONCATENATE("#Metadata!", ADDRESS(INDEX($M$2:$M$1001,MATCH(ROWS($K$2:K505),$K$2:$K$1001,0),0), INDEX($R$1004:$W$1004,1,MATCH(COLUMNS($R$1006:R1006),$R$1006:$W$1006,0)))),"Fix")))</f>
        <v>0</v>
      </c>
      <c r="C505" s="3">
        <f>IF(OR(INDEX($L$2:$L$1001,MATCH(ROWS($K$2:K505),$K$2:$K$1001,0),1)&gt;=100000,INDEX($R$1005:$W$1005,1,MATCH(COLUMNS($R$1006:S1006),$R$1006:$W$1006,0))&gt;=100000), " ",IF(INDEX($R$2:$W$1001,MATCH(ROWS($K$2:K505),$K$2:$K$1001,0),MATCH(COLUMNS($R$1006:S1006),$R$1006:$W$1006,0)), HYPERLINK("#",""), HYPERLINK(CONCATENATE("#Metadata!", ADDRESS(INDEX($M$2:$M$1001,MATCH(ROWS($K$2:K505),$K$2:$K$1001,0),0), INDEX($R$1004:$W$1004,1,MATCH(COLUMNS($R$1006:S1006),$R$1006:$W$1006,0)))),"Fix")))</f>
        <v>0</v>
      </c>
      <c r="D505" s="3">
        <f>IF(OR(INDEX($L$2:$L$1001,MATCH(ROWS($K$2:K505),$K$2:$K$1001,0),1)&gt;=100000,INDEX($R$1005:$W$1005,1,MATCH(COLUMNS($R$1006:T1006),$R$1006:$W$1006,0))&gt;=100000), " ",IF(INDEX($R$2:$W$1001,MATCH(ROWS($K$2:K505),$K$2:$K$1001,0),MATCH(COLUMNS($R$1006:T1006),$R$1006:$W$1006,0)), HYPERLINK("#",""), HYPERLINK(CONCATENATE("#Metadata!", ADDRESS(INDEX($M$2:$M$1001,MATCH(ROWS($K$2:K505),$K$2:$K$1001,0),0), INDEX($R$1004:$W$1004,1,MATCH(COLUMNS($R$1006:T1006),$R$1006:$W$1006,0)))),"Fix")))</f>
        <v>0</v>
      </c>
      <c r="E505" s="3">
        <f>IF(OR(INDEX($L$2:$L$1001,MATCH(ROWS($K$2:K505),$K$2:$K$1001,0),1)&gt;=100000,INDEX($R$1005:$W$1005,1,MATCH(COLUMNS($R$1006:U1006),$R$1006:$W$1006,0))&gt;=100000), " ",IF(INDEX($R$2:$W$1001,MATCH(ROWS($K$2:K505),$K$2:$K$1001,0),MATCH(COLUMNS($R$1006:U1006),$R$1006:$W$1006,0)), HYPERLINK("#",""), HYPERLINK(CONCATENATE("#Metadata!", ADDRESS(INDEX($M$2:$M$1001,MATCH(ROWS($K$2:K505),$K$2:$K$1001,0),0), INDEX($R$1004:$W$1004,1,MATCH(COLUMNS($R$1006:U1006),$R$1006:$W$1006,0)))),"Fix")))</f>
        <v>0</v>
      </c>
      <c r="F505" s="3">
        <f>IF(OR(INDEX($L$2:$L$1001,MATCH(ROWS($K$2:K505),$K$2:$K$1001,0),1)&gt;=100000,INDEX($R$1005:$W$1005,1,MATCH(COLUMNS($R$1006:V1006),$R$1006:$W$1006,0))&gt;=100000), " ",IF(INDEX($R$2:$W$1001,MATCH(ROWS($K$2:K505),$K$2:$K$1001,0),MATCH(COLUMNS($R$1006:V1006),$R$1006:$W$1006,0)), HYPERLINK("#",""), HYPERLINK(CONCATENATE("#Metadata!", ADDRESS(INDEX($M$2:$M$1001,MATCH(ROWS($K$2:K505),$K$2:$K$1001,0),0), INDEX($R$1004:$W$1004,1,MATCH(COLUMNS($R$1006:V1006),$R$1006:$W$1006,0)))),"Fix")))</f>
        <v>0</v>
      </c>
      <c r="G505" s="3">
        <f>IF(OR(INDEX($L$2:$L$1001,MATCH(ROWS($K$2:K505),$K$2:$K$1001,0),1)&gt;=100000,INDEX($R$1005:$W$1005,1,MATCH(COLUMNS($R$1006:W1006),$R$1006:$W$1006,0))&gt;=100000), " ",IF(INDEX($R$2:$W$1001,MATCH(ROWS($K$2:K505),$K$2:$K$1001,0),MATCH(COLUMNS($R$1006:W1006),$R$1006:$W$1006,0)), HYPERLINK("#",""), HYPERLINK(CONCATENATE("#Metadata!", ADDRESS(INDEX($M$2:$M$1001,MATCH(ROWS($K$2:K505),$K$2:$K$1001,0),0), INDEX($R$1004:$W$1004,1,MATCH(COLUMNS($R$1006:W1006),$R$1006:$W$1006,0)))),"Fix")))</f>
        <v>0</v>
      </c>
      <c r="K505">
        <v>0</v>
      </c>
      <c r="L505">
        <v>0</v>
      </c>
      <c r="M505">
        <v>0</v>
      </c>
      <c r="N505">
        <f>IF(O505,TRUE,AND(R505:W505))</f>
        <v>0</v>
      </c>
      <c r="O505">
        <f>COUNTBLANK(Metadata!B505:G505)=COLUMNS(Metadata!B505:G505)</f>
        <v>0</v>
      </c>
      <c r="P505">
        <v>0</v>
      </c>
      <c r="R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S505">
        <f>IF(Metadata!C505="",FALSE,TRUE)</f>
        <v>0</v>
      </c>
      <c r="T505">
        <f>IF(Metadata!D505="",FALSE,TRUE)</f>
        <v>0</v>
      </c>
      <c r="U505">
        <f>IF(Metadata!E505="",FALSE,TRUE)</f>
        <v>0</v>
      </c>
      <c r="V505">
        <f>AND(IF(Metadata!F505="",FALSE,TRUE),exact(Metadata!F505,"rat gut metagenome"))</f>
        <v>0</v>
      </c>
      <c r="W505">
        <f>AND(IF(Metadata!G505="",FALSE,TRUE),exact(Metadata!G505,"1436733"))</f>
        <v>0</v>
      </c>
    </row>
    <row r="506" spans="1:23">
      <c r="A506" s="4">
        <f>IF(B506=" "," ",HYPERLINK(CONCATENATE("#metadata!",ADDRESS(INDEX($M$2:$M$1001,MATCH(ROWS($K$2:K506),$K$2:$K$1001,0),0),1)),INDEX($P$2:$P$1001,MATCH(ROWS($K$2:K506),$K$2:$K$1001,0),0)))</f>
        <v>0</v>
      </c>
      <c r="B506" s="3">
        <f>IF(OR(INDEX($L$2:$L$1001,MATCH(ROWS($K$2:K506),$K$2:$K$1001,0),1)&gt;=100000,INDEX($R$1005:$W$1005,1,MATCH(COLUMNS($R$1006:R1006),$R$1006:$W$1006,0))&gt;=100000), " ",IF(INDEX($R$2:$W$1001,MATCH(ROWS($K$2:K506),$K$2:$K$1001,0),MATCH(COLUMNS($R$1006:R1006),$R$1006:$W$1006,0)), HYPERLINK("#",""), HYPERLINK(CONCATENATE("#Metadata!", ADDRESS(INDEX($M$2:$M$1001,MATCH(ROWS($K$2:K506),$K$2:$K$1001,0),0), INDEX($R$1004:$W$1004,1,MATCH(COLUMNS($R$1006:R1006),$R$1006:$W$1006,0)))),"Fix")))</f>
        <v>0</v>
      </c>
      <c r="C506" s="3">
        <f>IF(OR(INDEX($L$2:$L$1001,MATCH(ROWS($K$2:K506),$K$2:$K$1001,0),1)&gt;=100000,INDEX($R$1005:$W$1005,1,MATCH(COLUMNS($R$1006:S1006),$R$1006:$W$1006,0))&gt;=100000), " ",IF(INDEX($R$2:$W$1001,MATCH(ROWS($K$2:K506),$K$2:$K$1001,0),MATCH(COLUMNS($R$1006:S1006),$R$1006:$W$1006,0)), HYPERLINK("#",""), HYPERLINK(CONCATENATE("#Metadata!", ADDRESS(INDEX($M$2:$M$1001,MATCH(ROWS($K$2:K506),$K$2:$K$1001,0),0), INDEX($R$1004:$W$1004,1,MATCH(COLUMNS($R$1006:S1006),$R$1006:$W$1006,0)))),"Fix")))</f>
        <v>0</v>
      </c>
      <c r="D506" s="3">
        <f>IF(OR(INDEX($L$2:$L$1001,MATCH(ROWS($K$2:K506),$K$2:$K$1001,0),1)&gt;=100000,INDEX($R$1005:$W$1005,1,MATCH(COLUMNS($R$1006:T1006),$R$1006:$W$1006,0))&gt;=100000), " ",IF(INDEX($R$2:$W$1001,MATCH(ROWS($K$2:K506),$K$2:$K$1001,0),MATCH(COLUMNS($R$1006:T1006),$R$1006:$W$1006,0)), HYPERLINK("#",""), HYPERLINK(CONCATENATE("#Metadata!", ADDRESS(INDEX($M$2:$M$1001,MATCH(ROWS($K$2:K506),$K$2:$K$1001,0),0), INDEX($R$1004:$W$1004,1,MATCH(COLUMNS($R$1006:T1006),$R$1006:$W$1006,0)))),"Fix")))</f>
        <v>0</v>
      </c>
      <c r="E506" s="3">
        <f>IF(OR(INDEX($L$2:$L$1001,MATCH(ROWS($K$2:K506),$K$2:$K$1001,0),1)&gt;=100000,INDEX($R$1005:$W$1005,1,MATCH(COLUMNS($R$1006:U1006),$R$1006:$W$1006,0))&gt;=100000), " ",IF(INDEX($R$2:$W$1001,MATCH(ROWS($K$2:K506),$K$2:$K$1001,0),MATCH(COLUMNS($R$1006:U1006),$R$1006:$W$1006,0)), HYPERLINK("#",""), HYPERLINK(CONCATENATE("#Metadata!", ADDRESS(INDEX($M$2:$M$1001,MATCH(ROWS($K$2:K506),$K$2:$K$1001,0),0), INDEX($R$1004:$W$1004,1,MATCH(COLUMNS($R$1006:U1006),$R$1006:$W$1006,0)))),"Fix")))</f>
        <v>0</v>
      </c>
      <c r="F506" s="3">
        <f>IF(OR(INDEX($L$2:$L$1001,MATCH(ROWS($K$2:K506),$K$2:$K$1001,0),1)&gt;=100000,INDEX($R$1005:$W$1005,1,MATCH(COLUMNS($R$1006:V1006),$R$1006:$W$1006,0))&gt;=100000), " ",IF(INDEX($R$2:$W$1001,MATCH(ROWS($K$2:K506),$K$2:$K$1001,0),MATCH(COLUMNS($R$1006:V1006),$R$1006:$W$1006,0)), HYPERLINK("#",""), HYPERLINK(CONCATENATE("#Metadata!", ADDRESS(INDEX($M$2:$M$1001,MATCH(ROWS($K$2:K506),$K$2:$K$1001,0),0), INDEX($R$1004:$W$1004,1,MATCH(COLUMNS($R$1006:V1006),$R$1006:$W$1006,0)))),"Fix")))</f>
        <v>0</v>
      </c>
      <c r="G506" s="3">
        <f>IF(OR(INDEX($L$2:$L$1001,MATCH(ROWS($K$2:K506),$K$2:$K$1001,0),1)&gt;=100000,INDEX($R$1005:$W$1005,1,MATCH(COLUMNS($R$1006:W1006),$R$1006:$W$1006,0))&gt;=100000), " ",IF(INDEX($R$2:$W$1001,MATCH(ROWS($K$2:K506),$K$2:$K$1001,0),MATCH(COLUMNS($R$1006:W1006),$R$1006:$W$1006,0)), HYPERLINK("#",""), HYPERLINK(CONCATENATE("#Metadata!", ADDRESS(INDEX($M$2:$M$1001,MATCH(ROWS($K$2:K506),$K$2:$K$1001,0),0), INDEX($R$1004:$W$1004,1,MATCH(COLUMNS($R$1006:W1006),$R$1006:$W$1006,0)))),"Fix")))</f>
        <v>0</v>
      </c>
      <c r="K506">
        <v>0</v>
      </c>
      <c r="L506">
        <v>0</v>
      </c>
      <c r="M506">
        <v>0</v>
      </c>
      <c r="N506">
        <f>IF(O506,TRUE,AND(R506:W506))</f>
        <v>0</v>
      </c>
      <c r="O506">
        <f>COUNTBLANK(Metadata!B506:G506)=COLUMNS(Metadata!B506:G506)</f>
        <v>0</v>
      </c>
      <c r="P506">
        <v>0</v>
      </c>
      <c r="R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S506">
        <f>IF(Metadata!C506="",FALSE,TRUE)</f>
        <v>0</v>
      </c>
      <c r="T506">
        <f>IF(Metadata!D506="",FALSE,TRUE)</f>
        <v>0</v>
      </c>
      <c r="U506">
        <f>IF(Metadata!E506="",FALSE,TRUE)</f>
        <v>0</v>
      </c>
      <c r="V506">
        <f>AND(IF(Metadata!F506="",FALSE,TRUE),exact(Metadata!F506,"rat gut metagenome"))</f>
        <v>0</v>
      </c>
      <c r="W506">
        <f>AND(IF(Metadata!G506="",FALSE,TRUE),exact(Metadata!G506,"1436733"))</f>
        <v>0</v>
      </c>
    </row>
    <row r="507" spans="1:23">
      <c r="A507" s="4">
        <f>IF(B507=" "," ",HYPERLINK(CONCATENATE("#metadata!",ADDRESS(INDEX($M$2:$M$1001,MATCH(ROWS($K$2:K507),$K$2:$K$1001,0),0),1)),INDEX($P$2:$P$1001,MATCH(ROWS($K$2:K507),$K$2:$K$1001,0),0)))</f>
        <v>0</v>
      </c>
      <c r="B507" s="3">
        <f>IF(OR(INDEX($L$2:$L$1001,MATCH(ROWS($K$2:K507),$K$2:$K$1001,0),1)&gt;=100000,INDEX($R$1005:$W$1005,1,MATCH(COLUMNS($R$1006:R1006),$R$1006:$W$1006,0))&gt;=100000), " ",IF(INDEX($R$2:$W$1001,MATCH(ROWS($K$2:K507),$K$2:$K$1001,0),MATCH(COLUMNS($R$1006:R1006),$R$1006:$W$1006,0)), HYPERLINK("#",""), HYPERLINK(CONCATENATE("#Metadata!", ADDRESS(INDEX($M$2:$M$1001,MATCH(ROWS($K$2:K507),$K$2:$K$1001,0),0), INDEX($R$1004:$W$1004,1,MATCH(COLUMNS($R$1006:R1006),$R$1006:$W$1006,0)))),"Fix")))</f>
        <v>0</v>
      </c>
      <c r="C507" s="3">
        <f>IF(OR(INDEX($L$2:$L$1001,MATCH(ROWS($K$2:K507),$K$2:$K$1001,0),1)&gt;=100000,INDEX($R$1005:$W$1005,1,MATCH(COLUMNS($R$1006:S1006),$R$1006:$W$1006,0))&gt;=100000), " ",IF(INDEX($R$2:$W$1001,MATCH(ROWS($K$2:K507),$K$2:$K$1001,0),MATCH(COLUMNS($R$1006:S1006),$R$1006:$W$1006,0)), HYPERLINK("#",""), HYPERLINK(CONCATENATE("#Metadata!", ADDRESS(INDEX($M$2:$M$1001,MATCH(ROWS($K$2:K507),$K$2:$K$1001,0),0), INDEX($R$1004:$W$1004,1,MATCH(COLUMNS($R$1006:S1006),$R$1006:$W$1006,0)))),"Fix")))</f>
        <v>0</v>
      </c>
      <c r="D507" s="3">
        <f>IF(OR(INDEX($L$2:$L$1001,MATCH(ROWS($K$2:K507),$K$2:$K$1001,0),1)&gt;=100000,INDEX($R$1005:$W$1005,1,MATCH(COLUMNS($R$1006:T1006),$R$1006:$W$1006,0))&gt;=100000), " ",IF(INDEX($R$2:$W$1001,MATCH(ROWS($K$2:K507),$K$2:$K$1001,0),MATCH(COLUMNS($R$1006:T1006),$R$1006:$W$1006,0)), HYPERLINK("#",""), HYPERLINK(CONCATENATE("#Metadata!", ADDRESS(INDEX($M$2:$M$1001,MATCH(ROWS($K$2:K507),$K$2:$K$1001,0),0), INDEX($R$1004:$W$1004,1,MATCH(COLUMNS($R$1006:T1006),$R$1006:$W$1006,0)))),"Fix")))</f>
        <v>0</v>
      </c>
      <c r="E507" s="3">
        <f>IF(OR(INDEX($L$2:$L$1001,MATCH(ROWS($K$2:K507),$K$2:$K$1001,0),1)&gt;=100000,INDEX($R$1005:$W$1005,1,MATCH(COLUMNS($R$1006:U1006),$R$1006:$W$1006,0))&gt;=100000), " ",IF(INDEX($R$2:$W$1001,MATCH(ROWS($K$2:K507),$K$2:$K$1001,0),MATCH(COLUMNS($R$1006:U1006),$R$1006:$W$1006,0)), HYPERLINK("#",""), HYPERLINK(CONCATENATE("#Metadata!", ADDRESS(INDEX($M$2:$M$1001,MATCH(ROWS($K$2:K507),$K$2:$K$1001,0),0), INDEX($R$1004:$W$1004,1,MATCH(COLUMNS($R$1006:U1006),$R$1006:$W$1006,0)))),"Fix")))</f>
        <v>0</v>
      </c>
      <c r="F507" s="3">
        <f>IF(OR(INDEX($L$2:$L$1001,MATCH(ROWS($K$2:K507),$K$2:$K$1001,0),1)&gt;=100000,INDEX($R$1005:$W$1005,1,MATCH(COLUMNS($R$1006:V1006),$R$1006:$W$1006,0))&gt;=100000), " ",IF(INDEX($R$2:$W$1001,MATCH(ROWS($K$2:K507),$K$2:$K$1001,0),MATCH(COLUMNS($R$1006:V1006),$R$1006:$W$1006,0)), HYPERLINK("#",""), HYPERLINK(CONCATENATE("#Metadata!", ADDRESS(INDEX($M$2:$M$1001,MATCH(ROWS($K$2:K507),$K$2:$K$1001,0),0), INDEX($R$1004:$W$1004,1,MATCH(COLUMNS($R$1006:V1006),$R$1006:$W$1006,0)))),"Fix")))</f>
        <v>0</v>
      </c>
      <c r="G507" s="3">
        <f>IF(OR(INDEX($L$2:$L$1001,MATCH(ROWS($K$2:K507),$K$2:$K$1001,0),1)&gt;=100000,INDEX($R$1005:$W$1005,1,MATCH(COLUMNS($R$1006:W1006),$R$1006:$W$1006,0))&gt;=100000), " ",IF(INDEX($R$2:$W$1001,MATCH(ROWS($K$2:K507),$K$2:$K$1001,0),MATCH(COLUMNS($R$1006:W1006),$R$1006:$W$1006,0)), HYPERLINK("#",""), HYPERLINK(CONCATENATE("#Metadata!", ADDRESS(INDEX($M$2:$M$1001,MATCH(ROWS($K$2:K507),$K$2:$K$1001,0),0), INDEX($R$1004:$W$1004,1,MATCH(COLUMNS($R$1006:W1006),$R$1006:$W$1006,0)))),"Fix")))</f>
        <v>0</v>
      </c>
      <c r="K507">
        <v>0</v>
      </c>
      <c r="L507">
        <v>0</v>
      </c>
      <c r="M507">
        <v>0</v>
      </c>
      <c r="N507">
        <f>IF(O507,TRUE,AND(R507:W507))</f>
        <v>0</v>
      </c>
      <c r="O507">
        <f>COUNTBLANK(Metadata!B507:G507)=COLUMNS(Metadata!B507:G507)</f>
        <v>0</v>
      </c>
      <c r="P507">
        <v>0</v>
      </c>
      <c r="R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S507">
        <f>IF(Metadata!C507="",FALSE,TRUE)</f>
        <v>0</v>
      </c>
      <c r="T507">
        <f>IF(Metadata!D507="",FALSE,TRUE)</f>
        <v>0</v>
      </c>
      <c r="U507">
        <f>IF(Metadata!E507="",FALSE,TRUE)</f>
        <v>0</v>
      </c>
      <c r="V507">
        <f>AND(IF(Metadata!F507="",FALSE,TRUE),exact(Metadata!F507,"rat gut metagenome"))</f>
        <v>0</v>
      </c>
      <c r="W507">
        <f>AND(IF(Metadata!G507="",FALSE,TRUE),exact(Metadata!G507,"1436733"))</f>
        <v>0</v>
      </c>
    </row>
    <row r="508" spans="1:23">
      <c r="A508" s="4">
        <f>IF(B508=" "," ",HYPERLINK(CONCATENATE("#metadata!",ADDRESS(INDEX($M$2:$M$1001,MATCH(ROWS($K$2:K508),$K$2:$K$1001,0),0),1)),INDEX($P$2:$P$1001,MATCH(ROWS($K$2:K508),$K$2:$K$1001,0),0)))</f>
        <v>0</v>
      </c>
      <c r="B508" s="3">
        <f>IF(OR(INDEX($L$2:$L$1001,MATCH(ROWS($K$2:K508),$K$2:$K$1001,0),1)&gt;=100000,INDEX($R$1005:$W$1005,1,MATCH(COLUMNS($R$1006:R1006),$R$1006:$W$1006,0))&gt;=100000), " ",IF(INDEX($R$2:$W$1001,MATCH(ROWS($K$2:K508),$K$2:$K$1001,0),MATCH(COLUMNS($R$1006:R1006),$R$1006:$W$1006,0)), HYPERLINK("#",""), HYPERLINK(CONCATENATE("#Metadata!", ADDRESS(INDEX($M$2:$M$1001,MATCH(ROWS($K$2:K508),$K$2:$K$1001,0),0), INDEX($R$1004:$W$1004,1,MATCH(COLUMNS($R$1006:R1006),$R$1006:$W$1006,0)))),"Fix")))</f>
        <v>0</v>
      </c>
      <c r="C508" s="3">
        <f>IF(OR(INDEX($L$2:$L$1001,MATCH(ROWS($K$2:K508),$K$2:$K$1001,0),1)&gt;=100000,INDEX($R$1005:$W$1005,1,MATCH(COLUMNS($R$1006:S1006),$R$1006:$W$1006,0))&gt;=100000), " ",IF(INDEX($R$2:$W$1001,MATCH(ROWS($K$2:K508),$K$2:$K$1001,0),MATCH(COLUMNS($R$1006:S1006),$R$1006:$W$1006,0)), HYPERLINK("#",""), HYPERLINK(CONCATENATE("#Metadata!", ADDRESS(INDEX($M$2:$M$1001,MATCH(ROWS($K$2:K508),$K$2:$K$1001,0),0), INDEX($R$1004:$W$1004,1,MATCH(COLUMNS($R$1006:S1006),$R$1006:$W$1006,0)))),"Fix")))</f>
        <v>0</v>
      </c>
      <c r="D508" s="3">
        <f>IF(OR(INDEX($L$2:$L$1001,MATCH(ROWS($K$2:K508),$K$2:$K$1001,0),1)&gt;=100000,INDEX($R$1005:$W$1005,1,MATCH(COLUMNS($R$1006:T1006),$R$1006:$W$1006,0))&gt;=100000), " ",IF(INDEX($R$2:$W$1001,MATCH(ROWS($K$2:K508),$K$2:$K$1001,0),MATCH(COLUMNS($R$1006:T1006),$R$1006:$W$1006,0)), HYPERLINK("#",""), HYPERLINK(CONCATENATE("#Metadata!", ADDRESS(INDEX($M$2:$M$1001,MATCH(ROWS($K$2:K508),$K$2:$K$1001,0),0), INDEX($R$1004:$W$1004,1,MATCH(COLUMNS($R$1006:T1006),$R$1006:$W$1006,0)))),"Fix")))</f>
        <v>0</v>
      </c>
      <c r="E508" s="3">
        <f>IF(OR(INDEX($L$2:$L$1001,MATCH(ROWS($K$2:K508),$K$2:$K$1001,0),1)&gt;=100000,INDEX($R$1005:$W$1005,1,MATCH(COLUMNS($R$1006:U1006),$R$1006:$W$1006,0))&gt;=100000), " ",IF(INDEX($R$2:$W$1001,MATCH(ROWS($K$2:K508),$K$2:$K$1001,0),MATCH(COLUMNS($R$1006:U1006),$R$1006:$W$1006,0)), HYPERLINK("#",""), HYPERLINK(CONCATENATE("#Metadata!", ADDRESS(INDEX($M$2:$M$1001,MATCH(ROWS($K$2:K508),$K$2:$K$1001,0),0), INDEX($R$1004:$W$1004,1,MATCH(COLUMNS($R$1006:U1006),$R$1006:$W$1006,0)))),"Fix")))</f>
        <v>0</v>
      </c>
      <c r="F508" s="3">
        <f>IF(OR(INDEX($L$2:$L$1001,MATCH(ROWS($K$2:K508),$K$2:$K$1001,0),1)&gt;=100000,INDEX($R$1005:$W$1005,1,MATCH(COLUMNS($R$1006:V1006),$R$1006:$W$1006,0))&gt;=100000), " ",IF(INDEX($R$2:$W$1001,MATCH(ROWS($K$2:K508),$K$2:$K$1001,0),MATCH(COLUMNS($R$1006:V1006),$R$1006:$W$1006,0)), HYPERLINK("#",""), HYPERLINK(CONCATENATE("#Metadata!", ADDRESS(INDEX($M$2:$M$1001,MATCH(ROWS($K$2:K508),$K$2:$K$1001,0),0), INDEX($R$1004:$W$1004,1,MATCH(COLUMNS($R$1006:V1006),$R$1006:$W$1006,0)))),"Fix")))</f>
        <v>0</v>
      </c>
      <c r="G508" s="3">
        <f>IF(OR(INDEX($L$2:$L$1001,MATCH(ROWS($K$2:K508),$K$2:$K$1001,0),1)&gt;=100000,INDEX($R$1005:$W$1005,1,MATCH(COLUMNS($R$1006:W1006),$R$1006:$W$1006,0))&gt;=100000), " ",IF(INDEX($R$2:$W$1001,MATCH(ROWS($K$2:K508),$K$2:$K$1001,0),MATCH(COLUMNS($R$1006:W1006),$R$1006:$W$1006,0)), HYPERLINK("#",""), HYPERLINK(CONCATENATE("#Metadata!", ADDRESS(INDEX($M$2:$M$1001,MATCH(ROWS($K$2:K508),$K$2:$K$1001,0),0), INDEX($R$1004:$W$1004,1,MATCH(COLUMNS($R$1006:W1006),$R$1006:$W$1006,0)))),"Fix")))</f>
        <v>0</v>
      </c>
      <c r="K508">
        <v>0</v>
      </c>
      <c r="L508">
        <v>0</v>
      </c>
      <c r="M508">
        <v>0</v>
      </c>
      <c r="N508">
        <f>IF(O508,TRUE,AND(R508:W508))</f>
        <v>0</v>
      </c>
      <c r="O508">
        <f>COUNTBLANK(Metadata!B508:G508)=COLUMNS(Metadata!B508:G508)</f>
        <v>0</v>
      </c>
      <c r="P508">
        <v>0</v>
      </c>
      <c r="R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S508">
        <f>IF(Metadata!C508="",FALSE,TRUE)</f>
        <v>0</v>
      </c>
      <c r="T508">
        <f>IF(Metadata!D508="",FALSE,TRUE)</f>
        <v>0</v>
      </c>
      <c r="U508">
        <f>IF(Metadata!E508="",FALSE,TRUE)</f>
        <v>0</v>
      </c>
      <c r="V508">
        <f>AND(IF(Metadata!F508="",FALSE,TRUE),exact(Metadata!F508,"rat gut metagenome"))</f>
        <v>0</v>
      </c>
      <c r="W508">
        <f>AND(IF(Metadata!G508="",FALSE,TRUE),exact(Metadata!G508,"1436733"))</f>
        <v>0</v>
      </c>
    </row>
    <row r="509" spans="1:23">
      <c r="A509" s="4">
        <f>IF(B509=" "," ",HYPERLINK(CONCATENATE("#metadata!",ADDRESS(INDEX($M$2:$M$1001,MATCH(ROWS($K$2:K509),$K$2:$K$1001,0),0),1)),INDEX($P$2:$P$1001,MATCH(ROWS($K$2:K509),$K$2:$K$1001,0),0)))</f>
        <v>0</v>
      </c>
      <c r="B509" s="3">
        <f>IF(OR(INDEX($L$2:$L$1001,MATCH(ROWS($K$2:K509),$K$2:$K$1001,0),1)&gt;=100000,INDEX($R$1005:$W$1005,1,MATCH(COLUMNS($R$1006:R1006),$R$1006:$W$1006,0))&gt;=100000), " ",IF(INDEX($R$2:$W$1001,MATCH(ROWS($K$2:K509),$K$2:$K$1001,0),MATCH(COLUMNS($R$1006:R1006),$R$1006:$W$1006,0)), HYPERLINK("#",""), HYPERLINK(CONCATENATE("#Metadata!", ADDRESS(INDEX($M$2:$M$1001,MATCH(ROWS($K$2:K509),$K$2:$K$1001,0),0), INDEX($R$1004:$W$1004,1,MATCH(COLUMNS($R$1006:R1006),$R$1006:$W$1006,0)))),"Fix")))</f>
        <v>0</v>
      </c>
      <c r="C509" s="3">
        <f>IF(OR(INDEX($L$2:$L$1001,MATCH(ROWS($K$2:K509),$K$2:$K$1001,0),1)&gt;=100000,INDEX($R$1005:$W$1005,1,MATCH(COLUMNS($R$1006:S1006),$R$1006:$W$1006,0))&gt;=100000), " ",IF(INDEX($R$2:$W$1001,MATCH(ROWS($K$2:K509),$K$2:$K$1001,0),MATCH(COLUMNS($R$1006:S1006),$R$1006:$W$1006,0)), HYPERLINK("#",""), HYPERLINK(CONCATENATE("#Metadata!", ADDRESS(INDEX($M$2:$M$1001,MATCH(ROWS($K$2:K509),$K$2:$K$1001,0),0), INDEX($R$1004:$W$1004,1,MATCH(COLUMNS($R$1006:S1006),$R$1006:$W$1006,0)))),"Fix")))</f>
        <v>0</v>
      </c>
      <c r="D509" s="3">
        <f>IF(OR(INDEX($L$2:$L$1001,MATCH(ROWS($K$2:K509),$K$2:$K$1001,0),1)&gt;=100000,INDEX($R$1005:$W$1005,1,MATCH(COLUMNS($R$1006:T1006),$R$1006:$W$1006,0))&gt;=100000), " ",IF(INDEX($R$2:$W$1001,MATCH(ROWS($K$2:K509),$K$2:$K$1001,0),MATCH(COLUMNS($R$1006:T1006),$R$1006:$W$1006,0)), HYPERLINK("#",""), HYPERLINK(CONCATENATE("#Metadata!", ADDRESS(INDEX($M$2:$M$1001,MATCH(ROWS($K$2:K509),$K$2:$K$1001,0),0), INDEX($R$1004:$W$1004,1,MATCH(COLUMNS($R$1006:T1006),$R$1006:$W$1006,0)))),"Fix")))</f>
        <v>0</v>
      </c>
      <c r="E509" s="3">
        <f>IF(OR(INDEX($L$2:$L$1001,MATCH(ROWS($K$2:K509),$K$2:$K$1001,0),1)&gt;=100000,INDEX($R$1005:$W$1005,1,MATCH(COLUMNS($R$1006:U1006),$R$1006:$W$1006,0))&gt;=100000), " ",IF(INDEX($R$2:$W$1001,MATCH(ROWS($K$2:K509),$K$2:$K$1001,0),MATCH(COLUMNS($R$1006:U1006),$R$1006:$W$1006,0)), HYPERLINK("#",""), HYPERLINK(CONCATENATE("#Metadata!", ADDRESS(INDEX($M$2:$M$1001,MATCH(ROWS($K$2:K509),$K$2:$K$1001,0),0), INDEX($R$1004:$W$1004,1,MATCH(COLUMNS($R$1006:U1006),$R$1006:$W$1006,0)))),"Fix")))</f>
        <v>0</v>
      </c>
      <c r="F509" s="3">
        <f>IF(OR(INDEX($L$2:$L$1001,MATCH(ROWS($K$2:K509),$K$2:$K$1001,0),1)&gt;=100000,INDEX($R$1005:$W$1005,1,MATCH(COLUMNS($R$1006:V1006),$R$1006:$W$1006,0))&gt;=100000), " ",IF(INDEX($R$2:$W$1001,MATCH(ROWS($K$2:K509),$K$2:$K$1001,0),MATCH(COLUMNS($R$1006:V1006),$R$1006:$W$1006,0)), HYPERLINK("#",""), HYPERLINK(CONCATENATE("#Metadata!", ADDRESS(INDEX($M$2:$M$1001,MATCH(ROWS($K$2:K509),$K$2:$K$1001,0),0), INDEX($R$1004:$W$1004,1,MATCH(COLUMNS($R$1006:V1006),$R$1006:$W$1006,0)))),"Fix")))</f>
        <v>0</v>
      </c>
      <c r="G509" s="3">
        <f>IF(OR(INDEX($L$2:$L$1001,MATCH(ROWS($K$2:K509),$K$2:$K$1001,0),1)&gt;=100000,INDEX($R$1005:$W$1005,1,MATCH(COLUMNS($R$1006:W1006),$R$1006:$W$1006,0))&gt;=100000), " ",IF(INDEX($R$2:$W$1001,MATCH(ROWS($K$2:K509),$K$2:$K$1001,0),MATCH(COLUMNS($R$1006:W1006),$R$1006:$W$1006,0)), HYPERLINK("#",""), HYPERLINK(CONCATENATE("#Metadata!", ADDRESS(INDEX($M$2:$M$1001,MATCH(ROWS($K$2:K509),$K$2:$K$1001,0),0), INDEX($R$1004:$W$1004,1,MATCH(COLUMNS($R$1006:W1006),$R$1006:$W$1006,0)))),"Fix")))</f>
        <v>0</v>
      </c>
      <c r="K509">
        <v>0</v>
      </c>
      <c r="L509">
        <v>0</v>
      </c>
      <c r="M509">
        <v>0</v>
      </c>
      <c r="N509">
        <f>IF(O509,TRUE,AND(R509:W509))</f>
        <v>0</v>
      </c>
      <c r="O509">
        <f>COUNTBLANK(Metadata!B509:G509)=COLUMNS(Metadata!B509:G509)</f>
        <v>0</v>
      </c>
      <c r="P509">
        <v>0</v>
      </c>
      <c r="R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S509">
        <f>IF(Metadata!C509="",FALSE,TRUE)</f>
        <v>0</v>
      </c>
      <c r="T509">
        <f>IF(Metadata!D509="",FALSE,TRUE)</f>
        <v>0</v>
      </c>
      <c r="U509">
        <f>IF(Metadata!E509="",FALSE,TRUE)</f>
        <v>0</v>
      </c>
      <c r="V509">
        <f>AND(IF(Metadata!F509="",FALSE,TRUE),exact(Metadata!F509,"rat gut metagenome"))</f>
        <v>0</v>
      </c>
      <c r="W509">
        <f>AND(IF(Metadata!G509="",FALSE,TRUE),exact(Metadata!G509,"1436733"))</f>
        <v>0</v>
      </c>
    </row>
    <row r="510" spans="1:23">
      <c r="A510" s="4">
        <f>IF(B510=" "," ",HYPERLINK(CONCATENATE("#metadata!",ADDRESS(INDEX($M$2:$M$1001,MATCH(ROWS($K$2:K510),$K$2:$K$1001,0),0),1)),INDEX($P$2:$P$1001,MATCH(ROWS($K$2:K510),$K$2:$K$1001,0),0)))</f>
        <v>0</v>
      </c>
      <c r="B510" s="3">
        <f>IF(OR(INDEX($L$2:$L$1001,MATCH(ROWS($K$2:K510),$K$2:$K$1001,0),1)&gt;=100000,INDEX($R$1005:$W$1005,1,MATCH(COLUMNS($R$1006:R1006),$R$1006:$W$1006,0))&gt;=100000), " ",IF(INDEX($R$2:$W$1001,MATCH(ROWS($K$2:K510),$K$2:$K$1001,0),MATCH(COLUMNS($R$1006:R1006),$R$1006:$W$1006,0)), HYPERLINK("#",""), HYPERLINK(CONCATENATE("#Metadata!", ADDRESS(INDEX($M$2:$M$1001,MATCH(ROWS($K$2:K510),$K$2:$K$1001,0),0), INDEX($R$1004:$W$1004,1,MATCH(COLUMNS($R$1006:R1006),$R$1006:$W$1006,0)))),"Fix")))</f>
        <v>0</v>
      </c>
      <c r="C510" s="3">
        <f>IF(OR(INDEX($L$2:$L$1001,MATCH(ROWS($K$2:K510),$K$2:$K$1001,0),1)&gt;=100000,INDEX($R$1005:$W$1005,1,MATCH(COLUMNS($R$1006:S1006),$R$1006:$W$1006,0))&gt;=100000), " ",IF(INDEX($R$2:$W$1001,MATCH(ROWS($K$2:K510),$K$2:$K$1001,0),MATCH(COLUMNS($R$1006:S1006),$R$1006:$W$1006,0)), HYPERLINK("#",""), HYPERLINK(CONCATENATE("#Metadata!", ADDRESS(INDEX($M$2:$M$1001,MATCH(ROWS($K$2:K510),$K$2:$K$1001,0),0), INDEX($R$1004:$W$1004,1,MATCH(COLUMNS($R$1006:S1006),$R$1006:$W$1006,0)))),"Fix")))</f>
        <v>0</v>
      </c>
      <c r="D510" s="3">
        <f>IF(OR(INDEX($L$2:$L$1001,MATCH(ROWS($K$2:K510),$K$2:$K$1001,0),1)&gt;=100000,INDEX($R$1005:$W$1005,1,MATCH(COLUMNS($R$1006:T1006),$R$1006:$W$1006,0))&gt;=100000), " ",IF(INDEX($R$2:$W$1001,MATCH(ROWS($K$2:K510),$K$2:$K$1001,0),MATCH(COLUMNS($R$1006:T1006),$R$1006:$W$1006,0)), HYPERLINK("#",""), HYPERLINK(CONCATENATE("#Metadata!", ADDRESS(INDEX($M$2:$M$1001,MATCH(ROWS($K$2:K510),$K$2:$K$1001,0),0), INDEX($R$1004:$W$1004,1,MATCH(COLUMNS($R$1006:T1006),$R$1006:$W$1006,0)))),"Fix")))</f>
        <v>0</v>
      </c>
      <c r="E510" s="3">
        <f>IF(OR(INDEX($L$2:$L$1001,MATCH(ROWS($K$2:K510),$K$2:$K$1001,0),1)&gt;=100000,INDEX($R$1005:$W$1005,1,MATCH(COLUMNS($R$1006:U1006),$R$1006:$W$1006,0))&gt;=100000), " ",IF(INDEX($R$2:$W$1001,MATCH(ROWS($K$2:K510),$K$2:$K$1001,0),MATCH(COLUMNS($R$1006:U1006),$R$1006:$W$1006,0)), HYPERLINK("#",""), HYPERLINK(CONCATENATE("#Metadata!", ADDRESS(INDEX($M$2:$M$1001,MATCH(ROWS($K$2:K510),$K$2:$K$1001,0),0), INDEX($R$1004:$W$1004,1,MATCH(COLUMNS($R$1006:U1006),$R$1006:$W$1006,0)))),"Fix")))</f>
        <v>0</v>
      </c>
      <c r="F510" s="3">
        <f>IF(OR(INDEX($L$2:$L$1001,MATCH(ROWS($K$2:K510),$K$2:$K$1001,0),1)&gt;=100000,INDEX($R$1005:$W$1005,1,MATCH(COLUMNS($R$1006:V1006),$R$1006:$W$1006,0))&gt;=100000), " ",IF(INDEX($R$2:$W$1001,MATCH(ROWS($K$2:K510),$K$2:$K$1001,0),MATCH(COLUMNS($R$1006:V1006),$R$1006:$W$1006,0)), HYPERLINK("#",""), HYPERLINK(CONCATENATE("#Metadata!", ADDRESS(INDEX($M$2:$M$1001,MATCH(ROWS($K$2:K510),$K$2:$K$1001,0),0), INDEX($R$1004:$W$1004,1,MATCH(COLUMNS($R$1006:V1006),$R$1006:$W$1006,0)))),"Fix")))</f>
        <v>0</v>
      </c>
      <c r="G510" s="3">
        <f>IF(OR(INDEX($L$2:$L$1001,MATCH(ROWS($K$2:K510),$K$2:$K$1001,0),1)&gt;=100000,INDEX($R$1005:$W$1005,1,MATCH(COLUMNS($R$1006:W1006),$R$1006:$W$1006,0))&gt;=100000), " ",IF(INDEX($R$2:$W$1001,MATCH(ROWS($K$2:K510),$K$2:$K$1001,0),MATCH(COLUMNS($R$1006:W1006),$R$1006:$W$1006,0)), HYPERLINK("#",""), HYPERLINK(CONCATENATE("#Metadata!", ADDRESS(INDEX($M$2:$M$1001,MATCH(ROWS($K$2:K510),$K$2:$K$1001,0),0), INDEX($R$1004:$W$1004,1,MATCH(COLUMNS($R$1006:W1006),$R$1006:$W$1006,0)))),"Fix")))</f>
        <v>0</v>
      </c>
      <c r="K510">
        <v>0</v>
      </c>
      <c r="L510">
        <v>0</v>
      </c>
      <c r="M510">
        <v>0</v>
      </c>
      <c r="N510">
        <f>IF(O510,TRUE,AND(R510:W510))</f>
        <v>0</v>
      </c>
      <c r="O510">
        <f>COUNTBLANK(Metadata!B510:G510)=COLUMNS(Metadata!B510:G510)</f>
        <v>0</v>
      </c>
      <c r="P510">
        <v>0</v>
      </c>
      <c r="R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S510">
        <f>IF(Metadata!C510="",FALSE,TRUE)</f>
        <v>0</v>
      </c>
      <c r="T510">
        <f>IF(Metadata!D510="",FALSE,TRUE)</f>
        <v>0</v>
      </c>
      <c r="U510">
        <f>IF(Metadata!E510="",FALSE,TRUE)</f>
        <v>0</v>
      </c>
      <c r="V510">
        <f>AND(IF(Metadata!F510="",FALSE,TRUE),exact(Metadata!F510,"rat gut metagenome"))</f>
        <v>0</v>
      </c>
      <c r="W510">
        <f>AND(IF(Metadata!G510="",FALSE,TRUE),exact(Metadata!G510,"1436733"))</f>
        <v>0</v>
      </c>
    </row>
    <row r="511" spans="1:23">
      <c r="A511" s="4">
        <f>IF(B511=" "," ",HYPERLINK(CONCATENATE("#metadata!",ADDRESS(INDEX($M$2:$M$1001,MATCH(ROWS($K$2:K511),$K$2:$K$1001,0),0),1)),INDEX($P$2:$P$1001,MATCH(ROWS($K$2:K511),$K$2:$K$1001,0),0)))</f>
        <v>0</v>
      </c>
      <c r="B511" s="3">
        <f>IF(OR(INDEX($L$2:$L$1001,MATCH(ROWS($K$2:K511),$K$2:$K$1001,0),1)&gt;=100000,INDEX($R$1005:$W$1005,1,MATCH(COLUMNS($R$1006:R1006),$R$1006:$W$1006,0))&gt;=100000), " ",IF(INDEX($R$2:$W$1001,MATCH(ROWS($K$2:K511),$K$2:$K$1001,0),MATCH(COLUMNS($R$1006:R1006),$R$1006:$W$1006,0)), HYPERLINK("#",""), HYPERLINK(CONCATENATE("#Metadata!", ADDRESS(INDEX($M$2:$M$1001,MATCH(ROWS($K$2:K511),$K$2:$K$1001,0),0), INDEX($R$1004:$W$1004,1,MATCH(COLUMNS($R$1006:R1006),$R$1006:$W$1006,0)))),"Fix")))</f>
        <v>0</v>
      </c>
      <c r="C511" s="3">
        <f>IF(OR(INDEX($L$2:$L$1001,MATCH(ROWS($K$2:K511),$K$2:$K$1001,0),1)&gt;=100000,INDEX($R$1005:$W$1005,1,MATCH(COLUMNS($R$1006:S1006),$R$1006:$W$1006,0))&gt;=100000), " ",IF(INDEX($R$2:$W$1001,MATCH(ROWS($K$2:K511),$K$2:$K$1001,0),MATCH(COLUMNS($R$1006:S1006),$R$1006:$W$1006,0)), HYPERLINK("#",""), HYPERLINK(CONCATENATE("#Metadata!", ADDRESS(INDEX($M$2:$M$1001,MATCH(ROWS($K$2:K511),$K$2:$K$1001,0),0), INDEX($R$1004:$W$1004,1,MATCH(COLUMNS($R$1006:S1006),$R$1006:$W$1006,0)))),"Fix")))</f>
        <v>0</v>
      </c>
      <c r="D511" s="3">
        <f>IF(OR(INDEX($L$2:$L$1001,MATCH(ROWS($K$2:K511),$K$2:$K$1001,0),1)&gt;=100000,INDEX($R$1005:$W$1005,1,MATCH(COLUMNS($R$1006:T1006),$R$1006:$W$1006,0))&gt;=100000), " ",IF(INDEX($R$2:$W$1001,MATCH(ROWS($K$2:K511),$K$2:$K$1001,0),MATCH(COLUMNS($R$1006:T1006),$R$1006:$W$1006,0)), HYPERLINK("#",""), HYPERLINK(CONCATENATE("#Metadata!", ADDRESS(INDEX($M$2:$M$1001,MATCH(ROWS($K$2:K511),$K$2:$K$1001,0),0), INDEX($R$1004:$W$1004,1,MATCH(COLUMNS($R$1006:T1006),$R$1006:$W$1006,0)))),"Fix")))</f>
        <v>0</v>
      </c>
      <c r="E511" s="3">
        <f>IF(OR(INDEX($L$2:$L$1001,MATCH(ROWS($K$2:K511),$K$2:$K$1001,0),1)&gt;=100000,INDEX($R$1005:$W$1005,1,MATCH(COLUMNS($R$1006:U1006),$R$1006:$W$1006,0))&gt;=100000), " ",IF(INDEX($R$2:$W$1001,MATCH(ROWS($K$2:K511),$K$2:$K$1001,0),MATCH(COLUMNS($R$1006:U1006),$R$1006:$W$1006,0)), HYPERLINK("#",""), HYPERLINK(CONCATENATE("#Metadata!", ADDRESS(INDEX($M$2:$M$1001,MATCH(ROWS($K$2:K511),$K$2:$K$1001,0),0), INDEX($R$1004:$W$1004,1,MATCH(COLUMNS($R$1006:U1006),$R$1006:$W$1006,0)))),"Fix")))</f>
        <v>0</v>
      </c>
      <c r="F511" s="3">
        <f>IF(OR(INDEX($L$2:$L$1001,MATCH(ROWS($K$2:K511),$K$2:$K$1001,0),1)&gt;=100000,INDEX($R$1005:$W$1005,1,MATCH(COLUMNS($R$1006:V1006),$R$1006:$W$1006,0))&gt;=100000), " ",IF(INDEX($R$2:$W$1001,MATCH(ROWS($K$2:K511),$K$2:$K$1001,0),MATCH(COLUMNS($R$1006:V1006),$R$1006:$W$1006,0)), HYPERLINK("#",""), HYPERLINK(CONCATENATE("#Metadata!", ADDRESS(INDEX($M$2:$M$1001,MATCH(ROWS($K$2:K511),$K$2:$K$1001,0),0), INDEX($R$1004:$W$1004,1,MATCH(COLUMNS($R$1006:V1006),$R$1006:$W$1006,0)))),"Fix")))</f>
        <v>0</v>
      </c>
      <c r="G511" s="3">
        <f>IF(OR(INDEX($L$2:$L$1001,MATCH(ROWS($K$2:K511),$K$2:$K$1001,0),1)&gt;=100000,INDEX($R$1005:$W$1005,1,MATCH(COLUMNS($R$1006:W1006),$R$1006:$W$1006,0))&gt;=100000), " ",IF(INDEX($R$2:$W$1001,MATCH(ROWS($K$2:K511),$K$2:$K$1001,0),MATCH(COLUMNS($R$1006:W1006),$R$1006:$W$1006,0)), HYPERLINK("#",""), HYPERLINK(CONCATENATE("#Metadata!", ADDRESS(INDEX($M$2:$M$1001,MATCH(ROWS($K$2:K511),$K$2:$K$1001,0),0), INDEX($R$1004:$W$1004,1,MATCH(COLUMNS($R$1006:W1006),$R$1006:$W$1006,0)))),"Fix")))</f>
        <v>0</v>
      </c>
      <c r="K511">
        <v>0</v>
      </c>
      <c r="L511">
        <v>0</v>
      </c>
      <c r="M511">
        <v>0</v>
      </c>
      <c r="N511">
        <f>IF(O511,TRUE,AND(R511:W511))</f>
        <v>0</v>
      </c>
      <c r="O511">
        <f>COUNTBLANK(Metadata!B511:G511)=COLUMNS(Metadata!B511:G511)</f>
        <v>0</v>
      </c>
      <c r="P511">
        <v>0</v>
      </c>
      <c r="R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S511">
        <f>IF(Metadata!C511="",FALSE,TRUE)</f>
        <v>0</v>
      </c>
      <c r="T511">
        <f>IF(Metadata!D511="",FALSE,TRUE)</f>
        <v>0</v>
      </c>
      <c r="U511">
        <f>IF(Metadata!E511="",FALSE,TRUE)</f>
        <v>0</v>
      </c>
      <c r="V511">
        <f>AND(IF(Metadata!F511="",FALSE,TRUE),exact(Metadata!F511,"rat gut metagenome"))</f>
        <v>0</v>
      </c>
      <c r="W511">
        <f>AND(IF(Metadata!G511="",FALSE,TRUE),exact(Metadata!G511,"1436733"))</f>
        <v>0</v>
      </c>
    </row>
    <row r="512" spans="1:23">
      <c r="A512" s="4">
        <f>IF(B512=" "," ",HYPERLINK(CONCATENATE("#metadata!",ADDRESS(INDEX($M$2:$M$1001,MATCH(ROWS($K$2:K512),$K$2:$K$1001,0),0),1)),INDEX($P$2:$P$1001,MATCH(ROWS($K$2:K512),$K$2:$K$1001,0),0)))</f>
        <v>0</v>
      </c>
      <c r="B512" s="3">
        <f>IF(OR(INDEX($L$2:$L$1001,MATCH(ROWS($K$2:K512),$K$2:$K$1001,0),1)&gt;=100000,INDEX($R$1005:$W$1005,1,MATCH(COLUMNS($R$1006:R1006),$R$1006:$W$1006,0))&gt;=100000), " ",IF(INDEX($R$2:$W$1001,MATCH(ROWS($K$2:K512),$K$2:$K$1001,0),MATCH(COLUMNS($R$1006:R1006),$R$1006:$W$1006,0)), HYPERLINK("#",""), HYPERLINK(CONCATENATE("#Metadata!", ADDRESS(INDEX($M$2:$M$1001,MATCH(ROWS($K$2:K512),$K$2:$K$1001,0),0), INDEX($R$1004:$W$1004,1,MATCH(COLUMNS($R$1006:R1006),$R$1006:$W$1006,0)))),"Fix")))</f>
        <v>0</v>
      </c>
      <c r="C512" s="3">
        <f>IF(OR(INDEX($L$2:$L$1001,MATCH(ROWS($K$2:K512),$K$2:$K$1001,0),1)&gt;=100000,INDEX($R$1005:$W$1005,1,MATCH(COLUMNS($R$1006:S1006),$R$1006:$W$1006,0))&gt;=100000), " ",IF(INDEX($R$2:$W$1001,MATCH(ROWS($K$2:K512),$K$2:$K$1001,0),MATCH(COLUMNS($R$1006:S1006),$R$1006:$W$1006,0)), HYPERLINK("#",""), HYPERLINK(CONCATENATE("#Metadata!", ADDRESS(INDEX($M$2:$M$1001,MATCH(ROWS($K$2:K512),$K$2:$K$1001,0),0), INDEX($R$1004:$W$1004,1,MATCH(COLUMNS($R$1006:S1006),$R$1006:$W$1006,0)))),"Fix")))</f>
        <v>0</v>
      </c>
      <c r="D512" s="3">
        <f>IF(OR(INDEX($L$2:$L$1001,MATCH(ROWS($K$2:K512),$K$2:$K$1001,0),1)&gt;=100000,INDEX($R$1005:$W$1005,1,MATCH(COLUMNS($R$1006:T1006),$R$1006:$W$1006,0))&gt;=100000), " ",IF(INDEX($R$2:$W$1001,MATCH(ROWS($K$2:K512),$K$2:$K$1001,0),MATCH(COLUMNS($R$1006:T1006),$R$1006:$W$1006,0)), HYPERLINK("#",""), HYPERLINK(CONCATENATE("#Metadata!", ADDRESS(INDEX($M$2:$M$1001,MATCH(ROWS($K$2:K512),$K$2:$K$1001,0),0), INDEX($R$1004:$W$1004,1,MATCH(COLUMNS($R$1006:T1006),$R$1006:$W$1006,0)))),"Fix")))</f>
        <v>0</v>
      </c>
      <c r="E512" s="3">
        <f>IF(OR(INDEX($L$2:$L$1001,MATCH(ROWS($K$2:K512),$K$2:$K$1001,0),1)&gt;=100000,INDEX($R$1005:$W$1005,1,MATCH(COLUMNS($R$1006:U1006),$R$1006:$W$1006,0))&gt;=100000), " ",IF(INDEX($R$2:$W$1001,MATCH(ROWS($K$2:K512),$K$2:$K$1001,0),MATCH(COLUMNS($R$1006:U1006),$R$1006:$W$1006,0)), HYPERLINK("#",""), HYPERLINK(CONCATENATE("#Metadata!", ADDRESS(INDEX($M$2:$M$1001,MATCH(ROWS($K$2:K512),$K$2:$K$1001,0),0), INDEX($R$1004:$W$1004,1,MATCH(COLUMNS($R$1006:U1006),$R$1006:$W$1006,0)))),"Fix")))</f>
        <v>0</v>
      </c>
      <c r="F512" s="3">
        <f>IF(OR(INDEX($L$2:$L$1001,MATCH(ROWS($K$2:K512),$K$2:$K$1001,0),1)&gt;=100000,INDEX($R$1005:$W$1005,1,MATCH(COLUMNS($R$1006:V1006),$R$1006:$W$1006,0))&gt;=100000), " ",IF(INDEX($R$2:$W$1001,MATCH(ROWS($K$2:K512),$K$2:$K$1001,0),MATCH(COLUMNS($R$1006:V1006),$R$1006:$W$1006,0)), HYPERLINK("#",""), HYPERLINK(CONCATENATE("#Metadata!", ADDRESS(INDEX($M$2:$M$1001,MATCH(ROWS($K$2:K512),$K$2:$K$1001,0),0), INDEX($R$1004:$W$1004,1,MATCH(COLUMNS($R$1006:V1006),$R$1006:$W$1006,0)))),"Fix")))</f>
        <v>0</v>
      </c>
      <c r="G512" s="3">
        <f>IF(OR(INDEX($L$2:$L$1001,MATCH(ROWS($K$2:K512),$K$2:$K$1001,0),1)&gt;=100000,INDEX($R$1005:$W$1005,1,MATCH(COLUMNS($R$1006:W1006),$R$1006:$W$1006,0))&gt;=100000), " ",IF(INDEX($R$2:$W$1001,MATCH(ROWS($K$2:K512),$K$2:$K$1001,0),MATCH(COLUMNS($R$1006:W1006),$R$1006:$W$1006,0)), HYPERLINK("#",""), HYPERLINK(CONCATENATE("#Metadata!", ADDRESS(INDEX($M$2:$M$1001,MATCH(ROWS($K$2:K512),$K$2:$K$1001,0),0), INDEX($R$1004:$W$1004,1,MATCH(COLUMNS($R$1006:W1006),$R$1006:$W$1006,0)))),"Fix")))</f>
        <v>0</v>
      </c>
      <c r="K512">
        <v>0</v>
      </c>
      <c r="L512">
        <v>0</v>
      </c>
      <c r="M512">
        <v>0</v>
      </c>
      <c r="N512">
        <f>IF(O512,TRUE,AND(R512:W512))</f>
        <v>0</v>
      </c>
      <c r="O512">
        <f>COUNTBLANK(Metadata!B512:G512)=COLUMNS(Metadata!B512:G512)</f>
        <v>0</v>
      </c>
      <c r="P512">
        <v>0</v>
      </c>
      <c r="R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S512">
        <f>IF(Metadata!C512="",FALSE,TRUE)</f>
        <v>0</v>
      </c>
      <c r="T512">
        <f>IF(Metadata!D512="",FALSE,TRUE)</f>
        <v>0</v>
      </c>
      <c r="U512">
        <f>IF(Metadata!E512="",FALSE,TRUE)</f>
        <v>0</v>
      </c>
      <c r="V512">
        <f>AND(IF(Metadata!F512="",FALSE,TRUE),exact(Metadata!F512,"rat gut metagenome"))</f>
        <v>0</v>
      </c>
      <c r="W512">
        <f>AND(IF(Metadata!G512="",FALSE,TRUE),exact(Metadata!G512,"1436733"))</f>
        <v>0</v>
      </c>
    </row>
    <row r="513" spans="1:23">
      <c r="A513" s="4">
        <f>IF(B513=" "," ",HYPERLINK(CONCATENATE("#metadata!",ADDRESS(INDEX($M$2:$M$1001,MATCH(ROWS($K$2:K513),$K$2:$K$1001,0),0),1)),INDEX($P$2:$P$1001,MATCH(ROWS($K$2:K513),$K$2:$K$1001,0),0)))</f>
        <v>0</v>
      </c>
      <c r="B513" s="3">
        <f>IF(OR(INDEX($L$2:$L$1001,MATCH(ROWS($K$2:K513),$K$2:$K$1001,0),1)&gt;=100000,INDEX($R$1005:$W$1005,1,MATCH(COLUMNS($R$1006:R1006),$R$1006:$W$1006,0))&gt;=100000), " ",IF(INDEX($R$2:$W$1001,MATCH(ROWS($K$2:K513),$K$2:$K$1001,0),MATCH(COLUMNS($R$1006:R1006),$R$1006:$W$1006,0)), HYPERLINK("#",""), HYPERLINK(CONCATENATE("#Metadata!", ADDRESS(INDEX($M$2:$M$1001,MATCH(ROWS($K$2:K513),$K$2:$K$1001,0),0), INDEX($R$1004:$W$1004,1,MATCH(COLUMNS($R$1006:R1006),$R$1006:$W$1006,0)))),"Fix")))</f>
        <v>0</v>
      </c>
      <c r="C513" s="3">
        <f>IF(OR(INDEX($L$2:$L$1001,MATCH(ROWS($K$2:K513),$K$2:$K$1001,0),1)&gt;=100000,INDEX($R$1005:$W$1005,1,MATCH(COLUMNS($R$1006:S1006),$R$1006:$W$1006,0))&gt;=100000), " ",IF(INDEX($R$2:$W$1001,MATCH(ROWS($K$2:K513),$K$2:$K$1001,0),MATCH(COLUMNS($R$1006:S1006),$R$1006:$W$1006,0)), HYPERLINK("#",""), HYPERLINK(CONCATENATE("#Metadata!", ADDRESS(INDEX($M$2:$M$1001,MATCH(ROWS($K$2:K513),$K$2:$K$1001,0),0), INDEX($R$1004:$W$1004,1,MATCH(COLUMNS($R$1006:S1006),$R$1006:$W$1006,0)))),"Fix")))</f>
        <v>0</v>
      </c>
      <c r="D513" s="3">
        <f>IF(OR(INDEX($L$2:$L$1001,MATCH(ROWS($K$2:K513),$K$2:$K$1001,0),1)&gt;=100000,INDEX($R$1005:$W$1005,1,MATCH(COLUMNS($R$1006:T1006),$R$1006:$W$1006,0))&gt;=100000), " ",IF(INDEX($R$2:$W$1001,MATCH(ROWS($K$2:K513),$K$2:$K$1001,0),MATCH(COLUMNS($R$1006:T1006),$R$1006:$W$1006,0)), HYPERLINK("#",""), HYPERLINK(CONCATENATE("#Metadata!", ADDRESS(INDEX($M$2:$M$1001,MATCH(ROWS($K$2:K513),$K$2:$K$1001,0),0), INDEX($R$1004:$W$1004,1,MATCH(COLUMNS($R$1006:T1006),$R$1006:$W$1006,0)))),"Fix")))</f>
        <v>0</v>
      </c>
      <c r="E513" s="3">
        <f>IF(OR(INDEX($L$2:$L$1001,MATCH(ROWS($K$2:K513),$K$2:$K$1001,0),1)&gt;=100000,INDEX($R$1005:$W$1005,1,MATCH(COLUMNS($R$1006:U1006),$R$1006:$W$1006,0))&gt;=100000), " ",IF(INDEX($R$2:$W$1001,MATCH(ROWS($K$2:K513),$K$2:$K$1001,0),MATCH(COLUMNS($R$1006:U1006),$R$1006:$W$1006,0)), HYPERLINK("#",""), HYPERLINK(CONCATENATE("#Metadata!", ADDRESS(INDEX($M$2:$M$1001,MATCH(ROWS($K$2:K513),$K$2:$K$1001,0),0), INDEX($R$1004:$W$1004,1,MATCH(COLUMNS($R$1006:U1006),$R$1006:$W$1006,0)))),"Fix")))</f>
        <v>0</v>
      </c>
      <c r="F513" s="3">
        <f>IF(OR(INDEX($L$2:$L$1001,MATCH(ROWS($K$2:K513),$K$2:$K$1001,0),1)&gt;=100000,INDEX($R$1005:$W$1005,1,MATCH(COLUMNS($R$1006:V1006),$R$1006:$W$1006,0))&gt;=100000), " ",IF(INDEX($R$2:$W$1001,MATCH(ROWS($K$2:K513),$K$2:$K$1001,0),MATCH(COLUMNS($R$1006:V1006),$R$1006:$W$1006,0)), HYPERLINK("#",""), HYPERLINK(CONCATENATE("#Metadata!", ADDRESS(INDEX($M$2:$M$1001,MATCH(ROWS($K$2:K513),$K$2:$K$1001,0),0), INDEX($R$1004:$W$1004,1,MATCH(COLUMNS($R$1006:V1006),$R$1006:$W$1006,0)))),"Fix")))</f>
        <v>0</v>
      </c>
      <c r="G513" s="3">
        <f>IF(OR(INDEX($L$2:$L$1001,MATCH(ROWS($K$2:K513),$K$2:$K$1001,0),1)&gt;=100000,INDEX($R$1005:$W$1005,1,MATCH(COLUMNS($R$1006:W1006),$R$1006:$W$1006,0))&gt;=100000), " ",IF(INDEX($R$2:$W$1001,MATCH(ROWS($K$2:K513),$K$2:$K$1001,0),MATCH(COLUMNS($R$1006:W1006),$R$1006:$W$1006,0)), HYPERLINK("#",""), HYPERLINK(CONCATENATE("#Metadata!", ADDRESS(INDEX($M$2:$M$1001,MATCH(ROWS($K$2:K513),$K$2:$K$1001,0),0), INDEX($R$1004:$W$1004,1,MATCH(COLUMNS($R$1006:W1006),$R$1006:$W$1006,0)))),"Fix")))</f>
        <v>0</v>
      </c>
      <c r="K513">
        <v>0</v>
      </c>
      <c r="L513">
        <v>0</v>
      </c>
      <c r="M513">
        <v>0</v>
      </c>
      <c r="N513">
        <f>IF(O513,TRUE,AND(R513:W513))</f>
        <v>0</v>
      </c>
      <c r="O513">
        <f>COUNTBLANK(Metadata!B513:G513)=COLUMNS(Metadata!B513:G513)</f>
        <v>0</v>
      </c>
      <c r="P513">
        <v>0</v>
      </c>
      <c r="R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S513">
        <f>IF(Metadata!C513="",FALSE,TRUE)</f>
        <v>0</v>
      </c>
      <c r="T513">
        <f>IF(Metadata!D513="",FALSE,TRUE)</f>
        <v>0</v>
      </c>
      <c r="U513">
        <f>IF(Metadata!E513="",FALSE,TRUE)</f>
        <v>0</v>
      </c>
      <c r="V513">
        <f>AND(IF(Metadata!F513="",FALSE,TRUE),exact(Metadata!F513,"rat gut metagenome"))</f>
        <v>0</v>
      </c>
      <c r="W513">
        <f>AND(IF(Metadata!G513="",FALSE,TRUE),exact(Metadata!G513,"1436733"))</f>
        <v>0</v>
      </c>
    </row>
    <row r="514" spans="1:23">
      <c r="A514" s="4">
        <f>IF(B514=" "," ",HYPERLINK(CONCATENATE("#metadata!",ADDRESS(INDEX($M$2:$M$1001,MATCH(ROWS($K$2:K514),$K$2:$K$1001,0),0),1)),INDEX($P$2:$P$1001,MATCH(ROWS($K$2:K514),$K$2:$K$1001,0),0)))</f>
        <v>0</v>
      </c>
      <c r="B514" s="3">
        <f>IF(OR(INDEX($L$2:$L$1001,MATCH(ROWS($K$2:K514),$K$2:$K$1001,0),1)&gt;=100000,INDEX($R$1005:$W$1005,1,MATCH(COLUMNS($R$1006:R1006),$R$1006:$W$1006,0))&gt;=100000), " ",IF(INDEX($R$2:$W$1001,MATCH(ROWS($K$2:K514),$K$2:$K$1001,0),MATCH(COLUMNS($R$1006:R1006),$R$1006:$W$1006,0)), HYPERLINK("#",""), HYPERLINK(CONCATENATE("#Metadata!", ADDRESS(INDEX($M$2:$M$1001,MATCH(ROWS($K$2:K514),$K$2:$K$1001,0),0), INDEX($R$1004:$W$1004,1,MATCH(COLUMNS($R$1006:R1006),$R$1006:$W$1006,0)))),"Fix")))</f>
        <v>0</v>
      </c>
      <c r="C514" s="3">
        <f>IF(OR(INDEX($L$2:$L$1001,MATCH(ROWS($K$2:K514),$K$2:$K$1001,0),1)&gt;=100000,INDEX($R$1005:$W$1005,1,MATCH(COLUMNS($R$1006:S1006),$R$1006:$W$1006,0))&gt;=100000), " ",IF(INDEX($R$2:$W$1001,MATCH(ROWS($K$2:K514),$K$2:$K$1001,0),MATCH(COLUMNS($R$1006:S1006),$R$1006:$W$1006,0)), HYPERLINK("#",""), HYPERLINK(CONCATENATE("#Metadata!", ADDRESS(INDEX($M$2:$M$1001,MATCH(ROWS($K$2:K514),$K$2:$K$1001,0),0), INDEX($R$1004:$W$1004,1,MATCH(COLUMNS($R$1006:S1006),$R$1006:$W$1006,0)))),"Fix")))</f>
        <v>0</v>
      </c>
      <c r="D514" s="3">
        <f>IF(OR(INDEX($L$2:$L$1001,MATCH(ROWS($K$2:K514),$K$2:$K$1001,0),1)&gt;=100000,INDEX($R$1005:$W$1005,1,MATCH(COLUMNS($R$1006:T1006),$R$1006:$W$1006,0))&gt;=100000), " ",IF(INDEX($R$2:$W$1001,MATCH(ROWS($K$2:K514),$K$2:$K$1001,0),MATCH(COLUMNS($R$1006:T1006),$R$1006:$W$1006,0)), HYPERLINK("#",""), HYPERLINK(CONCATENATE("#Metadata!", ADDRESS(INDEX($M$2:$M$1001,MATCH(ROWS($K$2:K514),$K$2:$K$1001,0),0), INDEX($R$1004:$W$1004,1,MATCH(COLUMNS($R$1006:T1006),$R$1006:$W$1006,0)))),"Fix")))</f>
        <v>0</v>
      </c>
      <c r="E514" s="3">
        <f>IF(OR(INDEX($L$2:$L$1001,MATCH(ROWS($K$2:K514),$K$2:$K$1001,0),1)&gt;=100000,INDEX($R$1005:$W$1005,1,MATCH(COLUMNS($R$1006:U1006),$R$1006:$W$1006,0))&gt;=100000), " ",IF(INDEX($R$2:$W$1001,MATCH(ROWS($K$2:K514),$K$2:$K$1001,0),MATCH(COLUMNS($R$1006:U1006),$R$1006:$W$1006,0)), HYPERLINK("#",""), HYPERLINK(CONCATENATE("#Metadata!", ADDRESS(INDEX($M$2:$M$1001,MATCH(ROWS($K$2:K514),$K$2:$K$1001,0),0), INDEX($R$1004:$W$1004,1,MATCH(COLUMNS($R$1006:U1006),$R$1006:$W$1006,0)))),"Fix")))</f>
        <v>0</v>
      </c>
      <c r="F514" s="3">
        <f>IF(OR(INDEX($L$2:$L$1001,MATCH(ROWS($K$2:K514),$K$2:$K$1001,0),1)&gt;=100000,INDEX($R$1005:$W$1005,1,MATCH(COLUMNS($R$1006:V1006),$R$1006:$W$1006,0))&gt;=100000), " ",IF(INDEX($R$2:$W$1001,MATCH(ROWS($K$2:K514),$K$2:$K$1001,0),MATCH(COLUMNS($R$1006:V1006),$R$1006:$W$1006,0)), HYPERLINK("#",""), HYPERLINK(CONCATENATE("#Metadata!", ADDRESS(INDEX($M$2:$M$1001,MATCH(ROWS($K$2:K514),$K$2:$K$1001,0),0), INDEX($R$1004:$W$1004,1,MATCH(COLUMNS($R$1006:V1006),$R$1006:$W$1006,0)))),"Fix")))</f>
        <v>0</v>
      </c>
      <c r="G514" s="3">
        <f>IF(OR(INDEX($L$2:$L$1001,MATCH(ROWS($K$2:K514),$K$2:$K$1001,0),1)&gt;=100000,INDEX($R$1005:$W$1005,1,MATCH(COLUMNS($R$1006:W1006),$R$1006:$W$1006,0))&gt;=100000), " ",IF(INDEX($R$2:$W$1001,MATCH(ROWS($K$2:K514),$K$2:$K$1001,0),MATCH(COLUMNS($R$1006:W1006),$R$1006:$W$1006,0)), HYPERLINK("#",""), HYPERLINK(CONCATENATE("#Metadata!", ADDRESS(INDEX($M$2:$M$1001,MATCH(ROWS($K$2:K514),$K$2:$K$1001,0),0), INDEX($R$1004:$W$1004,1,MATCH(COLUMNS($R$1006:W1006),$R$1006:$W$1006,0)))),"Fix")))</f>
        <v>0</v>
      </c>
      <c r="K514">
        <v>0</v>
      </c>
      <c r="L514">
        <v>0</v>
      </c>
      <c r="M514">
        <v>0</v>
      </c>
      <c r="N514">
        <f>IF(O514,TRUE,AND(R514:W514))</f>
        <v>0</v>
      </c>
      <c r="O514">
        <f>COUNTBLANK(Metadata!B514:G514)=COLUMNS(Metadata!B514:G514)</f>
        <v>0</v>
      </c>
      <c r="P514">
        <v>0</v>
      </c>
      <c r="R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S514">
        <f>IF(Metadata!C514="",FALSE,TRUE)</f>
        <v>0</v>
      </c>
      <c r="T514">
        <f>IF(Metadata!D514="",FALSE,TRUE)</f>
        <v>0</v>
      </c>
      <c r="U514">
        <f>IF(Metadata!E514="",FALSE,TRUE)</f>
        <v>0</v>
      </c>
      <c r="V514">
        <f>AND(IF(Metadata!F514="",FALSE,TRUE),exact(Metadata!F514,"rat gut metagenome"))</f>
        <v>0</v>
      </c>
      <c r="W514">
        <f>AND(IF(Metadata!G514="",FALSE,TRUE),exact(Metadata!G514,"1436733"))</f>
        <v>0</v>
      </c>
    </row>
    <row r="515" spans="1:23">
      <c r="A515" s="4">
        <f>IF(B515=" "," ",HYPERLINK(CONCATENATE("#metadata!",ADDRESS(INDEX($M$2:$M$1001,MATCH(ROWS($K$2:K515),$K$2:$K$1001,0),0),1)),INDEX($P$2:$P$1001,MATCH(ROWS($K$2:K515),$K$2:$K$1001,0),0)))</f>
        <v>0</v>
      </c>
      <c r="B515" s="3">
        <f>IF(OR(INDEX($L$2:$L$1001,MATCH(ROWS($K$2:K515),$K$2:$K$1001,0),1)&gt;=100000,INDEX($R$1005:$W$1005,1,MATCH(COLUMNS($R$1006:R1006),$R$1006:$W$1006,0))&gt;=100000), " ",IF(INDEX($R$2:$W$1001,MATCH(ROWS($K$2:K515),$K$2:$K$1001,0),MATCH(COLUMNS($R$1006:R1006),$R$1006:$W$1006,0)), HYPERLINK("#",""), HYPERLINK(CONCATENATE("#Metadata!", ADDRESS(INDEX($M$2:$M$1001,MATCH(ROWS($K$2:K515),$K$2:$K$1001,0),0), INDEX($R$1004:$W$1004,1,MATCH(COLUMNS($R$1006:R1006),$R$1006:$W$1006,0)))),"Fix")))</f>
        <v>0</v>
      </c>
      <c r="C515" s="3">
        <f>IF(OR(INDEX($L$2:$L$1001,MATCH(ROWS($K$2:K515),$K$2:$K$1001,0),1)&gt;=100000,INDEX($R$1005:$W$1005,1,MATCH(COLUMNS($R$1006:S1006),$R$1006:$W$1006,0))&gt;=100000), " ",IF(INDEX($R$2:$W$1001,MATCH(ROWS($K$2:K515),$K$2:$K$1001,0),MATCH(COLUMNS($R$1006:S1006),$R$1006:$W$1006,0)), HYPERLINK("#",""), HYPERLINK(CONCATENATE("#Metadata!", ADDRESS(INDEX($M$2:$M$1001,MATCH(ROWS($K$2:K515),$K$2:$K$1001,0),0), INDEX($R$1004:$W$1004,1,MATCH(COLUMNS($R$1006:S1006),$R$1006:$W$1006,0)))),"Fix")))</f>
        <v>0</v>
      </c>
      <c r="D515" s="3">
        <f>IF(OR(INDEX($L$2:$L$1001,MATCH(ROWS($K$2:K515),$K$2:$K$1001,0),1)&gt;=100000,INDEX($R$1005:$W$1005,1,MATCH(COLUMNS($R$1006:T1006),$R$1006:$W$1006,0))&gt;=100000), " ",IF(INDEX($R$2:$W$1001,MATCH(ROWS($K$2:K515),$K$2:$K$1001,0),MATCH(COLUMNS($R$1006:T1006),$R$1006:$W$1006,0)), HYPERLINK("#",""), HYPERLINK(CONCATENATE("#Metadata!", ADDRESS(INDEX($M$2:$M$1001,MATCH(ROWS($K$2:K515),$K$2:$K$1001,0),0), INDEX($R$1004:$W$1004,1,MATCH(COLUMNS($R$1006:T1006),$R$1006:$W$1006,0)))),"Fix")))</f>
        <v>0</v>
      </c>
      <c r="E515" s="3">
        <f>IF(OR(INDEX($L$2:$L$1001,MATCH(ROWS($K$2:K515),$K$2:$K$1001,0),1)&gt;=100000,INDEX($R$1005:$W$1005,1,MATCH(COLUMNS($R$1006:U1006),$R$1006:$W$1006,0))&gt;=100000), " ",IF(INDEX($R$2:$W$1001,MATCH(ROWS($K$2:K515),$K$2:$K$1001,0),MATCH(COLUMNS($R$1006:U1006),$R$1006:$W$1006,0)), HYPERLINK("#",""), HYPERLINK(CONCATENATE("#Metadata!", ADDRESS(INDEX($M$2:$M$1001,MATCH(ROWS($K$2:K515),$K$2:$K$1001,0),0), INDEX($R$1004:$W$1004,1,MATCH(COLUMNS($R$1006:U1006),$R$1006:$W$1006,0)))),"Fix")))</f>
        <v>0</v>
      </c>
      <c r="F515" s="3">
        <f>IF(OR(INDEX($L$2:$L$1001,MATCH(ROWS($K$2:K515),$K$2:$K$1001,0),1)&gt;=100000,INDEX($R$1005:$W$1005,1,MATCH(COLUMNS($R$1006:V1006),$R$1006:$W$1006,0))&gt;=100000), " ",IF(INDEX($R$2:$W$1001,MATCH(ROWS($K$2:K515),$K$2:$K$1001,0),MATCH(COLUMNS($R$1006:V1006),$R$1006:$W$1006,0)), HYPERLINK("#",""), HYPERLINK(CONCATENATE("#Metadata!", ADDRESS(INDEX($M$2:$M$1001,MATCH(ROWS($K$2:K515),$K$2:$K$1001,0),0), INDEX($R$1004:$W$1004,1,MATCH(COLUMNS($R$1006:V1006),$R$1006:$W$1006,0)))),"Fix")))</f>
        <v>0</v>
      </c>
      <c r="G515" s="3">
        <f>IF(OR(INDEX($L$2:$L$1001,MATCH(ROWS($K$2:K515),$K$2:$K$1001,0),1)&gt;=100000,INDEX($R$1005:$W$1005,1,MATCH(COLUMNS($R$1006:W1006),$R$1006:$W$1006,0))&gt;=100000), " ",IF(INDEX($R$2:$W$1001,MATCH(ROWS($K$2:K515),$K$2:$K$1001,0),MATCH(COLUMNS($R$1006:W1006),$R$1006:$W$1006,0)), HYPERLINK("#",""), HYPERLINK(CONCATENATE("#Metadata!", ADDRESS(INDEX($M$2:$M$1001,MATCH(ROWS($K$2:K515),$K$2:$K$1001,0),0), INDEX($R$1004:$W$1004,1,MATCH(COLUMNS($R$1006:W1006),$R$1006:$W$1006,0)))),"Fix")))</f>
        <v>0</v>
      </c>
      <c r="K515">
        <v>0</v>
      </c>
      <c r="L515">
        <v>0</v>
      </c>
      <c r="M515">
        <v>0</v>
      </c>
      <c r="N515">
        <f>IF(O515,TRUE,AND(R515:W515))</f>
        <v>0</v>
      </c>
      <c r="O515">
        <f>COUNTBLANK(Metadata!B515:G515)=COLUMNS(Metadata!B515:G515)</f>
        <v>0</v>
      </c>
      <c r="P515">
        <v>0</v>
      </c>
      <c r="R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S515">
        <f>IF(Metadata!C515="",FALSE,TRUE)</f>
        <v>0</v>
      </c>
      <c r="T515">
        <f>IF(Metadata!D515="",FALSE,TRUE)</f>
        <v>0</v>
      </c>
      <c r="U515">
        <f>IF(Metadata!E515="",FALSE,TRUE)</f>
        <v>0</v>
      </c>
      <c r="V515">
        <f>AND(IF(Metadata!F515="",FALSE,TRUE),exact(Metadata!F515,"rat gut metagenome"))</f>
        <v>0</v>
      </c>
      <c r="W515">
        <f>AND(IF(Metadata!G515="",FALSE,TRUE),exact(Metadata!G515,"1436733"))</f>
        <v>0</v>
      </c>
    </row>
    <row r="516" spans="1:23">
      <c r="A516" s="4">
        <f>IF(B516=" "," ",HYPERLINK(CONCATENATE("#metadata!",ADDRESS(INDEX($M$2:$M$1001,MATCH(ROWS($K$2:K516),$K$2:$K$1001,0),0),1)),INDEX($P$2:$P$1001,MATCH(ROWS($K$2:K516),$K$2:$K$1001,0),0)))</f>
        <v>0</v>
      </c>
      <c r="B516" s="3">
        <f>IF(OR(INDEX($L$2:$L$1001,MATCH(ROWS($K$2:K516),$K$2:$K$1001,0),1)&gt;=100000,INDEX($R$1005:$W$1005,1,MATCH(COLUMNS($R$1006:R1006),$R$1006:$W$1006,0))&gt;=100000), " ",IF(INDEX($R$2:$W$1001,MATCH(ROWS($K$2:K516),$K$2:$K$1001,0),MATCH(COLUMNS($R$1006:R1006),$R$1006:$W$1006,0)), HYPERLINK("#",""), HYPERLINK(CONCATENATE("#Metadata!", ADDRESS(INDEX($M$2:$M$1001,MATCH(ROWS($K$2:K516),$K$2:$K$1001,0),0), INDEX($R$1004:$W$1004,1,MATCH(COLUMNS($R$1006:R1006),$R$1006:$W$1006,0)))),"Fix")))</f>
        <v>0</v>
      </c>
      <c r="C516" s="3">
        <f>IF(OR(INDEX($L$2:$L$1001,MATCH(ROWS($K$2:K516),$K$2:$K$1001,0),1)&gt;=100000,INDEX($R$1005:$W$1005,1,MATCH(COLUMNS($R$1006:S1006),$R$1006:$W$1006,0))&gt;=100000), " ",IF(INDEX($R$2:$W$1001,MATCH(ROWS($K$2:K516),$K$2:$K$1001,0),MATCH(COLUMNS($R$1006:S1006),$R$1006:$W$1006,0)), HYPERLINK("#",""), HYPERLINK(CONCATENATE("#Metadata!", ADDRESS(INDEX($M$2:$M$1001,MATCH(ROWS($K$2:K516),$K$2:$K$1001,0),0), INDEX($R$1004:$W$1004,1,MATCH(COLUMNS($R$1006:S1006),$R$1006:$W$1006,0)))),"Fix")))</f>
        <v>0</v>
      </c>
      <c r="D516" s="3">
        <f>IF(OR(INDEX($L$2:$L$1001,MATCH(ROWS($K$2:K516),$K$2:$K$1001,0),1)&gt;=100000,INDEX($R$1005:$W$1005,1,MATCH(COLUMNS($R$1006:T1006),$R$1006:$W$1006,0))&gt;=100000), " ",IF(INDEX($R$2:$W$1001,MATCH(ROWS($K$2:K516),$K$2:$K$1001,0),MATCH(COLUMNS($R$1006:T1006),$R$1006:$W$1006,0)), HYPERLINK("#",""), HYPERLINK(CONCATENATE("#Metadata!", ADDRESS(INDEX($M$2:$M$1001,MATCH(ROWS($K$2:K516),$K$2:$K$1001,0),0), INDEX($R$1004:$W$1004,1,MATCH(COLUMNS($R$1006:T1006),$R$1006:$W$1006,0)))),"Fix")))</f>
        <v>0</v>
      </c>
      <c r="E516" s="3">
        <f>IF(OR(INDEX($L$2:$L$1001,MATCH(ROWS($K$2:K516),$K$2:$K$1001,0),1)&gt;=100000,INDEX($R$1005:$W$1005,1,MATCH(COLUMNS($R$1006:U1006),$R$1006:$W$1006,0))&gt;=100000), " ",IF(INDEX($R$2:$W$1001,MATCH(ROWS($K$2:K516),$K$2:$K$1001,0),MATCH(COLUMNS($R$1006:U1006),$R$1006:$W$1006,0)), HYPERLINK("#",""), HYPERLINK(CONCATENATE("#Metadata!", ADDRESS(INDEX($M$2:$M$1001,MATCH(ROWS($K$2:K516),$K$2:$K$1001,0),0), INDEX($R$1004:$W$1004,1,MATCH(COLUMNS($R$1006:U1006),$R$1006:$W$1006,0)))),"Fix")))</f>
        <v>0</v>
      </c>
      <c r="F516" s="3">
        <f>IF(OR(INDEX($L$2:$L$1001,MATCH(ROWS($K$2:K516),$K$2:$K$1001,0),1)&gt;=100000,INDEX($R$1005:$W$1005,1,MATCH(COLUMNS($R$1006:V1006),$R$1006:$W$1006,0))&gt;=100000), " ",IF(INDEX($R$2:$W$1001,MATCH(ROWS($K$2:K516),$K$2:$K$1001,0),MATCH(COLUMNS($R$1006:V1006),$R$1006:$W$1006,0)), HYPERLINK("#",""), HYPERLINK(CONCATENATE("#Metadata!", ADDRESS(INDEX($M$2:$M$1001,MATCH(ROWS($K$2:K516),$K$2:$K$1001,0),0), INDEX($R$1004:$W$1004,1,MATCH(COLUMNS($R$1006:V1006),$R$1006:$W$1006,0)))),"Fix")))</f>
        <v>0</v>
      </c>
      <c r="G516" s="3">
        <f>IF(OR(INDEX($L$2:$L$1001,MATCH(ROWS($K$2:K516),$K$2:$K$1001,0),1)&gt;=100000,INDEX($R$1005:$W$1005,1,MATCH(COLUMNS($R$1006:W1006),$R$1006:$W$1006,0))&gt;=100000), " ",IF(INDEX($R$2:$W$1001,MATCH(ROWS($K$2:K516),$K$2:$K$1001,0),MATCH(COLUMNS($R$1006:W1006),$R$1006:$W$1006,0)), HYPERLINK("#",""), HYPERLINK(CONCATENATE("#Metadata!", ADDRESS(INDEX($M$2:$M$1001,MATCH(ROWS($K$2:K516),$K$2:$K$1001,0),0), INDEX($R$1004:$W$1004,1,MATCH(COLUMNS($R$1006:W1006),$R$1006:$W$1006,0)))),"Fix")))</f>
        <v>0</v>
      </c>
      <c r="K516">
        <v>0</v>
      </c>
      <c r="L516">
        <v>0</v>
      </c>
      <c r="M516">
        <v>0</v>
      </c>
      <c r="N516">
        <f>IF(O516,TRUE,AND(R516:W516))</f>
        <v>0</v>
      </c>
      <c r="O516">
        <f>COUNTBLANK(Metadata!B516:G516)=COLUMNS(Metadata!B516:G516)</f>
        <v>0</v>
      </c>
      <c r="P516">
        <v>0</v>
      </c>
      <c r="R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S516">
        <f>IF(Metadata!C516="",FALSE,TRUE)</f>
        <v>0</v>
      </c>
      <c r="T516">
        <f>IF(Metadata!D516="",FALSE,TRUE)</f>
        <v>0</v>
      </c>
      <c r="U516">
        <f>IF(Metadata!E516="",FALSE,TRUE)</f>
        <v>0</v>
      </c>
      <c r="V516">
        <f>AND(IF(Metadata!F516="",FALSE,TRUE),exact(Metadata!F516,"rat gut metagenome"))</f>
        <v>0</v>
      </c>
      <c r="W516">
        <f>AND(IF(Metadata!G516="",FALSE,TRUE),exact(Metadata!G516,"1436733"))</f>
        <v>0</v>
      </c>
    </row>
    <row r="517" spans="1:23">
      <c r="A517" s="4">
        <f>IF(B517=" "," ",HYPERLINK(CONCATENATE("#metadata!",ADDRESS(INDEX($M$2:$M$1001,MATCH(ROWS($K$2:K517),$K$2:$K$1001,0),0),1)),INDEX($P$2:$P$1001,MATCH(ROWS($K$2:K517),$K$2:$K$1001,0),0)))</f>
        <v>0</v>
      </c>
      <c r="B517" s="3">
        <f>IF(OR(INDEX($L$2:$L$1001,MATCH(ROWS($K$2:K517),$K$2:$K$1001,0),1)&gt;=100000,INDEX($R$1005:$W$1005,1,MATCH(COLUMNS($R$1006:R1006),$R$1006:$W$1006,0))&gt;=100000), " ",IF(INDEX($R$2:$W$1001,MATCH(ROWS($K$2:K517),$K$2:$K$1001,0),MATCH(COLUMNS($R$1006:R1006),$R$1006:$W$1006,0)), HYPERLINK("#",""), HYPERLINK(CONCATENATE("#Metadata!", ADDRESS(INDEX($M$2:$M$1001,MATCH(ROWS($K$2:K517),$K$2:$K$1001,0),0), INDEX($R$1004:$W$1004,1,MATCH(COLUMNS($R$1006:R1006),$R$1006:$W$1006,0)))),"Fix")))</f>
        <v>0</v>
      </c>
      <c r="C517" s="3">
        <f>IF(OR(INDEX($L$2:$L$1001,MATCH(ROWS($K$2:K517),$K$2:$K$1001,0),1)&gt;=100000,INDEX($R$1005:$W$1005,1,MATCH(COLUMNS($R$1006:S1006),$R$1006:$W$1006,0))&gt;=100000), " ",IF(INDEX($R$2:$W$1001,MATCH(ROWS($K$2:K517),$K$2:$K$1001,0),MATCH(COLUMNS($R$1006:S1006),$R$1006:$W$1006,0)), HYPERLINK("#",""), HYPERLINK(CONCATENATE("#Metadata!", ADDRESS(INDEX($M$2:$M$1001,MATCH(ROWS($K$2:K517),$K$2:$K$1001,0),0), INDEX($R$1004:$W$1004,1,MATCH(COLUMNS($R$1006:S1006),$R$1006:$W$1006,0)))),"Fix")))</f>
        <v>0</v>
      </c>
      <c r="D517" s="3">
        <f>IF(OR(INDEX($L$2:$L$1001,MATCH(ROWS($K$2:K517),$K$2:$K$1001,0),1)&gt;=100000,INDEX($R$1005:$W$1005,1,MATCH(COLUMNS($R$1006:T1006),$R$1006:$W$1006,0))&gt;=100000), " ",IF(INDEX($R$2:$W$1001,MATCH(ROWS($K$2:K517),$K$2:$K$1001,0),MATCH(COLUMNS($R$1006:T1006),$R$1006:$W$1006,0)), HYPERLINK("#",""), HYPERLINK(CONCATENATE("#Metadata!", ADDRESS(INDEX($M$2:$M$1001,MATCH(ROWS($K$2:K517),$K$2:$K$1001,0),0), INDEX($R$1004:$W$1004,1,MATCH(COLUMNS($R$1006:T1006),$R$1006:$W$1006,0)))),"Fix")))</f>
        <v>0</v>
      </c>
      <c r="E517" s="3">
        <f>IF(OR(INDEX($L$2:$L$1001,MATCH(ROWS($K$2:K517),$K$2:$K$1001,0),1)&gt;=100000,INDEX($R$1005:$W$1005,1,MATCH(COLUMNS($R$1006:U1006),$R$1006:$W$1006,0))&gt;=100000), " ",IF(INDEX($R$2:$W$1001,MATCH(ROWS($K$2:K517),$K$2:$K$1001,0),MATCH(COLUMNS($R$1006:U1006),$R$1006:$W$1006,0)), HYPERLINK("#",""), HYPERLINK(CONCATENATE("#Metadata!", ADDRESS(INDEX($M$2:$M$1001,MATCH(ROWS($K$2:K517),$K$2:$K$1001,0),0), INDEX($R$1004:$W$1004,1,MATCH(COLUMNS($R$1006:U1006),$R$1006:$W$1006,0)))),"Fix")))</f>
        <v>0</v>
      </c>
      <c r="F517" s="3">
        <f>IF(OR(INDEX($L$2:$L$1001,MATCH(ROWS($K$2:K517),$K$2:$K$1001,0),1)&gt;=100000,INDEX($R$1005:$W$1005,1,MATCH(COLUMNS($R$1006:V1006),$R$1006:$W$1006,0))&gt;=100000), " ",IF(INDEX($R$2:$W$1001,MATCH(ROWS($K$2:K517),$K$2:$K$1001,0),MATCH(COLUMNS($R$1006:V1006),$R$1006:$W$1006,0)), HYPERLINK("#",""), HYPERLINK(CONCATENATE("#Metadata!", ADDRESS(INDEX($M$2:$M$1001,MATCH(ROWS($K$2:K517),$K$2:$K$1001,0),0), INDEX($R$1004:$W$1004,1,MATCH(COLUMNS($R$1006:V1006),$R$1006:$W$1006,0)))),"Fix")))</f>
        <v>0</v>
      </c>
      <c r="G517" s="3">
        <f>IF(OR(INDEX($L$2:$L$1001,MATCH(ROWS($K$2:K517),$K$2:$K$1001,0),1)&gt;=100000,INDEX($R$1005:$W$1005,1,MATCH(COLUMNS($R$1006:W1006),$R$1006:$W$1006,0))&gt;=100000), " ",IF(INDEX($R$2:$W$1001,MATCH(ROWS($K$2:K517),$K$2:$K$1001,0),MATCH(COLUMNS($R$1006:W1006),$R$1006:$W$1006,0)), HYPERLINK("#",""), HYPERLINK(CONCATENATE("#Metadata!", ADDRESS(INDEX($M$2:$M$1001,MATCH(ROWS($K$2:K517),$K$2:$K$1001,0),0), INDEX($R$1004:$W$1004,1,MATCH(COLUMNS($R$1006:W1006),$R$1006:$W$1006,0)))),"Fix")))</f>
        <v>0</v>
      </c>
      <c r="K517">
        <v>0</v>
      </c>
      <c r="L517">
        <v>0</v>
      </c>
      <c r="M517">
        <v>0</v>
      </c>
      <c r="N517">
        <f>IF(O517,TRUE,AND(R517:W517))</f>
        <v>0</v>
      </c>
      <c r="O517">
        <f>COUNTBLANK(Metadata!B517:G517)=COLUMNS(Metadata!B517:G517)</f>
        <v>0</v>
      </c>
      <c r="P517">
        <v>0</v>
      </c>
      <c r="R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S517">
        <f>IF(Metadata!C517="",FALSE,TRUE)</f>
        <v>0</v>
      </c>
      <c r="T517">
        <f>IF(Metadata!D517="",FALSE,TRUE)</f>
        <v>0</v>
      </c>
      <c r="U517">
        <f>IF(Metadata!E517="",FALSE,TRUE)</f>
        <v>0</v>
      </c>
      <c r="V517">
        <f>AND(IF(Metadata!F517="",FALSE,TRUE),exact(Metadata!F517,"rat gut metagenome"))</f>
        <v>0</v>
      </c>
      <c r="W517">
        <f>AND(IF(Metadata!G517="",FALSE,TRUE),exact(Metadata!G517,"1436733"))</f>
        <v>0</v>
      </c>
    </row>
    <row r="518" spans="1:23">
      <c r="A518" s="4">
        <f>IF(B518=" "," ",HYPERLINK(CONCATENATE("#metadata!",ADDRESS(INDEX($M$2:$M$1001,MATCH(ROWS($K$2:K518),$K$2:$K$1001,0),0),1)),INDEX($P$2:$P$1001,MATCH(ROWS($K$2:K518),$K$2:$K$1001,0),0)))</f>
        <v>0</v>
      </c>
      <c r="B518" s="3">
        <f>IF(OR(INDEX($L$2:$L$1001,MATCH(ROWS($K$2:K518),$K$2:$K$1001,0),1)&gt;=100000,INDEX($R$1005:$W$1005,1,MATCH(COLUMNS($R$1006:R1006),$R$1006:$W$1006,0))&gt;=100000), " ",IF(INDEX($R$2:$W$1001,MATCH(ROWS($K$2:K518),$K$2:$K$1001,0),MATCH(COLUMNS($R$1006:R1006),$R$1006:$W$1006,0)), HYPERLINK("#",""), HYPERLINK(CONCATENATE("#Metadata!", ADDRESS(INDEX($M$2:$M$1001,MATCH(ROWS($K$2:K518),$K$2:$K$1001,0),0), INDEX($R$1004:$W$1004,1,MATCH(COLUMNS($R$1006:R1006),$R$1006:$W$1006,0)))),"Fix")))</f>
        <v>0</v>
      </c>
      <c r="C518" s="3">
        <f>IF(OR(INDEX($L$2:$L$1001,MATCH(ROWS($K$2:K518),$K$2:$K$1001,0),1)&gt;=100000,INDEX($R$1005:$W$1005,1,MATCH(COLUMNS($R$1006:S1006),$R$1006:$W$1006,0))&gt;=100000), " ",IF(INDEX($R$2:$W$1001,MATCH(ROWS($K$2:K518),$K$2:$K$1001,0),MATCH(COLUMNS($R$1006:S1006),$R$1006:$W$1006,0)), HYPERLINK("#",""), HYPERLINK(CONCATENATE("#Metadata!", ADDRESS(INDEX($M$2:$M$1001,MATCH(ROWS($K$2:K518),$K$2:$K$1001,0),0), INDEX($R$1004:$W$1004,1,MATCH(COLUMNS($R$1006:S1006),$R$1006:$W$1006,0)))),"Fix")))</f>
        <v>0</v>
      </c>
      <c r="D518" s="3">
        <f>IF(OR(INDEX($L$2:$L$1001,MATCH(ROWS($K$2:K518),$K$2:$K$1001,0),1)&gt;=100000,INDEX($R$1005:$W$1005,1,MATCH(COLUMNS($R$1006:T1006),$R$1006:$W$1006,0))&gt;=100000), " ",IF(INDEX($R$2:$W$1001,MATCH(ROWS($K$2:K518),$K$2:$K$1001,0),MATCH(COLUMNS($R$1006:T1006),$R$1006:$W$1006,0)), HYPERLINK("#",""), HYPERLINK(CONCATENATE("#Metadata!", ADDRESS(INDEX($M$2:$M$1001,MATCH(ROWS($K$2:K518),$K$2:$K$1001,0),0), INDEX($R$1004:$W$1004,1,MATCH(COLUMNS($R$1006:T1006),$R$1006:$W$1006,0)))),"Fix")))</f>
        <v>0</v>
      </c>
      <c r="E518" s="3">
        <f>IF(OR(INDEX($L$2:$L$1001,MATCH(ROWS($K$2:K518),$K$2:$K$1001,0),1)&gt;=100000,INDEX($R$1005:$W$1005,1,MATCH(COLUMNS($R$1006:U1006),$R$1006:$W$1006,0))&gt;=100000), " ",IF(INDEX($R$2:$W$1001,MATCH(ROWS($K$2:K518),$K$2:$K$1001,0),MATCH(COLUMNS($R$1006:U1006),$R$1006:$W$1006,0)), HYPERLINK("#",""), HYPERLINK(CONCATENATE("#Metadata!", ADDRESS(INDEX($M$2:$M$1001,MATCH(ROWS($K$2:K518),$K$2:$K$1001,0),0), INDEX($R$1004:$W$1004,1,MATCH(COLUMNS($R$1006:U1006),$R$1006:$W$1006,0)))),"Fix")))</f>
        <v>0</v>
      </c>
      <c r="F518" s="3">
        <f>IF(OR(INDEX($L$2:$L$1001,MATCH(ROWS($K$2:K518),$K$2:$K$1001,0),1)&gt;=100000,INDEX($R$1005:$W$1005,1,MATCH(COLUMNS($R$1006:V1006),$R$1006:$W$1006,0))&gt;=100000), " ",IF(INDEX($R$2:$W$1001,MATCH(ROWS($K$2:K518),$K$2:$K$1001,0),MATCH(COLUMNS($R$1006:V1006),$R$1006:$W$1006,0)), HYPERLINK("#",""), HYPERLINK(CONCATENATE("#Metadata!", ADDRESS(INDEX($M$2:$M$1001,MATCH(ROWS($K$2:K518),$K$2:$K$1001,0),0), INDEX($R$1004:$W$1004,1,MATCH(COLUMNS($R$1006:V1006),$R$1006:$W$1006,0)))),"Fix")))</f>
        <v>0</v>
      </c>
      <c r="G518" s="3">
        <f>IF(OR(INDEX($L$2:$L$1001,MATCH(ROWS($K$2:K518),$K$2:$K$1001,0),1)&gt;=100000,INDEX($R$1005:$W$1005,1,MATCH(COLUMNS($R$1006:W1006),$R$1006:$W$1006,0))&gt;=100000), " ",IF(INDEX($R$2:$W$1001,MATCH(ROWS($K$2:K518),$K$2:$K$1001,0),MATCH(COLUMNS($R$1006:W1006),$R$1006:$W$1006,0)), HYPERLINK("#",""), HYPERLINK(CONCATENATE("#Metadata!", ADDRESS(INDEX($M$2:$M$1001,MATCH(ROWS($K$2:K518),$K$2:$K$1001,0),0), INDEX($R$1004:$W$1004,1,MATCH(COLUMNS($R$1006:W1006),$R$1006:$W$1006,0)))),"Fix")))</f>
        <v>0</v>
      </c>
      <c r="K518">
        <v>0</v>
      </c>
      <c r="L518">
        <v>0</v>
      </c>
      <c r="M518">
        <v>0</v>
      </c>
      <c r="N518">
        <f>IF(O518,TRUE,AND(R518:W518))</f>
        <v>0</v>
      </c>
      <c r="O518">
        <f>COUNTBLANK(Metadata!B518:G518)=COLUMNS(Metadata!B518:G518)</f>
        <v>0</v>
      </c>
      <c r="P518">
        <v>0</v>
      </c>
      <c r="R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S518">
        <f>IF(Metadata!C518="",FALSE,TRUE)</f>
        <v>0</v>
      </c>
      <c r="T518">
        <f>IF(Metadata!D518="",FALSE,TRUE)</f>
        <v>0</v>
      </c>
      <c r="U518">
        <f>IF(Metadata!E518="",FALSE,TRUE)</f>
        <v>0</v>
      </c>
      <c r="V518">
        <f>AND(IF(Metadata!F518="",FALSE,TRUE),exact(Metadata!F518,"rat gut metagenome"))</f>
        <v>0</v>
      </c>
      <c r="W518">
        <f>AND(IF(Metadata!G518="",FALSE,TRUE),exact(Metadata!G518,"1436733"))</f>
        <v>0</v>
      </c>
    </row>
    <row r="519" spans="1:23">
      <c r="A519" s="4">
        <f>IF(B519=" "," ",HYPERLINK(CONCATENATE("#metadata!",ADDRESS(INDEX($M$2:$M$1001,MATCH(ROWS($K$2:K519),$K$2:$K$1001,0),0),1)),INDEX($P$2:$P$1001,MATCH(ROWS($K$2:K519),$K$2:$K$1001,0),0)))</f>
        <v>0</v>
      </c>
      <c r="B519" s="3">
        <f>IF(OR(INDEX($L$2:$L$1001,MATCH(ROWS($K$2:K519),$K$2:$K$1001,0),1)&gt;=100000,INDEX($R$1005:$W$1005,1,MATCH(COLUMNS($R$1006:R1006),$R$1006:$W$1006,0))&gt;=100000), " ",IF(INDEX($R$2:$W$1001,MATCH(ROWS($K$2:K519),$K$2:$K$1001,0),MATCH(COLUMNS($R$1006:R1006),$R$1006:$W$1006,0)), HYPERLINK("#",""), HYPERLINK(CONCATENATE("#Metadata!", ADDRESS(INDEX($M$2:$M$1001,MATCH(ROWS($K$2:K519),$K$2:$K$1001,0),0), INDEX($R$1004:$W$1004,1,MATCH(COLUMNS($R$1006:R1006),$R$1006:$W$1006,0)))),"Fix")))</f>
        <v>0</v>
      </c>
      <c r="C519" s="3">
        <f>IF(OR(INDEX($L$2:$L$1001,MATCH(ROWS($K$2:K519),$K$2:$K$1001,0),1)&gt;=100000,INDEX($R$1005:$W$1005,1,MATCH(COLUMNS($R$1006:S1006),$R$1006:$W$1006,0))&gt;=100000), " ",IF(INDEX($R$2:$W$1001,MATCH(ROWS($K$2:K519),$K$2:$K$1001,0),MATCH(COLUMNS($R$1006:S1006),$R$1006:$W$1006,0)), HYPERLINK("#",""), HYPERLINK(CONCATENATE("#Metadata!", ADDRESS(INDEX($M$2:$M$1001,MATCH(ROWS($K$2:K519),$K$2:$K$1001,0),0), INDEX($R$1004:$W$1004,1,MATCH(COLUMNS($R$1006:S1006),$R$1006:$W$1006,0)))),"Fix")))</f>
        <v>0</v>
      </c>
      <c r="D519" s="3">
        <f>IF(OR(INDEX($L$2:$L$1001,MATCH(ROWS($K$2:K519),$K$2:$K$1001,0),1)&gt;=100000,INDEX($R$1005:$W$1005,1,MATCH(COLUMNS($R$1006:T1006),$R$1006:$W$1006,0))&gt;=100000), " ",IF(INDEX($R$2:$W$1001,MATCH(ROWS($K$2:K519),$K$2:$K$1001,0),MATCH(COLUMNS($R$1006:T1006),$R$1006:$W$1006,0)), HYPERLINK("#",""), HYPERLINK(CONCATENATE("#Metadata!", ADDRESS(INDEX($M$2:$M$1001,MATCH(ROWS($K$2:K519),$K$2:$K$1001,0),0), INDEX($R$1004:$W$1004,1,MATCH(COLUMNS($R$1006:T1006),$R$1006:$W$1006,0)))),"Fix")))</f>
        <v>0</v>
      </c>
      <c r="E519" s="3">
        <f>IF(OR(INDEX($L$2:$L$1001,MATCH(ROWS($K$2:K519),$K$2:$K$1001,0),1)&gt;=100000,INDEX($R$1005:$W$1005,1,MATCH(COLUMNS($R$1006:U1006),$R$1006:$W$1006,0))&gt;=100000), " ",IF(INDEX($R$2:$W$1001,MATCH(ROWS($K$2:K519),$K$2:$K$1001,0),MATCH(COLUMNS($R$1006:U1006),$R$1006:$W$1006,0)), HYPERLINK("#",""), HYPERLINK(CONCATENATE("#Metadata!", ADDRESS(INDEX($M$2:$M$1001,MATCH(ROWS($K$2:K519),$K$2:$K$1001,0),0), INDEX($R$1004:$W$1004,1,MATCH(COLUMNS($R$1006:U1006),$R$1006:$W$1006,0)))),"Fix")))</f>
        <v>0</v>
      </c>
      <c r="F519" s="3">
        <f>IF(OR(INDEX($L$2:$L$1001,MATCH(ROWS($K$2:K519),$K$2:$K$1001,0),1)&gt;=100000,INDEX($R$1005:$W$1005,1,MATCH(COLUMNS($R$1006:V1006),$R$1006:$W$1006,0))&gt;=100000), " ",IF(INDEX($R$2:$W$1001,MATCH(ROWS($K$2:K519),$K$2:$K$1001,0),MATCH(COLUMNS($R$1006:V1006),$R$1006:$W$1006,0)), HYPERLINK("#",""), HYPERLINK(CONCATENATE("#Metadata!", ADDRESS(INDEX($M$2:$M$1001,MATCH(ROWS($K$2:K519),$K$2:$K$1001,0),0), INDEX($R$1004:$W$1004,1,MATCH(COLUMNS($R$1006:V1006),$R$1006:$W$1006,0)))),"Fix")))</f>
        <v>0</v>
      </c>
      <c r="G519" s="3">
        <f>IF(OR(INDEX($L$2:$L$1001,MATCH(ROWS($K$2:K519),$K$2:$K$1001,0),1)&gt;=100000,INDEX($R$1005:$W$1005,1,MATCH(COLUMNS($R$1006:W1006),$R$1006:$W$1006,0))&gt;=100000), " ",IF(INDEX($R$2:$W$1001,MATCH(ROWS($K$2:K519),$K$2:$K$1001,0),MATCH(COLUMNS($R$1006:W1006),$R$1006:$W$1006,0)), HYPERLINK("#",""), HYPERLINK(CONCATENATE("#Metadata!", ADDRESS(INDEX($M$2:$M$1001,MATCH(ROWS($K$2:K519),$K$2:$K$1001,0),0), INDEX($R$1004:$W$1004,1,MATCH(COLUMNS($R$1006:W1006),$R$1006:$W$1006,0)))),"Fix")))</f>
        <v>0</v>
      </c>
      <c r="K519">
        <v>0</v>
      </c>
      <c r="L519">
        <v>0</v>
      </c>
      <c r="M519">
        <v>0</v>
      </c>
      <c r="N519">
        <f>IF(O519,TRUE,AND(R519:W519))</f>
        <v>0</v>
      </c>
      <c r="O519">
        <f>COUNTBLANK(Metadata!B519:G519)=COLUMNS(Metadata!B519:G519)</f>
        <v>0</v>
      </c>
      <c r="P519">
        <v>0</v>
      </c>
      <c r="R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S519">
        <f>IF(Metadata!C519="",FALSE,TRUE)</f>
        <v>0</v>
      </c>
      <c r="T519">
        <f>IF(Metadata!D519="",FALSE,TRUE)</f>
        <v>0</v>
      </c>
      <c r="U519">
        <f>IF(Metadata!E519="",FALSE,TRUE)</f>
        <v>0</v>
      </c>
      <c r="V519">
        <f>AND(IF(Metadata!F519="",FALSE,TRUE),exact(Metadata!F519,"rat gut metagenome"))</f>
        <v>0</v>
      </c>
      <c r="W519">
        <f>AND(IF(Metadata!G519="",FALSE,TRUE),exact(Metadata!G519,"1436733"))</f>
        <v>0</v>
      </c>
    </row>
    <row r="520" spans="1:23">
      <c r="A520" s="4">
        <f>IF(B520=" "," ",HYPERLINK(CONCATENATE("#metadata!",ADDRESS(INDEX($M$2:$M$1001,MATCH(ROWS($K$2:K520),$K$2:$K$1001,0),0),1)),INDEX($P$2:$P$1001,MATCH(ROWS($K$2:K520),$K$2:$K$1001,0),0)))</f>
        <v>0</v>
      </c>
      <c r="B520" s="3">
        <f>IF(OR(INDEX($L$2:$L$1001,MATCH(ROWS($K$2:K520),$K$2:$K$1001,0),1)&gt;=100000,INDEX($R$1005:$W$1005,1,MATCH(COLUMNS($R$1006:R1006),$R$1006:$W$1006,0))&gt;=100000), " ",IF(INDEX($R$2:$W$1001,MATCH(ROWS($K$2:K520),$K$2:$K$1001,0),MATCH(COLUMNS($R$1006:R1006),$R$1006:$W$1006,0)), HYPERLINK("#",""), HYPERLINK(CONCATENATE("#Metadata!", ADDRESS(INDEX($M$2:$M$1001,MATCH(ROWS($K$2:K520),$K$2:$K$1001,0),0), INDEX($R$1004:$W$1004,1,MATCH(COLUMNS($R$1006:R1006),$R$1006:$W$1006,0)))),"Fix")))</f>
        <v>0</v>
      </c>
      <c r="C520" s="3">
        <f>IF(OR(INDEX($L$2:$L$1001,MATCH(ROWS($K$2:K520),$K$2:$K$1001,0),1)&gt;=100000,INDEX($R$1005:$W$1005,1,MATCH(COLUMNS($R$1006:S1006),$R$1006:$W$1006,0))&gt;=100000), " ",IF(INDEX($R$2:$W$1001,MATCH(ROWS($K$2:K520),$K$2:$K$1001,0),MATCH(COLUMNS($R$1006:S1006),$R$1006:$W$1006,0)), HYPERLINK("#",""), HYPERLINK(CONCATENATE("#Metadata!", ADDRESS(INDEX($M$2:$M$1001,MATCH(ROWS($K$2:K520),$K$2:$K$1001,0),0), INDEX($R$1004:$W$1004,1,MATCH(COLUMNS($R$1006:S1006),$R$1006:$W$1006,0)))),"Fix")))</f>
        <v>0</v>
      </c>
      <c r="D520" s="3">
        <f>IF(OR(INDEX($L$2:$L$1001,MATCH(ROWS($K$2:K520),$K$2:$K$1001,0),1)&gt;=100000,INDEX($R$1005:$W$1005,1,MATCH(COLUMNS($R$1006:T1006),$R$1006:$W$1006,0))&gt;=100000), " ",IF(INDEX($R$2:$W$1001,MATCH(ROWS($K$2:K520),$K$2:$K$1001,0),MATCH(COLUMNS($R$1006:T1006),$R$1006:$W$1006,0)), HYPERLINK("#",""), HYPERLINK(CONCATENATE("#Metadata!", ADDRESS(INDEX($M$2:$M$1001,MATCH(ROWS($K$2:K520),$K$2:$K$1001,0),0), INDEX($R$1004:$W$1004,1,MATCH(COLUMNS($R$1006:T1006),$R$1006:$W$1006,0)))),"Fix")))</f>
        <v>0</v>
      </c>
      <c r="E520" s="3">
        <f>IF(OR(INDEX($L$2:$L$1001,MATCH(ROWS($K$2:K520),$K$2:$K$1001,0),1)&gt;=100000,INDEX($R$1005:$W$1005,1,MATCH(COLUMNS($R$1006:U1006),$R$1006:$W$1006,0))&gt;=100000), " ",IF(INDEX($R$2:$W$1001,MATCH(ROWS($K$2:K520),$K$2:$K$1001,0),MATCH(COLUMNS($R$1006:U1006),$R$1006:$W$1006,0)), HYPERLINK("#",""), HYPERLINK(CONCATENATE("#Metadata!", ADDRESS(INDEX($M$2:$M$1001,MATCH(ROWS($K$2:K520),$K$2:$K$1001,0),0), INDEX($R$1004:$W$1004,1,MATCH(COLUMNS($R$1006:U1006),$R$1006:$W$1006,0)))),"Fix")))</f>
        <v>0</v>
      </c>
      <c r="F520" s="3">
        <f>IF(OR(INDEX($L$2:$L$1001,MATCH(ROWS($K$2:K520),$K$2:$K$1001,0),1)&gt;=100000,INDEX($R$1005:$W$1005,1,MATCH(COLUMNS($R$1006:V1006),$R$1006:$W$1006,0))&gt;=100000), " ",IF(INDEX($R$2:$W$1001,MATCH(ROWS($K$2:K520),$K$2:$K$1001,0),MATCH(COLUMNS($R$1006:V1006),$R$1006:$W$1006,0)), HYPERLINK("#",""), HYPERLINK(CONCATENATE("#Metadata!", ADDRESS(INDEX($M$2:$M$1001,MATCH(ROWS($K$2:K520),$K$2:$K$1001,0),0), INDEX($R$1004:$W$1004,1,MATCH(COLUMNS($R$1006:V1006),$R$1006:$W$1006,0)))),"Fix")))</f>
        <v>0</v>
      </c>
      <c r="G520" s="3">
        <f>IF(OR(INDEX($L$2:$L$1001,MATCH(ROWS($K$2:K520),$K$2:$K$1001,0),1)&gt;=100000,INDEX($R$1005:$W$1005,1,MATCH(COLUMNS($R$1006:W1006),$R$1006:$W$1006,0))&gt;=100000), " ",IF(INDEX($R$2:$W$1001,MATCH(ROWS($K$2:K520),$K$2:$K$1001,0),MATCH(COLUMNS($R$1006:W1006),$R$1006:$W$1006,0)), HYPERLINK("#",""), HYPERLINK(CONCATENATE("#Metadata!", ADDRESS(INDEX($M$2:$M$1001,MATCH(ROWS($K$2:K520),$K$2:$K$1001,0),0), INDEX($R$1004:$W$1004,1,MATCH(COLUMNS($R$1006:W1006),$R$1006:$W$1006,0)))),"Fix")))</f>
        <v>0</v>
      </c>
      <c r="K520">
        <v>0</v>
      </c>
      <c r="L520">
        <v>0</v>
      </c>
      <c r="M520">
        <v>0</v>
      </c>
      <c r="N520">
        <f>IF(O520,TRUE,AND(R520:W520))</f>
        <v>0</v>
      </c>
      <c r="O520">
        <f>COUNTBLANK(Metadata!B520:G520)=COLUMNS(Metadata!B520:G520)</f>
        <v>0</v>
      </c>
      <c r="P520">
        <v>0</v>
      </c>
      <c r="R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S520">
        <f>IF(Metadata!C520="",FALSE,TRUE)</f>
        <v>0</v>
      </c>
      <c r="T520">
        <f>IF(Metadata!D520="",FALSE,TRUE)</f>
        <v>0</v>
      </c>
      <c r="U520">
        <f>IF(Metadata!E520="",FALSE,TRUE)</f>
        <v>0</v>
      </c>
      <c r="V520">
        <f>AND(IF(Metadata!F520="",FALSE,TRUE),exact(Metadata!F520,"rat gut metagenome"))</f>
        <v>0</v>
      </c>
      <c r="W520">
        <f>AND(IF(Metadata!G520="",FALSE,TRUE),exact(Metadata!G520,"1436733"))</f>
        <v>0</v>
      </c>
    </row>
    <row r="521" spans="1:23">
      <c r="A521" s="4">
        <f>IF(B521=" "," ",HYPERLINK(CONCATENATE("#metadata!",ADDRESS(INDEX($M$2:$M$1001,MATCH(ROWS($K$2:K521),$K$2:$K$1001,0),0),1)),INDEX($P$2:$P$1001,MATCH(ROWS($K$2:K521),$K$2:$K$1001,0),0)))</f>
        <v>0</v>
      </c>
      <c r="B521" s="3">
        <f>IF(OR(INDEX($L$2:$L$1001,MATCH(ROWS($K$2:K521),$K$2:$K$1001,0),1)&gt;=100000,INDEX($R$1005:$W$1005,1,MATCH(COLUMNS($R$1006:R1006),$R$1006:$W$1006,0))&gt;=100000), " ",IF(INDEX($R$2:$W$1001,MATCH(ROWS($K$2:K521),$K$2:$K$1001,0),MATCH(COLUMNS($R$1006:R1006),$R$1006:$W$1006,0)), HYPERLINK("#",""), HYPERLINK(CONCATENATE("#Metadata!", ADDRESS(INDEX($M$2:$M$1001,MATCH(ROWS($K$2:K521),$K$2:$K$1001,0),0), INDEX($R$1004:$W$1004,1,MATCH(COLUMNS($R$1006:R1006),$R$1006:$W$1006,0)))),"Fix")))</f>
        <v>0</v>
      </c>
      <c r="C521" s="3">
        <f>IF(OR(INDEX($L$2:$L$1001,MATCH(ROWS($K$2:K521),$K$2:$K$1001,0),1)&gt;=100000,INDEX($R$1005:$W$1005,1,MATCH(COLUMNS($R$1006:S1006),$R$1006:$W$1006,0))&gt;=100000), " ",IF(INDEX($R$2:$W$1001,MATCH(ROWS($K$2:K521),$K$2:$K$1001,0),MATCH(COLUMNS($R$1006:S1006),$R$1006:$W$1006,0)), HYPERLINK("#",""), HYPERLINK(CONCATENATE("#Metadata!", ADDRESS(INDEX($M$2:$M$1001,MATCH(ROWS($K$2:K521),$K$2:$K$1001,0),0), INDEX($R$1004:$W$1004,1,MATCH(COLUMNS($R$1006:S1006),$R$1006:$W$1006,0)))),"Fix")))</f>
        <v>0</v>
      </c>
      <c r="D521" s="3">
        <f>IF(OR(INDEX($L$2:$L$1001,MATCH(ROWS($K$2:K521),$K$2:$K$1001,0),1)&gt;=100000,INDEX($R$1005:$W$1005,1,MATCH(COLUMNS($R$1006:T1006),$R$1006:$W$1006,0))&gt;=100000), " ",IF(INDEX($R$2:$W$1001,MATCH(ROWS($K$2:K521),$K$2:$K$1001,0),MATCH(COLUMNS($R$1006:T1006),$R$1006:$W$1006,0)), HYPERLINK("#",""), HYPERLINK(CONCATENATE("#Metadata!", ADDRESS(INDEX($M$2:$M$1001,MATCH(ROWS($K$2:K521),$K$2:$K$1001,0),0), INDEX($R$1004:$W$1004,1,MATCH(COLUMNS($R$1006:T1006),$R$1006:$W$1006,0)))),"Fix")))</f>
        <v>0</v>
      </c>
      <c r="E521" s="3">
        <f>IF(OR(INDEX($L$2:$L$1001,MATCH(ROWS($K$2:K521),$K$2:$K$1001,0),1)&gt;=100000,INDEX($R$1005:$W$1005,1,MATCH(COLUMNS($R$1006:U1006),$R$1006:$W$1006,0))&gt;=100000), " ",IF(INDEX($R$2:$W$1001,MATCH(ROWS($K$2:K521),$K$2:$K$1001,0),MATCH(COLUMNS($R$1006:U1006),$R$1006:$W$1006,0)), HYPERLINK("#",""), HYPERLINK(CONCATENATE("#Metadata!", ADDRESS(INDEX($M$2:$M$1001,MATCH(ROWS($K$2:K521),$K$2:$K$1001,0),0), INDEX($R$1004:$W$1004,1,MATCH(COLUMNS($R$1006:U1006),$R$1006:$W$1006,0)))),"Fix")))</f>
        <v>0</v>
      </c>
      <c r="F521" s="3">
        <f>IF(OR(INDEX($L$2:$L$1001,MATCH(ROWS($K$2:K521),$K$2:$K$1001,0),1)&gt;=100000,INDEX($R$1005:$W$1005,1,MATCH(COLUMNS($R$1006:V1006),$R$1006:$W$1006,0))&gt;=100000), " ",IF(INDEX($R$2:$W$1001,MATCH(ROWS($K$2:K521),$K$2:$K$1001,0),MATCH(COLUMNS($R$1006:V1006),$R$1006:$W$1006,0)), HYPERLINK("#",""), HYPERLINK(CONCATENATE("#Metadata!", ADDRESS(INDEX($M$2:$M$1001,MATCH(ROWS($K$2:K521),$K$2:$K$1001,0),0), INDEX($R$1004:$W$1004,1,MATCH(COLUMNS($R$1006:V1006),$R$1006:$W$1006,0)))),"Fix")))</f>
        <v>0</v>
      </c>
      <c r="G521" s="3">
        <f>IF(OR(INDEX($L$2:$L$1001,MATCH(ROWS($K$2:K521),$K$2:$K$1001,0),1)&gt;=100000,INDEX($R$1005:$W$1005,1,MATCH(COLUMNS($R$1006:W1006),$R$1006:$W$1006,0))&gt;=100000), " ",IF(INDEX($R$2:$W$1001,MATCH(ROWS($K$2:K521),$K$2:$K$1001,0),MATCH(COLUMNS($R$1006:W1006),$R$1006:$W$1006,0)), HYPERLINK("#",""), HYPERLINK(CONCATENATE("#Metadata!", ADDRESS(INDEX($M$2:$M$1001,MATCH(ROWS($K$2:K521),$K$2:$K$1001,0),0), INDEX($R$1004:$W$1004,1,MATCH(COLUMNS($R$1006:W1006),$R$1006:$W$1006,0)))),"Fix")))</f>
        <v>0</v>
      </c>
      <c r="K521">
        <v>0</v>
      </c>
      <c r="L521">
        <v>0</v>
      </c>
      <c r="M521">
        <v>0</v>
      </c>
      <c r="N521">
        <f>IF(O521,TRUE,AND(R521:W521))</f>
        <v>0</v>
      </c>
      <c r="O521">
        <f>COUNTBLANK(Metadata!B521:G521)=COLUMNS(Metadata!B521:G521)</f>
        <v>0</v>
      </c>
      <c r="P521">
        <v>0</v>
      </c>
      <c r="R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S521">
        <f>IF(Metadata!C521="",FALSE,TRUE)</f>
        <v>0</v>
      </c>
      <c r="T521">
        <f>IF(Metadata!D521="",FALSE,TRUE)</f>
        <v>0</v>
      </c>
      <c r="U521">
        <f>IF(Metadata!E521="",FALSE,TRUE)</f>
        <v>0</v>
      </c>
      <c r="V521">
        <f>AND(IF(Metadata!F521="",FALSE,TRUE),exact(Metadata!F521,"rat gut metagenome"))</f>
        <v>0</v>
      </c>
      <c r="W521">
        <f>AND(IF(Metadata!G521="",FALSE,TRUE),exact(Metadata!G521,"1436733"))</f>
        <v>0</v>
      </c>
    </row>
    <row r="522" spans="1:23">
      <c r="A522" s="4">
        <f>IF(B522=" "," ",HYPERLINK(CONCATENATE("#metadata!",ADDRESS(INDEX($M$2:$M$1001,MATCH(ROWS($K$2:K522),$K$2:$K$1001,0),0),1)),INDEX($P$2:$P$1001,MATCH(ROWS($K$2:K522),$K$2:$K$1001,0),0)))</f>
        <v>0</v>
      </c>
      <c r="B522" s="3">
        <f>IF(OR(INDEX($L$2:$L$1001,MATCH(ROWS($K$2:K522),$K$2:$K$1001,0),1)&gt;=100000,INDEX($R$1005:$W$1005,1,MATCH(COLUMNS($R$1006:R1006),$R$1006:$W$1006,0))&gt;=100000), " ",IF(INDEX($R$2:$W$1001,MATCH(ROWS($K$2:K522),$K$2:$K$1001,0),MATCH(COLUMNS($R$1006:R1006),$R$1006:$W$1006,0)), HYPERLINK("#",""), HYPERLINK(CONCATENATE("#Metadata!", ADDRESS(INDEX($M$2:$M$1001,MATCH(ROWS($K$2:K522),$K$2:$K$1001,0),0), INDEX($R$1004:$W$1004,1,MATCH(COLUMNS($R$1006:R1006),$R$1006:$W$1006,0)))),"Fix")))</f>
        <v>0</v>
      </c>
      <c r="C522" s="3">
        <f>IF(OR(INDEX($L$2:$L$1001,MATCH(ROWS($K$2:K522),$K$2:$K$1001,0),1)&gt;=100000,INDEX($R$1005:$W$1005,1,MATCH(COLUMNS($R$1006:S1006),$R$1006:$W$1006,0))&gt;=100000), " ",IF(INDEX($R$2:$W$1001,MATCH(ROWS($K$2:K522),$K$2:$K$1001,0),MATCH(COLUMNS($R$1006:S1006),$R$1006:$W$1006,0)), HYPERLINK("#",""), HYPERLINK(CONCATENATE("#Metadata!", ADDRESS(INDEX($M$2:$M$1001,MATCH(ROWS($K$2:K522),$K$2:$K$1001,0),0), INDEX($R$1004:$W$1004,1,MATCH(COLUMNS($R$1006:S1006),$R$1006:$W$1006,0)))),"Fix")))</f>
        <v>0</v>
      </c>
      <c r="D522" s="3">
        <f>IF(OR(INDEX($L$2:$L$1001,MATCH(ROWS($K$2:K522),$K$2:$K$1001,0),1)&gt;=100000,INDEX($R$1005:$W$1005,1,MATCH(COLUMNS($R$1006:T1006),$R$1006:$W$1006,0))&gt;=100000), " ",IF(INDEX($R$2:$W$1001,MATCH(ROWS($K$2:K522),$K$2:$K$1001,0),MATCH(COLUMNS($R$1006:T1006),$R$1006:$W$1006,0)), HYPERLINK("#",""), HYPERLINK(CONCATENATE("#Metadata!", ADDRESS(INDEX($M$2:$M$1001,MATCH(ROWS($K$2:K522),$K$2:$K$1001,0),0), INDEX($R$1004:$W$1004,1,MATCH(COLUMNS($R$1006:T1006),$R$1006:$W$1006,0)))),"Fix")))</f>
        <v>0</v>
      </c>
      <c r="E522" s="3">
        <f>IF(OR(INDEX($L$2:$L$1001,MATCH(ROWS($K$2:K522),$K$2:$K$1001,0),1)&gt;=100000,INDEX($R$1005:$W$1005,1,MATCH(COLUMNS($R$1006:U1006),$R$1006:$W$1006,0))&gt;=100000), " ",IF(INDEX($R$2:$W$1001,MATCH(ROWS($K$2:K522),$K$2:$K$1001,0),MATCH(COLUMNS($R$1006:U1006),$R$1006:$W$1006,0)), HYPERLINK("#",""), HYPERLINK(CONCATENATE("#Metadata!", ADDRESS(INDEX($M$2:$M$1001,MATCH(ROWS($K$2:K522),$K$2:$K$1001,0),0), INDEX($R$1004:$W$1004,1,MATCH(COLUMNS($R$1006:U1006),$R$1006:$W$1006,0)))),"Fix")))</f>
        <v>0</v>
      </c>
      <c r="F522" s="3">
        <f>IF(OR(INDEX($L$2:$L$1001,MATCH(ROWS($K$2:K522),$K$2:$K$1001,0),1)&gt;=100000,INDEX($R$1005:$W$1005,1,MATCH(COLUMNS($R$1006:V1006),$R$1006:$W$1006,0))&gt;=100000), " ",IF(INDEX($R$2:$W$1001,MATCH(ROWS($K$2:K522),$K$2:$K$1001,0),MATCH(COLUMNS($R$1006:V1006),$R$1006:$W$1006,0)), HYPERLINK("#",""), HYPERLINK(CONCATENATE("#Metadata!", ADDRESS(INDEX($M$2:$M$1001,MATCH(ROWS($K$2:K522),$K$2:$K$1001,0),0), INDEX($R$1004:$W$1004,1,MATCH(COLUMNS($R$1006:V1006),$R$1006:$W$1006,0)))),"Fix")))</f>
        <v>0</v>
      </c>
      <c r="G522" s="3">
        <f>IF(OR(INDEX($L$2:$L$1001,MATCH(ROWS($K$2:K522),$K$2:$K$1001,0),1)&gt;=100000,INDEX($R$1005:$W$1005,1,MATCH(COLUMNS($R$1006:W1006),$R$1006:$W$1006,0))&gt;=100000), " ",IF(INDEX($R$2:$W$1001,MATCH(ROWS($K$2:K522),$K$2:$K$1001,0),MATCH(COLUMNS($R$1006:W1006),$R$1006:$W$1006,0)), HYPERLINK("#",""), HYPERLINK(CONCATENATE("#Metadata!", ADDRESS(INDEX($M$2:$M$1001,MATCH(ROWS($K$2:K522),$K$2:$K$1001,0),0), INDEX($R$1004:$W$1004,1,MATCH(COLUMNS($R$1006:W1006),$R$1006:$W$1006,0)))),"Fix")))</f>
        <v>0</v>
      </c>
      <c r="K522">
        <v>0</v>
      </c>
      <c r="L522">
        <v>0</v>
      </c>
      <c r="M522">
        <v>0</v>
      </c>
      <c r="N522">
        <f>IF(O522,TRUE,AND(R522:W522))</f>
        <v>0</v>
      </c>
      <c r="O522">
        <f>COUNTBLANK(Metadata!B522:G522)=COLUMNS(Metadata!B522:G522)</f>
        <v>0</v>
      </c>
      <c r="P522">
        <v>0</v>
      </c>
      <c r="R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S522">
        <f>IF(Metadata!C522="",FALSE,TRUE)</f>
        <v>0</v>
      </c>
      <c r="T522">
        <f>IF(Metadata!D522="",FALSE,TRUE)</f>
        <v>0</v>
      </c>
      <c r="U522">
        <f>IF(Metadata!E522="",FALSE,TRUE)</f>
        <v>0</v>
      </c>
      <c r="V522">
        <f>AND(IF(Metadata!F522="",FALSE,TRUE),exact(Metadata!F522,"rat gut metagenome"))</f>
        <v>0</v>
      </c>
      <c r="W522">
        <f>AND(IF(Metadata!G522="",FALSE,TRUE),exact(Metadata!G522,"1436733"))</f>
        <v>0</v>
      </c>
    </row>
    <row r="523" spans="1:23">
      <c r="A523" s="4">
        <f>IF(B523=" "," ",HYPERLINK(CONCATENATE("#metadata!",ADDRESS(INDEX($M$2:$M$1001,MATCH(ROWS($K$2:K523),$K$2:$K$1001,0),0),1)),INDEX($P$2:$P$1001,MATCH(ROWS($K$2:K523),$K$2:$K$1001,0),0)))</f>
        <v>0</v>
      </c>
      <c r="B523" s="3">
        <f>IF(OR(INDEX($L$2:$L$1001,MATCH(ROWS($K$2:K523),$K$2:$K$1001,0),1)&gt;=100000,INDEX($R$1005:$W$1005,1,MATCH(COLUMNS($R$1006:R1006),$R$1006:$W$1006,0))&gt;=100000), " ",IF(INDEX($R$2:$W$1001,MATCH(ROWS($K$2:K523),$K$2:$K$1001,0),MATCH(COLUMNS($R$1006:R1006),$R$1006:$W$1006,0)), HYPERLINK("#",""), HYPERLINK(CONCATENATE("#Metadata!", ADDRESS(INDEX($M$2:$M$1001,MATCH(ROWS($K$2:K523),$K$2:$K$1001,0),0), INDEX($R$1004:$W$1004,1,MATCH(COLUMNS($R$1006:R1006),$R$1006:$W$1006,0)))),"Fix")))</f>
        <v>0</v>
      </c>
      <c r="C523" s="3">
        <f>IF(OR(INDEX($L$2:$L$1001,MATCH(ROWS($K$2:K523),$K$2:$K$1001,0),1)&gt;=100000,INDEX($R$1005:$W$1005,1,MATCH(COLUMNS($R$1006:S1006),$R$1006:$W$1006,0))&gt;=100000), " ",IF(INDEX($R$2:$W$1001,MATCH(ROWS($K$2:K523),$K$2:$K$1001,0),MATCH(COLUMNS($R$1006:S1006),$R$1006:$W$1006,0)), HYPERLINK("#",""), HYPERLINK(CONCATENATE("#Metadata!", ADDRESS(INDEX($M$2:$M$1001,MATCH(ROWS($K$2:K523),$K$2:$K$1001,0),0), INDEX($R$1004:$W$1004,1,MATCH(COLUMNS($R$1006:S1006),$R$1006:$W$1006,0)))),"Fix")))</f>
        <v>0</v>
      </c>
      <c r="D523" s="3">
        <f>IF(OR(INDEX($L$2:$L$1001,MATCH(ROWS($K$2:K523),$K$2:$K$1001,0),1)&gt;=100000,INDEX($R$1005:$W$1005,1,MATCH(COLUMNS($R$1006:T1006),$R$1006:$W$1006,0))&gt;=100000), " ",IF(INDEX($R$2:$W$1001,MATCH(ROWS($K$2:K523),$K$2:$K$1001,0),MATCH(COLUMNS($R$1006:T1006),$R$1006:$W$1006,0)), HYPERLINK("#",""), HYPERLINK(CONCATENATE("#Metadata!", ADDRESS(INDEX($M$2:$M$1001,MATCH(ROWS($K$2:K523),$K$2:$K$1001,0),0), INDEX($R$1004:$W$1004,1,MATCH(COLUMNS($R$1006:T1006),$R$1006:$W$1006,0)))),"Fix")))</f>
        <v>0</v>
      </c>
      <c r="E523" s="3">
        <f>IF(OR(INDEX($L$2:$L$1001,MATCH(ROWS($K$2:K523),$K$2:$K$1001,0),1)&gt;=100000,INDEX($R$1005:$W$1005,1,MATCH(COLUMNS($R$1006:U1006),$R$1006:$W$1006,0))&gt;=100000), " ",IF(INDEX($R$2:$W$1001,MATCH(ROWS($K$2:K523),$K$2:$K$1001,0),MATCH(COLUMNS($R$1006:U1006),$R$1006:$W$1006,0)), HYPERLINK("#",""), HYPERLINK(CONCATENATE("#Metadata!", ADDRESS(INDEX($M$2:$M$1001,MATCH(ROWS($K$2:K523),$K$2:$K$1001,0),0), INDEX($R$1004:$W$1004,1,MATCH(COLUMNS($R$1006:U1006),$R$1006:$W$1006,0)))),"Fix")))</f>
        <v>0</v>
      </c>
      <c r="F523" s="3">
        <f>IF(OR(INDEX($L$2:$L$1001,MATCH(ROWS($K$2:K523),$K$2:$K$1001,0),1)&gt;=100000,INDEX($R$1005:$W$1005,1,MATCH(COLUMNS($R$1006:V1006),$R$1006:$W$1006,0))&gt;=100000), " ",IF(INDEX($R$2:$W$1001,MATCH(ROWS($K$2:K523),$K$2:$K$1001,0),MATCH(COLUMNS($R$1006:V1006),$R$1006:$W$1006,0)), HYPERLINK("#",""), HYPERLINK(CONCATENATE("#Metadata!", ADDRESS(INDEX($M$2:$M$1001,MATCH(ROWS($K$2:K523),$K$2:$K$1001,0),0), INDEX($R$1004:$W$1004,1,MATCH(COLUMNS($R$1006:V1006),$R$1006:$W$1006,0)))),"Fix")))</f>
        <v>0</v>
      </c>
      <c r="G523" s="3">
        <f>IF(OR(INDEX($L$2:$L$1001,MATCH(ROWS($K$2:K523),$K$2:$K$1001,0),1)&gt;=100000,INDEX($R$1005:$W$1005,1,MATCH(COLUMNS($R$1006:W1006),$R$1006:$W$1006,0))&gt;=100000), " ",IF(INDEX($R$2:$W$1001,MATCH(ROWS($K$2:K523),$K$2:$K$1001,0),MATCH(COLUMNS($R$1006:W1006),$R$1006:$W$1006,0)), HYPERLINK("#",""), HYPERLINK(CONCATENATE("#Metadata!", ADDRESS(INDEX($M$2:$M$1001,MATCH(ROWS($K$2:K523),$K$2:$K$1001,0),0), INDEX($R$1004:$W$1004,1,MATCH(COLUMNS($R$1006:W1006),$R$1006:$W$1006,0)))),"Fix")))</f>
        <v>0</v>
      </c>
      <c r="K523">
        <v>0</v>
      </c>
      <c r="L523">
        <v>0</v>
      </c>
      <c r="M523">
        <v>0</v>
      </c>
      <c r="N523">
        <f>IF(O523,TRUE,AND(R523:W523))</f>
        <v>0</v>
      </c>
      <c r="O523">
        <f>COUNTBLANK(Metadata!B523:G523)=COLUMNS(Metadata!B523:G523)</f>
        <v>0</v>
      </c>
      <c r="P523">
        <v>0</v>
      </c>
      <c r="R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S523">
        <f>IF(Metadata!C523="",FALSE,TRUE)</f>
        <v>0</v>
      </c>
      <c r="T523">
        <f>IF(Metadata!D523="",FALSE,TRUE)</f>
        <v>0</v>
      </c>
      <c r="U523">
        <f>IF(Metadata!E523="",FALSE,TRUE)</f>
        <v>0</v>
      </c>
      <c r="V523">
        <f>AND(IF(Metadata!F523="",FALSE,TRUE),exact(Metadata!F523,"rat gut metagenome"))</f>
        <v>0</v>
      </c>
      <c r="W523">
        <f>AND(IF(Metadata!G523="",FALSE,TRUE),exact(Metadata!G523,"1436733"))</f>
        <v>0</v>
      </c>
    </row>
    <row r="524" spans="1:23">
      <c r="A524" s="4">
        <f>IF(B524=" "," ",HYPERLINK(CONCATENATE("#metadata!",ADDRESS(INDEX($M$2:$M$1001,MATCH(ROWS($K$2:K524),$K$2:$K$1001,0),0),1)),INDEX($P$2:$P$1001,MATCH(ROWS($K$2:K524),$K$2:$K$1001,0),0)))</f>
        <v>0</v>
      </c>
      <c r="B524" s="3">
        <f>IF(OR(INDEX($L$2:$L$1001,MATCH(ROWS($K$2:K524),$K$2:$K$1001,0),1)&gt;=100000,INDEX($R$1005:$W$1005,1,MATCH(COLUMNS($R$1006:R1006),$R$1006:$W$1006,0))&gt;=100000), " ",IF(INDEX($R$2:$W$1001,MATCH(ROWS($K$2:K524),$K$2:$K$1001,0),MATCH(COLUMNS($R$1006:R1006),$R$1006:$W$1006,0)), HYPERLINK("#",""), HYPERLINK(CONCATENATE("#Metadata!", ADDRESS(INDEX($M$2:$M$1001,MATCH(ROWS($K$2:K524),$K$2:$K$1001,0),0), INDEX($R$1004:$W$1004,1,MATCH(COLUMNS($R$1006:R1006),$R$1006:$W$1006,0)))),"Fix")))</f>
        <v>0</v>
      </c>
      <c r="C524" s="3">
        <f>IF(OR(INDEX($L$2:$L$1001,MATCH(ROWS($K$2:K524),$K$2:$K$1001,0),1)&gt;=100000,INDEX($R$1005:$W$1005,1,MATCH(COLUMNS($R$1006:S1006),$R$1006:$W$1006,0))&gt;=100000), " ",IF(INDEX($R$2:$W$1001,MATCH(ROWS($K$2:K524),$K$2:$K$1001,0),MATCH(COLUMNS($R$1006:S1006),$R$1006:$W$1006,0)), HYPERLINK("#",""), HYPERLINK(CONCATENATE("#Metadata!", ADDRESS(INDEX($M$2:$M$1001,MATCH(ROWS($K$2:K524),$K$2:$K$1001,0),0), INDEX($R$1004:$W$1004,1,MATCH(COLUMNS($R$1006:S1006),$R$1006:$W$1006,0)))),"Fix")))</f>
        <v>0</v>
      </c>
      <c r="D524" s="3">
        <f>IF(OR(INDEX($L$2:$L$1001,MATCH(ROWS($K$2:K524),$K$2:$K$1001,0),1)&gt;=100000,INDEX($R$1005:$W$1005,1,MATCH(COLUMNS($R$1006:T1006),$R$1006:$W$1006,0))&gt;=100000), " ",IF(INDEX($R$2:$W$1001,MATCH(ROWS($K$2:K524),$K$2:$K$1001,0),MATCH(COLUMNS($R$1006:T1006),$R$1006:$W$1006,0)), HYPERLINK("#",""), HYPERLINK(CONCATENATE("#Metadata!", ADDRESS(INDEX($M$2:$M$1001,MATCH(ROWS($K$2:K524),$K$2:$K$1001,0),0), INDEX($R$1004:$W$1004,1,MATCH(COLUMNS($R$1006:T1006),$R$1006:$W$1006,0)))),"Fix")))</f>
        <v>0</v>
      </c>
      <c r="E524" s="3">
        <f>IF(OR(INDEX($L$2:$L$1001,MATCH(ROWS($K$2:K524),$K$2:$K$1001,0),1)&gt;=100000,INDEX($R$1005:$W$1005,1,MATCH(COLUMNS($R$1006:U1006),$R$1006:$W$1006,0))&gt;=100000), " ",IF(INDEX($R$2:$W$1001,MATCH(ROWS($K$2:K524),$K$2:$K$1001,0),MATCH(COLUMNS($R$1006:U1006),$R$1006:$W$1006,0)), HYPERLINK("#",""), HYPERLINK(CONCATENATE("#Metadata!", ADDRESS(INDEX($M$2:$M$1001,MATCH(ROWS($K$2:K524),$K$2:$K$1001,0),0), INDEX($R$1004:$W$1004,1,MATCH(COLUMNS($R$1006:U1006),$R$1006:$W$1006,0)))),"Fix")))</f>
        <v>0</v>
      </c>
      <c r="F524" s="3">
        <f>IF(OR(INDEX($L$2:$L$1001,MATCH(ROWS($K$2:K524),$K$2:$K$1001,0),1)&gt;=100000,INDEX($R$1005:$W$1005,1,MATCH(COLUMNS($R$1006:V1006),$R$1006:$W$1006,0))&gt;=100000), " ",IF(INDEX($R$2:$W$1001,MATCH(ROWS($K$2:K524),$K$2:$K$1001,0),MATCH(COLUMNS($R$1006:V1006),$R$1006:$W$1006,0)), HYPERLINK("#",""), HYPERLINK(CONCATENATE("#Metadata!", ADDRESS(INDEX($M$2:$M$1001,MATCH(ROWS($K$2:K524),$K$2:$K$1001,0),0), INDEX($R$1004:$W$1004,1,MATCH(COLUMNS($R$1006:V1006),$R$1006:$W$1006,0)))),"Fix")))</f>
        <v>0</v>
      </c>
      <c r="G524" s="3">
        <f>IF(OR(INDEX($L$2:$L$1001,MATCH(ROWS($K$2:K524),$K$2:$K$1001,0),1)&gt;=100000,INDEX($R$1005:$W$1005,1,MATCH(COLUMNS($R$1006:W1006),$R$1006:$W$1006,0))&gt;=100000), " ",IF(INDEX($R$2:$W$1001,MATCH(ROWS($K$2:K524),$K$2:$K$1001,0),MATCH(COLUMNS($R$1006:W1006),$R$1006:$W$1006,0)), HYPERLINK("#",""), HYPERLINK(CONCATENATE("#Metadata!", ADDRESS(INDEX($M$2:$M$1001,MATCH(ROWS($K$2:K524),$K$2:$K$1001,0),0), INDEX($R$1004:$W$1004,1,MATCH(COLUMNS($R$1006:W1006),$R$1006:$W$1006,0)))),"Fix")))</f>
        <v>0</v>
      </c>
      <c r="K524">
        <v>0</v>
      </c>
      <c r="L524">
        <v>0</v>
      </c>
      <c r="M524">
        <v>0</v>
      </c>
      <c r="N524">
        <f>IF(O524,TRUE,AND(R524:W524))</f>
        <v>0</v>
      </c>
      <c r="O524">
        <f>COUNTBLANK(Metadata!B524:G524)=COLUMNS(Metadata!B524:G524)</f>
        <v>0</v>
      </c>
      <c r="P524">
        <v>0</v>
      </c>
      <c r="R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S524">
        <f>IF(Metadata!C524="",FALSE,TRUE)</f>
        <v>0</v>
      </c>
      <c r="T524">
        <f>IF(Metadata!D524="",FALSE,TRUE)</f>
        <v>0</v>
      </c>
      <c r="U524">
        <f>IF(Metadata!E524="",FALSE,TRUE)</f>
        <v>0</v>
      </c>
      <c r="V524">
        <f>AND(IF(Metadata!F524="",FALSE,TRUE),exact(Metadata!F524,"rat gut metagenome"))</f>
        <v>0</v>
      </c>
      <c r="W524">
        <f>AND(IF(Metadata!G524="",FALSE,TRUE),exact(Metadata!G524,"1436733"))</f>
        <v>0</v>
      </c>
    </row>
    <row r="525" spans="1:23">
      <c r="A525" s="4">
        <f>IF(B525=" "," ",HYPERLINK(CONCATENATE("#metadata!",ADDRESS(INDEX($M$2:$M$1001,MATCH(ROWS($K$2:K525),$K$2:$K$1001,0),0),1)),INDEX($P$2:$P$1001,MATCH(ROWS($K$2:K525),$K$2:$K$1001,0),0)))</f>
        <v>0</v>
      </c>
      <c r="B525" s="3">
        <f>IF(OR(INDEX($L$2:$L$1001,MATCH(ROWS($K$2:K525),$K$2:$K$1001,0),1)&gt;=100000,INDEX($R$1005:$W$1005,1,MATCH(COLUMNS($R$1006:R1006),$R$1006:$W$1006,0))&gt;=100000), " ",IF(INDEX($R$2:$W$1001,MATCH(ROWS($K$2:K525),$K$2:$K$1001,0),MATCH(COLUMNS($R$1006:R1006),$R$1006:$W$1006,0)), HYPERLINK("#",""), HYPERLINK(CONCATENATE("#Metadata!", ADDRESS(INDEX($M$2:$M$1001,MATCH(ROWS($K$2:K525),$K$2:$K$1001,0),0), INDEX($R$1004:$W$1004,1,MATCH(COLUMNS($R$1006:R1006),$R$1006:$W$1006,0)))),"Fix")))</f>
        <v>0</v>
      </c>
      <c r="C525" s="3">
        <f>IF(OR(INDEX($L$2:$L$1001,MATCH(ROWS($K$2:K525),$K$2:$K$1001,0),1)&gt;=100000,INDEX($R$1005:$W$1005,1,MATCH(COLUMNS($R$1006:S1006),$R$1006:$W$1006,0))&gt;=100000), " ",IF(INDEX($R$2:$W$1001,MATCH(ROWS($K$2:K525),$K$2:$K$1001,0),MATCH(COLUMNS($R$1006:S1006),$R$1006:$W$1006,0)), HYPERLINK("#",""), HYPERLINK(CONCATENATE("#Metadata!", ADDRESS(INDEX($M$2:$M$1001,MATCH(ROWS($K$2:K525),$K$2:$K$1001,0),0), INDEX($R$1004:$W$1004,1,MATCH(COLUMNS($R$1006:S1006),$R$1006:$W$1006,0)))),"Fix")))</f>
        <v>0</v>
      </c>
      <c r="D525" s="3">
        <f>IF(OR(INDEX($L$2:$L$1001,MATCH(ROWS($K$2:K525),$K$2:$K$1001,0),1)&gt;=100000,INDEX($R$1005:$W$1005,1,MATCH(COLUMNS($R$1006:T1006),$R$1006:$W$1006,0))&gt;=100000), " ",IF(INDEX($R$2:$W$1001,MATCH(ROWS($K$2:K525),$K$2:$K$1001,0),MATCH(COLUMNS($R$1006:T1006),$R$1006:$W$1006,0)), HYPERLINK("#",""), HYPERLINK(CONCATENATE("#Metadata!", ADDRESS(INDEX($M$2:$M$1001,MATCH(ROWS($K$2:K525),$K$2:$K$1001,0),0), INDEX($R$1004:$W$1004,1,MATCH(COLUMNS($R$1006:T1006),$R$1006:$W$1006,0)))),"Fix")))</f>
        <v>0</v>
      </c>
      <c r="E525" s="3">
        <f>IF(OR(INDEX($L$2:$L$1001,MATCH(ROWS($K$2:K525),$K$2:$K$1001,0),1)&gt;=100000,INDEX($R$1005:$W$1005,1,MATCH(COLUMNS($R$1006:U1006),$R$1006:$W$1006,0))&gt;=100000), " ",IF(INDEX($R$2:$W$1001,MATCH(ROWS($K$2:K525),$K$2:$K$1001,0),MATCH(COLUMNS($R$1006:U1006),$R$1006:$W$1006,0)), HYPERLINK("#",""), HYPERLINK(CONCATENATE("#Metadata!", ADDRESS(INDEX($M$2:$M$1001,MATCH(ROWS($K$2:K525),$K$2:$K$1001,0),0), INDEX($R$1004:$W$1004,1,MATCH(COLUMNS($R$1006:U1006),$R$1006:$W$1006,0)))),"Fix")))</f>
        <v>0</v>
      </c>
      <c r="F525" s="3">
        <f>IF(OR(INDEX($L$2:$L$1001,MATCH(ROWS($K$2:K525),$K$2:$K$1001,0),1)&gt;=100000,INDEX($R$1005:$W$1005,1,MATCH(COLUMNS($R$1006:V1006),$R$1006:$W$1006,0))&gt;=100000), " ",IF(INDEX($R$2:$W$1001,MATCH(ROWS($K$2:K525),$K$2:$K$1001,0),MATCH(COLUMNS($R$1006:V1006),$R$1006:$W$1006,0)), HYPERLINK("#",""), HYPERLINK(CONCATENATE("#Metadata!", ADDRESS(INDEX($M$2:$M$1001,MATCH(ROWS($K$2:K525),$K$2:$K$1001,0),0), INDEX($R$1004:$W$1004,1,MATCH(COLUMNS($R$1006:V1006),$R$1006:$W$1006,0)))),"Fix")))</f>
        <v>0</v>
      </c>
      <c r="G525" s="3">
        <f>IF(OR(INDEX($L$2:$L$1001,MATCH(ROWS($K$2:K525),$K$2:$K$1001,0),1)&gt;=100000,INDEX($R$1005:$W$1005,1,MATCH(COLUMNS($R$1006:W1006),$R$1006:$W$1006,0))&gt;=100000), " ",IF(INDEX($R$2:$W$1001,MATCH(ROWS($K$2:K525),$K$2:$K$1001,0),MATCH(COLUMNS($R$1006:W1006),$R$1006:$W$1006,0)), HYPERLINK("#",""), HYPERLINK(CONCATENATE("#Metadata!", ADDRESS(INDEX($M$2:$M$1001,MATCH(ROWS($K$2:K525),$K$2:$K$1001,0),0), INDEX($R$1004:$W$1004,1,MATCH(COLUMNS($R$1006:W1006),$R$1006:$W$1006,0)))),"Fix")))</f>
        <v>0</v>
      </c>
      <c r="K525">
        <v>0</v>
      </c>
      <c r="L525">
        <v>0</v>
      </c>
      <c r="M525">
        <v>0</v>
      </c>
      <c r="N525">
        <f>IF(O525,TRUE,AND(R525:W525))</f>
        <v>0</v>
      </c>
      <c r="O525">
        <f>COUNTBLANK(Metadata!B525:G525)=COLUMNS(Metadata!B525:G525)</f>
        <v>0</v>
      </c>
      <c r="P525">
        <v>0</v>
      </c>
      <c r="R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S525">
        <f>IF(Metadata!C525="",FALSE,TRUE)</f>
        <v>0</v>
      </c>
      <c r="T525">
        <f>IF(Metadata!D525="",FALSE,TRUE)</f>
        <v>0</v>
      </c>
      <c r="U525">
        <f>IF(Metadata!E525="",FALSE,TRUE)</f>
        <v>0</v>
      </c>
      <c r="V525">
        <f>AND(IF(Metadata!F525="",FALSE,TRUE),exact(Metadata!F525,"rat gut metagenome"))</f>
        <v>0</v>
      </c>
      <c r="W525">
        <f>AND(IF(Metadata!G525="",FALSE,TRUE),exact(Metadata!G525,"1436733"))</f>
        <v>0</v>
      </c>
    </row>
    <row r="526" spans="1:23">
      <c r="A526" s="4">
        <f>IF(B526=" "," ",HYPERLINK(CONCATENATE("#metadata!",ADDRESS(INDEX($M$2:$M$1001,MATCH(ROWS($K$2:K526),$K$2:$K$1001,0),0),1)),INDEX($P$2:$P$1001,MATCH(ROWS($K$2:K526),$K$2:$K$1001,0),0)))</f>
        <v>0</v>
      </c>
      <c r="B526" s="3">
        <f>IF(OR(INDEX($L$2:$L$1001,MATCH(ROWS($K$2:K526),$K$2:$K$1001,0),1)&gt;=100000,INDEX($R$1005:$W$1005,1,MATCH(COLUMNS($R$1006:R1006),$R$1006:$W$1006,0))&gt;=100000), " ",IF(INDEX($R$2:$W$1001,MATCH(ROWS($K$2:K526),$K$2:$K$1001,0),MATCH(COLUMNS($R$1006:R1006),$R$1006:$W$1006,0)), HYPERLINK("#",""), HYPERLINK(CONCATENATE("#Metadata!", ADDRESS(INDEX($M$2:$M$1001,MATCH(ROWS($K$2:K526),$K$2:$K$1001,0),0), INDEX($R$1004:$W$1004,1,MATCH(COLUMNS($R$1006:R1006),$R$1006:$W$1006,0)))),"Fix")))</f>
        <v>0</v>
      </c>
      <c r="C526" s="3">
        <f>IF(OR(INDEX($L$2:$L$1001,MATCH(ROWS($K$2:K526),$K$2:$K$1001,0),1)&gt;=100000,INDEX($R$1005:$W$1005,1,MATCH(COLUMNS($R$1006:S1006),$R$1006:$W$1006,0))&gt;=100000), " ",IF(INDEX($R$2:$W$1001,MATCH(ROWS($K$2:K526),$K$2:$K$1001,0),MATCH(COLUMNS($R$1006:S1006),$R$1006:$W$1006,0)), HYPERLINK("#",""), HYPERLINK(CONCATENATE("#Metadata!", ADDRESS(INDEX($M$2:$M$1001,MATCH(ROWS($K$2:K526),$K$2:$K$1001,0),0), INDEX($R$1004:$W$1004,1,MATCH(COLUMNS($R$1006:S1006),$R$1006:$W$1006,0)))),"Fix")))</f>
        <v>0</v>
      </c>
      <c r="D526" s="3">
        <f>IF(OR(INDEX($L$2:$L$1001,MATCH(ROWS($K$2:K526),$K$2:$K$1001,0),1)&gt;=100000,INDEX($R$1005:$W$1005,1,MATCH(COLUMNS($R$1006:T1006),$R$1006:$W$1006,0))&gt;=100000), " ",IF(INDEX($R$2:$W$1001,MATCH(ROWS($K$2:K526),$K$2:$K$1001,0),MATCH(COLUMNS($R$1006:T1006),$R$1006:$W$1006,0)), HYPERLINK("#",""), HYPERLINK(CONCATENATE("#Metadata!", ADDRESS(INDEX($M$2:$M$1001,MATCH(ROWS($K$2:K526),$K$2:$K$1001,0),0), INDEX($R$1004:$W$1004,1,MATCH(COLUMNS($R$1006:T1006),$R$1006:$W$1006,0)))),"Fix")))</f>
        <v>0</v>
      </c>
      <c r="E526" s="3">
        <f>IF(OR(INDEX($L$2:$L$1001,MATCH(ROWS($K$2:K526),$K$2:$K$1001,0),1)&gt;=100000,INDEX($R$1005:$W$1005,1,MATCH(COLUMNS($R$1006:U1006),$R$1006:$W$1006,0))&gt;=100000), " ",IF(INDEX($R$2:$W$1001,MATCH(ROWS($K$2:K526),$K$2:$K$1001,0),MATCH(COLUMNS($R$1006:U1006),$R$1006:$W$1006,0)), HYPERLINK("#",""), HYPERLINK(CONCATENATE("#Metadata!", ADDRESS(INDEX($M$2:$M$1001,MATCH(ROWS($K$2:K526),$K$2:$K$1001,0),0), INDEX($R$1004:$W$1004,1,MATCH(COLUMNS($R$1006:U1006),$R$1006:$W$1006,0)))),"Fix")))</f>
        <v>0</v>
      </c>
      <c r="F526" s="3">
        <f>IF(OR(INDEX($L$2:$L$1001,MATCH(ROWS($K$2:K526),$K$2:$K$1001,0),1)&gt;=100000,INDEX($R$1005:$W$1005,1,MATCH(COLUMNS($R$1006:V1006),$R$1006:$W$1006,0))&gt;=100000), " ",IF(INDEX($R$2:$W$1001,MATCH(ROWS($K$2:K526),$K$2:$K$1001,0),MATCH(COLUMNS($R$1006:V1006),$R$1006:$W$1006,0)), HYPERLINK("#",""), HYPERLINK(CONCATENATE("#Metadata!", ADDRESS(INDEX($M$2:$M$1001,MATCH(ROWS($K$2:K526),$K$2:$K$1001,0),0), INDEX($R$1004:$W$1004,1,MATCH(COLUMNS($R$1006:V1006),$R$1006:$W$1006,0)))),"Fix")))</f>
        <v>0</v>
      </c>
      <c r="G526" s="3">
        <f>IF(OR(INDEX($L$2:$L$1001,MATCH(ROWS($K$2:K526),$K$2:$K$1001,0),1)&gt;=100000,INDEX($R$1005:$W$1005,1,MATCH(COLUMNS($R$1006:W1006),$R$1006:$W$1006,0))&gt;=100000), " ",IF(INDEX($R$2:$W$1001,MATCH(ROWS($K$2:K526),$K$2:$K$1001,0),MATCH(COLUMNS($R$1006:W1006),$R$1006:$W$1006,0)), HYPERLINK("#",""), HYPERLINK(CONCATENATE("#Metadata!", ADDRESS(INDEX($M$2:$M$1001,MATCH(ROWS($K$2:K526),$K$2:$K$1001,0),0), INDEX($R$1004:$W$1004,1,MATCH(COLUMNS($R$1006:W1006),$R$1006:$W$1006,0)))),"Fix")))</f>
        <v>0</v>
      </c>
      <c r="K526">
        <v>0</v>
      </c>
      <c r="L526">
        <v>0</v>
      </c>
      <c r="M526">
        <v>0</v>
      </c>
      <c r="N526">
        <f>IF(O526,TRUE,AND(R526:W526))</f>
        <v>0</v>
      </c>
      <c r="O526">
        <f>COUNTBLANK(Metadata!B526:G526)=COLUMNS(Metadata!B526:G526)</f>
        <v>0</v>
      </c>
      <c r="P526">
        <v>0</v>
      </c>
      <c r="R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S526">
        <f>IF(Metadata!C526="",FALSE,TRUE)</f>
        <v>0</v>
      </c>
      <c r="T526">
        <f>IF(Metadata!D526="",FALSE,TRUE)</f>
        <v>0</v>
      </c>
      <c r="U526">
        <f>IF(Metadata!E526="",FALSE,TRUE)</f>
        <v>0</v>
      </c>
      <c r="V526">
        <f>AND(IF(Metadata!F526="",FALSE,TRUE),exact(Metadata!F526,"rat gut metagenome"))</f>
        <v>0</v>
      </c>
      <c r="W526">
        <f>AND(IF(Metadata!G526="",FALSE,TRUE),exact(Metadata!G526,"1436733"))</f>
        <v>0</v>
      </c>
    </row>
    <row r="527" spans="1:23">
      <c r="A527" s="4">
        <f>IF(B527=" "," ",HYPERLINK(CONCATENATE("#metadata!",ADDRESS(INDEX($M$2:$M$1001,MATCH(ROWS($K$2:K527),$K$2:$K$1001,0),0),1)),INDEX($P$2:$P$1001,MATCH(ROWS($K$2:K527),$K$2:$K$1001,0),0)))</f>
        <v>0</v>
      </c>
      <c r="B527" s="3">
        <f>IF(OR(INDEX($L$2:$L$1001,MATCH(ROWS($K$2:K527),$K$2:$K$1001,0),1)&gt;=100000,INDEX($R$1005:$W$1005,1,MATCH(COLUMNS($R$1006:R1006),$R$1006:$W$1006,0))&gt;=100000), " ",IF(INDEX($R$2:$W$1001,MATCH(ROWS($K$2:K527),$K$2:$K$1001,0),MATCH(COLUMNS($R$1006:R1006),$R$1006:$W$1006,0)), HYPERLINK("#",""), HYPERLINK(CONCATENATE("#Metadata!", ADDRESS(INDEX($M$2:$M$1001,MATCH(ROWS($K$2:K527),$K$2:$K$1001,0),0), INDEX($R$1004:$W$1004,1,MATCH(COLUMNS($R$1006:R1006),$R$1006:$W$1006,0)))),"Fix")))</f>
        <v>0</v>
      </c>
      <c r="C527" s="3">
        <f>IF(OR(INDEX($L$2:$L$1001,MATCH(ROWS($K$2:K527),$K$2:$K$1001,0),1)&gt;=100000,INDEX($R$1005:$W$1005,1,MATCH(COLUMNS($R$1006:S1006),$R$1006:$W$1006,0))&gt;=100000), " ",IF(INDEX($R$2:$W$1001,MATCH(ROWS($K$2:K527),$K$2:$K$1001,0),MATCH(COLUMNS($R$1006:S1006),$R$1006:$W$1006,0)), HYPERLINK("#",""), HYPERLINK(CONCATENATE("#Metadata!", ADDRESS(INDEX($M$2:$M$1001,MATCH(ROWS($K$2:K527),$K$2:$K$1001,0),0), INDEX($R$1004:$W$1004,1,MATCH(COLUMNS($R$1006:S1006),$R$1006:$W$1006,0)))),"Fix")))</f>
        <v>0</v>
      </c>
      <c r="D527" s="3">
        <f>IF(OR(INDEX($L$2:$L$1001,MATCH(ROWS($K$2:K527),$K$2:$K$1001,0),1)&gt;=100000,INDEX($R$1005:$W$1005,1,MATCH(COLUMNS($R$1006:T1006),$R$1006:$W$1006,0))&gt;=100000), " ",IF(INDEX($R$2:$W$1001,MATCH(ROWS($K$2:K527),$K$2:$K$1001,0),MATCH(COLUMNS($R$1006:T1006),$R$1006:$W$1006,0)), HYPERLINK("#",""), HYPERLINK(CONCATENATE("#Metadata!", ADDRESS(INDEX($M$2:$M$1001,MATCH(ROWS($K$2:K527),$K$2:$K$1001,0),0), INDEX($R$1004:$W$1004,1,MATCH(COLUMNS($R$1006:T1006),$R$1006:$W$1006,0)))),"Fix")))</f>
        <v>0</v>
      </c>
      <c r="E527" s="3">
        <f>IF(OR(INDEX($L$2:$L$1001,MATCH(ROWS($K$2:K527),$K$2:$K$1001,0),1)&gt;=100000,INDEX($R$1005:$W$1005,1,MATCH(COLUMNS($R$1006:U1006),$R$1006:$W$1006,0))&gt;=100000), " ",IF(INDEX($R$2:$W$1001,MATCH(ROWS($K$2:K527),$K$2:$K$1001,0),MATCH(COLUMNS($R$1006:U1006),$R$1006:$W$1006,0)), HYPERLINK("#",""), HYPERLINK(CONCATENATE("#Metadata!", ADDRESS(INDEX($M$2:$M$1001,MATCH(ROWS($K$2:K527),$K$2:$K$1001,0),0), INDEX($R$1004:$W$1004,1,MATCH(COLUMNS($R$1006:U1006),$R$1006:$W$1006,0)))),"Fix")))</f>
        <v>0</v>
      </c>
      <c r="F527" s="3">
        <f>IF(OR(INDEX($L$2:$L$1001,MATCH(ROWS($K$2:K527),$K$2:$K$1001,0),1)&gt;=100000,INDEX($R$1005:$W$1005,1,MATCH(COLUMNS($R$1006:V1006),$R$1006:$W$1006,0))&gt;=100000), " ",IF(INDEX($R$2:$W$1001,MATCH(ROWS($K$2:K527),$K$2:$K$1001,0),MATCH(COLUMNS($R$1006:V1006),$R$1006:$W$1006,0)), HYPERLINK("#",""), HYPERLINK(CONCATENATE("#Metadata!", ADDRESS(INDEX($M$2:$M$1001,MATCH(ROWS($K$2:K527),$K$2:$K$1001,0),0), INDEX($R$1004:$W$1004,1,MATCH(COLUMNS($R$1006:V1006),$R$1006:$W$1006,0)))),"Fix")))</f>
        <v>0</v>
      </c>
      <c r="G527" s="3">
        <f>IF(OR(INDEX($L$2:$L$1001,MATCH(ROWS($K$2:K527),$K$2:$K$1001,0),1)&gt;=100000,INDEX($R$1005:$W$1005,1,MATCH(COLUMNS($R$1006:W1006),$R$1006:$W$1006,0))&gt;=100000), " ",IF(INDEX($R$2:$W$1001,MATCH(ROWS($K$2:K527),$K$2:$K$1001,0),MATCH(COLUMNS($R$1006:W1006),$R$1006:$W$1006,0)), HYPERLINK("#",""), HYPERLINK(CONCATENATE("#Metadata!", ADDRESS(INDEX($M$2:$M$1001,MATCH(ROWS($K$2:K527),$K$2:$K$1001,0),0), INDEX($R$1004:$W$1004,1,MATCH(COLUMNS($R$1006:W1006),$R$1006:$W$1006,0)))),"Fix")))</f>
        <v>0</v>
      </c>
      <c r="K527">
        <v>0</v>
      </c>
      <c r="L527">
        <v>0</v>
      </c>
      <c r="M527">
        <v>0</v>
      </c>
      <c r="N527">
        <f>IF(O527,TRUE,AND(R527:W527))</f>
        <v>0</v>
      </c>
      <c r="O527">
        <f>COUNTBLANK(Metadata!B527:G527)=COLUMNS(Metadata!B527:G527)</f>
        <v>0</v>
      </c>
      <c r="P527">
        <v>0</v>
      </c>
      <c r="R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S527">
        <f>IF(Metadata!C527="",FALSE,TRUE)</f>
        <v>0</v>
      </c>
      <c r="T527">
        <f>IF(Metadata!D527="",FALSE,TRUE)</f>
        <v>0</v>
      </c>
      <c r="U527">
        <f>IF(Metadata!E527="",FALSE,TRUE)</f>
        <v>0</v>
      </c>
      <c r="V527">
        <f>AND(IF(Metadata!F527="",FALSE,TRUE),exact(Metadata!F527,"rat gut metagenome"))</f>
        <v>0</v>
      </c>
      <c r="W527">
        <f>AND(IF(Metadata!G527="",FALSE,TRUE),exact(Metadata!G527,"1436733"))</f>
        <v>0</v>
      </c>
    </row>
    <row r="528" spans="1:23">
      <c r="A528" s="4">
        <f>IF(B528=" "," ",HYPERLINK(CONCATENATE("#metadata!",ADDRESS(INDEX($M$2:$M$1001,MATCH(ROWS($K$2:K528),$K$2:$K$1001,0),0),1)),INDEX($P$2:$P$1001,MATCH(ROWS($K$2:K528),$K$2:$K$1001,0),0)))</f>
        <v>0</v>
      </c>
      <c r="B528" s="3">
        <f>IF(OR(INDEX($L$2:$L$1001,MATCH(ROWS($K$2:K528),$K$2:$K$1001,0),1)&gt;=100000,INDEX($R$1005:$W$1005,1,MATCH(COLUMNS($R$1006:R1006),$R$1006:$W$1006,0))&gt;=100000), " ",IF(INDEX($R$2:$W$1001,MATCH(ROWS($K$2:K528),$K$2:$K$1001,0),MATCH(COLUMNS($R$1006:R1006),$R$1006:$W$1006,0)), HYPERLINK("#",""), HYPERLINK(CONCATENATE("#Metadata!", ADDRESS(INDEX($M$2:$M$1001,MATCH(ROWS($K$2:K528),$K$2:$K$1001,0),0), INDEX($R$1004:$W$1004,1,MATCH(COLUMNS($R$1006:R1006),$R$1006:$W$1006,0)))),"Fix")))</f>
        <v>0</v>
      </c>
      <c r="C528" s="3">
        <f>IF(OR(INDEX($L$2:$L$1001,MATCH(ROWS($K$2:K528),$K$2:$K$1001,0),1)&gt;=100000,INDEX($R$1005:$W$1005,1,MATCH(COLUMNS($R$1006:S1006),$R$1006:$W$1006,0))&gt;=100000), " ",IF(INDEX($R$2:$W$1001,MATCH(ROWS($K$2:K528),$K$2:$K$1001,0),MATCH(COLUMNS($R$1006:S1006),$R$1006:$W$1006,0)), HYPERLINK("#",""), HYPERLINK(CONCATENATE("#Metadata!", ADDRESS(INDEX($M$2:$M$1001,MATCH(ROWS($K$2:K528),$K$2:$K$1001,0),0), INDEX($R$1004:$W$1004,1,MATCH(COLUMNS($R$1006:S1006),$R$1006:$W$1006,0)))),"Fix")))</f>
        <v>0</v>
      </c>
      <c r="D528" s="3">
        <f>IF(OR(INDEX($L$2:$L$1001,MATCH(ROWS($K$2:K528),$K$2:$K$1001,0),1)&gt;=100000,INDEX($R$1005:$W$1005,1,MATCH(COLUMNS($R$1006:T1006),$R$1006:$W$1006,0))&gt;=100000), " ",IF(INDEX($R$2:$W$1001,MATCH(ROWS($K$2:K528),$K$2:$K$1001,0),MATCH(COLUMNS($R$1006:T1006),$R$1006:$W$1006,0)), HYPERLINK("#",""), HYPERLINK(CONCATENATE("#Metadata!", ADDRESS(INDEX($M$2:$M$1001,MATCH(ROWS($K$2:K528),$K$2:$K$1001,0),0), INDEX($R$1004:$W$1004,1,MATCH(COLUMNS($R$1006:T1006),$R$1006:$W$1006,0)))),"Fix")))</f>
        <v>0</v>
      </c>
      <c r="E528" s="3">
        <f>IF(OR(INDEX($L$2:$L$1001,MATCH(ROWS($K$2:K528),$K$2:$K$1001,0),1)&gt;=100000,INDEX($R$1005:$W$1005,1,MATCH(COLUMNS($R$1006:U1006),$R$1006:$W$1006,0))&gt;=100000), " ",IF(INDEX($R$2:$W$1001,MATCH(ROWS($K$2:K528),$K$2:$K$1001,0),MATCH(COLUMNS($R$1006:U1006),$R$1006:$W$1006,0)), HYPERLINK("#",""), HYPERLINK(CONCATENATE("#Metadata!", ADDRESS(INDEX($M$2:$M$1001,MATCH(ROWS($K$2:K528),$K$2:$K$1001,0),0), INDEX($R$1004:$W$1004,1,MATCH(COLUMNS($R$1006:U1006),$R$1006:$W$1006,0)))),"Fix")))</f>
        <v>0</v>
      </c>
      <c r="F528" s="3">
        <f>IF(OR(INDEX($L$2:$L$1001,MATCH(ROWS($K$2:K528),$K$2:$K$1001,0),1)&gt;=100000,INDEX($R$1005:$W$1005,1,MATCH(COLUMNS($R$1006:V1006),$R$1006:$W$1006,0))&gt;=100000), " ",IF(INDEX($R$2:$W$1001,MATCH(ROWS($K$2:K528),$K$2:$K$1001,0),MATCH(COLUMNS($R$1006:V1006),$R$1006:$W$1006,0)), HYPERLINK("#",""), HYPERLINK(CONCATENATE("#Metadata!", ADDRESS(INDEX($M$2:$M$1001,MATCH(ROWS($K$2:K528),$K$2:$K$1001,0),0), INDEX($R$1004:$W$1004,1,MATCH(COLUMNS($R$1006:V1006),$R$1006:$W$1006,0)))),"Fix")))</f>
        <v>0</v>
      </c>
      <c r="G528" s="3">
        <f>IF(OR(INDEX($L$2:$L$1001,MATCH(ROWS($K$2:K528),$K$2:$K$1001,0),1)&gt;=100000,INDEX($R$1005:$W$1005,1,MATCH(COLUMNS($R$1006:W1006),$R$1006:$W$1006,0))&gt;=100000), " ",IF(INDEX($R$2:$W$1001,MATCH(ROWS($K$2:K528),$K$2:$K$1001,0),MATCH(COLUMNS($R$1006:W1006),$R$1006:$W$1006,0)), HYPERLINK("#",""), HYPERLINK(CONCATENATE("#Metadata!", ADDRESS(INDEX($M$2:$M$1001,MATCH(ROWS($K$2:K528),$K$2:$K$1001,0),0), INDEX($R$1004:$W$1004,1,MATCH(COLUMNS($R$1006:W1006),$R$1006:$W$1006,0)))),"Fix")))</f>
        <v>0</v>
      </c>
      <c r="K528">
        <v>0</v>
      </c>
      <c r="L528">
        <v>0</v>
      </c>
      <c r="M528">
        <v>0</v>
      </c>
      <c r="N528">
        <f>IF(O528,TRUE,AND(R528:W528))</f>
        <v>0</v>
      </c>
      <c r="O528">
        <f>COUNTBLANK(Metadata!B528:G528)=COLUMNS(Metadata!B528:G528)</f>
        <v>0</v>
      </c>
      <c r="P528">
        <v>0</v>
      </c>
      <c r="R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S528">
        <f>IF(Metadata!C528="",FALSE,TRUE)</f>
        <v>0</v>
      </c>
      <c r="T528">
        <f>IF(Metadata!D528="",FALSE,TRUE)</f>
        <v>0</v>
      </c>
      <c r="U528">
        <f>IF(Metadata!E528="",FALSE,TRUE)</f>
        <v>0</v>
      </c>
      <c r="V528">
        <f>AND(IF(Metadata!F528="",FALSE,TRUE),exact(Metadata!F528,"rat gut metagenome"))</f>
        <v>0</v>
      </c>
      <c r="W528">
        <f>AND(IF(Metadata!G528="",FALSE,TRUE),exact(Metadata!G528,"1436733"))</f>
        <v>0</v>
      </c>
    </row>
    <row r="529" spans="1:23">
      <c r="A529" s="4">
        <f>IF(B529=" "," ",HYPERLINK(CONCATENATE("#metadata!",ADDRESS(INDEX($M$2:$M$1001,MATCH(ROWS($K$2:K529),$K$2:$K$1001,0),0),1)),INDEX($P$2:$P$1001,MATCH(ROWS($K$2:K529),$K$2:$K$1001,0),0)))</f>
        <v>0</v>
      </c>
      <c r="B529" s="3">
        <f>IF(OR(INDEX($L$2:$L$1001,MATCH(ROWS($K$2:K529),$K$2:$K$1001,0),1)&gt;=100000,INDEX($R$1005:$W$1005,1,MATCH(COLUMNS($R$1006:R1006),$R$1006:$W$1006,0))&gt;=100000), " ",IF(INDEX($R$2:$W$1001,MATCH(ROWS($K$2:K529),$K$2:$K$1001,0),MATCH(COLUMNS($R$1006:R1006),$R$1006:$W$1006,0)), HYPERLINK("#",""), HYPERLINK(CONCATENATE("#Metadata!", ADDRESS(INDEX($M$2:$M$1001,MATCH(ROWS($K$2:K529),$K$2:$K$1001,0),0), INDEX($R$1004:$W$1004,1,MATCH(COLUMNS($R$1006:R1006),$R$1006:$W$1006,0)))),"Fix")))</f>
        <v>0</v>
      </c>
      <c r="C529" s="3">
        <f>IF(OR(INDEX($L$2:$L$1001,MATCH(ROWS($K$2:K529),$K$2:$K$1001,0),1)&gt;=100000,INDEX($R$1005:$W$1005,1,MATCH(COLUMNS($R$1006:S1006),$R$1006:$W$1006,0))&gt;=100000), " ",IF(INDEX($R$2:$W$1001,MATCH(ROWS($K$2:K529),$K$2:$K$1001,0),MATCH(COLUMNS($R$1006:S1006),$R$1006:$W$1006,0)), HYPERLINK("#",""), HYPERLINK(CONCATENATE("#Metadata!", ADDRESS(INDEX($M$2:$M$1001,MATCH(ROWS($K$2:K529),$K$2:$K$1001,0),0), INDEX($R$1004:$W$1004,1,MATCH(COLUMNS($R$1006:S1006),$R$1006:$W$1006,0)))),"Fix")))</f>
        <v>0</v>
      </c>
      <c r="D529" s="3">
        <f>IF(OR(INDEX($L$2:$L$1001,MATCH(ROWS($K$2:K529),$K$2:$K$1001,0),1)&gt;=100000,INDEX($R$1005:$W$1005,1,MATCH(COLUMNS($R$1006:T1006),$R$1006:$W$1006,0))&gt;=100000), " ",IF(INDEX($R$2:$W$1001,MATCH(ROWS($K$2:K529),$K$2:$K$1001,0),MATCH(COLUMNS($R$1006:T1006),$R$1006:$W$1006,0)), HYPERLINK("#",""), HYPERLINK(CONCATENATE("#Metadata!", ADDRESS(INDEX($M$2:$M$1001,MATCH(ROWS($K$2:K529),$K$2:$K$1001,0),0), INDEX($R$1004:$W$1004,1,MATCH(COLUMNS($R$1006:T1006),$R$1006:$W$1006,0)))),"Fix")))</f>
        <v>0</v>
      </c>
      <c r="E529" s="3">
        <f>IF(OR(INDEX($L$2:$L$1001,MATCH(ROWS($K$2:K529),$K$2:$K$1001,0),1)&gt;=100000,INDEX($R$1005:$W$1005,1,MATCH(COLUMNS($R$1006:U1006),$R$1006:$W$1006,0))&gt;=100000), " ",IF(INDEX($R$2:$W$1001,MATCH(ROWS($K$2:K529),$K$2:$K$1001,0),MATCH(COLUMNS($R$1006:U1006),$R$1006:$W$1006,0)), HYPERLINK("#",""), HYPERLINK(CONCATENATE("#Metadata!", ADDRESS(INDEX($M$2:$M$1001,MATCH(ROWS($K$2:K529),$K$2:$K$1001,0),0), INDEX($R$1004:$W$1004,1,MATCH(COLUMNS($R$1006:U1006),$R$1006:$W$1006,0)))),"Fix")))</f>
        <v>0</v>
      </c>
      <c r="F529" s="3">
        <f>IF(OR(INDEX($L$2:$L$1001,MATCH(ROWS($K$2:K529),$K$2:$K$1001,0),1)&gt;=100000,INDEX($R$1005:$W$1005,1,MATCH(COLUMNS($R$1006:V1006),$R$1006:$W$1006,0))&gt;=100000), " ",IF(INDEX($R$2:$W$1001,MATCH(ROWS($K$2:K529),$K$2:$K$1001,0),MATCH(COLUMNS($R$1006:V1006),$R$1006:$W$1006,0)), HYPERLINK("#",""), HYPERLINK(CONCATENATE("#Metadata!", ADDRESS(INDEX($M$2:$M$1001,MATCH(ROWS($K$2:K529),$K$2:$K$1001,0),0), INDEX($R$1004:$W$1004,1,MATCH(COLUMNS($R$1006:V1006),$R$1006:$W$1006,0)))),"Fix")))</f>
        <v>0</v>
      </c>
      <c r="G529" s="3">
        <f>IF(OR(INDEX($L$2:$L$1001,MATCH(ROWS($K$2:K529),$K$2:$K$1001,0),1)&gt;=100000,INDEX($R$1005:$W$1005,1,MATCH(COLUMNS($R$1006:W1006),$R$1006:$W$1006,0))&gt;=100000), " ",IF(INDEX($R$2:$W$1001,MATCH(ROWS($K$2:K529),$K$2:$K$1001,0),MATCH(COLUMNS($R$1006:W1006),$R$1006:$W$1006,0)), HYPERLINK("#",""), HYPERLINK(CONCATENATE("#Metadata!", ADDRESS(INDEX($M$2:$M$1001,MATCH(ROWS($K$2:K529),$K$2:$K$1001,0),0), INDEX($R$1004:$W$1004,1,MATCH(COLUMNS($R$1006:W1006),$R$1006:$W$1006,0)))),"Fix")))</f>
        <v>0</v>
      </c>
      <c r="K529">
        <v>0</v>
      </c>
      <c r="L529">
        <v>0</v>
      </c>
      <c r="M529">
        <v>0</v>
      </c>
      <c r="N529">
        <f>IF(O529,TRUE,AND(R529:W529))</f>
        <v>0</v>
      </c>
      <c r="O529">
        <f>COUNTBLANK(Metadata!B529:G529)=COLUMNS(Metadata!B529:G529)</f>
        <v>0</v>
      </c>
      <c r="P529">
        <v>0</v>
      </c>
      <c r="R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S529">
        <f>IF(Metadata!C529="",FALSE,TRUE)</f>
        <v>0</v>
      </c>
      <c r="T529">
        <f>IF(Metadata!D529="",FALSE,TRUE)</f>
        <v>0</v>
      </c>
      <c r="U529">
        <f>IF(Metadata!E529="",FALSE,TRUE)</f>
        <v>0</v>
      </c>
      <c r="V529">
        <f>AND(IF(Metadata!F529="",FALSE,TRUE),exact(Metadata!F529,"rat gut metagenome"))</f>
        <v>0</v>
      </c>
      <c r="W529">
        <f>AND(IF(Metadata!G529="",FALSE,TRUE),exact(Metadata!G529,"1436733"))</f>
        <v>0</v>
      </c>
    </row>
    <row r="530" spans="1:23">
      <c r="A530" s="4">
        <f>IF(B530=" "," ",HYPERLINK(CONCATENATE("#metadata!",ADDRESS(INDEX($M$2:$M$1001,MATCH(ROWS($K$2:K530),$K$2:$K$1001,0),0),1)),INDEX($P$2:$P$1001,MATCH(ROWS($K$2:K530),$K$2:$K$1001,0),0)))</f>
        <v>0</v>
      </c>
      <c r="B530" s="3">
        <f>IF(OR(INDEX($L$2:$L$1001,MATCH(ROWS($K$2:K530),$K$2:$K$1001,0),1)&gt;=100000,INDEX($R$1005:$W$1005,1,MATCH(COLUMNS($R$1006:R1006),$R$1006:$W$1006,0))&gt;=100000), " ",IF(INDEX($R$2:$W$1001,MATCH(ROWS($K$2:K530),$K$2:$K$1001,0),MATCH(COLUMNS($R$1006:R1006),$R$1006:$W$1006,0)), HYPERLINK("#",""), HYPERLINK(CONCATENATE("#Metadata!", ADDRESS(INDEX($M$2:$M$1001,MATCH(ROWS($K$2:K530),$K$2:$K$1001,0),0), INDEX($R$1004:$W$1004,1,MATCH(COLUMNS($R$1006:R1006),$R$1006:$W$1006,0)))),"Fix")))</f>
        <v>0</v>
      </c>
      <c r="C530" s="3">
        <f>IF(OR(INDEX($L$2:$L$1001,MATCH(ROWS($K$2:K530),$K$2:$K$1001,0),1)&gt;=100000,INDEX($R$1005:$W$1005,1,MATCH(COLUMNS($R$1006:S1006),$R$1006:$W$1006,0))&gt;=100000), " ",IF(INDEX($R$2:$W$1001,MATCH(ROWS($K$2:K530),$K$2:$K$1001,0),MATCH(COLUMNS($R$1006:S1006),$R$1006:$W$1006,0)), HYPERLINK("#",""), HYPERLINK(CONCATENATE("#Metadata!", ADDRESS(INDEX($M$2:$M$1001,MATCH(ROWS($K$2:K530),$K$2:$K$1001,0),0), INDEX($R$1004:$W$1004,1,MATCH(COLUMNS($R$1006:S1006),$R$1006:$W$1006,0)))),"Fix")))</f>
        <v>0</v>
      </c>
      <c r="D530" s="3">
        <f>IF(OR(INDEX($L$2:$L$1001,MATCH(ROWS($K$2:K530),$K$2:$K$1001,0),1)&gt;=100000,INDEX($R$1005:$W$1005,1,MATCH(COLUMNS($R$1006:T1006),$R$1006:$W$1006,0))&gt;=100000), " ",IF(INDEX($R$2:$W$1001,MATCH(ROWS($K$2:K530),$K$2:$K$1001,0),MATCH(COLUMNS($R$1006:T1006),$R$1006:$W$1006,0)), HYPERLINK("#",""), HYPERLINK(CONCATENATE("#Metadata!", ADDRESS(INDEX($M$2:$M$1001,MATCH(ROWS($K$2:K530),$K$2:$K$1001,0),0), INDEX($R$1004:$W$1004,1,MATCH(COLUMNS($R$1006:T1006),$R$1006:$W$1006,0)))),"Fix")))</f>
        <v>0</v>
      </c>
      <c r="E530" s="3">
        <f>IF(OR(INDEX($L$2:$L$1001,MATCH(ROWS($K$2:K530),$K$2:$K$1001,0),1)&gt;=100000,INDEX($R$1005:$W$1005,1,MATCH(COLUMNS($R$1006:U1006),$R$1006:$W$1006,0))&gt;=100000), " ",IF(INDEX($R$2:$W$1001,MATCH(ROWS($K$2:K530),$K$2:$K$1001,0),MATCH(COLUMNS($R$1006:U1006),$R$1006:$W$1006,0)), HYPERLINK("#",""), HYPERLINK(CONCATENATE("#Metadata!", ADDRESS(INDEX($M$2:$M$1001,MATCH(ROWS($K$2:K530),$K$2:$K$1001,0),0), INDEX($R$1004:$W$1004,1,MATCH(COLUMNS($R$1006:U1006),$R$1006:$W$1006,0)))),"Fix")))</f>
        <v>0</v>
      </c>
      <c r="F530" s="3">
        <f>IF(OR(INDEX($L$2:$L$1001,MATCH(ROWS($K$2:K530),$K$2:$K$1001,0),1)&gt;=100000,INDEX($R$1005:$W$1005,1,MATCH(COLUMNS($R$1006:V1006),$R$1006:$W$1006,0))&gt;=100000), " ",IF(INDEX($R$2:$W$1001,MATCH(ROWS($K$2:K530),$K$2:$K$1001,0),MATCH(COLUMNS($R$1006:V1006),$R$1006:$W$1006,0)), HYPERLINK("#",""), HYPERLINK(CONCATENATE("#Metadata!", ADDRESS(INDEX($M$2:$M$1001,MATCH(ROWS($K$2:K530),$K$2:$K$1001,0),0), INDEX($R$1004:$W$1004,1,MATCH(COLUMNS($R$1006:V1006),$R$1006:$W$1006,0)))),"Fix")))</f>
        <v>0</v>
      </c>
      <c r="G530" s="3">
        <f>IF(OR(INDEX($L$2:$L$1001,MATCH(ROWS($K$2:K530),$K$2:$K$1001,0),1)&gt;=100000,INDEX($R$1005:$W$1005,1,MATCH(COLUMNS($R$1006:W1006),$R$1006:$W$1006,0))&gt;=100000), " ",IF(INDEX($R$2:$W$1001,MATCH(ROWS($K$2:K530),$K$2:$K$1001,0),MATCH(COLUMNS($R$1006:W1006),$R$1006:$W$1006,0)), HYPERLINK("#",""), HYPERLINK(CONCATENATE("#Metadata!", ADDRESS(INDEX($M$2:$M$1001,MATCH(ROWS($K$2:K530),$K$2:$K$1001,0),0), INDEX($R$1004:$W$1004,1,MATCH(COLUMNS($R$1006:W1006),$R$1006:$W$1006,0)))),"Fix")))</f>
        <v>0</v>
      </c>
      <c r="K530">
        <v>0</v>
      </c>
      <c r="L530">
        <v>0</v>
      </c>
      <c r="M530">
        <v>0</v>
      </c>
      <c r="N530">
        <f>IF(O530,TRUE,AND(R530:W530))</f>
        <v>0</v>
      </c>
      <c r="O530">
        <f>COUNTBLANK(Metadata!B530:G530)=COLUMNS(Metadata!B530:G530)</f>
        <v>0</v>
      </c>
      <c r="P530">
        <v>0</v>
      </c>
      <c r="R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S530">
        <f>IF(Metadata!C530="",FALSE,TRUE)</f>
        <v>0</v>
      </c>
      <c r="T530">
        <f>IF(Metadata!D530="",FALSE,TRUE)</f>
        <v>0</v>
      </c>
      <c r="U530">
        <f>IF(Metadata!E530="",FALSE,TRUE)</f>
        <v>0</v>
      </c>
      <c r="V530">
        <f>AND(IF(Metadata!F530="",FALSE,TRUE),exact(Metadata!F530,"rat gut metagenome"))</f>
        <v>0</v>
      </c>
      <c r="W530">
        <f>AND(IF(Metadata!G530="",FALSE,TRUE),exact(Metadata!G530,"1436733"))</f>
        <v>0</v>
      </c>
    </row>
    <row r="531" spans="1:23">
      <c r="A531" s="4">
        <f>IF(B531=" "," ",HYPERLINK(CONCATENATE("#metadata!",ADDRESS(INDEX($M$2:$M$1001,MATCH(ROWS($K$2:K531),$K$2:$K$1001,0),0),1)),INDEX($P$2:$P$1001,MATCH(ROWS($K$2:K531),$K$2:$K$1001,0),0)))</f>
        <v>0</v>
      </c>
      <c r="B531" s="3">
        <f>IF(OR(INDEX($L$2:$L$1001,MATCH(ROWS($K$2:K531),$K$2:$K$1001,0),1)&gt;=100000,INDEX($R$1005:$W$1005,1,MATCH(COLUMNS($R$1006:R1006),$R$1006:$W$1006,0))&gt;=100000), " ",IF(INDEX($R$2:$W$1001,MATCH(ROWS($K$2:K531),$K$2:$K$1001,0),MATCH(COLUMNS($R$1006:R1006),$R$1006:$W$1006,0)), HYPERLINK("#",""), HYPERLINK(CONCATENATE("#Metadata!", ADDRESS(INDEX($M$2:$M$1001,MATCH(ROWS($K$2:K531),$K$2:$K$1001,0),0), INDEX($R$1004:$W$1004,1,MATCH(COLUMNS($R$1006:R1006),$R$1006:$W$1006,0)))),"Fix")))</f>
        <v>0</v>
      </c>
      <c r="C531" s="3">
        <f>IF(OR(INDEX($L$2:$L$1001,MATCH(ROWS($K$2:K531),$K$2:$K$1001,0),1)&gt;=100000,INDEX($R$1005:$W$1005,1,MATCH(COLUMNS($R$1006:S1006),$R$1006:$W$1006,0))&gt;=100000), " ",IF(INDEX($R$2:$W$1001,MATCH(ROWS($K$2:K531),$K$2:$K$1001,0),MATCH(COLUMNS($R$1006:S1006),$R$1006:$W$1006,0)), HYPERLINK("#",""), HYPERLINK(CONCATENATE("#Metadata!", ADDRESS(INDEX($M$2:$M$1001,MATCH(ROWS($K$2:K531),$K$2:$K$1001,0),0), INDEX($R$1004:$W$1004,1,MATCH(COLUMNS($R$1006:S1006),$R$1006:$W$1006,0)))),"Fix")))</f>
        <v>0</v>
      </c>
      <c r="D531" s="3">
        <f>IF(OR(INDEX($L$2:$L$1001,MATCH(ROWS($K$2:K531),$K$2:$K$1001,0),1)&gt;=100000,INDEX($R$1005:$W$1005,1,MATCH(COLUMNS($R$1006:T1006),$R$1006:$W$1006,0))&gt;=100000), " ",IF(INDEX($R$2:$W$1001,MATCH(ROWS($K$2:K531),$K$2:$K$1001,0),MATCH(COLUMNS($R$1006:T1006),$R$1006:$W$1006,0)), HYPERLINK("#",""), HYPERLINK(CONCATENATE("#Metadata!", ADDRESS(INDEX($M$2:$M$1001,MATCH(ROWS($K$2:K531),$K$2:$K$1001,0),0), INDEX($R$1004:$W$1004,1,MATCH(COLUMNS($R$1006:T1006),$R$1006:$W$1006,0)))),"Fix")))</f>
        <v>0</v>
      </c>
      <c r="E531" s="3">
        <f>IF(OR(INDEX($L$2:$L$1001,MATCH(ROWS($K$2:K531),$K$2:$K$1001,0),1)&gt;=100000,INDEX($R$1005:$W$1005,1,MATCH(COLUMNS($R$1006:U1006),$R$1006:$W$1006,0))&gt;=100000), " ",IF(INDEX($R$2:$W$1001,MATCH(ROWS($K$2:K531),$K$2:$K$1001,0),MATCH(COLUMNS($R$1006:U1006),$R$1006:$W$1006,0)), HYPERLINK("#",""), HYPERLINK(CONCATENATE("#Metadata!", ADDRESS(INDEX($M$2:$M$1001,MATCH(ROWS($K$2:K531),$K$2:$K$1001,0),0), INDEX($R$1004:$W$1004,1,MATCH(COLUMNS($R$1006:U1006),$R$1006:$W$1006,0)))),"Fix")))</f>
        <v>0</v>
      </c>
      <c r="F531" s="3">
        <f>IF(OR(INDEX($L$2:$L$1001,MATCH(ROWS($K$2:K531),$K$2:$K$1001,0),1)&gt;=100000,INDEX($R$1005:$W$1005,1,MATCH(COLUMNS($R$1006:V1006),$R$1006:$W$1006,0))&gt;=100000), " ",IF(INDEX($R$2:$W$1001,MATCH(ROWS($K$2:K531),$K$2:$K$1001,0),MATCH(COLUMNS($R$1006:V1006),$R$1006:$W$1006,0)), HYPERLINK("#",""), HYPERLINK(CONCATENATE("#Metadata!", ADDRESS(INDEX($M$2:$M$1001,MATCH(ROWS($K$2:K531),$K$2:$K$1001,0),0), INDEX($R$1004:$W$1004,1,MATCH(COLUMNS($R$1006:V1006),$R$1006:$W$1006,0)))),"Fix")))</f>
        <v>0</v>
      </c>
      <c r="G531" s="3">
        <f>IF(OR(INDEX($L$2:$L$1001,MATCH(ROWS($K$2:K531),$K$2:$K$1001,0),1)&gt;=100000,INDEX($R$1005:$W$1005,1,MATCH(COLUMNS($R$1006:W1006),$R$1006:$W$1006,0))&gt;=100000), " ",IF(INDEX($R$2:$W$1001,MATCH(ROWS($K$2:K531),$K$2:$K$1001,0),MATCH(COLUMNS($R$1006:W1006),$R$1006:$W$1006,0)), HYPERLINK("#",""), HYPERLINK(CONCATENATE("#Metadata!", ADDRESS(INDEX($M$2:$M$1001,MATCH(ROWS($K$2:K531),$K$2:$K$1001,0),0), INDEX($R$1004:$W$1004,1,MATCH(COLUMNS($R$1006:W1006),$R$1006:$W$1006,0)))),"Fix")))</f>
        <v>0</v>
      </c>
      <c r="K531">
        <v>0</v>
      </c>
      <c r="L531">
        <v>0</v>
      </c>
      <c r="M531">
        <v>0</v>
      </c>
      <c r="N531">
        <f>IF(O531,TRUE,AND(R531:W531))</f>
        <v>0</v>
      </c>
      <c r="O531">
        <f>COUNTBLANK(Metadata!B531:G531)=COLUMNS(Metadata!B531:G531)</f>
        <v>0</v>
      </c>
      <c r="P531">
        <v>0</v>
      </c>
      <c r="R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S531">
        <f>IF(Metadata!C531="",FALSE,TRUE)</f>
        <v>0</v>
      </c>
      <c r="T531">
        <f>IF(Metadata!D531="",FALSE,TRUE)</f>
        <v>0</v>
      </c>
      <c r="U531">
        <f>IF(Metadata!E531="",FALSE,TRUE)</f>
        <v>0</v>
      </c>
      <c r="V531">
        <f>AND(IF(Metadata!F531="",FALSE,TRUE),exact(Metadata!F531,"rat gut metagenome"))</f>
        <v>0</v>
      </c>
      <c r="W531">
        <f>AND(IF(Metadata!G531="",FALSE,TRUE),exact(Metadata!G531,"1436733"))</f>
        <v>0</v>
      </c>
    </row>
    <row r="532" spans="1:23">
      <c r="A532" s="4">
        <f>IF(B532=" "," ",HYPERLINK(CONCATENATE("#metadata!",ADDRESS(INDEX($M$2:$M$1001,MATCH(ROWS($K$2:K532),$K$2:$K$1001,0),0),1)),INDEX($P$2:$P$1001,MATCH(ROWS($K$2:K532),$K$2:$K$1001,0),0)))</f>
        <v>0</v>
      </c>
      <c r="B532" s="3">
        <f>IF(OR(INDEX($L$2:$L$1001,MATCH(ROWS($K$2:K532),$K$2:$K$1001,0),1)&gt;=100000,INDEX($R$1005:$W$1005,1,MATCH(COLUMNS($R$1006:R1006),$R$1006:$W$1006,0))&gt;=100000), " ",IF(INDEX($R$2:$W$1001,MATCH(ROWS($K$2:K532),$K$2:$K$1001,0),MATCH(COLUMNS($R$1006:R1006),$R$1006:$W$1006,0)), HYPERLINK("#",""), HYPERLINK(CONCATENATE("#Metadata!", ADDRESS(INDEX($M$2:$M$1001,MATCH(ROWS($K$2:K532),$K$2:$K$1001,0),0), INDEX($R$1004:$W$1004,1,MATCH(COLUMNS($R$1006:R1006),$R$1006:$W$1006,0)))),"Fix")))</f>
        <v>0</v>
      </c>
      <c r="C532" s="3">
        <f>IF(OR(INDEX($L$2:$L$1001,MATCH(ROWS($K$2:K532),$K$2:$K$1001,0),1)&gt;=100000,INDEX($R$1005:$W$1005,1,MATCH(COLUMNS($R$1006:S1006),$R$1006:$W$1006,0))&gt;=100000), " ",IF(INDEX($R$2:$W$1001,MATCH(ROWS($K$2:K532),$K$2:$K$1001,0),MATCH(COLUMNS($R$1006:S1006),$R$1006:$W$1006,0)), HYPERLINK("#",""), HYPERLINK(CONCATENATE("#Metadata!", ADDRESS(INDEX($M$2:$M$1001,MATCH(ROWS($K$2:K532),$K$2:$K$1001,0),0), INDEX($R$1004:$W$1004,1,MATCH(COLUMNS($R$1006:S1006),$R$1006:$W$1006,0)))),"Fix")))</f>
        <v>0</v>
      </c>
      <c r="D532" s="3">
        <f>IF(OR(INDEX($L$2:$L$1001,MATCH(ROWS($K$2:K532),$K$2:$K$1001,0),1)&gt;=100000,INDEX($R$1005:$W$1005,1,MATCH(COLUMNS($R$1006:T1006),$R$1006:$W$1006,0))&gt;=100000), " ",IF(INDEX($R$2:$W$1001,MATCH(ROWS($K$2:K532),$K$2:$K$1001,0),MATCH(COLUMNS($R$1006:T1006),$R$1006:$W$1006,0)), HYPERLINK("#",""), HYPERLINK(CONCATENATE("#Metadata!", ADDRESS(INDEX($M$2:$M$1001,MATCH(ROWS($K$2:K532),$K$2:$K$1001,0),0), INDEX($R$1004:$W$1004,1,MATCH(COLUMNS($R$1006:T1006),$R$1006:$W$1006,0)))),"Fix")))</f>
        <v>0</v>
      </c>
      <c r="E532" s="3">
        <f>IF(OR(INDEX($L$2:$L$1001,MATCH(ROWS($K$2:K532),$K$2:$K$1001,0),1)&gt;=100000,INDEX($R$1005:$W$1005,1,MATCH(COLUMNS($R$1006:U1006),$R$1006:$W$1006,0))&gt;=100000), " ",IF(INDEX($R$2:$W$1001,MATCH(ROWS($K$2:K532),$K$2:$K$1001,0),MATCH(COLUMNS($R$1006:U1006),$R$1006:$W$1006,0)), HYPERLINK("#",""), HYPERLINK(CONCATENATE("#Metadata!", ADDRESS(INDEX($M$2:$M$1001,MATCH(ROWS($K$2:K532),$K$2:$K$1001,0),0), INDEX($R$1004:$W$1004,1,MATCH(COLUMNS($R$1006:U1006),$R$1006:$W$1006,0)))),"Fix")))</f>
        <v>0</v>
      </c>
      <c r="F532" s="3">
        <f>IF(OR(INDEX($L$2:$L$1001,MATCH(ROWS($K$2:K532),$K$2:$K$1001,0),1)&gt;=100000,INDEX($R$1005:$W$1005,1,MATCH(COLUMNS($R$1006:V1006),$R$1006:$W$1006,0))&gt;=100000), " ",IF(INDEX($R$2:$W$1001,MATCH(ROWS($K$2:K532),$K$2:$K$1001,0),MATCH(COLUMNS($R$1006:V1006),$R$1006:$W$1006,0)), HYPERLINK("#",""), HYPERLINK(CONCATENATE("#Metadata!", ADDRESS(INDEX($M$2:$M$1001,MATCH(ROWS($K$2:K532),$K$2:$K$1001,0),0), INDEX($R$1004:$W$1004,1,MATCH(COLUMNS($R$1006:V1006),$R$1006:$W$1006,0)))),"Fix")))</f>
        <v>0</v>
      </c>
      <c r="G532" s="3">
        <f>IF(OR(INDEX($L$2:$L$1001,MATCH(ROWS($K$2:K532),$K$2:$K$1001,0),1)&gt;=100000,INDEX($R$1005:$W$1005,1,MATCH(COLUMNS($R$1006:W1006),$R$1006:$W$1006,0))&gt;=100000), " ",IF(INDEX($R$2:$W$1001,MATCH(ROWS($K$2:K532),$K$2:$K$1001,0),MATCH(COLUMNS($R$1006:W1006),$R$1006:$W$1006,0)), HYPERLINK("#",""), HYPERLINK(CONCATENATE("#Metadata!", ADDRESS(INDEX($M$2:$M$1001,MATCH(ROWS($K$2:K532),$K$2:$K$1001,0),0), INDEX($R$1004:$W$1004,1,MATCH(COLUMNS($R$1006:W1006),$R$1006:$W$1006,0)))),"Fix")))</f>
        <v>0</v>
      </c>
      <c r="K532">
        <v>0</v>
      </c>
      <c r="L532">
        <v>0</v>
      </c>
      <c r="M532">
        <v>0</v>
      </c>
      <c r="N532">
        <f>IF(O532,TRUE,AND(R532:W532))</f>
        <v>0</v>
      </c>
      <c r="O532">
        <f>COUNTBLANK(Metadata!B532:G532)=COLUMNS(Metadata!B532:G532)</f>
        <v>0</v>
      </c>
      <c r="P532">
        <v>0</v>
      </c>
      <c r="R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S532">
        <f>IF(Metadata!C532="",FALSE,TRUE)</f>
        <v>0</v>
      </c>
      <c r="T532">
        <f>IF(Metadata!D532="",FALSE,TRUE)</f>
        <v>0</v>
      </c>
      <c r="U532">
        <f>IF(Metadata!E532="",FALSE,TRUE)</f>
        <v>0</v>
      </c>
      <c r="V532">
        <f>AND(IF(Metadata!F532="",FALSE,TRUE),exact(Metadata!F532,"rat gut metagenome"))</f>
        <v>0</v>
      </c>
      <c r="W532">
        <f>AND(IF(Metadata!G532="",FALSE,TRUE),exact(Metadata!G532,"1436733"))</f>
        <v>0</v>
      </c>
    </row>
    <row r="533" spans="1:23">
      <c r="A533" s="4">
        <f>IF(B533=" "," ",HYPERLINK(CONCATENATE("#metadata!",ADDRESS(INDEX($M$2:$M$1001,MATCH(ROWS($K$2:K533),$K$2:$K$1001,0),0),1)),INDEX($P$2:$P$1001,MATCH(ROWS($K$2:K533),$K$2:$K$1001,0),0)))</f>
        <v>0</v>
      </c>
      <c r="B533" s="3">
        <f>IF(OR(INDEX($L$2:$L$1001,MATCH(ROWS($K$2:K533),$K$2:$K$1001,0),1)&gt;=100000,INDEX($R$1005:$W$1005,1,MATCH(COLUMNS($R$1006:R1006),$R$1006:$W$1006,0))&gt;=100000), " ",IF(INDEX($R$2:$W$1001,MATCH(ROWS($K$2:K533),$K$2:$K$1001,0),MATCH(COLUMNS($R$1006:R1006),$R$1006:$W$1006,0)), HYPERLINK("#",""), HYPERLINK(CONCATENATE("#Metadata!", ADDRESS(INDEX($M$2:$M$1001,MATCH(ROWS($K$2:K533),$K$2:$K$1001,0),0), INDEX($R$1004:$W$1004,1,MATCH(COLUMNS($R$1006:R1006),$R$1006:$W$1006,0)))),"Fix")))</f>
        <v>0</v>
      </c>
      <c r="C533" s="3">
        <f>IF(OR(INDEX($L$2:$L$1001,MATCH(ROWS($K$2:K533),$K$2:$K$1001,0),1)&gt;=100000,INDEX($R$1005:$W$1005,1,MATCH(COLUMNS($R$1006:S1006),$R$1006:$W$1006,0))&gt;=100000), " ",IF(INDEX($R$2:$W$1001,MATCH(ROWS($K$2:K533),$K$2:$K$1001,0),MATCH(COLUMNS($R$1006:S1006),$R$1006:$W$1006,0)), HYPERLINK("#",""), HYPERLINK(CONCATENATE("#Metadata!", ADDRESS(INDEX($M$2:$M$1001,MATCH(ROWS($K$2:K533),$K$2:$K$1001,0),0), INDEX($R$1004:$W$1004,1,MATCH(COLUMNS($R$1006:S1006),$R$1006:$W$1006,0)))),"Fix")))</f>
        <v>0</v>
      </c>
      <c r="D533" s="3">
        <f>IF(OR(INDEX($L$2:$L$1001,MATCH(ROWS($K$2:K533),$K$2:$K$1001,0),1)&gt;=100000,INDEX($R$1005:$W$1005,1,MATCH(COLUMNS($R$1006:T1006),$R$1006:$W$1006,0))&gt;=100000), " ",IF(INDEX($R$2:$W$1001,MATCH(ROWS($K$2:K533),$K$2:$K$1001,0),MATCH(COLUMNS($R$1006:T1006),$R$1006:$W$1006,0)), HYPERLINK("#",""), HYPERLINK(CONCATENATE("#Metadata!", ADDRESS(INDEX($M$2:$M$1001,MATCH(ROWS($K$2:K533),$K$2:$K$1001,0),0), INDEX($R$1004:$W$1004,1,MATCH(COLUMNS($R$1006:T1006),$R$1006:$W$1006,0)))),"Fix")))</f>
        <v>0</v>
      </c>
      <c r="E533" s="3">
        <f>IF(OR(INDEX($L$2:$L$1001,MATCH(ROWS($K$2:K533),$K$2:$K$1001,0),1)&gt;=100000,INDEX($R$1005:$W$1005,1,MATCH(COLUMNS($R$1006:U1006),$R$1006:$W$1006,0))&gt;=100000), " ",IF(INDEX($R$2:$W$1001,MATCH(ROWS($K$2:K533),$K$2:$K$1001,0),MATCH(COLUMNS($R$1006:U1006),$R$1006:$W$1006,0)), HYPERLINK("#",""), HYPERLINK(CONCATENATE("#Metadata!", ADDRESS(INDEX($M$2:$M$1001,MATCH(ROWS($K$2:K533),$K$2:$K$1001,0),0), INDEX($R$1004:$W$1004,1,MATCH(COLUMNS($R$1006:U1006),$R$1006:$W$1006,0)))),"Fix")))</f>
        <v>0</v>
      </c>
      <c r="F533" s="3">
        <f>IF(OR(INDEX($L$2:$L$1001,MATCH(ROWS($K$2:K533),$K$2:$K$1001,0),1)&gt;=100000,INDEX($R$1005:$W$1005,1,MATCH(COLUMNS($R$1006:V1006),$R$1006:$W$1006,0))&gt;=100000), " ",IF(INDEX($R$2:$W$1001,MATCH(ROWS($K$2:K533),$K$2:$K$1001,0),MATCH(COLUMNS($R$1006:V1006),$R$1006:$W$1006,0)), HYPERLINK("#",""), HYPERLINK(CONCATENATE("#Metadata!", ADDRESS(INDEX($M$2:$M$1001,MATCH(ROWS($K$2:K533),$K$2:$K$1001,0),0), INDEX($R$1004:$W$1004,1,MATCH(COLUMNS($R$1006:V1006),$R$1006:$W$1006,0)))),"Fix")))</f>
        <v>0</v>
      </c>
      <c r="G533" s="3">
        <f>IF(OR(INDEX($L$2:$L$1001,MATCH(ROWS($K$2:K533),$K$2:$K$1001,0),1)&gt;=100000,INDEX($R$1005:$W$1005,1,MATCH(COLUMNS($R$1006:W1006),$R$1006:$W$1006,0))&gt;=100000), " ",IF(INDEX($R$2:$W$1001,MATCH(ROWS($K$2:K533),$K$2:$K$1001,0),MATCH(COLUMNS($R$1006:W1006),$R$1006:$W$1006,0)), HYPERLINK("#",""), HYPERLINK(CONCATENATE("#Metadata!", ADDRESS(INDEX($M$2:$M$1001,MATCH(ROWS($K$2:K533),$K$2:$K$1001,0),0), INDEX($R$1004:$W$1004,1,MATCH(COLUMNS($R$1006:W1006),$R$1006:$W$1006,0)))),"Fix")))</f>
        <v>0</v>
      </c>
      <c r="K533">
        <v>0</v>
      </c>
      <c r="L533">
        <v>0</v>
      </c>
      <c r="M533">
        <v>0</v>
      </c>
      <c r="N533">
        <f>IF(O533,TRUE,AND(R533:W533))</f>
        <v>0</v>
      </c>
      <c r="O533">
        <f>COUNTBLANK(Metadata!B533:G533)=COLUMNS(Metadata!B533:G533)</f>
        <v>0</v>
      </c>
      <c r="P533">
        <v>0</v>
      </c>
      <c r="R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S533">
        <f>IF(Metadata!C533="",FALSE,TRUE)</f>
        <v>0</v>
      </c>
      <c r="T533">
        <f>IF(Metadata!D533="",FALSE,TRUE)</f>
        <v>0</v>
      </c>
      <c r="U533">
        <f>IF(Metadata!E533="",FALSE,TRUE)</f>
        <v>0</v>
      </c>
      <c r="V533">
        <f>AND(IF(Metadata!F533="",FALSE,TRUE),exact(Metadata!F533,"rat gut metagenome"))</f>
        <v>0</v>
      </c>
      <c r="W533">
        <f>AND(IF(Metadata!G533="",FALSE,TRUE),exact(Metadata!G533,"1436733"))</f>
        <v>0</v>
      </c>
    </row>
    <row r="534" spans="1:23">
      <c r="A534" s="4">
        <f>IF(B534=" "," ",HYPERLINK(CONCATENATE("#metadata!",ADDRESS(INDEX($M$2:$M$1001,MATCH(ROWS($K$2:K534),$K$2:$K$1001,0),0),1)),INDEX($P$2:$P$1001,MATCH(ROWS($K$2:K534),$K$2:$K$1001,0),0)))</f>
        <v>0</v>
      </c>
      <c r="B534" s="3">
        <f>IF(OR(INDEX($L$2:$L$1001,MATCH(ROWS($K$2:K534),$K$2:$K$1001,0),1)&gt;=100000,INDEX($R$1005:$W$1005,1,MATCH(COLUMNS($R$1006:R1006),$R$1006:$W$1006,0))&gt;=100000), " ",IF(INDEX($R$2:$W$1001,MATCH(ROWS($K$2:K534),$K$2:$K$1001,0),MATCH(COLUMNS($R$1006:R1006),$R$1006:$W$1006,0)), HYPERLINK("#",""), HYPERLINK(CONCATENATE("#Metadata!", ADDRESS(INDEX($M$2:$M$1001,MATCH(ROWS($K$2:K534),$K$2:$K$1001,0),0), INDEX($R$1004:$W$1004,1,MATCH(COLUMNS($R$1006:R1006),$R$1006:$W$1006,0)))),"Fix")))</f>
        <v>0</v>
      </c>
      <c r="C534" s="3">
        <f>IF(OR(INDEX($L$2:$L$1001,MATCH(ROWS($K$2:K534),$K$2:$K$1001,0),1)&gt;=100000,INDEX($R$1005:$W$1005,1,MATCH(COLUMNS($R$1006:S1006),$R$1006:$W$1006,0))&gt;=100000), " ",IF(INDEX($R$2:$W$1001,MATCH(ROWS($K$2:K534),$K$2:$K$1001,0),MATCH(COLUMNS($R$1006:S1006),$R$1006:$W$1006,0)), HYPERLINK("#",""), HYPERLINK(CONCATENATE("#Metadata!", ADDRESS(INDEX($M$2:$M$1001,MATCH(ROWS($K$2:K534),$K$2:$K$1001,0),0), INDEX($R$1004:$W$1004,1,MATCH(COLUMNS($R$1006:S1006),$R$1006:$W$1006,0)))),"Fix")))</f>
        <v>0</v>
      </c>
      <c r="D534" s="3">
        <f>IF(OR(INDEX($L$2:$L$1001,MATCH(ROWS($K$2:K534),$K$2:$K$1001,0),1)&gt;=100000,INDEX($R$1005:$W$1005,1,MATCH(COLUMNS($R$1006:T1006),$R$1006:$W$1006,0))&gt;=100000), " ",IF(INDEX($R$2:$W$1001,MATCH(ROWS($K$2:K534),$K$2:$K$1001,0),MATCH(COLUMNS($R$1006:T1006),$R$1006:$W$1006,0)), HYPERLINK("#",""), HYPERLINK(CONCATENATE("#Metadata!", ADDRESS(INDEX($M$2:$M$1001,MATCH(ROWS($K$2:K534),$K$2:$K$1001,0),0), INDEX($R$1004:$W$1004,1,MATCH(COLUMNS($R$1006:T1006),$R$1006:$W$1006,0)))),"Fix")))</f>
        <v>0</v>
      </c>
      <c r="E534" s="3">
        <f>IF(OR(INDEX($L$2:$L$1001,MATCH(ROWS($K$2:K534),$K$2:$K$1001,0),1)&gt;=100000,INDEX($R$1005:$W$1005,1,MATCH(COLUMNS($R$1006:U1006),$R$1006:$W$1006,0))&gt;=100000), " ",IF(INDEX($R$2:$W$1001,MATCH(ROWS($K$2:K534),$K$2:$K$1001,0),MATCH(COLUMNS($R$1006:U1006),$R$1006:$W$1006,0)), HYPERLINK("#",""), HYPERLINK(CONCATENATE("#Metadata!", ADDRESS(INDEX($M$2:$M$1001,MATCH(ROWS($K$2:K534),$K$2:$K$1001,0),0), INDEX($R$1004:$W$1004,1,MATCH(COLUMNS($R$1006:U1006),$R$1006:$W$1006,0)))),"Fix")))</f>
        <v>0</v>
      </c>
      <c r="F534" s="3">
        <f>IF(OR(INDEX($L$2:$L$1001,MATCH(ROWS($K$2:K534),$K$2:$K$1001,0),1)&gt;=100000,INDEX($R$1005:$W$1005,1,MATCH(COLUMNS($R$1006:V1006),$R$1006:$W$1006,0))&gt;=100000), " ",IF(INDEX($R$2:$W$1001,MATCH(ROWS($K$2:K534),$K$2:$K$1001,0),MATCH(COLUMNS($R$1006:V1006),$R$1006:$W$1006,0)), HYPERLINK("#",""), HYPERLINK(CONCATENATE("#Metadata!", ADDRESS(INDEX($M$2:$M$1001,MATCH(ROWS($K$2:K534),$K$2:$K$1001,0),0), INDEX($R$1004:$W$1004,1,MATCH(COLUMNS($R$1006:V1006),$R$1006:$W$1006,0)))),"Fix")))</f>
        <v>0</v>
      </c>
      <c r="G534" s="3">
        <f>IF(OR(INDEX($L$2:$L$1001,MATCH(ROWS($K$2:K534),$K$2:$K$1001,0),1)&gt;=100000,INDEX($R$1005:$W$1005,1,MATCH(COLUMNS($R$1006:W1006),$R$1006:$W$1006,0))&gt;=100000), " ",IF(INDEX($R$2:$W$1001,MATCH(ROWS($K$2:K534),$K$2:$K$1001,0),MATCH(COLUMNS($R$1006:W1006),$R$1006:$W$1006,0)), HYPERLINK("#",""), HYPERLINK(CONCATENATE("#Metadata!", ADDRESS(INDEX($M$2:$M$1001,MATCH(ROWS($K$2:K534),$K$2:$K$1001,0),0), INDEX($R$1004:$W$1004,1,MATCH(COLUMNS($R$1006:W1006),$R$1006:$W$1006,0)))),"Fix")))</f>
        <v>0</v>
      </c>
      <c r="K534">
        <v>0</v>
      </c>
      <c r="L534">
        <v>0</v>
      </c>
      <c r="M534">
        <v>0</v>
      </c>
      <c r="N534">
        <f>IF(O534,TRUE,AND(R534:W534))</f>
        <v>0</v>
      </c>
      <c r="O534">
        <f>COUNTBLANK(Metadata!B534:G534)=COLUMNS(Metadata!B534:G534)</f>
        <v>0</v>
      </c>
      <c r="P534">
        <v>0</v>
      </c>
      <c r="R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S534">
        <f>IF(Metadata!C534="",FALSE,TRUE)</f>
        <v>0</v>
      </c>
      <c r="T534">
        <f>IF(Metadata!D534="",FALSE,TRUE)</f>
        <v>0</v>
      </c>
      <c r="U534">
        <f>IF(Metadata!E534="",FALSE,TRUE)</f>
        <v>0</v>
      </c>
      <c r="V534">
        <f>AND(IF(Metadata!F534="",FALSE,TRUE),exact(Metadata!F534,"rat gut metagenome"))</f>
        <v>0</v>
      </c>
      <c r="W534">
        <f>AND(IF(Metadata!G534="",FALSE,TRUE),exact(Metadata!G534,"1436733"))</f>
        <v>0</v>
      </c>
    </row>
    <row r="535" spans="1:23">
      <c r="A535" s="4">
        <f>IF(B535=" "," ",HYPERLINK(CONCATENATE("#metadata!",ADDRESS(INDEX($M$2:$M$1001,MATCH(ROWS($K$2:K535),$K$2:$K$1001,0),0),1)),INDEX($P$2:$P$1001,MATCH(ROWS($K$2:K535),$K$2:$K$1001,0),0)))</f>
        <v>0</v>
      </c>
      <c r="B535" s="3">
        <f>IF(OR(INDEX($L$2:$L$1001,MATCH(ROWS($K$2:K535),$K$2:$K$1001,0),1)&gt;=100000,INDEX($R$1005:$W$1005,1,MATCH(COLUMNS($R$1006:R1006),$R$1006:$W$1006,0))&gt;=100000), " ",IF(INDEX($R$2:$W$1001,MATCH(ROWS($K$2:K535),$K$2:$K$1001,0),MATCH(COLUMNS($R$1006:R1006),$R$1006:$W$1006,0)), HYPERLINK("#",""), HYPERLINK(CONCATENATE("#Metadata!", ADDRESS(INDEX($M$2:$M$1001,MATCH(ROWS($K$2:K535),$K$2:$K$1001,0),0), INDEX($R$1004:$W$1004,1,MATCH(COLUMNS($R$1006:R1006),$R$1006:$W$1006,0)))),"Fix")))</f>
        <v>0</v>
      </c>
      <c r="C535" s="3">
        <f>IF(OR(INDEX($L$2:$L$1001,MATCH(ROWS($K$2:K535),$K$2:$K$1001,0),1)&gt;=100000,INDEX($R$1005:$W$1005,1,MATCH(COLUMNS($R$1006:S1006),$R$1006:$W$1006,0))&gt;=100000), " ",IF(INDEX($R$2:$W$1001,MATCH(ROWS($K$2:K535),$K$2:$K$1001,0),MATCH(COLUMNS($R$1006:S1006),$R$1006:$W$1006,0)), HYPERLINK("#",""), HYPERLINK(CONCATENATE("#Metadata!", ADDRESS(INDEX($M$2:$M$1001,MATCH(ROWS($K$2:K535),$K$2:$K$1001,0),0), INDEX($R$1004:$W$1004,1,MATCH(COLUMNS($R$1006:S1006),$R$1006:$W$1006,0)))),"Fix")))</f>
        <v>0</v>
      </c>
      <c r="D535" s="3">
        <f>IF(OR(INDEX($L$2:$L$1001,MATCH(ROWS($K$2:K535),$K$2:$K$1001,0),1)&gt;=100000,INDEX($R$1005:$W$1005,1,MATCH(COLUMNS($R$1006:T1006),$R$1006:$W$1006,0))&gt;=100000), " ",IF(INDEX($R$2:$W$1001,MATCH(ROWS($K$2:K535),$K$2:$K$1001,0),MATCH(COLUMNS($R$1006:T1006),$R$1006:$W$1006,0)), HYPERLINK("#",""), HYPERLINK(CONCATENATE("#Metadata!", ADDRESS(INDEX($M$2:$M$1001,MATCH(ROWS($K$2:K535),$K$2:$K$1001,0),0), INDEX($R$1004:$W$1004,1,MATCH(COLUMNS($R$1006:T1006),$R$1006:$W$1006,0)))),"Fix")))</f>
        <v>0</v>
      </c>
      <c r="E535" s="3">
        <f>IF(OR(INDEX($L$2:$L$1001,MATCH(ROWS($K$2:K535),$K$2:$K$1001,0),1)&gt;=100000,INDEX($R$1005:$W$1005,1,MATCH(COLUMNS($R$1006:U1006),$R$1006:$W$1006,0))&gt;=100000), " ",IF(INDEX($R$2:$W$1001,MATCH(ROWS($K$2:K535),$K$2:$K$1001,0),MATCH(COLUMNS($R$1006:U1006),$R$1006:$W$1006,0)), HYPERLINK("#",""), HYPERLINK(CONCATENATE("#Metadata!", ADDRESS(INDEX($M$2:$M$1001,MATCH(ROWS($K$2:K535),$K$2:$K$1001,0),0), INDEX($R$1004:$W$1004,1,MATCH(COLUMNS($R$1006:U1006),$R$1006:$W$1006,0)))),"Fix")))</f>
        <v>0</v>
      </c>
      <c r="F535" s="3">
        <f>IF(OR(INDEX($L$2:$L$1001,MATCH(ROWS($K$2:K535),$K$2:$K$1001,0),1)&gt;=100000,INDEX($R$1005:$W$1005,1,MATCH(COLUMNS($R$1006:V1006),$R$1006:$W$1006,0))&gt;=100000), " ",IF(INDEX($R$2:$W$1001,MATCH(ROWS($K$2:K535),$K$2:$K$1001,0),MATCH(COLUMNS($R$1006:V1006),$R$1006:$W$1006,0)), HYPERLINK("#",""), HYPERLINK(CONCATENATE("#Metadata!", ADDRESS(INDEX($M$2:$M$1001,MATCH(ROWS($K$2:K535),$K$2:$K$1001,0),0), INDEX($R$1004:$W$1004,1,MATCH(COLUMNS($R$1006:V1006),$R$1006:$W$1006,0)))),"Fix")))</f>
        <v>0</v>
      </c>
      <c r="G535" s="3">
        <f>IF(OR(INDEX($L$2:$L$1001,MATCH(ROWS($K$2:K535),$K$2:$K$1001,0),1)&gt;=100000,INDEX($R$1005:$W$1005,1,MATCH(COLUMNS($R$1006:W1006),$R$1006:$W$1006,0))&gt;=100000), " ",IF(INDEX($R$2:$W$1001,MATCH(ROWS($K$2:K535),$K$2:$K$1001,0),MATCH(COLUMNS($R$1006:W1006),$R$1006:$W$1006,0)), HYPERLINK("#",""), HYPERLINK(CONCATENATE("#Metadata!", ADDRESS(INDEX($M$2:$M$1001,MATCH(ROWS($K$2:K535),$K$2:$K$1001,0),0), INDEX($R$1004:$W$1004,1,MATCH(COLUMNS($R$1006:W1006),$R$1006:$W$1006,0)))),"Fix")))</f>
        <v>0</v>
      </c>
      <c r="K535">
        <v>0</v>
      </c>
      <c r="L535">
        <v>0</v>
      </c>
      <c r="M535">
        <v>0</v>
      </c>
      <c r="N535">
        <f>IF(O535,TRUE,AND(R535:W535))</f>
        <v>0</v>
      </c>
      <c r="O535">
        <f>COUNTBLANK(Metadata!B535:G535)=COLUMNS(Metadata!B535:G535)</f>
        <v>0</v>
      </c>
      <c r="P535">
        <v>0</v>
      </c>
      <c r="R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S535">
        <f>IF(Metadata!C535="",FALSE,TRUE)</f>
        <v>0</v>
      </c>
      <c r="T535">
        <f>IF(Metadata!D535="",FALSE,TRUE)</f>
        <v>0</v>
      </c>
      <c r="U535">
        <f>IF(Metadata!E535="",FALSE,TRUE)</f>
        <v>0</v>
      </c>
      <c r="V535">
        <f>AND(IF(Metadata!F535="",FALSE,TRUE),exact(Metadata!F535,"rat gut metagenome"))</f>
        <v>0</v>
      </c>
      <c r="W535">
        <f>AND(IF(Metadata!G535="",FALSE,TRUE),exact(Metadata!G535,"1436733"))</f>
        <v>0</v>
      </c>
    </row>
    <row r="536" spans="1:23">
      <c r="A536" s="4">
        <f>IF(B536=" "," ",HYPERLINK(CONCATENATE("#metadata!",ADDRESS(INDEX($M$2:$M$1001,MATCH(ROWS($K$2:K536),$K$2:$K$1001,0),0),1)),INDEX($P$2:$P$1001,MATCH(ROWS($K$2:K536),$K$2:$K$1001,0),0)))</f>
        <v>0</v>
      </c>
      <c r="B536" s="3">
        <f>IF(OR(INDEX($L$2:$L$1001,MATCH(ROWS($K$2:K536),$K$2:$K$1001,0),1)&gt;=100000,INDEX($R$1005:$W$1005,1,MATCH(COLUMNS($R$1006:R1006),$R$1006:$W$1006,0))&gt;=100000), " ",IF(INDEX($R$2:$W$1001,MATCH(ROWS($K$2:K536),$K$2:$K$1001,0),MATCH(COLUMNS($R$1006:R1006),$R$1006:$W$1006,0)), HYPERLINK("#",""), HYPERLINK(CONCATENATE("#Metadata!", ADDRESS(INDEX($M$2:$M$1001,MATCH(ROWS($K$2:K536),$K$2:$K$1001,0),0), INDEX($R$1004:$W$1004,1,MATCH(COLUMNS($R$1006:R1006),$R$1006:$W$1006,0)))),"Fix")))</f>
        <v>0</v>
      </c>
      <c r="C536" s="3">
        <f>IF(OR(INDEX($L$2:$L$1001,MATCH(ROWS($K$2:K536),$K$2:$K$1001,0),1)&gt;=100000,INDEX($R$1005:$W$1005,1,MATCH(COLUMNS($R$1006:S1006),$R$1006:$W$1006,0))&gt;=100000), " ",IF(INDEX($R$2:$W$1001,MATCH(ROWS($K$2:K536),$K$2:$K$1001,0),MATCH(COLUMNS($R$1006:S1006),$R$1006:$W$1006,0)), HYPERLINK("#",""), HYPERLINK(CONCATENATE("#Metadata!", ADDRESS(INDEX($M$2:$M$1001,MATCH(ROWS($K$2:K536),$K$2:$K$1001,0),0), INDEX($R$1004:$W$1004,1,MATCH(COLUMNS($R$1006:S1006),$R$1006:$W$1006,0)))),"Fix")))</f>
        <v>0</v>
      </c>
      <c r="D536" s="3">
        <f>IF(OR(INDEX($L$2:$L$1001,MATCH(ROWS($K$2:K536),$K$2:$K$1001,0),1)&gt;=100000,INDEX($R$1005:$W$1005,1,MATCH(COLUMNS($R$1006:T1006),$R$1006:$W$1006,0))&gt;=100000), " ",IF(INDEX($R$2:$W$1001,MATCH(ROWS($K$2:K536),$K$2:$K$1001,0),MATCH(COLUMNS($R$1006:T1006),$R$1006:$W$1006,0)), HYPERLINK("#",""), HYPERLINK(CONCATENATE("#Metadata!", ADDRESS(INDEX($M$2:$M$1001,MATCH(ROWS($K$2:K536),$K$2:$K$1001,0),0), INDEX($R$1004:$W$1004,1,MATCH(COLUMNS($R$1006:T1006),$R$1006:$W$1006,0)))),"Fix")))</f>
        <v>0</v>
      </c>
      <c r="E536" s="3">
        <f>IF(OR(INDEX($L$2:$L$1001,MATCH(ROWS($K$2:K536),$K$2:$K$1001,0),1)&gt;=100000,INDEX($R$1005:$W$1005,1,MATCH(COLUMNS($R$1006:U1006),$R$1006:$W$1006,0))&gt;=100000), " ",IF(INDEX($R$2:$W$1001,MATCH(ROWS($K$2:K536),$K$2:$K$1001,0),MATCH(COLUMNS($R$1006:U1006),$R$1006:$W$1006,0)), HYPERLINK("#",""), HYPERLINK(CONCATENATE("#Metadata!", ADDRESS(INDEX($M$2:$M$1001,MATCH(ROWS($K$2:K536),$K$2:$K$1001,0),0), INDEX($R$1004:$W$1004,1,MATCH(COLUMNS($R$1006:U1006),$R$1006:$W$1006,0)))),"Fix")))</f>
        <v>0</v>
      </c>
      <c r="F536" s="3">
        <f>IF(OR(INDEX($L$2:$L$1001,MATCH(ROWS($K$2:K536),$K$2:$K$1001,0),1)&gt;=100000,INDEX($R$1005:$W$1005,1,MATCH(COLUMNS($R$1006:V1006),$R$1006:$W$1006,0))&gt;=100000), " ",IF(INDEX($R$2:$W$1001,MATCH(ROWS($K$2:K536),$K$2:$K$1001,0),MATCH(COLUMNS($R$1006:V1006),$R$1006:$W$1006,0)), HYPERLINK("#",""), HYPERLINK(CONCATENATE("#Metadata!", ADDRESS(INDEX($M$2:$M$1001,MATCH(ROWS($K$2:K536),$K$2:$K$1001,0),0), INDEX($R$1004:$W$1004,1,MATCH(COLUMNS($R$1006:V1006),$R$1006:$W$1006,0)))),"Fix")))</f>
        <v>0</v>
      </c>
      <c r="G536" s="3">
        <f>IF(OR(INDEX($L$2:$L$1001,MATCH(ROWS($K$2:K536),$K$2:$K$1001,0),1)&gt;=100000,INDEX($R$1005:$W$1005,1,MATCH(COLUMNS($R$1006:W1006),$R$1006:$W$1006,0))&gt;=100000), " ",IF(INDEX($R$2:$W$1001,MATCH(ROWS($K$2:K536),$K$2:$K$1001,0),MATCH(COLUMNS($R$1006:W1006),$R$1006:$W$1006,0)), HYPERLINK("#",""), HYPERLINK(CONCATENATE("#Metadata!", ADDRESS(INDEX($M$2:$M$1001,MATCH(ROWS($K$2:K536),$K$2:$K$1001,0),0), INDEX($R$1004:$W$1004,1,MATCH(COLUMNS($R$1006:W1006),$R$1006:$W$1006,0)))),"Fix")))</f>
        <v>0</v>
      </c>
      <c r="K536">
        <v>0</v>
      </c>
      <c r="L536">
        <v>0</v>
      </c>
      <c r="M536">
        <v>0</v>
      </c>
      <c r="N536">
        <f>IF(O536,TRUE,AND(R536:W536))</f>
        <v>0</v>
      </c>
      <c r="O536">
        <f>COUNTBLANK(Metadata!B536:G536)=COLUMNS(Metadata!B536:G536)</f>
        <v>0</v>
      </c>
      <c r="P536">
        <v>0</v>
      </c>
      <c r="R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S536">
        <f>IF(Metadata!C536="",FALSE,TRUE)</f>
        <v>0</v>
      </c>
      <c r="T536">
        <f>IF(Metadata!D536="",FALSE,TRUE)</f>
        <v>0</v>
      </c>
      <c r="U536">
        <f>IF(Metadata!E536="",FALSE,TRUE)</f>
        <v>0</v>
      </c>
      <c r="V536">
        <f>AND(IF(Metadata!F536="",FALSE,TRUE),exact(Metadata!F536,"rat gut metagenome"))</f>
        <v>0</v>
      </c>
      <c r="W536">
        <f>AND(IF(Metadata!G536="",FALSE,TRUE),exact(Metadata!G536,"1436733"))</f>
        <v>0</v>
      </c>
    </row>
    <row r="537" spans="1:23">
      <c r="A537" s="4">
        <f>IF(B537=" "," ",HYPERLINK(CONCATENATE("#metadata!",ADDRESS(INDEX($M$2:$M$1001,MATCH(ROWS($K$2:K537),$K$2:$K$1001,0),0),1)),INDEX($P$2:$P$1001,MATCH(ROWS($K$2:K537),$K$2:$K$1001,0),0)))</f>
        <v>0</v>
      </c>
      <c r="B537" s="3">
        <f>IF(OR(INDEX($L$2:$L$1001,MATCH(ROWS($K$2:K537),$K$2:$K$1001,0),1)&gt;=100000,INDEX($R$1005:$W$1005,1,MATCH(COLUMNS($R$1006:R1006),$R$1006:$W$1006,0))&gt;=100000), " ",IF(INDEX($R$2:$W$1001,MATCH(ROWS($K$2:K537),$K$2:$K$1001,0),MATCH(COLUMNS($R$1006:R1006),$R$1006:$W$1006,0)), HYPERLINK("#",""), HYPERLINK(CONCATENATE("#Metadata!", ADDRESS(INDEX($M$2:$M$1001,MATCH(ROWS($K$2:K537),$K$2:$K$1001,0),0), INDEX($R$1004:$W$1004,1,MATCH(COLUMNS($R$1006:R1006),$R$1006:$W$1006,0)))),"Fix")))</f>
        <v>0</v>
      </c>
      <c r="C537" s="3">
        <f>IF(OR(INDEX($L$2:$L$1001,MATCH(ROWS($K$2:K537),$K$2:$K$1001,0),1)&gt;=100000,INDEX($R$1005:$W$1005,1,MATCH(COLUMNS($R$1006:S1006),$R$1006:$W$1006,0))&gt;=100000), " ",IF(INDEX($R$2:$W$1001,MATCH(ROWS($K$2:K537),$K$2:$K$1001,0),MATCH(COLUMNS($R$1006:S1006),$R$1006:$W$1006,0)), HYPERLINK("#",""), HYPERLINK(CONCATENATE("#Metadata!", ADDRESS(INDEX($M$2:$M$1001,MATCH(ROWS($K$2:K537),$K$2:$K$1001,0),0), INDEX($R$1004:$W$1004,1,MATCH(COLUMNS($R$1006:S1006),$R$1006:$W$1006,0)))),"Fix")))</f>
        <v>0</v>
      </c>
      <c r="D537" s="3">
        <f>IF(OR(INDEX($L$2:$L$1001,MATCH(ROWS($K$2:K537),$K$2:$K$1001,0),1)&gt;=100000,INDEX($R$1005:$W$1005,1,MATCH(COLUMNS($R$1006:T1006),$R$1006:$W$1006,0))&gt;=100000), " ",IF(INDEX($R$2:$W$1001,MATCH(ROWS($K$2:K537),$K$2:$K$1001,0),MATCH(COLUMNS($R$1006:T1006),$R$1006:$W$1006,0)), HYPERLINK("#",""), HYPERLINK(CONCATENATE("#Metadata!", ADDRESS(INDEX($M$2:$M$1001,MATCH(ROWS($K$2:K537),$K$2:$K$1001,0),0), INDEX($R$1004:$W$1004,1,MATCH(COLUMNS($R$1006:T1006),$R$1006:$W$1006,0)))),"Fix")))</f>
        <v>0</v>
      </c>
      <c r="E537" s="3">
        <f>IF(OR(INDEX($L$2:$L$1001,MATCH(ROWS($K$2:K537),$K$2:$K$1001,0),1)&gt;=100000,INDEX($R$1005:$W$1005,1,MATCH(COLUMNS($R$1006:U1006),$R$1006:$W$1006,0))&gt;=100000), " ",IF(INDEX($R$2:$W$1001,MATCH(ROWS($K$2:K537),$K$2:$K$1001,0),MATCH(COLUMNS($R$1006:U1006),$R$1006:$W$1006,0)), HYPERLINK("#",""), HYPERLINK(CONCATENATE("#Metadata!", ADDRESS(INDEX($M$2:$M$1001,MATCH(ROWS($K$2:K537),$K$2:$K$1001,0),0), INDEX($R$1004:$W$1004,1,MATCH(COLUMNS($R$1006:U1006),$R$1006:$W$1006,0)))),"Fix")))</f>
        <v>0</v>
      </c>
      <c r="F537" s="3">
        <f>IF(OR(INDEX($L$2:$L$1001,MATCH(ROWS($K$2:K537),$K$2:$K$1001,0),1)&gt;=100000,INDEX($R$1005:$W$1005,1,MATCH(COLUMNS($R$1006:V1006),$R$1006:$W$1006,0))&gt;=100000), " ",IF(INDEX($R$2:$W$1001,MATCH(ROWS($K$2:K537),$K$2:$K$1001,0),MATCH(COLUMNS($R$1006:V1006),$R$1006:$W$1006,0)), HYPERLINK("#",""), HYPERLINK(CONCATENATE("#Metadata!", ADDRESS(INDEX($M$2:$M$1001,MATCH(ROWS($K$2:K537),$K$2:$K$1001,0),0), INDEX($R$1004:$W$1004,1,MATCH(COLUMNS($R$1006:V1006),$R$1006:$W$1006,0)))),"Fix")))</f>
        <v>0</v>
      </c>
      <c r="G537" s="3">
        <f>IF(OR(INDEX($L$2:$L$1001,MATCH(ROWS($K$2:K537),$K$2:$K$1001,0),1)&gt;=100000,INDEX($R$1005:$W$1005,1,MATCH(COLUMNS($R$1006:W1006),$R$1006:$W$1006,0))&gt;=100000), " ",IF(INDEX($R$2:$W$1001,MATCH(ROWS($K$2:K537),$K$2:$K$1001,0),MATCH(COLUMNS($R$1006:W1006),$R$1006:$W$1006,0)), HYPERLINK("#",""), HYPERLINK(CONCATENATE("#Metadata!", ADDRESS(INDEX($M$2:$M$1001,MATCH(ROWS($K$2:K537),$K$2:$K$1001,0),0), INDEX($R$1004:$W$1004,1,MATCH(COLUMNS($R$1006:W1006),$R$1006:$W$1006,0)))),"Fix")))</f>
        <v>0</v>
      </c>
      <c r="K537">
        <v>0</v>
      </c>
      <c r="L537">
        <v>0</v>
      </c>
      <c r="M537">
        <v>0</v>
      </c>
      <c r="N537">
        <f>IF(O537,TRUE,AND(R537:W537))</f>
        <v>0</v>
      </c>
      <c r="O537">
        <f>COUNTBLANK(Metadata!B537:G537)=COLUMNS(Metadata!B537:G537)</f>
        <v>0</v>
      </c>
      <c r="P537">
        <v>0</v>
      </c>
      <c r="R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S537">
        <f>IF(Metadata!C537="",FALSE,TRUE)</f>
        <v>0</v>
      </c>
      <c r="T537">
        <f>IF(Metadata!D537="",FALSE,TRUE)</f>
        <v>0</v>
      </c>
      <c r="U537">
        <f>IF(Metadata!E537="",FALSE,TRUE)</f>
        <v>0</v>
      </c>
      <c r="V537">
        <f>AND(IF(Metadata!F537="",FALSE,TRUE),exact(Metadata!F537,"rat gut metagenome"))</f>
        <v>0</v>
      </c>
      <c r="W537">
        <f>AND(IF(Metadata!G537="",FALSE,TRUE),exact(Metadata!G537,"1436733"))</f>
        <v>0</v>
      </c>
    </row>
    <row r="538" spans="1:23">
      <c r="A538" s="4">
        <f>IF(B538=" "," ",HYPERLINK(CONCATENATE("#metadata!",ADDRESS(INDEX($M$2:$M$1001,MATCH(ROWS($K$2:K538),$K$2:$K$1001,0),0),1)),INDEX($P$2:$P$1001,MATCH(ROWS($K$2:K538),$K$2:$K$1001,0),0)))</f>
        <v>0</v>
      </c>
      <c r="B538" s="3">
        <f>IF(OR(INDEX($L$2:$L$1001,MATCH(ROWS($K$2:K538),$K$2:$K$1001,0),1)&gt;=100000,INDEX($R$1005:$W$1005,1,MATCH(COLUMNS($R$1006:R1006),$R$1006:$W$1006,0))&gt;=100000), " ",IF(INDEX($R$2:$W$1001,MATCH(ROWS($K$2:K538),$K$2:$K$1001,0),MATCH(COLUMNS($R$1006:R1006),$R$1006:$W$1006,0)), HYPERLINK("#",""), HYPERLINK(CONCATENATE("#Metadata!", ADDRESS(INDEX($M$2:$M$1001,MATCH(ROWS($K$2:K538),$K$2:$K$1001,0),0), INDEX($R$1004:$W$1004,1,MATCH(COLUMNS($R$1006:R1006),$R$1006:$W$1006,0)))),"Fix")))</f>
        <v>0</v>
      </c>
      <c r="C538" s="3">
        <f>IF(OR(INDEX($L$2:$L$1001,MATCH(ROWS($K$2:K538),$K$2:$K$1001,0),1)&gt;=100000,INDEX($R$1005:$W$1005,1,MATCH(COLUMNS($R$1006:S1006),$R$1006:$W$1006,0))&gt;=100000), " ",IF(INDEX($R$2:$W$1001,MATCH(ROWS($K$2:K538),$K$2:$K$1001,0),MATCH(COLUMNS($R$1006:S1006),$R$1006:$W$1006,0)), HYPERLINK("#",""), HYPERLINK(CONCATENATE("#Metadata!", ADDRESS(INDEX($M$2:$M$1001,MATCH(ROWS($K$2:K538),$K$2:$K$1001,0),0), INDEX($R$1004:$W$1004,1,MATCH(COLUMNS($R$1006:S1006),$R$1006:$W$1006,0)))),"Fix")))</f>
        <v>0</v>
      </c>
      <c r="D538" s="3">
        <f>IF(OR(INDEX($L$2:$L$1001,MATCH(ROWS($K$2:K538),$K$2:$K$1001,0),1)&gt;=100000,INDEX($R$1005:$W$1005,1,MATCH(COLUMNS($R$1006:T1006),$R$1006:$W$1006,0))&gt;=100000), " ",IF(INDEX($R$2:$W$1001,MATCH(ROWS($K$2:K538),$K$2:$K$1001,0),MATCH(COLUMNS($R$1006:T1006),$R$1006:$W$1006,0)), HYPERLINK("#",""), HYPERLINK(CONCATENATE("#Metadata!", ADDRESS(INDEX($M$2:$M$1001,MATCH(ROWS($K$2:K538),$K$2:$K$1001,0),0), INDEX($R$1004:$W$1004,1,MATCH(COLUMNS($R$1006:T1006),$R$1006:$W$1006,0)))),"Fix")))</f>
        <v>0</v>
      </c>
      <c r="E538" s="3">
        <f>IF(OR(INDEX($L$2:$L$1001,MATCH(ROWS($K$2:K538),$K$2:$K$1001,0),1)&gt;=100000,INDEX($R$1005:$W$1005,1,MATCH(COLUMNS($R$1006:U1006),$R$1006:$W$1006,0))&gt;=100000), " ",IF(INDEX($R$2:$W$1001,MATCH(ROWS($K$2:K538),$K$2:$K$1001,0),MATCH(COLUMNS($R$1006:U1006),$R$1006:$W$1006,0)), HYPERLINK("#",""), HYPERLINK(CONCATENATE("#Metadata!", ADDRESS(INDEX($M$2:$M$1001,MATCH(ROWS($K$2:K538),$K$2:$K$1001,0),0), INDEX($R$1004:$W$1004,1,MATCH(COLUMNS($R$1006:U1006),$R$1006:$W$1006,0)))),"Fix")))</f>
        <v>0</v>
      </c>
      <c r="F538" s="3">
        <f>IF(OR(INDEX($L$2:$L$1001,MATCH(ROWS($K$2:K538),$K$2:$K$1001,0),1)&gt;=100000,INDEX($R$1005:$W$1005,1,MATCH(COLUMNS($R$1006:V1006),$R$1006:$W$1006,0))&gt;=100000), " ",IF(INDEX($R$2:$W$1001,MATCH(ROWS($K$2:K538),$K$2:$K$1001,0),MATCH(COLUMNS($R$1006:V1006),$R$1006:$W$1006,0)), HYPERLINK("#",""), HYPERLINK(CONCATENATE("#Metadata!", ADDRESS(INDEX($M$2:$M$1001,MATCH(ROWS($K$2:K538),$K$2:$K$1001,0),0), INDEX($R$1004:$W$1004,1,MATCH(COLUMNS($R$1006:V1006),$R$1006:$W$1006,0)))),"Fix")))</f>
        <v>0</v>
      </c>
      <c r="G538" s="3">
        <f>IF(OR(INDEX($L$2:$L$1001,MATCH(ROWS($K$2:K538),$K$2:$K$1001,0),1)&gt;=100000,INDEX($R$1005:$W$1005,1,MATCH(COLUMNS($R$1006:W1006),$R$1006:$W$1006,0))&gt;=100000), " ",IF(INDEX($R$2:$W$1001,MATCH(ROWS($K$2:K538),$K$2:$K$1001,0),MATCH(COLUMNS($R$1006:W1006),$R$1006:$W$1006,0)), HYPERLINK("#",""), HYPERLINK(CONCATENATE("#Metadata!", ADDRESS(INDEX($M$2:$M$1001,MATCH(ROWS($K$2:K538),$K$2:$K$1001,0),0), INDEX($R$1004:$W$1004,1,MATCH(COLUMNS($R$1006:W1006),$R$1006:$W$1006,0)))),"Fix")))</f>
        <v>0</v>
      </c>
      <c r="K538">
        <v>0</v>
      </c>
      <c r="L538">
        <v>0</v>
      </c>
      <c r="M538">
        <v>0</v>
      </c>
      <c r="N538">
        <f>IF(O538,TRUE,AND(R538:W538))</f>
        <v>0</v>
      </c>
      <c r="O538">
        <f>COUNTBLANK(Metadata!B538:G538)=COLUMNS(Metadata!B538:G538)</f>
        <v>0</v>
      </c>
      <c r="P538">
        <v>0</v>
      </c>
      <c r="R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S538">
        <f>IF(Metadata!C538="",FALSE,TRUE)</f>
        <v>0</v>
      </c>
      <c r="T538">
        <f>IF(Metadata!D538="",FALSE,TRUE)</f>
        <v>0</v>
      </c>
      <c r="U538">
        <f>IF(Metadata!E538="",FALSE,TRUE)</f>
        <v>0</v>
      </c>
      <c r="V538">
        <f>AND(IF(Metadata!F538="",FALSE,TRUE),exact(Metadata!F538,"rat gut metagenome"))</f>
        <v>0</v>
      </c>
      <c r="W538">
        <f>AND(IF(Metadata!G538="",FALSE,TRUE),exact(Metadata!G538,"1436733"))</f>
        <v>0</v>
      </c>
    </row>
    <row r="539" spans="1:23">
      <c r="A539" s="4">
        <f>IF(B539=" "," ",HYPERLINK(CONCATENATE("#metadata!",ADDRESS(INDEX($M$2:$M$1001,MATCH(ROWS($K$2:K539),$K$2:$K$1001,0),0),1)),INDEX($P$2:$P$1001,MATCH(ROWS($K$2:K539),$K$2:$K$1001,0),0)))</f>
        <v>0</v>
      </c>
      <c r="B539" s="3">
        <f>IF(OR(INDEX($L$2:$L$1001,MATCH(ROWS($K$2:K539),$K$2:$K$1001,0),1)&gt;=100000,INDEX($R$1005:$W$1005,1,MATCH(COLUMNS($R$1006:R1006),$R$1006:$W$1006,0))&gt;=100000), " ",IF(INDEX($R$2:$W$1001,MATCH(ROWS($K$2:K539),$K$2:$K$1001,0),MATCH(COLUMNS($R$1006:R1006),$R$1006:$W$1006,0)), HYPERLINK("#",""), HYPERLINK(CONCATENATE("#Metadata!", ADDRESS(INDEX($M$2:$M$1001,MATCH(ROWS($K$2:K539),$K$2:$K$1001,0),0), INDEX($R$1004:$W$1004,1,MATCH(COLUMNS($R$1006:R1006),$R$1006:$W$1006,0)))),"Fix")))</f>
        <v>0</v>
      </c>
      <c r="C539" s="3">
        <f>IF(OR(INDEX($L$2:$L$1001,MATCH(ROWS($K$2:K539),$K$2:$K$1001,0),1)&gt;=100000,INDEX($R$1005:$W$1005,1,MATCH(COLUMNS($R$1006:S1006),$R$1006:$W$1006,0))&gt;=100000), " ",IF(INDEX($R$2:$W$1001,MATCH(ROWS($K$2:K539),$K$2:$K$1001,0),MATCH(COLUMNS($R$1006:S1006),$R$1006:$W$1006,0)), HYPERLINK("#",""), HYPERLINK(CONCATENATE("#Metadata!", ADDRESS(INDEX($M$2:$M$1001,MATCH(ROWS($K$2:K539),$K$2:$K$1001,0),0), INDEX($R$1004:$W$1004,1,MATCH(COLUMNS($R$1006:S1006),$R$1006:$W$1006,0)))),"Fix")))</f>
        <v>0</v>
      </c>
      <c r="D539" s="3">
        <f>IF(OR(INDEX($L$2:$L$1001,MATCH(ROWS($K$2:K539),$K$2:$K$1001,0),1)&gt;=100000,INDEX($R$1005:$W$1005,1,MATCH(COLUMNS($R$1006:T1006),$R$1006:$W$1006,0))&gt;=100000), " ",IF(INDEX($R$2:$W$1001,MATCH(ROWS($K$2:K539),$K$2:$K$1001,0),MATCH(COLUMNS($R$1006:T1006),$R$1006:$W$1006,0)), HYPERLINK("#",""), HYPERLINK(CONCATENATE("#Metadata!", ADDRESS(INDEX($M$2:$M$1001,MATCH(ROWS($K$2:K539),$K$2:$K$1001,0),0), INDEX($R$1004:$W$1004,1,MATCH(COLUMNS($R$1006:T1006),$R$1006:$W$1006,0)))),"Fix")))</f>
        <v>0</v>
      </c>
      <c r="E539" s="3">
        <f>IF(OR(INDEX($L$2:$L$1001,MATCH(ROWS($K$2:K539),$K$2:$K$1001,0),1)&gt;=100000,INDEX($R$1005:$W$1005,1,MATCH(COLUMNS($R$1006:U1006),$R$1006:$W$1006,0))&gt;=100000), " ",IF(INDEX($R$2:$W$1001,MATCH(ROWS($K$2:K539),$K$2:$K$1001,0),MATCH(COLUMNS($R$1006:U1006),$R$1006:$W$1006,0)), HYPERLINK("#",""), HYPERLINK(CONCATENATE("#Metadata!", ADDRESS(INDEX($M$2:$M$1001,MATCH(ROWS($K$2:K539),$K$2:$K$1001,0),0), INDEX($R$1004:$W$1004,1,MATCH(COLUMNS($R$1006:U1006),$R$1006:$W$1006,0)))),"Fix")))</f>
        <v>0</v>
      </c>
      <c r="F539" s="3">
        <f>IF(OR(INDEX($L$2:$L$1001,MATCH(ROWS($K$2:K539),$K$2:$K$1001,0),1)&gt;=100000,INDEX($R$1005:$W$1005,1,MATCH(COLUMNS($R$1006:V1006),$R$1006:$W$1006,0))&gt;=100000), " ",IF(INDEX($R$2:$W$1001,MATCH(ROWS($K$2:K539),$K$2:$K$1001,0),MATCH(COLUMNS($R$1006:V1006),$R$1006:$W$1006,0)), HYPERLINK("#",""), HYPERLINK(CONCATENATE("#Metadata!", ADDRESS(INDEX($M$2:$M$1001,MATCH(ROWS($K$2:K539),$K$2:$K$1001,0),0), INDEX($R$1004:$W$1004,1,MATCH(COLUMNS($R$1006:V1006),$R$1006:$W$1006,0)))),"Fix")))</f>
        <v>0</v>
      </c>
      <c r="G539" s="3">
        <f>IF(OR(INDEX($L$2:$L$1001,MATCH(ROWS($K$2:K539),$K$2:$K$1001,0),1)&gt;=100000,INDEX($R$1005:$W$1005,1,MATCH(COLUMNS($R$1006:W1006),$R$1006:$W$1006,0))&gt;=100000), " ",IF(INDEX($R$2:$W$1001,MATCH(ROWS($K$2:K539),$K$2:$K$1001,0),MATCH(COLUMNS($R$1006:W1006),$R$1006:$W$1006,0)), HYPERLINK("#",""), HYPERLINK(CONCATENATE("#Metadata!", ADDRESS(INDEX($M$2:$M$1001,MATCH(ROWS($K$2:K539),$K$2:$K$1001,0),0), INDEX($R$1004:$W$1004,1,MATCH(COLUMNS($R$1006:W1006),$R$1006:$W$1006,0)))),"Fix")))</f>
        <v>0</v>
      </c>
      <c r="K539">
        <v>0</v>
      </c>
      <c r="L539">
        <v>0</v>
      </c>
      <c r="M539">
        <v>0</v>
      </c>
      <c r="N539">
        <f>IF(O539,TRUE,AND(R539:W539))</f>
        <v>0</v>
      </c>
      <c r="O539">
        <f>COUNTBLANK(Metadata!B539:G539)=COLUMNS(Metadata!B539:G539)</f>
        <v>0</v>
      </c>
      <c r="P539">
        <v>0</v>
      </c>
      <c r="R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S539">
        <f>IF(Metadata!C539="",FALSE,TRUE)</f>
        <v>0</v>
      </c>
      <c r="T539">
        <f>IF(Metadata!D539="",FALSE,TRUE)</f>
        <v>0</v>
      </c>
      <c r="U539">
        <f>IF(Metadata!E539="",FALSE,TRUE)</f>
        <v>0</v>
      </c>
      <c r="V539">
        <f>AND(IF(Metadata!F539="",FALSE,TRUE),exact(Metadata!F539,"rat gut metagenome"))</f>
        <v>0</v>
      </c>
      <c r="W539">
        <f>AND(IF(Metadata!G539="",FALSE,TRUE),exact(Metadata!G539,"1436733"))</f>
        <v>0</v>
      </c>
    </row>
    <row r="540" spans="1:23">
      <c r="A540" s="4">
        <f>IF(B540=" "," ",HYPERLINK(CONCATENATE("#metadata!",ADDRESS(INDEX($M$2:$M$1001,MATCH(ROWS($K$2:K540),$K$2:$K$1001,0),0),1)),INDEX($P$2:$P$1001,MATCH(ROWS($K$2:K540),$K$2:$K$1001,0),0)))</f>
        <v>0</v>
      </c>
      <c r="B540" s="3">
        <f>IF(OR(INDEX($L$2:$L$1001,MATCH(ROWS($K$2:K540),$K$2:$K$1001,0),1)&gt;=100000,INDEX($R$1005:$W$1005,1,MATCH(COLUMNS($R$1006:R1006),$R$1006:$W$1006,0))&gt;=100000), " ",IF(INDEX($R$2:$W$1001,MATCH(ROWS($K$2:K540),$K$2:$K$1001,0),MATCH(COLUMNS($R$1006:R1006),$R$1006:$W$1006,0)), HYPERLINK("#",""), HYPERLINK(CONCATENATE("#Metadata!", ADDRESS(INDEX($M$2:$M$1001,MATCH(ROWS($K$2:K540),$K$2:$K$1001,0),0), INDEX($R$1004:$W$1004,1,MATCH(COLUMNS($R$1006:R1006),$R$1006:$W$1006,0)))),"Fix")))</f>
        <v>0</v>
      </c>
      <c r="C540" s="3">
        <f>IF(OR(INDEX($L$2:$L$1001,MATCH(ROWS($K$2:K540),$K$2:$K$1001,0),1)&gt;=100000,INDEX($R$1005:$W$1005,1,MATCH(COLUMNS($R$1006:S1006),$R$1006:$W$1006,0))&gt;=100000), " ",IF(INDEX($R$2:$W$1001,MATCH(ROWS($K$2:K540),$K$2:$K$1001,0),MATCH(COLUMNS($R$1006:S1006),$R$1006:$W$1006,0)), HYPERLINK("#",""), HYPERLINK(CONCATENATE("#Metadata!", ADDRESS(INDEX($M$2:$M$1001,MATCH(ROWS($K$2:K540),$K$2:$K$1001,0),0), INDEX($R$1004:$W$1004,1,MATCH(COLUMNS($R$1006:S1006),$R$1006:$W$1006,0)))),"Fix")))</f>
        <v>0</v>
      </c>
      <c r="D540" s="3">
        <f>IF(OR(INDEX($L$2:$L$1001,MATCH(ROWS($K$2:K540),$K$2:$K$1001,0),1)&gt;=100000,INDEX($R$1005:$W$1005,1,MATCH(COLUMNS($R$1006:T1006),$R$1006:$W$1006,0))&gt;=100000), " ",IF(INDEX($R$2:$W$1001,MATCH(ROWS($K$2:K540),$K$2:$K$1001,0),MATCH(COLUMNS($R$1006:T1006),$R$1006:$W$1006,0)), HYPERLINK("#",""), HYPERLINK(CONCATENATE("#Metadata!", ADDRESS(INDEX($M$2:$M$1001,MATCH(ROWS($K$2:K540),$K$2:$K$1001,0),0), INDEX($R$1004:$W$1004,1,MATCH(COLUMNS($R$1006:T1006),$R$1006:$W$1006,0)))),"Fix")))</f>
        <v>0</v>
      </c>
      <c r="E540" s="3">
        <f>IF(OR(INDEX($L$2:$L$1001,MATCH(ROWS($K$2:K540),$K$2:$K$1001,0),1)&gt;=100000,INDEX($R$1005:$W$1005,1,MATCH(COLUMNS($R$1006:U1006),$R$1006:$W$1006,0))&gt;=100000), " ",IF(INDEX($R$2:$W$1001,MATCH(ROWS($K$2:K540),$K$2:$K$1001,0),MATCH(COLUMNS($R$1006:U1006),$R$1006:$W$1006,0)), HYPERLINK("#",""), HYPERLINK(CONCATENATE("#Metadata!", ADDRESS(INDEX($M$2:$M$1001,MATCH(ROWS($K$2:K540),$K$2:$K$1001,0),0), INDEX($R$1004:$W$1004,1,MATCH(COLUMNS($R$1006:U1006),$R$1006:$W$1006,0)))),"Fix")))</f>
        <v>0</v>
      </c>
      <c r="F540" s="3">
        <f>IF(OR(INDEX($L$2:$L$1001,MATCH(ROWS($K$2:K540),$K$2:$K$1001,0),1)&gt;=100000,INDEX($R$1005:$W$1005,1,MATCH(COLUMNS($R$1006:V1006),$R$1006:$W$1006,0))&gt;=100000), " ",IF(INDEX($R$2:$W$1001,MATCH(ROWS($K$2:K540),$K$2:$K$1001,0),MATCH(COLUMNS($R$1006:V1006),$R$1006:$W$1006,0)), HYPERLINK("#",""), HYPERLINK(CONCATENATE("#Metadata!", ADDRESS(INDEX($M$2:$M$1001,MATCH(ROWS($K$2:K540),$K$2:$K$1001,0),0), INDEX($R$1004:$W$1004,1,MATCH(COLUMNS($R$1006:V1006),$R$1006:$W$1006,0)))),"Fix")))</f>
        <v>0</v>
      </c>
      <c r="G540" s="3">
        <f>IF(OR(INDEX($L$2:$L$1001,MATCH(ROWS($K$2:K540),$K$2:$K$1001,0),1)&gt;=100000,INDEX($R$1005:$W$1005,1,MATCH(COLUMNS($R$1006:W1006),$R$1006:$W$1006,0))&gt;=100000), " ",IF(INDEX($R$2:$W$1001,MATCH(ROWS($K$2:K540),$K$2:$K$1001,0),MATCH(COLUMNS($R$1006:W1006),$R$1006:$W$1006,0)), HYPERLINK("#",""), HYPERLINK(CONCATENATE("#Metadata!", ADDRESS(INDEX($M$2:$M$1001,MATCH(ROWS($K$2:K540),$K$2:$K$1001,0),0), INDEX($R$1004:$W$1004,1,MATCH(COLUMNS($R$1006:W1006),$R$1006:$W$1006,0)))),"Fix")))</f>
        <v>0</v>
      </c>
      <c r="K540">
        <v>0</v>
      </c>
      <c r="L540">
        <v>0</v>
      </c>
      <c r="M540">
        <v>0</v>
      </c>
      <c r="N540">
        <f>IF(O540,TRUE,AND(R540:W540))</f>
        <v>0</v>
      </c>
      <c r="O540">
        <f>COUNTBLANK(Metadata!B540:G540)=COLUMNS(Metadata!B540:G540)</f>
        <v>0</v>
      </c>
      <c r="P540">
        <v>0</v>
      </c>
      <c r="R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S540">
        <f>IF(Metadata!C540="",FALSE,TRUE)</f>
        <v>0</v>
      </c>
      <c r="T540">
        <f>IF(Metadata!D540="",FALSE,TRUE)</f>
        <v>0</v>
      </c>
      <c r="U540">
        <f>IF(Metadata!E540="",FALSE,TRUE)</f>
        <v>0</v>
      </c>
      <c r="V540">
        <f>AND(IF(Metadata!F540="",FALSE,TRUE),exact(Metadata!F540,"rat gut metagenome"))</f>
        <v>0</v>
      </c>
      <c r="W540">
        <f>AND(IF(Metadata!G540="",FALSE,TRUE),exact(Metadata!G540,"1436733"))</f>
        <v>0</v>
      </c>
    </row>
    <row r="541" spans="1:23">
      <c r="A541" s="4">
        <f>IF(B541=" "," ",HYPERLINK(CONCATENATE("#metadata!",ADDRESS(INDEX($M$2:$M$1001,MATCH(ROWS($K$2:K541),$K$2:$K$1001,0),0),1)),INDEX($P$2:$P$1001,MATCH(ROWS($K$2:K541),$K$2:$K$1001,0),0)))</f>
        <v>0</v>
      </c>
      <c r="B541" s="3">
        <f>IF(OR(INDEX($L$2:$L$1001,MATCH(ROWS($K$2:K541),$K$2:$K$1001,0),1)&gt;=100000,INDEX($R$1005:$W$1005,1,MATCH(COLUMNS($R$1006:R1006),$R$1006:$W$1006,0))&gt;=100000), " ",IF(INDEX($R$2:$W$1001,MATCH(ROWS($K$2:K541),$K$2:$K$1001,0),MATCH(COLUMNS($R$1006:R1006),$R$1006:$W$1006,0)), HYPERLINK("#",""), HYPERLINK(CONCATENATE("#Metadata!", ADDRESS(INDEX($M$2:$M$1001,MATCH(ROWS($K$2:K541),$K$2:$K$1001,0),0), INDEX($R$1004:$W$1004,1,MATCH(COLUMNS($R$1006:R1006),$R$1006:$W$1006,0)))),"Fix")))</f>
        <v>0</v>
      </c>
      <c r="C541" s="3">
        <f>IF(OR(INDEX($L$2:$L$1001,MATCH(ROWS($K$2:K541),$K$2:$K$1001,0),1)&gt;=100000,INDEX($R$1005:$W$1005,1,MATCH(COLUMNS($R$1006:S1006),$R$1006:$W$1006,0))&gt;=100000), " ",IF(INDEX($R$2:$W$1001,MATCH(ROWS($K$2:K541),$K$2:$K$1001,0),MATCH(COLUMNS($R$1006:S1006),$R$1006:$W$1006,0)), HYPERLINK("#",""), HYPERLINK(CONCATENATE("#Metadata!", ADDRESS(INDEX($M$2:$M$1001,MATCH(ROWS($K$2:K541),$K$2:$K$1001,0),0), INDEX($R$1004:$W$1004,1,MATCH(COLUMNS($R$1006:S1006),$R$1006:$W$1006,0)))),"Fix")))</f>
        <v>0</v>
      </c>
      <c r="D541" s="3">
        <f>IF(OR(INDEX($L$2:$L$1001,MATCH(ROWS($K$2:K541),$K$2:$K$1001,0),1)&gt;=100000,INDEX($R$1005:$W$1005,1,MATCH(COLUMNS($R$1006:T1006),$R$1006:$W$1006,0))&gt;=100000), " ",IF(INDEX($R$2:$W$1001,MATCH(ROWS($K$2:K541),$K$2:$K$1001,0),MATCH(COLUMNS($R$1006:T1006),$R$1006:$W$1006,0)), HYPERLINK("#",""), HYPERLINK(CONCATENATE("#Metadata!", ADDRESS(INDEX($M$2:$M$1001,MATCH(ROWS($K$2:K541),$K$2:$K$1001,0),0), INDEX($R$1004:$W$1004,1,MATCH(COLUMNS($R$1006:T1006),$R$1006:$W$1006,0)))),"Fix")))</f>
        <v>0</v>
      </c>
      <c r="E541" s="3">
        <f>IF(OR(INDEX($L$2:$L$1001,MATCH(ROWS($K$2:K541),$K$2:$K$1001,0),1)&gt;=100000,INDEX($R$1005:$W$1005,1,MATCH(COLUMNS($R$1006:U1006),$R$1006:$W$1006,0))&gt;=100000), " ",IF(INDEX($R$2:$W$1001,MATCH(ROWS($K$2:K541),$K$2:$K$1001,0),MATCH(COLUMNS($R$1006:U1006),$R$1006:$W$1006,0)), HYPERLINK("#",""), HYPERLINK(CONCATENATE("#Metadata!", ADDRESS(INDEX($M$2:$M$1001,MATCH(ROWS($K$2:K541),$K$2:$K$1001,0),0), INDEX($R$1004:$W$1004,1,MATCH(COLUMNS($R$1006:U1006),$R$1006:$W$1006,0)))),"Fix")))</f>
        <v>0</v>
      </c>
      <c r="F541" s="3">
        <f>IF(OR(INDEX($L$2:$L$1001,MATCH(ROWS($K$2:K541),$K$2:$K$1001,0),1)&gt;=100000,INDEX($R$1005:$W$1005,1,MATCH(COLUMNS($R$1006:V1006),$R$1006:$W$1006,0))&gt;=100000), " ",IF(INDEX($R$2:$W$1001,MATCH(ROWS($K$2:K541),$K$2:$K$1001,0),MATCH(COLUMNS($R$1006:V1006),$R$1006:$W$1006,0)), HYPERLINK("#",""), HYPERLINK(CONCATENATE("#Metadata!", ADDRESS(INDEX($M$2:$M$1001,MATCH(ROWS($K$2:K541),$K$2:$K$1001,0),0), INDEX($R$1004:$W$1004,1,MATCH(COLUMNS($R$1006:V1006),$R$1006:$W$1006,0)))),"Fix")))</f>
        <v>0</v>
      </c>
      <c r="G541" s="3">
        <f>IF(OR(INDEX($L$2:$L$1001,MATCH(ROWS($K$2:K541),$K$2:$K$1001,0),1)&gt;=100000,INDEX($R$1005:$W$1005,1,MATCH(COLUMNS($R$1006:W1006),$R$1006:$W$1006,0))&gt;=100000), " ",IF(INDEX($R$2:$W$1001,MATCH(ROWS($K$2:K541),$K$2:$K$1001,0),MATCH(COLUMNS($R$1006:W1006),$R$1006:$W$1006,0)), HYPERLINK("#",""), HYPERLINK(CONCATENATE("#Metadata!", ADDRESS(INDEX($M$2:$M$1001,MATCH(ROWS($K$2:K541),$K$2:$K$1001,0),0), INDEX($R$1004:$W$1004,1,MATCH(COLUMNS($R$1006:W1006),$R$1006:$W$1006,0)))),"Fix")))</f>
        <v>0</v>
      </c>
      <c r="K541">
        <v>0</v>
      </c>
      <c r="L541">
        <v>0</v>
      </c>
      <c r="M541">
        <v>0</v>
      </c>
      <c r="N541">
        <f>IF(O541,TRUE,AND(R541:W541))</f>
        <v>0</v>
      </c>
      <c r="O541">
        <f>COUNTBLANK(Metadata!B541:G541)=COLUMNS(Metadata!B541:G541)</f>
        <v>0</v>
      </c>
      <c r="P541">
        <v>0</v>
      </c>
      <c r="R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S541">
        <f>IF(Metadata!C541="",FALSE,TRUE)</f>
        <v>0</v>
      </c>
      <c r="T541">
        <f>IF(Metadata!D541="",FALSE,TRUE)</f>
        <v>0</v>
      </c>
      <c r="U541">
        <f>IF(Metadata!E541="",FALSE,TRUE)</f>
        <v>0</v>
      </c>
      <c r="V541">
        <f>AND(IF(Metadata!F541="",FALSE,TRUE),exact(Metadata!F541,"rat gut metagenome"))</f>
        <v>0</v>
      </c>
      <c r="W541">
        <f>AND(IF(Metadata!G541="",FALSE,TRUE),exact(Metadata!G541,"1436733"))</f>
        <v>0</v>
      </c>
    </row>
    <row r="542" spans="1:23">
      <c r="A542" s="4">
        <f>IF(B542=" "," ",HYPERLINK(CONCATENATE("#metadata!",ADDRESS(INDEX($M$2:$M$1001,MATCH(ROWS($K$2:K542),$K$2:$K$1001,0),0),1)),INDEX($P$2:$P$1001,MATCH(ROWS($K$2:K542),$K$2:$K$1001,0),0)))</f>
        <v>0</v>
      </c>
      <c r="B542" s="3">
        <f>IF(OR(INDEX($L$2:$L$1001,MATCH(ROWS($K$2:K542),$K$2:$K$1001,0),1)&gt;=100000,INDEX($R$1005:$W$1005,1,MATCH(COLUMNS($R$1006:R1006),$R$1006:$W$1006,0))&gt;=100000), " ",IF(INDEX($R$2:$W$1001,MATCH(ROWS($K$2:K542),$K$2:$K$1001,0),MATCH(COLUMNS($R$1006:R1006),$R$1006:$W$1006,0)), HYPERLINK("#",""), HYPERLINK(CONCATENATE("#Metadata!", ADDRESS(INDEX($M$2:$M$1001,MATCH(ROWS($K$2:K542),$K$2:$K$1001,0),0), INDEX($R$1004:$W$1004,1,MATCH(COLUMNS($R$1006:R1006),$R$1006:$W$1006,0)))),"Fix")))</f>
        <v>0</v>
      </c>
      <c r="C542" s="3">
        <f>IF(OR(INDEX($L$2:$L$1001,MATCH(ROWS($K$2:K542),$K$2:$K$1001,0),1)&gt;=100000,INDEX($R$1005:$W$1005,1,MATCH(COLUMNS($R$1006:S1006),$R$1006:$W$1006,0))&gt;=100000), " ",IF(INDEX($R$2:$W$1001,MATCH(ROWS($K$2:K542),$K$2:$K$1001,0),MATCH(COLUMNS($R$1006:S1006),$R$1006:$W$1006,0)), HYPERLINK("#",""), HYPERLINK(CONCATENATE("#Metadata!", ADDRESS(INDEX($M$2:$M$1001,MATCH(ROWS($K$2:K542),$K$2:$K$1001,0),0), INDEX($R$1004:$W$1004,1,MATCH(COLUMNS($R$1006:S1006),$R$1006:$W$1006,0)))),"Fix")))</f>
        <v>0</v>
      </c>
      <c r="D542" s="3">
        <f>IF(OR(INDEX($L$2:$L$1001,MATCH(ROWS($K$2:K542),$K$2:$K$1001,0),1)&gt;=100000,INDEX($R$1005:$W$1005,1,MATCH(COLUMNS($R$1006:T1006),$R$1006:$W$1006,0))&gt;=100000), " ",IF(INDEX($R$2:$W$1001,MATCH(ROWS($K$2:K542),$K$2:$K$1001,0),MATCH(COLUMNS($R$1006:T1006),$R$1006:$W$1006,0)), HYPERLINK("#",""), HYPERLINK(CONCATENATE("#Metadata!", ADDRESS(INDEX($M$2:$M$1001,MATCH(ROWS($K$2:K542),$K$2:$K$1001,0),0), INDEX($R$1004:$W$1004,1,MATCH(COLUMNS($R$1006:T1006),$R$1006:$W$1006,0)))),"Fix")))</f>
        <v>0</v>
      </c>
      <c r="E542" s="3">
        <f>IF(OR(INDEX($L$2:$L$1001,MATCH(ROWS($K$2:K542),$K$2:$K$1001,0),1)&gt;=100000,INDEX($R$1005:$W$1005,1,MATCH(COLUMNS($R$1006:U1006),$R$1006:$W$1006,0))&gt;=100000), " ",IF(INDEX($R$2:$W$1001,MATCH(ROWS($K$2:K542),$K$2:$K$1001,0),MATCH(COLUMNS($R$1006:U1006),$R$1006:$W$1006,0)), HYPERLINK("#",""), HYPERLINK(CONCATENATE("#Metadata!", ADDRESS(INDEX($M$2:$M$1001,MATCH(ROWS($K$2:K542),$K$2:$K$1001,0),0), INDEX($R$1004:$W$1004,1,MATCH(COLUMNS($R$1006:U1006),$R$1006:$W$1006,0)))),"Fix")))</f>
        <v>0</v>
      </c>
      <c r="F542" s="3">
        <f>IF(OR(INDEX($L$2:$L$1001,MATCH(ROWS($K$2:K542),$K$2:$K$1001,0),1)&gt;=100000,INDEX($R$1005:$W$1005,1,MATCH(COLUMNS($R$1006:V1006),$R$1006:$W$1006,0))&gt;=100000), " ",IF(INDEX($R$2:$W$1001,MATCH(ROWS($K$2:K542),$K$2:$K$1001,0),MATCH(COLUMNS($R$1006:V1006),$R$1006:$W$1006,0)), HYPERLINK("#",""), HYPERLINK(CONCATENATE("#Metadata!", ADDRESS(INDEX($M$2:$M$1001,MATCH(ROWS($K$2:K542),$K$2:$K$1001,0),0), INDEX($R$1004:$W$1004,1,MATCH(COLUMNS($R$1006:V1006),$R$1006:$W$1006,0)))),"Fix")))</f>
        <v>0</v>
      </c>
      <c r="G542" s="3">
        <f>IF(OR(INDEX($L$2:$L$1001,MATCH(ROWS($K$2:K542),$K$2:$K$1001,0),1)&gt;=100000,INDEX($R$1005:$W$1005,1,MATCH(COLUMNS($R$1006:W1006),$R$1006:$W$1006,0))&gt;=100000), " ",IF(INDEX($R$2:$W$1001,MATCH(ROWS($K$2:K542),$K$2:$K$1001,0),MATCH(COLUMNS($R$1006:W1006),$R$1006:$W$1006,0)), HYPERLINK("#",""), HYPERLINK(CONCATENATE("#Metadata!", ADDRESS(INDEX($M$2:$M$1001,MATCH(ROWS($K$2:K542),$K$2:$K$1001,0),0), INDEX($R$1004:$W$1004,1,MATCH(COLUMNS($R$1006:W1006),$R$1006:$W$1006,0)))),"Fix")))</f>
        <v>0</v>
      </c>
      <c r="K542">
        <v>0</v>
      </c>
      <c r="L542">
        <v>0</v>
      </c>
      <c r="M542">
        <v>0</v>
      </c>
      <c r="N542">
        <f>IF(O542,TRUE,AND(R542:W542))</f>
        <v>0</v>
      </c>
      <c r="O542">
        <f>COUNTBLANK(Metadata!B542:G542)=COLUMNS(Metadata!B542:G542)</f>
        <v>0</v>
      </c>
      <c r="P542">
        <v>0</v>
      </c>
      <c r="R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S542">
        <f>IF(Metadata!C542="",FALSE,TRUE)</f>
        <v>0</v>
      </c>
      <c r="T542">
        <f>IF(Metadata!D542="",FALSE,TRUE)</f>
        <v>0</v>
      </c>
      <c r="U542">
        <f>IF(Metadata!E542="",FALSE,TRUE)</f>
        <v>0</v>
      </c>
      <c r="V542">
        <f>AND(IF(Metadata!F542="",FALSE,TRUE),exact(Metadata!F542,"rat gut metagenome"))</f>
        <v>0</v>
      </c>
      <c r="W542">
        <f>AND(IF(Metadata!G542="",FALSE,TRUE),exact(Metadata!G542,"1436733"))</f>
        <v>0</v>
      </c>
    </row>
    <row r="543" spans="1:23">
      <c r="A543" s="4">
        <f>IF(B543=" "," ",HYPERLINK(CONCATENATE("#metadata!",ADDRESS(INDEX($M$2:$M$1001,MATCH(ROWS($K$2:K543),$K$2:$K$1001,0),0),1)),INDEX($P$2:$P$1001,MATCH(ROWS($K$2:K543),$K$2:$K$1001,0),0)))</f>
        <v>0</v>
      </c>
      <c r="B543" s="3">
        <f>IF(OR(INDEX($L$2:$L$1001,MATCH(ROWS($K$2:K543),$K$2:$K$1001,0),1)&gt;=100000,INDEX($R$1005:$W$1005,1,MATCH(COLUMNS($R$1006:R1006),$R$1006:$W$1006,0))&gt;=100000), " ",IF(INDEX($R$2:$W$1001,MATCH(ROWS($K$2:K543),$K$2:$K$1001,0),MATCH(COLUMNS($R$1006:R1006),$R$1006:$W$1006,0)), HYPERLINK("#",""), HYPERLINK(CONCATENATE("#Metadata!", ADDRESS(INDEX($M$2:$M$1001,MATCH(ROWS($K$2:K543),$K$2:$K$1001,0),0), INDEX($R$1004:$W$1004,1,MATCH(COLUMNS($R$1006:R1006),$R$1006:$W$1006,0)))),"Fix")))</f>
        <v>0</v>
      </c>
      <c r="C543" s="3">
        <f>IF(OR(INDEX($L$2:$L$1001,MATCH(ROWS($K$2:K543),$K$2:$K$1001,0),1)&gt;=100000,INDEX($R$1005:$W$1005,1,MATCH(COLUMNS($R$1006:S1006),$R$1006:$W$1006,0))&gt;=100000), " ",IF(INDEX($R$2:$W$1001,MATCH(ROWS($K$2:K543),$K$2:$K$1001,0),MATCH(COLUMNS($R$1006:S1006),$R$1006:$W$1006,0)), HYPERLINK("#",""), HYPERLINK(CONCATENATE("#Metadata!", ADDRESS(INDEX($M$2:$M$1001,MATCH(ROWS($K$2:K543),$K$2:$K$1001,0),0), INDEX($R$1004:$W$1004,1,MATCH(COLUMNS($R$1006:S1006),$R$1006:$W$1006,0)))),"Fix")))</f>
        <v>0</v>
      </c>
      <c r="D543" s="3">
        <f>IF(OR(INDEX($L$2:$L$1001,MATCH(ROWS($K$2:K543),$K$2:$K$1001,0),1)&gt;=100000,INDEX($R$1005:$W$1005,1,MATCH(COLUMNS($R$1006:T1006),$R$1006:$W$1006,0))&gt;=100000), " ",IF(INDEX($R$2:$W$1001,MATCH(ROWS($K$2:K543),$K$2:$K$1001,0),MATCH(COLUMNS($R$1006:T1006),$R$1006:$W$1006,0)), HYPERLINK("#",""), HYPERLINK(CONCATENATE("#Metadata!", ADDRESS(INDEX($M$2:$M$1001,MATCH(ROWS($K$2:K543),$K$2:$K$1001,0),0), INDEX($R$1004:$W$1004,1,MATCH(COLUMNS($R$1006:T1006),$R$1006:$W$1006,0)))),"Fix")))</f>
        <v>0</v>
      </c>
      <c r="E543" s="3">
        <f>IF(OR(INDEX($L$2:$L$1001,MATCH(ROWS($K$2:K543),$K$2:$K$1001,0),1)&gt;=100000,INDEX($R$1005:$W$1005,1,MATCH(COLUMNS($R$1006:U1006),$R$1006:$W$1006,0))&gt;=100000), " ",IF(INDEX($R$2:$W$1001,MATCH(ROWS($K$2:K543),$K$2:$K$1001,0),MATCH(COLUMNS($R$1006:U1006),$R$1006:$W$1006,0)), HYPERLINK("#",""), HYPERLINK(CONCATENATE("#Metadata!", ADDRESS(INDEX($M$2:$M$1001,MATCH(ROWS($K$2:K543),$K$2:$K$1001,0),0), INDEX($R$1004:$W$1004,1,MATCH(COLUMNS($R$1006:U1006),$R$1006:$W$1006,0)))),"Fix")))</f>
        <v>0</v>
      </c>
      <c r="F543" s="3">
        <f>IF(OR(INDEX($L$2:$L$1001,MATCH(ROWS($K$2:K543),$K$2:$K$1001,0),1)&gt;=100000,INDEX($R$1005:$W$1005,1,MATCH(COLUMNS($R$1006:V1006),$R$1006:$W$1006,0))&gt;=100000), " ",IF(INDEX($R$2:$W$1001,MATCH(ROWS($K$2:K543),$K$2:$K$1001,0),MATCH(COLUMNS($R$1006:V1006),$R$1006:$W$1006,0)), HYPERLINK("#",""), HYPERLINK(CONCATENATE("#Metadata!", ADDRESS(INDEX($M$2:$M$1001,MATCH(ROWS($K$2:K543),$K$2:$K$1001,0),0), INDEX($R$1004:$W$1004,1,MATCH(COLUMNS($R$1006:V1006),$R$1006:$W$1006,0)))),"Fix")))</f>
        <v>0</v>
      </c>
      <c r="G543" s="3">
        <f>IF(OR(INDEX($L$2:$L$1001,MATCH(ROWS($K$2:K543),$K$2:$K$1001,0),1)&gt;=100000,INDEX($R$1005:$W$1005,1,MATCH(COLUMNS($R$1006:W1006),$R$1006:$W$1006,0))&gt;=100000), " ",IF(INDEX($R$2:$W$1001,MATCH(ROWS($K$2:K543),$K$2:$K$1001,0),MATCH(COLUMNS($R$1006:W1006),$R$1006:$W$1006,0)), HYPERLINK("#",""), HYPERLINK(CONCATENATE("#Metadata!", ADDRESS(INDEX($M$2:$M$1001,MATCH(ROWS($K$2:K543),$K$2:$K$1001,0),0), INDEX($R$1004:$W$1004,1,MATCH(COLUMNS($R$1006:W1006),$R$1006:$W$1006,0)))),"Fix")))</f>
        <v>0</v>
      </c>
      <c r="K543">
        <v>0</v>
      </c>
      <c r="L543">
        <v>0</v>
      </c>
      <c r="M543">
        <v>0</v>
      </c>
      <c r="N543">
        <f>IF(O543,TRUE,AND(R543:W543))</f>
        <v>0</v>
      </c>
      <c r="O543">
        <f>COUNTBLANK(Metadata!B543:G543)=COLUMNS(Metadata!B543:G543)</f>
        <v>0</v>
      </c>
      <c r="P543">
        <v>0</v>
      </c>
      <c r="R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S543">
        <f>IF(Metadata!C543="",FALSE,TRUE)</f>
        <v>0</v>
      </c>
      <c r="T543">
        <f>IF(Metadata!D543="",FALSE,TRUE)</f>
        <v>0</v>
      </c>
      <c r="U543">
        <f>IF(Metadata!E543="",FALSE,TRUE)</f>
        <v>0</v>
      </c>
      <c r="V543">
        <f>AND(IF(Metadata!F543="",FALSE,TRUE),exact(Metadata!F543,"rat gut metagenome"))</f>
        <v>0</v>
      </c>
      <c r="W543">
        <f>AND(IF(Metadata!G543="",FALSE,TRUE),exact(Metadata!G543,"1436733"))</f>
        <v>0</v>
      </c>
    </row>
    <row r="544" spans="1:23">
      <c r="A544" s="4">
        <f>IF(B544=" "," ",HYPERLINK(CONCATENATE("#metadata!",ADDRESS(INDEX($M$2:$M$1001,MATCH(ROWS($K$2:K544),$K$2:$K$1001,0),0),1)),INDEX($P$2:$P$1001,MATCH(ROWS($K$2:K544),$K$2:$K$1001,0),0)))</f>
        <v>0</v>
      </c>
      <c r="B544" s="3">
        <f>IF(OR(INDEX($L$2:$L$1001,MATCH(ROWS($K$2:K544),$K$2:$K$1001,0),1)&gt;=100000,INDEX($R$1005:$W$1005,1,MATCH(COLUMNS($R$1006:R1006),$R$1006:$W$1006,0))&gt;=100000), " ",IF(INDEX($R$2:$W$1001,MATCH(ROWS($K$2:K544),$K$2:$K$1001,0),MATCH(COLUMNS($R$1006:R1006),$R$1006:$W$1006,0)), HYPERLINK("#",""), HYPERLINK(CONCATENATE("#Metadata!", ADDRESS(INDEX($M$2:$M$1001,MATCH(ROWS($K$2:K544),$K$2:$K$1001,0),0), INDEX($R$1004:$W$1004,1,MATCH(COLUMNS($R$1006:R1006),$R$1006:$W$1006,0)))),"Fix")))</f>
        <v>0</v>
      </c>
      <c r="C544" s="3">
        <f>IF(OR(INDEX($L$2:$L$1001,MATCH(ROWS($K$2:K544),$K$2:$K$1001,0),1)&gt;=100000,INDEX($R$1005:$W$1005,1,MATCH(COLUMNS($R$1006:S1006),$R$1006:$W$1006,0))&gt;=100000), " ",IF(INDEX($R$2:$W$1001,MATCH(ROWS($K$2:K544),$K$2:$K$1001,0),MATCH(COLUMNS($R$1006:S1006),$R$1006:$W$1006,0)), HYPERLINK("#",""), HYPERLINK(CONCATENATE("#Metadata!", ADDRESS(INDEX($M$2:$M$1001,MATCH(ROWS($K$2:K544),$K$2:$K$1001,0),0), INDEX($R$1004:$W$1004,1,MATCH(COLUMNS($R$1006:S1006),$R$1006:$W$1006,0)))),"Fix")))</f>
        <v>0</v>
      </c>
      <c r="D544" s="3">
        <f>IF(OR(INDEX($L$2:$L$1001,MATCH(ROWS($K$2:K544),$K$2:$K$1001,0),1)&gt;=100000,INDEX($R$1005:$W$1005,1,MATCH(COLUMNS($R$1006:T1006),$R$1006:$W$1006,0))&gt;=100000), " ",IF(INDEX($R$2:$W$1001,MATCH(ROWS($K$2:K544),$K$2:$K$1001,0),MATCH(COLUMNS($R$1006:T1006),$R$1006:$W$1006,0)), HYPERLINK("#",""), HYPERLINK(CONCATENATE("#Metadata!", ADDRESS(INDEX($M$2:$M$1001,MATCH(ROWS($K$2:K544),$K$2:$K$1001,0),0), INDEX($R$1004:$W$1004,1,MATCH(COLUMNS($R$1006:T1006),$R$1006:$W$1006,0)))),"Fix")))</f>
        <v>0</v>
      </c>
      <c r="E544" s="3">
        <f>IF(OR(INDEX($L$2:$L$1001,MATCH(ROWS($K$2:K544),$K$2:$K$1001,0),1)&gt;=100000,INDEX($R$1005:$W$1005,1,MATCH(COLUMNS($R$1006:U1006),$R$1006:$W$1006,0))&gt;=100000), " ",IF(INDEX($R$2:$W$1001,MATCH(ROWS($K$2:K544),$K$2:$K$1001,0),MATCH(COLUMNS($R$1006:U1006),$R$1006:$W$1006,0)), HYPERLINK("#",""), HYPERLINK(CONCATENATE("#Metadata!", ADDRESS(INDEX($M$2:$M$1001,MATCH(ROWS($K$2:K544),$K$2:$K$1001,0),0), INDEX($R$1004:$W$1004,1,MATCH(COLUMNS($R$1006:U1006),$R$1006:$W$1006,0)))),"Fix")))</f>
        <v>0</v>
      </c>
      <c r="F544" s="3">
        <f>IF(OR(INDEX($L$2:$L$1001,MATCH(ROWS($K$2:K544),$K$2:$K$1001,0),1)&gt;=100000,INDEX($R$1005:$W$1005,1,MATCH(COLUMNS($R$1006:V1006),$R$1006:$W$1006,0))&gt;=100000), " ",IF(INDEX($R$2:$W$1001,MATCH(ROWS($K$2:K544),$K$2:$K$1001,0),MATCH(COLUMNS($R$1006:V1006),$R$1006:$W$1006,0)), HYPERLINK("#",""), HYPERLINK(CONCATENATE("#Metadata!", ADDRESS(INDEX($M$2:$M$1001,MATCH(ROWS($K$2:K544),$K$2:$K$1001,0),0), INDEX($R$1004:$W$1004,1,MATCH(COLUMNS($R$1006:V1006),$R$1006:$W$1006,0)))),"Fix")))</f>
        <v>0</v>
      </c>
      <c r="G544" s="3">
        <f>IF(OR(INDEX($L$2:$L$1001,MATCH(ROWS($K$2:K544),$K$2:$K$1001,0),1)&gt;=100000,INDEX($R$1005:$W$1005,1,MATCH(COLUMNS($R$1006:W1006),$R$1006:$W$1006,0))&gt;=100000), " ",IF(INDEX($R$2:$W$1001,MATCH(ROWS($K$2:K544),$K$2:$K$1001,0),MATCH(COLUMNS($R$1006:W1006),$R$1006:$W$1006,0)), HYPERLINK("#",""), HYPERLINK(CONCATENATE("#Metadata!", ADDRESS(INDEX($M$2:$M$1001,MATCH(ROWS($K$2:K544),$K$2:$K$1001,0),0), INDEX($R$1004:$W$1004,1,MATCH(COLUMNS($R$1006:W1006),$R$1006:$W$1006,0)))),"Fix")))</f>
        <v>0</v>
      </c>
      <c r="K544">
        <v>0</v>
      </c>
      <c r="L544">
        <v>0</v>
      </c>
      <c r="M544">
        <v>0</v>
      </c>
      <c r="N544">
        <f>IF(O544,TRUE,AND(R544:W544))</f>
        <v>0</v>
      </c>
      <c r="O544">
        <f>COUNTBLANK(Metadata!B544:G544)=COLUMNS(Metadata!B544:G544)</f>
        <v>0</v>
      </c>
      <c r="P544">
        <v>0</v>
      </c>
      <c r="R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S544">
        <f>IF(Metadata!C544="",FALSE,TRUE)</f>
        <v>0</v>
      </c>
      <c r="T544">
        <f>IF(Metadata!D544="",FALSE,TRUE)</f>
        <v>0</v>
      </c>
      <c r="U544">
        <f>IF(Metadata!E544="",FALSE,TRUE)</f>
        <v>0</v>
      </c>
      <c r="V544">
        <f>AND(IF(Metadata!F544="",FALSE,TRUE),exact(Metadata!F544,"rat gut metagenome"))</f>
        <v>0</v>
      </c>
      <c r="W544">
        <f>AND(IF(Metadata!G544="",FALSE,TRUE),exact(Metadata!G544,"1436733"))</f>
        <v>0</v>
      </c>
    </row>
    <row r="545" spans="1:23">
      <c r="A545" s="4">
        <f>IF(B545=" "," ",HYPERLINK(CONCATENATE("#metadata!",ADDRESS(INDEX($M$2:$M$1001,MATCH(ROWS($K$2:K545),$K$2:$K$1001,0),0),1)),INDEX($P$2:$P$1001,MATCH(ROWS($K$2:K545),$K$2:$K$1001,0),0)))</f>
        <v>0</v>
      </c>
      <c r="B545" s="3">
        <f>IF(OR(INDEX($L$2:$L$1001,MATCH(ROWS($K$2:K545),$K$2:$K$1001,0),1)&gt;=100000,INDEX($R$1005:$W$1005,1,MATCH(COLUMNS($R$1006:R1006),$R$1006:$W$1006,0))&gt;=100000), " ",IF(INDEX($R$2:$W$1001,MATCH(ROWS($K$2:K545),$K$2:$K$1001,0),MATCH(COLUMNS($R$1006:R1006),$R$1006:$W$1006,0)), HYPERLINK("#",""), HYPERLINK(CONCATENATE("#Metadata!", ADDRESS(INDEX($M$2:$M$1001,MATCH(ROWS($K$2:K545),$K$2:$K$1001,0),0), INDEX($R$1004:$W$1004,1,MATCH(COLUMNS($R$1006:R1006),$R$1006:$W$1006,0)))),"Fix")))</f>
        <v>0</v>
      </c>
      <c r="C545" s="3">
        <f>IF(OR(INDEX($L$2:$L$1001,MATCH(ROWS($K$2:K545),$K$2:$K$1001,0),1)&gt;=100000,INDEX($R$1005:$W$1005,1,MATCH(COLUMNS($R$1006:S1006),$R$1006:$W$1006,0))&gt;=100000), " ",IF(INDEX($R$2:$W$1001,MATCH(ROWS($K$2:K545),$K$2:$K$1001,0),MATCH(COLUMNS($R$1006:S1006),$R$1006:$W$1006,0)), HYPERLINK("#",""), HYPERLINK(CONCATENATE("#Metadata!", ADDRESS(INDEX($M$2:$M$1001,MATCH(ROWS($K$2:K545),$K$2:$K$1001,0),0), INDEX($R$1004:$W$1004,1,MATCH(COLUMNS($R$1006:S1006),$R$1006:$W$1006,0)))),"Fix")))</f>
        <v>0</v>
      </c>
      <c r="D545" s="3">
        <f>IF(OR(INDEX($L$2:$L$1001,MATCH(ROWS($K$2:K545),$K$2:$K$1001,0),1)&gt;=100000,INDEX($R$1005:$W$1005,1,MATCH(COLUMNS($R$1006:T1006),$R$1006:$W$1006,0))&gt;=100000), " ",IF(INDEX($R$2:$W$1001,MATCH(ROWS($K$2:K545),$K$2:$K$1001,0),MATCH(COLUMNS($R$1006:T1006),$R$1006:$W$1006,0)), HYPERLINK("#",""), HYPERLINK(CONCATENATE("#Metadata!", ADDRESS(INDEX($M$2:$M$1001,MATCH(ROWS($K$2:K545),$K$2:$K$1001,0),0), INDEX($R$1004:$W$1004,1,MATCH(COLUMNS($R$1006:T1006),$R$1006:$W$1006,0)))),"Fix")))</f>
        <v>0</v>
      </c>
      <c r="E545" s="3">
        <f>IF(OR(INDEX($L$2:$L$1001,MATCH(ROWS($K$2:K545),$K$2:$K$1001,0),1)&gt;=100000,INDEX($R$1005:$W$1005,1,MATCH(COLUMNS($R$1006:U1006),$R$1006:$W$1006,0))&gt;=100000), " ",IF(INDEX($R$2:$W$1001,MATCH(ROWS($K$2:K545),$K$2:$K$1001,0),MATCH(COLUMNS($R$1006:U1006),$R$1006:$W$1006,0)), HYPERLINK("#",""), HYPERLINK(CONCATENATE("#Metadata!", ADDRESS(INDEX($M$2:$M$1001,MATCH(ROWS($K$2:K545),$K$2:$K$1001,0),0), INDEX($R$1004:$W$1004,1,MATCH(COLUMNS($R$1006:U1006),$R$1006:$W$1006,0)))),"Fix")))</f>
        <v>0</v>
      </c>
      <c r="F545" s="3">
        <f>IF(OR(INDEX($L$2:$L$1001,MATCH(ROWS($K$2:K545),$K$2:$K$1001,0),1)&gt;=100000,INDEX($R$1005:$W$1005,1,MATCH(COLUMNS($R$1006:V1006),$R$1006:$W$1006,0))&gt;=100000), " ",IF(INDEX($R$2:$W$1001,MATCH(ROWS($K$2:K545),$K$2:$K$1001,0),MATCH(COLUMNS($R$1006:V1006),$R$1006:$W$1006,0)), HYPERLINK("#",""), HYPERLINK(CONCATENATE("#Metadata!", ADDRESS(INDEX($M$2:$M$1001,MATCH(ROWS($K$2:K545),$K$2:$K$1001,0),0), INDEX($R$1004:$W$1004,1,MATCH(COLUMNS($R$1006:V1006),$R$1006:$W$1006,0)))),"Fix")))</f>
        <v>0</v>
      </c>
      <c r="G545" s="3">
        <f>IF(OR(INDEX($L$2:$L$1001,MATCH(ROWS($K$2:K545),$K$2:$K$1001,0),1)&gt;=100000,INDEX($R$1005:$W$1005,1,MATCH(COLUMNS($R$1006:W1006),$R$1006:$W$1006,0))&gt;=100000), " ",IF(INDEX($R$2:$W$1001,MATCH(ROWS($K$2:K545),$K$2:$K$1001,0),MATCH(COLUMNS($R$1006:W1006),$R$1006:$W$1006,0)), HYPERLINK("#",""), HYPERLINK(CONCATENATE("#Metadata!", ADDRESS(INDEX($M$2:$M$1001,MATCH(ROWS($K$2:K545),$K$2:$K$1001,0),0), INDEX($R$1004:$W$1004,1,MATCH(COLUMNS($R$1006:W1006),$R$1006:$W$1006,0)))),"Fix")))</f>
        <v>0</v>
      </c>
      <c r="K545">
        <v>0</v>
      </c>
      <c r="L545">
        <v>0</v>
      </c>
      <c r="M545">
        <v>0</v>
      </c>
      <c r="N545">
        <f>IF(O545,TRUE,AND(R545:W545))</f>
        <v>0</v>
      </c>
      <c r="O545">
        <f>COUNTBLANK(Metadata!B545:G545)=COLUMNS(Metadata!B545:G545)</f>
        <v>0</v>
      </c>
      <c r="P545">
        <v>0</v>
      </c>
      <c r="R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S545">
        <f>IF(Metadata!C545="",FALSE,TRUE)</f>
        <v>0</v>
      </c>
      <c r="T545">
        <f>IF(Metadata!D545="",FALSE,TRUE)</f>
        <v>0</v>
      </c>
      <c r="U545">
        <f>IF(Metadata!E545="",FALSE,TRUE)</f>
        <v>0</v>
      </c>
      <c r="V545">
        <f>AND(IF(Metadata!F545="",FALSE,TRUE),exact(Metadata!F545,"rat gut metagenome"))</f>
        <v>0</v>
      </c>
      <c r="W545">
        <f>AND(IF(Metadata!G545="",FALSE,TRUE),exact(Metadata!G545,"1436733"))</f>
        <v>0</v>
      </c>
    </row>
    <row r="546" spans="1:23">
      <c r="A546" s="4">
        <f>IF(B546=" "," ",HYPERLINK(CONCATENATE("#metadata!",ADDRESS(INDEX($M$2:$M$1001,MATCH(ROWS($K$2:K546),$K$2:$K$1001,0),0),1)),INDEX($P$2:$P$1001,MATCH(ROWS($K$2:K546),$K$2:$K$1001,0),0)))</f>
        <v>0</v>
      </c>
      <c r="B546" s="3">
        <f>IF(OR(INDEX($L$2:$L$1001,MATCH(ROWS($K$2:K546),$K$2:$K$1001,0),1)&gt;=100000,INDEX($R$1005:$W$1005,1,MATCH(COLUMNS($R$1006:R1006),$R$1006:$W$1006,0))&gt;=100000), " ",IF(INDEX($R$2:$W$1001,MATCH(ROWS($K$2:K546),$K$2:$K$1001,0),MATCH(COLUMNS($R$1006:R1006),$R$1006:$W$1006,0)), HYPERLINK("#",""), HYPERLINK(CONCATENATE("#Metadata!", ADDRESS(INDEX($M$2:$M$1001,MATCH(ROWS($K$2:K546),$K$2:$K$1001,0),0), INDEX($R$1004:$W$1004,1,MATCH(COLUMNS($R$1006:R1006),$R$1006:$W$1006,0)))),"Fix")))</f>
        <v>0</v>
      </c>
      <c r="C546" s="3">
        <f>IF(OR(INDEX($L$2:$L$1001,MATCH(ROWS($K$2:K546),$K$2:$K$1001,0),1)&gt;=100000,INDEX($R$1005:$W$1005,1,MATCH(COLUMNS($R$1006:S1006),$R$1006:$W$1006,0))&gt;=100000), " ",IF(INDEX($R$2:$W$1001,MATCH(ROWS($K$2:K546),$K$2:$K$1001,0),MATCH(COLUMNS($R$1006:S1006),$R$1006:$W$1006,0)), HYPERLINK("#",""), HYPERLINK(CONCATENATE("#Metadata!", ADDRESS(INDEX($M$2:$M$1001,MATCH(ROWS($K$2:K546),$K$2:$K$1001,0),0), INDEX($R$1004:$W$1004,1,MATCH(COLUMNS($R$1006:S1006),$R$1006:$W$1006,0)))),"Fix")))</f>
        <v>0</v>
      </c>
      <c r="D546" s="3">
        <f>IF(OR(INDEX($L$2:$L$1001,MATCH(ROWS($K$2:K546),$K$2:$K$1001,0),1)&gt;=100000,INDEX($R$1005:$W$1005,1,MATCH(COLUMNS($R$1006:T1006),$R$1006:$W$1006,0))&gt;=100000), " ",IF(INDEX($R$2:$W$1001,MATCH(ROWS($K$2:K546),$K$2:$K$1001,0),MATCH(COLUMNS($R$1006:T1006),$R$1006:$W$1006,0)), HYPERLINK("#",""), HYPERLINK(CONCATENATE("#Metadata!", ADDRESS(INDEX($M$2:$M$1001,MATCH(ROWS($K$2:K546),$K$2:$K$1001,0),0), INDEX($R$1004:$W$1004,1,MATCH(COLUMNS($R$1006:T1006),$R$1006:$W$1006,0)))),"Fix")))</f>
        <v>0</v>
      </c>
      <c r="E546" s="3">
        <f>IF(OR(INDEX($L$2:$L$1001,MATCH(ROWS($K$2:K546),$K$2:$K$1001,0),1)&gt;=100000,INDEX($R$1005:$W$1005,1,MATCH(COLUMNS($R$1006:U1006),$R$1006:$W$1006,0))&gt;=100000), " ",IF(INDEX($R$2:$W$1001,MATCH(ROWS($K$2:K546),$K$2:$K$1001,0),MATCH(COLUMNS($R$1006:U1006),$R$1006:$W$1006,0)), HYPERLINK("#",""), HYPERLINK(CONCATENATE("#Metadata!", ADDRESS(INDEX($M$2:$M$1001,MATCH(ROWS($K$2:K546),$K$2:$K$1001,0),0), INDEX($R$1004:$W$1004,1,MATCH(COLUMNS($R$1006:U1006),$R$1006:$W$1006,0)))),"Fix")))</f>
        <v>0</v>
      </c>
      <c r="F546" s="3">
        <f>IF(OR(INDEX($L$2:$L$1001,MATCH(ROWS($K$2:K546),$K$2:$K$1001,0),1)&gt;=100000,INDEX($R$1005:$W$1005,1,MATCH(COLUMNS($R$1006:V1006),$R$1006:$W$1006,0))&gt;=100000), " ",IF(INDEX($R$2:$W$1001,MATCH(ROWS($K$2:K546),$K$2:$K$1001,0),MATCH(COLUMNS($R$1006:V1006),$R$1006:$W$1006,0)), HYPERLINK("#",""), HYPERLINK(CONCATENATE("#Metadata!", ADDRESS(INDEX($M$2:$M$1001,MATCH(ROWS($K$2:K546),$K$2:$K$1001,0),0), INDEX($R$1004:$W$1004,1,MATCH(COLUMNS($R$1006:V1006),$R$1006:$W$1006,0)))),"Fix")))</f>
        <v>0</v>
      </c>
      <c r="G546" s="3">
        <f>IF(OR(INDEX($L$2:$L$1001,MATCH(ROWS($K$2:K546),$K$2:$K$1001,0),1)&gt;=100000,INDEX($R$1005:$W$1005,1,MATCH(COLUMNS($R$1006:W1006),$R$1006:$W$1006,0))&gt;=100000), " ",IF(INDEX($R$2:$W$1001,MATCH(ROWS($K$2:K546),$K$2:$K$1001,0),MATCH(COLUMNS($R$1006:W1006),$R$1006:$W$1006,0)), HYPERLINK("#",""), HYPERLINK(CONCATENATE("#Metadata!", ADDRESS(INDEX($M$2:$M$1001,MATCH(ROWS($K$2:K546),$K$2:$K$1001,0),0), INDEX($R$1004:$W$1004,1,MATCH(COLUMNS($R$1006:W1006),$R$1006:$W$1006,0)))),"Fix")))</f>
        <v>0</v>
      </c>
      <c r="K546">
        <v>0</v>
      </c>
      <c r="L546">
        <v>0</v>
      </c>
      <c r="M546">
        <v>0</v>
      </c>
      <c r="N546">
        <f>IF(O546,TRUE,AND(R546:W546))</f>
        <v>0</v>
      </c>
      <c r="O546">
        <f>COUNTBLANK(Metadata!B546:G546)=COLUMNS(Metadata!B546:G546)</f>
        <v>0</v>
      </c>
      <c r="P546">
        <v>0</v>
      </c>
      <c r="R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S546">
        <f>IF(Metadata!C546="",FALSE,TRUE)</f>
        <v>0</v>
      </c>
      <c r="T546">
        <f>IF(Metadata!D546="",FALSE,TRUE)</f>
        <v>0</v>
      </c>
      <c r="U546">
        <f>IF(Metadata!E546="",FALSE,TRUE)</f>
        <v>0</v>
      </c>
      <c r="V546">
        <f>AND(IF(Metadata!F546="",FALSE,TRUE),exact(Metadata!F546,"rat gut metagenome"))</f>
        <v>0</v>
      </c>
      <c r="W546">
        <f>AND(IF(Metadata!G546="",FALSE,TRUE),exact(Metadata!G546,"1436733"))</f>
        <v>0</v>
      </c>
    </row>
    <row r="547" spans="1:23">
      <c r="A547" s="4">
        <f>IF(B547=" "," ",HYPERLINK(CONCATENATE("#metadata!",ADDRESS(INDEX($M$2:$M$1001,MATCH(ROWS($K$2:K547),$K$2:$K$1001,0),0),1)),INDEX($P$2:$P$1001,MATCH(ROWS($K$2:K547),$K$2:$K$1001,0),0)))</f>
        <v>0</v>
      </c>
      <c r="B547" s="3">
        <f>IF(OR(INDEX($L$2:$L$1001,MATCH(ROWS($K$2:K547),$K$2:$K$1001,0),1)&gt;=100000,INDEX($R$1005:$W$1005,1,MATCH(COLUMNS($R$1006:R1006),$R$1006:$W$1006,0))&gt;=100000), " ",IF(INDEX($R$2:$W$1001,MATCH(ROWS($K$2:K547),$K$2:$K$1001,0),MATCH(COLUMNS($R$1006:R1006),$R$1006:$W$1006,0)), HYPERLINK("#",""), HYPERLINK(CONCATENATE("#Metadata!", ADDRESS(INDEX($M$2:$M$1001,MATCH(ROWS($K$2:K547),$K$2:$K$1001,0),0), INDEX($R$1004:$W$1004,1,MATCH(COLUMNS($R$1006:R1006),$R$1006:$W$1006,0)))),"Fix")))</f>
        <v>0</v>
      </c>
      <c r="C547" s="3">
        <f>IF(OR(INDEX($L$2:$L$1001,MATCH(ROWS($K$2:K547),$K$2:$K$1001,0),1)&gt;=100000,INDEX($R$1005:$W$1005,1,MATCH(COLUMNS($R$1006:S1006),$R$1006:$W$1006,0))&gt;=100000), " ",IF(INDEX($R$2:$W$1001,MATCH(ROWS($K$2:K547),$K$2:$K$1001,0),MATCH(COLUMNS($R$1006:S1006),$R$1006:$W$1006,0)), HYPERLINK("#",""), HYPERLINK(CONCATENATE("#Metadata!", ADDRESS(INDEX($M$2:$M$1001,MATCH(ROWS($K$2:K547),$K$2:$K$1001,0),0), INDEX($R$1004:$W$1004,1,MATCH(COLUMNS($R$1006:S1006),$R$1006:$W$1006,0)))),"Fix")))</f>
        <v>0</v>
      </c>
      <c r="D547" s="3">
        <f>IF(OR(INDEX($L$2:$L$1001,MATCH(ROWS($K$2:K547),$K$2:$K$1001,0),1)&gt;=100000,INDEX($R$1005:$W$1005,1,MATCH(COLUMNS($R$1006:T1006),$R$1006:$W$1006,0))&gt;=100000), " ",IF(INDEX($R$2:$W$1001,MATCH(ROWS($K$2:K547),$K$2:$K$1001,0),MATCH(COLUMNS($R$1006:T1006),$R$1006:$W$1006,0)), HYPERLINK("#",""), HYPERLINK(CONCATENATE("#Metadata!", ADDRESS(INDEX($M$2:$M$1001,MATCH(ROWS($K$2:K547),$K$2:$K$1001,0),0), INDEX($R$1004:$W$1004,1,MATCH(COLUMNS($R$1006:T1006),$R$1006:$W$1006,0)))),"Fix")))</f>
        <v>0</v>
      </c>
      <c r="E547" s="3">
        <f>IF(OR(INDEX($L$2:$L$1001,MATCH(ROWS($K$2:K547),$K$2:$K$1001,0),1)&gt;=100000,INDEX($R$1005:$W$1005,1,MATCH(COLUMNS($R$1006:U1006),$R$1006:$W$1006,0))&gt;=100000), " ",IF(INDEX($R$2:$W$1001,MATCH(ROWS($K$2:K547),$K$2:$K$1001,0),MATCH(COLUMNS($R$1006:U1006),$R$1006:$W$1006,0)), HYPERLINK("#",""), HYPERLINK(CONCATENATE("#Metadata!", ADDRESS(INDEX($M$2:$M$1001,MATCH(ROWS($K$2:K547),$K$2:$K$1001,0),0), INDEX($R$1004:$W$1004,1,MATCH(COLUMNS($R$1006:U1006),$R$1006:$W$1006,0)))),"Fix")))</f>
        <v>0</v>
      </c>
      <c r="F547" s="3">
        <f>IF(OR(INDEX($L$2:$L$1001,MATCH(ROWS($K$2:K547),$K$2:$K$1001,0),1)&gt;=100000,INDEX($R$1005:$W$1005,1,MATCH(COLUMNS($R$1006:V1006),$R$1006:$W$1006,0))&gt;=100000), " ",IF(INDEX($R$2:$W$1001,MATCH(ROWS($K$2:K547),$K$2:$K$1001,0),MATCH(COLUMNS($R$1006:V1006),$R$1006:$W$1006,0)), HYPERLINK("#",""), HYPERLINK(CONCATENATE("#Metadata!", ADDRESS(INDEX($M$2:$M$1001,MATCH(ROWS($K$2:K547),$K$2:$K$1001,0),0), INDEX($R$1004:$W$1004,1,MATCH(COLUMNS($R$1006:V1006),$R$1006:$W$1006,0)))),"Fix")))</f>
        <v>0</v>
      </c>
      <c r="G547" s="3">
        <f>IF(OR(INDEX($L$2:$L$1001,MATCH(ROWS($K$2:K547),$K$2:$K$1001,0),1)&gt;=100000,INDEX($R$1005:$W$1005,1,MATCH(COLUMNS($R$1006:W1006),$R$1006:$W$1006,0))&gt;=100000), " ",IF(INDEX($R$2:$W$1001,MATCH(ROWS($K$2:K547),$K$2:$K$1001,0),MATCH(COLUMNS($R$1006:W1006),$R$1006:$W$1006,0)), HYPERLINK("#",""), HYPERLINK(CONCATENATE("#Metadata!", ADDRESS(INDEX($M$2:$M$1001,MATCH(ROWS($K$2:K547),$K$2:$K$1001,0),0), INDEX($R$1004:$W$1004,1,MATCH(COLUMNS($R$1006:W1006),$R$1006:$W$1006,0)))),"Fix")))</f>
        <v>0</v>
      </c>
      <c r="K547">
        <v>0</v>
      </c>
      <c r="L547">
        <v>0</v>
      </c>
      <c r="M547">
        <v>0</v>
      </c>
      <c r="N547">
        <f>IF(O547,TRUE,AND(R547:W547))</f>
        <v>0</v>
      </c>
      <c r="O547">
        <f>COUNTBLANK(Metadata!B547:G547)=COLUMNS(Metadata!B547:G547)</f>
        <v>0</v>
      </c>
      <c r="P547">
        <v>0</v>
      </c>
      <c r="R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S547">
        <f>IF(Metadata!C547="",FALSE,TRUE)</f>
        <v>0</v>
      </c>
      <c r="T547">
        <f>IF(Metadata!D547="",FALSE,TRUE)</f>
        <v>0</v>
      </c>
      <c r="U547">
        <f>IF(Metadata!E547="",FALSE,TRUE)</f>
        <v>0</v>
      </c>
      <c r="V547">
        <f>AND(IF(Metadata!F547="",FALSE,TRUE),exact(Metadata!F547,"rat gut metagenome"))</f>
        <v>0</v>
      </c>
      <c r="W547">
        <f>AND(IF(Metadata!G547="",FALSE,TRUE),exact(Metadata!G547,"1436733"))</f>
        <v>0</v>
      </c>
    </row>
    <row r="548" spans="1:23">
      <c r="A548" s="4">
        <f>IF(B548=" "," ",HYPERLINK(CONCATENATE("#metadata!",ADDRESS(INDEX($M$2:$M$1001,MATCH(ROWS($K$2:K548),$K$2:$K$1001,0),0),1)),INDEX($P$2:$P$1001,MATCH(ROWS($K$2:K548),$K$2:$K$1001,0),0)))</f>
        <v>0</v>
      </c>
      <c r="B548" s="3">
        <f>IF(OR(INDEX($L$2:$L$1001,MATCH(ROWS($K$2:K548),$K$2:$K$1001,0),1)&gt;=100000,INDEX($R$1005:$W$1005,1,MATCH(COLUMNS($R$1006:R1006),$R$1006:$W$1006,0))&gt;=100000), " ",IF(INDEX($R$2:$W$1001,MATCH(ROWS($K$2:K548),$K$2:$K$1001,0),MATCH(COLUMNS($R$1006:R1006),$R$1006:$W$1006,0)), HYPERLINK("#",""), HYPERLINK(CONCATENATE("#Metadata!", ADDRESS(INDEX($M$2:$M$1001,MATCH(ROWS($K$2:K548),$K$2:$K$1001,0),0), INDEX($R$1004:$W$1004,1,MATCH(COLUMNS($R$1006:R1006),$R$1006:$W$1006,0)))),"Fix")))</f>
        <v>0</v>
      </c>
      <c r="C548" s="3">
        <f>IF(OR(INDEX($L$2:$L$1001,MATCH(ROWS($K$2:K548),$K$2:$K$1001,0),1)&gt;=100000,INDEX($R$1005:$W$1005,1,MATCH(COLUMNS($R$1006:S1006),$R$1006:$W$1006,0))&gt;=100000), " ",IF(INDEX($R$2:$W$1001,MATCH(ROWS($K$2:K548),$K$2:$K$1001,0),MATCH(COLUMNS($R$1006:S1006),$R$1006:$W$1006,0)), HYPERLINK("#",""), HYPERLINK(CONCATENATE("#Metadata!", ADDRESS(INDEX($M$2:$M$1001,MATCH(ROWS($K$2:K548),$K$2:$K$1001,0),0), INDEX($R$1004:$W$1004,1,MATCH(COLUMNS($R$1006:S1006),$R$1006:$W$1006,0)))),"Fix")))</f>
        <v>0</v>
      </c>
      <c r="D548" s="3">
        <f>IF(OR(INDEX($L$2:$L$1001,MATCH(ROWS($K$2:K548),$K$2:$K$1001,0),1)&gt;=100000,INDEX($R$1005:$W$1005,1,MATCH(COLUMNS($R$1006:T1006),$R$1006:$W$1006,0))&gt;=100000), " ",IF(INDEX($R$2:$W$1001,MATCH(ROWS($K$2:K548),$K$2:$K$1001,0),MATCH(COLUMNS($R$1006:T1006),$R$1006:$W$1006,0)), HYPERLINK("#",""), HYPERLINK(CONCATENATE("#Metadata!", ADDRESS(INDEX($M$2:$M$1001,MATCH(ROWS($K$2:K548),$K$2:$K$1001,0),0), INDEX($R$1004:$W$1004,1,MATCH(COLUMNS($R$1006:T1006),$R$1006:$W$1006,0)))),"Fix")))</f>
        <v>0</v>
      </c>
      <c r="E548" s="3">
        <f>IF(OR(INDEX($L$2:$L$1001,MATCH(ROWS($K$2:K548),$K$2:$K$1001,0),1)&gt;=100000,INDEX($R$1005:$W$1005,1,MATCH(COLUMNS($R$1006:U1006),$R$1006:$W$1006,0))&gt;=100000), " ",IF(INDEX($R$2:$W$1001,MATCH(ROWS($K$2:K548),$K$2:$K$1001,0),MATCH(COLUMNS($R$1006:U1006),$R$1006:$W$1006,0)), HYPERLINK("#",""), HYPERLINK(CONCATENATE("#Metadata!", ADDRESS(INDEX($M$2:$M$1001,MATCH(ROWS($K$2:K548),$K$2:$K$1001,0),0), INDEX($R$1004:$W$1004,1,MATCH(COLUMNS($R$1006:U1006),$R$1006:$W$1006,0)))),"Fix")))</f>
        <v>0</v>
      </c>
      <c r="F548" s="3">
        <f>IF(OR(INDEX($L$2:$L$1001,MATCH(ROWS($K$2:K548),$K$2:$K$1001,0),1)&gt;=100000,INDEX($R$1005:$W$1005,1,MATCH(COLUMNS($R$1006:V1006),$R$1006:$W$1006,0))&gt;=100000), " ",IF(INDEX($R$2:$W$1001,MATCH(ROWS($K$2:K548),$K$2:$K$1001,0),MATCH(COLUMNS($R$1006:V1006),$R$1006:$W$1006,0)), HYPERLINK("#",""), HYPERLINK(CONCATENATE("#Metadata!", ADDRESS(INDEX($M$2:$M$1001,MATCH(ROWS($K$2:K548),$K$2:$K$1001,0),0), INDEX($R$1004:$W$1004,1,MATCH(COLUMNS($R$1006:V1006),$R$1006:$W$1006,0)))),"Fix")))</f>
        <v>0</v>
      </c>
      <c r="G548" s="3">
        <f>IF(OR(INDEX($L$2:$L$1001,MATCH(ROWS($K$2:K548),$K$2:$K$1001,0),1)&gt;=100000,INDEX($R$1005:$W$1005,1,MATCH(COLUMNS($R$1006:W1006),$R$1006:$W$1006,0))&gt;=100000), " ",IF(INDEX($R$2:$W$1001,MATCH(ROWS($K$2:K548),$K$2:$K$1001,0),MATCH(COLUMNS($R$1006:W1006),$R$1006:$W$1006,0)), HYPERLINK("#",""), HYPERLINK(CONCATENATE("#Metadata!", ADDRESS(INDEX($M$2:$M$1001,MATCH(ROWS($K$2:K548),$K$2:$K$1001,0),0), INDEX($R$1004:$W$1004,1,MATCH(COLUMNS($R$1006:W1006),$R$1006:$W$1006,0)))),"Fix")))</f>
        <v>0</v>
      </c>
      <c r="K548">
        <v>0</v>
      </c>
      <c r="L548">
        <v>0</v>
      </c>
      <c r="M548">
        <v>0</v>
      </c>
      <c r="N548">
        <f>IF(O548,TRUE,AND(R548:W548))</f>
        <v>0</v>
      </c>
      <c r="O548">
        <f>COUNTBLANK(Metadata!B548:G548)=COLUMNS(Metadata!B548:G548)</f>
        <v>0</v>
      </c>
      <c r="P548">
        <v>0</v>
      </c>
      <c r="R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S548">
        <f>IF(Metadata!C548="",FALSE,TRUE)</f>
        <v>0</v>
      </c>
      <c r="T548">
        <f>IF(Metadata!D548="",FALSE,TRUE)</f>
        <v>0</v>
      </c>
      <c r="U548">
        <f>IF(Metadata!E548="",FALSE,TRUE)</f>
        <v>0</v>
      </c>
      <c r="V548">
        <f>AND(IF(Metadata!F548="",FALSE,TRUE),exact(Metadata!F548,"rat gut metagenome"))</f>
        <v>0</v>
      </c>
      <c r="W548">
        <f>AND(IF(Metadata!G548="",FALSE,TRUE),exact(Metadata!G548,"1436733"))</f>
        <v>0</v>
      </c>
    </row>
    <row r="549" spans="1:23">
      <c r="A549" s="4">
        <f>IF(B549=" "," ",HYPERLINK(CONCATENATE("#metadata!",ADDRESS(INDEX($M$2:$M$1001,MATCH(ROWS($K$2:K549),$K$2:$K$1001,0),0),1)),INDEX($P$2:$P$1001,MATCH(ROWS($K$2:K549),$K$2:$K$1001,0),0)))</f>
        <v>0</v>
      </c>
      <c r="B549" s="3">
        <f>IF(OR(INDEX($L$2:$L$1001,MATCH(ROWS($K$2:K549),$K$2:$K$1001,0),1)&gt;=100000,INDEX($R$1005:$W$1005,1,MATCH(COLUMNS($R$1006:R1006),$R$1006:$W$1006,0))&gt;=100000), " ",IF(INDEX($R$2:$W$1001,MATCH(ROWS($K$2:K549),$K$2:$K$1001,0),MATCH(COLUMNS($R$1006:R1006),$R$1006:$W$1006,0)), HYPERLINK("#",""), HYPERLINK(CONCATENATE("#Metadata!", ADDRESS(INDEX($M$2:$M$1001,MATCH(ROWS($K$2:K549),$K$2:$K$1001,0),0), INDEX($R$1004:$W$1004,1,MATCH(COLUMNS($R$1006:R1006),$R$1006:$W$1006,0)))),"Fix")))</f>
        <v>0</v>
      </c>
      <c r="C549" s="3">
        <f>IF(OR(INDEX($L$2:$L$1001,MATCH(ROWS($K$2:K549),$K$2:$K$1001,0),1)&gt;=100000,INDEX($R$1005:$W$1005,1,MATCH(COLUMNS($R$1006:S1006),$R$1006:$W$1006,0))&gt;=100000), " ",IF(INDEX($R$2:$W$1001,MATCH(ROWS($K$2:K549),$K$2:$K$1001,0),MATCH(COLUMNS($R$1006:S1006),$R$1006:$W$1006,0)), HYPERLINK("#",""), HYPERLINK(CONCATENATE("#Metadata!", ADDRESS(INDEX($M$2:$M$1001,MATCH(ROWS($K$2:K549),$K$2:$K$1001,0),0), INDEX($R$1004:$W$1004,1,MATCH(COLUMNS($R$1006:S1006),$R$1006:$W$1006,0)))),"Fix")))</f>
        <v>0</v>
      </c>
      <c r="D549" s="3">
        <f>IF(OR(INDEX($L$2:$L$1001,MATCH(ROWS($K$2:K549),$K$2:$K$1001,0),1)&gt;=100000,INDEX($R$1005:$W$1005,1,MATCH(COLUMNS($R$1006:T1006),$R$1006:$W$1006,0))&gt;=100000), " ",IF(INDEX($R$2:$W$1001,MATCH(ROWS($K$2:K549),$K$2:$K$1001,0),MATCH(COLUMNS($R$1006:T1006),$R$1006:$W$1006,0)), HYPERLINK("#",""), HYPERLINK(CONCATENATE("#Metadata!", ADDRESS(INDEX($M$2:$M$1001,MATCH(ROWS($K$2:K549),$K$2:$K$1001,0),0), INDEX($R$1004:$W$1004,1,MATCH(COLUMNS($R$1006:T1006),$R$1006:$W$1006,0)))),"Fix")))</f>
        <v>0</v>
      </c>
      <c r="E549" s="3">
        <f>IF(OR(INDEX($L$2:$L$1001,MATCH(ROWS($K$2:K549),$K$2:$K$1001,0),1)&gt;=100000,INDEX($R$1005:$W$1005,1,MATCH(COLUMNS($R$1006:U1006),$R$1006:$W$1006,0))&gt;=100000), " ",IF(INDEX($R$2:$W$1001,MATCH(ROWS($K$2:K549),$K$2:$K$1001,0),MATCH(COLUMNS($R$1006:U1006),$R$1006:$W$1006,0)), HYPERLINK("#",""), HYPERLINK(CONCATENATE("#Metadata!", ADDRESS(INDEX($M$2:$M$1001,MATCH(ROWS($K$2:K549),$K$2:$K$1001,0),0), INDEX($R$1004:$W$1004,1,MATCH(COLUMNS($R$1006:U1006),$R$1006:$W$1006,0)))),"Fix")))</f>
        <v>0</v>
      </c>
      <c r="F549" s="3">
        <f>IF(OR(INDEX($L$2:$L$1001,MATCH(ROWS($K$2:K549),$K$2:$K$1001,0),1)&gt;=100000,INDEX($R$1005:$W$1005,1,MATCH(COLUMNS($R$1006:V1006),$R$1006:$W$1006,0))&gt;=100000), " ",IF(INDEX($R$2:$W$1001,MATCH(ROWS($K$2:K549),$K$2:$K$1001,0),MATCH(COLUMNS($R$1006:V1006),$R$1006:$W$1006,0)), HYPERLINK("#",""), HYPERLINK(CONCATENATE("#Metadata!", ADDRESS(INDEX($M$2:$M$1001,MATCH(ROWS($K$2:K549),$K$2:$K$1001,0),0), INDEX($R$1004:$W$1004,1,MATCH(COLUMNS($R$1006:V1006),$R$1006:$W$1006,0)))),"Fix")))</f>
        <v>0</v>
      </c>
      <c r="G549" s="3">
        <f>IF(OR(INDEX($L$2:$L$1001,MATCH(ROWS($K$2:K549),$K$2:$K$1001,0),1)&gt;=100000,INDEX($R$1005:$W$1005,1,MATCH(COLUMNS($R$1006:W1006),$R$1006:$W$1006,0))&gt;=100000), " ",IF(INDEX($R$2:$W$1001,MATCH(ROWS($K$2:K549),$K$2:$K$1001,0),MATCH(COLUMNS($R$1006:W1006),$R$1006:$W$1006,0)), HYPERLINK("#",""), HYPERLINK(CONCATENATE("#Metadata!", ADDRESS(INDEX($M$2:$M$1001,MATCH(ROWS($K$2:K549),$K$2:$K$1001,0),0), INDEX($R$1004:$W$1004,1,MATCH(COLUMNS($R$1006:W1006),$R$1006:$W$1006,0)))),"Fix")))</f>
        <v>0</v>
      </c>
      <c r="K549">
        <v>0</v>
      </c>
      <c r="L549">
        <v>0</v>
      </c>
      <c r="M549">
        <v>0</v>
      </c>
      <c r="N549">
        <f>IF(O549,TRUE,AND(R549:W549))</f>
        <v>0</v>
      </c>
      <c r="O549">
        <f>COUNTBLANK(Metadata!B549:G549)=COLUMNS(Metadata!B549:G549)</f>
        <v>0</v>
      </c>
      <c r="P549">
        <v>0</v>
      </c>
      <c r="R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S549">
        <f>IF(Metadata!C549="",FALSE,TRUE)</f>
        <v>0</v>
      </c>
      <c r="T549">
        <f>IF(Metadata!D549="",FALSE,TRUE)</f>
        <v>0</v>
      </c>
      <c r="U549">
        <f>IF(Metadata!E549="",FALSE,TRUE)</f>
        <v>0</v>
      </c>
      <c r="V549">
        <f>AND(IF(Metadata!F549="",FALSE,TRUE),exact(Metadata!F549,"rat gut metagenome"))</f>
        <v>0</v>
      </c>
      <c r="W549">
        <f>AND(IF(Metadata!G549="",FALSE,TRUE),exact(Metadata!G549,"1436733"))</f>
        <v>0</v>
      </c>
    </row>
    <row r="550" spans="1:23">
      <c r="A550" s="4">
        <f>IF(B550=" "," ",HYPERLINK(CONCATENATE("#metadata!",ADDRESS(INDEX($M$2:$M$1001,MATCH(ROWS($K$2:K550),$K$2:$K$1001,0),0),1)),INDEX($P$2:$P$1001,MATCH(ROWS($K$2:K550),$K$2:$K$1001,0),0)))</f>
        <v>0</v>
      </c>
      <c r="B550" s="3">
        <f>IF(OR(INDEX($L$2:$L$1001,MATCH(ROWS($K$2:K550),$K$2:$K$1001,0),1)&gt;=100000,INDEX($R$1005:$W$1005,1,MATCH(COLUMNS($R$1006:R1006),$R$1006:$W$1006,0))&gt;=100000), " ",IF(INDEX($R$2:$W$1001,MATCH(ROWS($K$2:K550),$K$2:$K$1001,0),MATCH(COLUMNS($R$1006:R1006),$R$1006:$W$1006,0)), HYPERLINK("#",""), HYPERLINK(CONCATENATE("#Metadata!", ADDRESS(INDEX($M$2:$M$1001,MATCH(ROWS($K$2:K550),$K$2:$K$1001,0),0), INDEX($R$1004:$W$1004,1,MATCH(COLUMNS($R$1006:R1006),$R$1006:$W$1006,0)))),"Fix")))</f>
        <v>0</v>
      </c>
      <c r="C550" s="3">
        <f>IF(OR(INDEX($L$2:$L$1001,MATCH(ROWS($K$2:K550),$K$2:$K$1001,0),1)&gt;=100000,INDEX($R$1005:$W$1005,1,MATCH(COLUMNS($R$1006:S1006),$R$1006:$W$1006,0))&gt;=100000), " ",IF(INDEX($R$2:$W$1001,MATCH(ROWS($K$2:K550),$K$2:$K$1001,0),MATCH(COLUMNS($R$1006:S1006),$R$1006:$W$1006,0)), HYPERLINK("#",""), HYPERLINK(CONCATENATE("#Metadata!", ADDRESS(INDEX($M$2:$M$1001,MATCH(ROWS($K$2:K550),$K$2:$K$1001,0),0), INDEX($R$1004:$W$1004,1,MATCH(COLUMNS($R$1006:S1006),$R$1006:$W$1006,0)))),"Fix")))</f>
        <v>0</v>
      </c>
      <c r="D550" s="3">
        <f>IF(OR(INDEX($L$2:$L$1001,MATCH(ROWS($K$2:K550),$K$2:$K$1001,0),1)&gt;=100000,INDEX($R$1005:$W$1005,1,MATCH(COLUMNS($R$1006:T1006),$R$1006:$W$1006,0))&gt;=100000), " ",IF(INDEX($R$2:$W$1001,MATCH(ROWS($K$2:K550),$K$2:$K$1001,0),MATCH(COLUMNS($R$1006:T1006),$R$1006:$W$1006,0)), HYPERLINK("#",""), HYPERLINK(CONCATENATE("#Metadata!", ADDRESS(INDEX($M$2:$M$1001,MATCH(ROWS($K$2:K550),$K$2:$K$1001,0),0), INDEX($R$1004:$W$1004,1,MATCH(COLUMNS($R$1006:T1006),$R$1006:$W$1006,0)))),"Fix")))</f>
        <v>0</v>
      </c>
      <c r="E550" s="3">
        <f>IF(OR(INDEX($L$2:$L$1001,MATCH(ROWS($K$2:K550),$K$2:$K$1001,0),1)&gt;=100000,INDEX($R$1005:$W$1005,1,MATCH(COLUMNS($R$1006:U1006),$R$1006:$W$1006,0))&gt;=100000), " ",IF(INDEX($R$2:$W$1001,MATCH(ROWS($K$2:K550),$K$2:$K$1001,0),MATCH(COLUMNS($R$1006:U1006),$R$1006:$W$1006,0)), HYPERLINK("#",""), HYPERLINK(CONCATENATE("#Metadata!", ADDRESS(INDEX($M$2:$M$1001,MATCH(ROWS($K$2:K550),$K$2:$K$1001,0),0), INDEX($R$1004:$W$1004,1,MATCH(COLUMNS($R$1006:U1006),$R$1006:$W$1006,0)))),"Fix")))</f>
        <v>0</v>
      </c>
      <c r="F550" s="3">
        <f>IF(OR(INDEX($L$2:$L$1001,MATCH(ROWS($K$2:K550),$K$2:$K$1001,0),1)&gt;=100000,INDEX($R$1005:$W$1005,1,MATCH(COLUMNS($R$1006:V1006),$R$1006:$W$1006,0))&gt;=100000), " ",IF(INDEX($R$2:$W$1001,MATCH(ROWS($K$2:K550),$K$2:$K$1001,0),MATCH(COLUMNS($R$1006:V1006),$R$1006:$W$1006,0)), HYPERLINK("#",""), HYPERLINK(CONCATENATE("#Metadata!", ADDRESS(INDEX($M$2:$M$1001,MATCH(ROWS($K$2:K550),$K$2:$K$1001,0),0), INDEX($R$1004:$W$1004,1,MATCH(COLUMNS($R$1006:V1006),$R$1006:$W$1006,0)))),"Fix")))</f>
        <v>0</v>
      </c>
      <c r="G550" s="3">
        <f>IF(OR(INDEX($L$2:$L$1001,MATCH(ROWS($K$2:K550),$K$2:$K$1001,0),1)&gt;=100000,INDEX($R$1005:$W$1005,1,MATCH(COLUMNS($R$1006:W1006),$R$1006:$W$1006,0))&gt;=100000), " ",IF(INDEX($R$2:$W$1001,MATCH(ROWS($K$2:K550),$K$2:$K$1001,0),MATCH(COLUMNS($R$1006:W1006),$R$1006:$W$1006,0)), HYPERLINK("#",""), HYPERLINK(CONCATENATE("#Metadata!", ADDRESS(INDEX($M$2:$M$1001,MATCH(ROWS($K$2:K550),$K$2:$K$1001,0),0), INDEX($R$1004:$W$1004,1,MATCH(COLUMNS($R$1006:W1006),$R$1006:$W$1006,0)))),"Fix")))</f>
        <v>0</v>
      </c>
      <c r="K550">
        <v>0</v>
      </c>
      <c r="L550">
        <v>0</v>
      </c>
      <c r="M550">
        <v>0</v>
      </c>
      <c r="N550">
        <f>IF(O550,TRUE,AND(R550:W550))</f>
        <v>0</v>
      </c>
      <c r="O550">
        <f>COUNTBLANK(Metadata!B550:G550)=COLUMNS(Metadata!B550:G550)</f>
        <v>0</v>
      </c>
      <c r="P550">
        <v>0</v>
      </c>
      <c r="R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S550">
        <f>IF(Metadata!C550="",FALSE,TRUE)</f>
        <v>0</v>
      </c>
      <c r="T550">
        <f>IF(Metadata!D550="",FALSE,TRUE)</f>
        <v>0</v>
      </c>
      <c r="U550">
        <f>IF(Metadata!E550="",FALSE,TRUE)</f>
        <v>0</v>
      </c>
      <c r="V550">
        <f>AND(IF(Metadata!F550="",FALSE,TRUE),exact(Metadata!F550,"rat gut metagenome"))</f>
        <v>0</v>
      </c>
      <c r="W550">
        <f>AND(IF(Metadata!G550="",FALSE,TRUE),exact(Metadata!G550,"1436733"))</f>
        <v>0</v>
      </c>
    </row>
    <row r="551" spans="1:23">
      <c r="A551" s="4">
        <f>IF(B551=" "," ",HYPERLINK(CONCATENATE("#metadata!",ADDRESS(INDEX($M$2:$M$1001,MATCH(ROWS($K$2:K551),$K$2:$K$1001,0),0),1)),INDEX($P$2:$P$1001,MATCH(ROWS($K$2:K551),$K$2:$K$1001,0),0)))</f>
        <v>0</v>
      </c>
      <c r="B551" s="3">
        <f>IF(OR(INDEX($L$2:$L$1001,MATCH(ROWS($K$2:K551),$K$2:$K$1001,0),1)&gt;=100000,INDEX($R$1005:$W$1005,1,MATCH(COLUMNS($R$1006:R1006),$R$1006:$W$1006,0))&gt;=100000), " ",IF(INDEX($R$2:$W$1001,MATCH(ROWS($K$2:K551),$K$2:$K$1001,0),MATCH(COLUMNS($R$1006:R1006),$R$1006:$W$1006,0)), HYPERLINK("#",""), HYPERLINK(CONCATENATE("#Metadata!", ADDRESS(INDEX($M$2:$M$1001,MATCH(ROWS($K$2:K551),$K$2:$K$1001,0),0), INDEX($R$1004:$W$1004,1,MATCH(COLUMNS($R$1006:R1006),$R$1006:$W$1006,0)))),"Fix")))</f>
        <v>0</v>
      </c>
      <c r="C551" s="3">
        <f>IF(OR(INDEX($L$2:$L$1001,MATCH(ROWS($K$2:K551),$K$2:$K$1001,0),1)&gt;=100000,INDEX($R$1005:$W$1005,1,MATCH(COLUMNS($R$1006:S1006),$R$1006:$W$1006,0))&gt;=100000), " ",IF(INDEX($R$2:$W$1001,MATCH(ROWS($K$2:K551),$K$2:$K$1001,0),MATCH(COLUMNS($R$1006:S1006),$R$1006:$W$1006,0)), HYPERLINK("#",""), HYPERLINK(CONCATENATE("#Metadata!", ADDRESS(INDEX($M$2:$M$1001,MATCH(ROWS($K$2:K551),$K$2:$K$1001,0),0), INDEX($R$1004:$W$1004,1,MATCH(COLUMNS($R$1006:S1006),$R$1006:$W$1006,0)))),"Fix")))</f>
        <v>0</v>
      </c>
      <c r="D551" s="3">
        <f>IF(OR(INDEX($L$2:$L$1001,MATCH(ROWS($K$2:K551),$K$2:$K$1001,0),1)&gt;=100000,INDEX($R$1005:$W$1005,1,MATCH(COLUMNS($R$1006:T1006),$R$1006:$W$1006,0))&gt;=100000), " ",IF(INDEX($R$2:$W$1001,MATCH(ROWS($K$2:K551),$K$2:$K$1001,0),MATCH(COLUMNS($R$1006:T1006),$R$1006:$W$1006,0)), HYPERLINK("#",""), HYPERLINK(CONCATENATE("#Metadata!", ADDRESS(INDEX($M$2:$M$1001,MATCH(ROWS($K$2:K551),$K$2:$K$1001,0),0), INDEX($R$1004:$W$1004,1,MATCH(COLUMNS($R$1006:T1006),$R$1006:$W$1006,0)))),"Fix")))</f>
        <v>0</v>
      </c>
      <c r="E551" s="3">
        <f>IF(OR(INDEX($L$2:$L$1001,MATCH(ROWS($K$2:K551),$K$2:$K$1001,0),1)&gt;=100000,INDEX($R$1005:$W$1005,1,MATCH(COLUMNS($R$1006:U1006),$R$1006:$W$1006,0))&gt;=100000), " ",IF(INDEX($R$2:$W$1001,MATCH(ROWS($K$2:K551),$K$2:$K$1001,0),MATCH(COLUMNS($R$1006:U1006),$R$1006:$W$1006,0)), HYPERLINK("#",""), HYPERLINK(CONCATENATE("#Metadata!", ADDRESS(INDEX($M$2:$M$1001,MATCH(ROWS($K$2:K551),$K$2:$K$1001,0),0), INDEX($R$1004:$W$1004,1,MATCH(COLUMNS($R$1006:U1006),$R$1006:$W$1006,0)))),"Fix")))</f>
        <v>0</v>
      </c>
      <c r="F551" s="3">
        <f>IF(OR(INDEX($L$2:$L$1001,MATCH(ROWS($K$2:K551),$K$2:$K$1001,0),1)&gt;=100000,INDEX($R$1005:$W$1005,1,MATCH(COLUMNS($R$1006:V1006),$R$1006:$W$1006,0))&gt;=100000), " ",IF(INDEX($R$2:$W$1001,MATCH(ROWS($K$2:K551),$K$2:$K$1001,0),MATCH(COLUMNS($R$1006:V1006),$R$1006:$W$1006,0)), HYPERLINK("#",""), HYPERLINK(CONCATENATE("#Metadata!", ADDRESS(INDEX($M$2:$M$1001,MATCH(ROWS($K$2:K551),$K$2:$K$1001,0),0), INDEX($R$1004:$W$1004,1,MATCH(COLUMNS($R$1006:V1006),$R$1006:$W$1006,0)))),"Fix")))</f>
        <v>0</v>
      </c>
      <c r="G551" s="3">
        <f>IF(OR(INDEX($L$2:$L$1001,MATCH(ROWS($K$2:K551),$K$2:$K$1001,0),1)&gt;=100000,INDEX($R$1005:$W$1005,1,MATCH(COLUMNS($R$1006:W1006),$R$1006:$W$1006,0))&gt;=100000), " ",IF(INDEX($R$2:$W$1001,MATCH(ROWS($K$2:K551),$K$2:$K$1001,0),MATCH(COLUMNS($R$1006:W1006),$R$1006:$W$1006,0)), HYPERLINK("#",""), HYPERLINK(CONCATENATE("#Metadata!", ADDRESS(INDEX($M$2:$M$1001,MATCH(ROWS($K$2:K551),$K$2:$K$1001,0),0), INDEX($R$1004:$W$1004,1,MATCH(COLUMNS($R$1006:W1006),$R$1006:$W$1006,0)))),"Fix")))</f>
        <v>0</v>
      </c>
      <c r="K551">
        <v>0</v>
      </c>
      <c r="L551">
        <v>0</v>
      </c>
      <c r="M551">
        <v>0</v>
      </c>
      <c r="N551">
        <f>IF(O551,TRUE,AND(R551:W551))</f>
        <v>0</v>
      </c>
      <c r="O551">
        <f>COUNTBLANK(Metadata!B551:G551)=COLUMNS(Metadata!B551:G551)</f>
        <v>0</v>
      </c>
      <c r="P551">
        <v>0</v>
      </c>
      <c r="R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S551">
        <f>IF(Metadata!C551="",FALSE,TRUE)</f>
        <v>0</v>
      </c>
      <c r="T551">
        <f>IF(Metadata!D551="",FALSE,TRUE)</f>
        <v>0</v>
      </c>
      <c r="U551">
        <f>IF(Metadata!E551="",FALSE,TRUE)</f>
        <v>0</v>
      </c>
      <c r="V551">
        <f>AND(IF(Metadata!F551="",FALSE,TRUE),exact(Metadata!F551,"rat gut metagenome"))</f>
        <v>0</v>
      </c>
      <c r="W551">
        <f>AND(IF(Metadata!G551="",FALSE,TRUE),exact(Metadata!G551,"1436733"))</f>
        <v>0</v>
      </c>
    </row>
    <row r="552" spans="1:23">
      <c r="A552" s="4">
        <f>IF(B552=" "," ",HYPERLINK(CONCATENATE("#metadata!",ADDRESS(INDEX($M$2:$M$1001,MATCH(ROWS($K$2:K552),$K$2:$K$1001,0),0),1)),INDEX($P$2:$P$1001,MATCH(ROWS($K$2:K552),$K$2:$K$1001,0),0)))</f>
        <v>0</v>
      </c>
      <c r="B552" s="3">
        <f>IF(OR(INDEX($L$2:$L$1001,MATCH(ROWS($K$2:K552),$K$2:$K$1001,0),1)&gt;=100000,INDEX($R$1005:$W$1005,1,MATCH(COLUMNS($R$1006:R1006),$R$1006:$W$1006,0))&gt;=100000), " ",IF(INDEX($R$2:$W$1001,MATCH(ROWS($K$2:K552),$K$2:$K$1001,0),MATCH(COLUMNS($R$1006:R1006),$R$1006:$W$1006,0)), HYPERLINK("#",""), HYPERLINK(CONCATENATE("#Metadata!", ADDRESS(INDEX($M$2:$M$1001,MATCH(ROWS($K$2:K552),$K$2:$K$1001,0),0), INDEX($R$1004:$W$1004,1,MATCH(COLUMNS($R$1006:R1006),$R$1006:$W$1006,0)))),"Fix")))</f>
        <v>0</v>
      </c>
      <c r="C552" s="3">
        <f>IF(OR(INDEX($L$2:$L$1001,MATCH(ROWS($K$2:K552),$K$2:$K$1001,0),1)&gt;=100000,INDEX($R$1005:$W$1005,1,MATCH(COLUMNS($R$1006:S1006),$R$1006:$W$1006,0))&gt;=100000), " ",IF(INDEX($R$2:$W$1001,MATCH(ROWS($K$2:K552),$K$2:$K$1001,0),MATCH(COLUMNS($R$1006:S1006),$R$1006:$W$1006,0)), HYPERLINK("#",""), HYPERLINK(CONCATENATE("#Metadata!", ADDRESS(INDEX($M$2:$M$1001,MATCH(ROWS($K$2:K552),$K$2:$K$1001,0),0), INDEX($R$1004:$W$1004,1,MATCH(COLUMNS($R$1006:S1006),$R$1006:$W$1006,0)))),"Fix")))</f>
        <v>0</v>
      </c>
      <c r="D552" s="3">
        <f>IF(OR(INDEX($L$2:$L$1001,MATCH(ROWS($K$2:K552),$K$2:$K$1001,0),1)&gt;=100000,INDEX($R$1005:$W$1005,1,MATCH(COLUMNS($R$1006:T1006),$R$1006:$W$1006,0))&gt;=100000), " ",IF(INDEX($R$2:$W$1001,MATCH(ROWS($K$2:K552),$K$2:$K$1001,0),MATCH(COLUMNS($R$1006:T1006),$R$1006:$W$1006,0)), HYPERLINK("#",""), HYPERLINK(CONCATENATE("#Metadata!", ADDRESS(INDEX($M$2:$M$1001,MATCH(ROWS($K$2:K552),$K$2:$K$1001,0),0), INDEX($R$1004:$W$1004,1,MATCH(COLUMNS($R$1006:T1006),$R$1006:$W$1006,0)))),"Fix")))</f>
        <v>0</v>
      </c>
      <c r="E552" s="3">
        <f>IF(OR(INDEX($L$2:$L$1001,MATCH(ROWS($K$2:K552),$K$2:$K$1001,0),1)&gt;=100000,INDEX($R$1005:$W$1005,1,MATCH(COLUMNS($R$1006:U1006),$R$1006:$W$1006,0))&gt;=100000), " ",IF(INDEX($R$2:$W$1001,MATCH(ROWS($K$2:K552),$K$2:$K$1001,0),MATCH(COLUMNS($R$1006:U1006),$R$1006:$W$1006,0)), HYPERLINK("#",""), HYPERLINK(CONCATENATE("#Metadata!", ADDRESS(INDEX($M$2:$M$1001,MATCH(ROWS($K$2:K552),$K$2:$K$1001,0),0), INDEX($R$1004:$W$1004,1,MATCH(COLUMNS($R$1006:U1006),$R$1006:$W$1006,0)))),"Fix")))</f>
        <v>0</v>
      </c>
      <c r="F552" s="3">
        <f>IF(OR(INDEX($L$2:$L$1001,MATCH(ROWS($K$2:K552),$K$2:$K$1001,0),1)&gt;=100000,INDEX($R$1005:$W$1005,1,MATCH(COLUMNS($R$1006:V1006),$R$1006:$W$1006,0))&gt;=100000), " ",IF(INDEX($R$2:$W$1001,MATCH(ROWS($K$2:K552),$K$2:$K$1001,0),MATCH(COLUMNS($R$1006:V1006),$R$1006:$W$1006,0)), HYPERLINK("#",""), HYPERLINK(CONCATENATE("#Metadata!", ADDRESS(INDEX($M$2:$M$1001,MATCH(ROWS($K$2:K552),$K$2:$K$1001,0),0), INDEX($R$1004:$W$1004,1,MATCH(COLUMNS($R$1006:V1006),$R$1006:$W$1006,0)))),"Fix")))</f>
        <v>0</v>
      </c>
      <c r="G552" s="3">
        <f>IF(OR(INDEX($L$2:$L$1001,MATCH(ROWS($K$2:K552),$K$2:$K$1001,0),1)&gt;=100000,INDEX($R$1005:$W$1005,1,MATCH(COLUMNS($R$1006:W1006),$R$1006:$W$1006,0))&gt;=100000), " ",IF(INDEX($R$2:$W$1001,MATCH(ROWS($K$2:K552),$K$2:$K$1001,0),MATCH(COLUMNS($R$1006:W1006),$R$1006:$W$1006,0)), HYPERLINK("#",""), HYPERLINK(CONCATENATE("#Metadata!", ADDRESS(INDEX($M$2:$M$1001,MATCH(ROWS($K$2:K552),$K$2:$K$1001,0),0), INDEX($R$1004:$W$1004,1,MATCH(COLUMNS($R$1006:W1006),$R$1006:$W$1006,0)))),"Fix")))</f>
        <v>0</v>
      </c>
      <c r="K552">
        <v>0</v>
      </c>
      <c r="L552">
        <v>0</v>
      </c>
      <c r="M552">
        <v>0</v>
      </c>
      <c r="N552">
        <f>IF(O552,TRUE,AND(R552:W552))</f>
        <v>0</v>
      </c>
      <c r="O552">
        <f>COUNTBLANK(Metadata!B552:G552)=COLUMNS(Metadata!B552:G552)</f>
        <v>0</v>
      </c>
      <c r="P552">
        <v>0</v>
      </c>
      <c r="R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S552">
        <f>IF(Metadata!C552="",FALSE,TRUE)</f>
        <v>0</v>
      </c>
      <c r="T552">
        <f>IF(Metadata!D552="",FALSE,TRUE)</f>
        <v>0</v>
      </c>
      <c r="U552">
        <f>IF(Metadata!E552="",FALSE,TRUE)</f>
        <v>0</v>
      </c>
      <c r="V552">
        <f>AND(IF(Metadata!F552="",FALSE,TRUE),exact(Metadata!F552,"rat gut metagenome"))</f>
        <v>0</v>
      </c>
      <c r="W552">
        <f>AND(IF(Metadata!G552="",FALSE,TRUE),exact(Metadata!G552,"1436733"))</f>
        <v>0</v>
      </c>
    </row>
    <row r="553" spans="1:23">
      <c r="A553" s="4">
        <f>IF(B553=" "," ",HYPERLINK(CONCATENATE("#metadata!",ADDRESS(INDEX($M$2:$M$1001,MATCH(ROWS($K$2:K553),$K$2:$K$1001,0),0),1)),INDEX($P$2:$P$1001,MATCH(ROWS($K$2:K553),$K$2:$K$1001,0),0)))</f>
        <v>0</v>
      </c>
      <c r="B553" s="3">
        <f>IF(OR(INDEX($L$2:$L$1001,MATCH(ROWS($K$2:K553),$K$2:$K$1001,0),1)&gt;=100000,INDEX($R$1005:$W$1005,1,MATCH(COLUMNS($R$1006:R1006),$R$1006:$W$1006,0))&gt;=100000), " ",IF(INDEX($R$2:$W$1001,MATCH(ROWS($K$2:K553),$K$2:$K$1001,0),MATCH(COLUMNS($R$1006:R1006),$R$1006:$W$1006,0)), HYPERLINK("#",""), HYPERLINK(CONCATENATE("#Metadata!", ADDRESS(INDEX($M$2:$M$1001,MATCH(ROWS($K$2:K553),$K$2:$K$1001,0),0), INDEX($R$1004:$W$1004,1,MATCH(COLUMNS($R$1006:R1006),$R$1006:$W$1006,0)))),"Fix")))</f>
        <v>0</v>
      </c>
      <c r="C553" s="3">
        <f>IF(OR(INDEX($L$2:$L$1001,MATCH(ROWS($K$2:K553),$K$2:$K$1001,0),1)&gt;=100000,INDEX($R$1005:$W$1005,1,MATCH(COLUMNS($R$1006:S1006),$R$1006:$W$1006,0))&gt;=100000), " ",IF(INDEX($R$2:$W$1001,MATCH(ROWS($K$2:K553),$K$2:$K$1001,0),MATCH(COLUMNS($R$1006:S1006),$R$1006:$W$1006,0)), HYPERLINK("#",""), HYPERLINK(CONCATENATE("#Metadata!", ADDRESS(INDEX($M$2:$M$1001,MATCH(ROWS($K$2:K553),$K$2:$K$1001,0),0), INDEX($R$1004:$W$1004,1,MATCH(COLUMNS($R$1006:S1006),$R$1006:$W$1006,0)))),"Fix")))</f>
        <v>0</v>
      </c>
      <c r="D553" s="3">
        <f>IF(OR(INDEX($L$2:$L$1001,MATCH(ROWS($K$2:K553),$K$2:$K$1001,0),1)&gt;=100000,INDEX($R$1005:$W$1005,1,MATCH(COLUMNS($R$1006:T1006),$R$1006:$W$1006,0))&gt;=100000), " ",IF(INDEX($R$2:$W$1001,MATCH(ROWS($K$2:K553),$K$2:$K$1001,0),MATCH(COLUMNS($R$1006:T1006),$R$1006:$W$1006,0)), HYPERLINK("#",""), HYPERLINK(CONCATENATE("#Metadata!", ADDRESS(INDEX($M$2:$M$1001,MATCH(ROWS($K$2:K553),$K$2:$K$1001,0),0), INDEX($R$1004:$W$1004,1,MATCH(COLUMNS($R$1006:T1006),$R$1006:$W$1006,0)))),"Fix")))</f>
        <v>0</v>
      </c>
      <c r="E553" s="3">
        <f>IF(OR(INDEX($L$2:$L$1001,MATCH(ROWS($K$2:K553),$K$2:$K$1001,0),1)&gt;=100000,INDEX($R$1005:$W$1005,1,MATCH(COLUMNS($R$1006:U1006),$R$1006:$W$1006,0))&gt;=100000), " ",IF(INDEX($R$2:$W$1001,MATCH(ROWS($K$2:K553),$K$2:$K$1001,0),MATCH(COLUMNS($R$1006:U1006),$R$1006:$W$1006,0)), HYPERLINK("#",""), HYPERLINK(CONCATENATE("#Metadata!", ADDRESS(INDEX($M$2:$M$1001,MATCH(ROWS($K$2:K553),$K$2:$K$1001,0),0), INDEX($R$1004:$W$1004,1,MATCH(COLUMNS($R$1006:U1006),$R$1006:$W$1006,0)))),"Fix")))</f>
        <v>0</v>
      </c>
      <c r="F553" s="3">
        <f>IF(OR(INDEX($L$2:$L$1001,MATCH(ROWS($K$2:K553),$K$2:$K$1001,0),1)&gt;=100000,INDEX($R$1005:$W$1005,1,MATCH(COLUMNS($R$1006:V1006),$R$1006:$W$1006,0))&gt;=100000), " ",IF(INDEX($R$2:$W$1001,MATCH(ROWS($K$2:K553),$K$2:$K$1001,0),MATCH(COLUMNS($R$1006:V1006),$R$1006:$W$1006,0)), HYPERLINK("#",""), HYPERLINK(CONCATENATE("#Metadata!", ADDRESS(INDEX($M$2:$M$1001,MATCH(ROWS($K$2:K553),$K$2:$K$1001,0),0), INDEX($R$1004:$W$1004,1,MATCH(COLUMNS($R$1006:V1006),$R$1006:$W$1006,0)))),"Fix")))</f>
        <v>0</v>
      </c>
      <c r="G553" s="3">
        <f>IF(OR(INDEX($L$2:$L$1001,MATCH(ROWS($K$2:K553),$K$2:$K$1001,0),1)&gt;=100000,INDEX($R$1005:$W$1005,1,MATCH(COLUMNS($R$1006:W1006),$R$1006:$W$1006,0))&gt;=100000), " ",IF(INDEX($R$2:$W$1001,MATCH(ROWS($K$2:K553),$K$2:$K$1001,0),MATCH(COLUMNS($R$1006:W1006),$R$1006:$W$1006,0)), HYPERLINK("#",""), HYPERLINK(CONCATENATE("#Metadata!", ADDRESS(INDEX($M$2:$M$1001,MATCH(ROWS($K$2:K553),$K$2:$K$1001,0),0), INDEX($R$1004:$W$1004,1,MATCH(COLUMNS($R$1006:W1006),$R$1006:$W$1006,0)))),"Fix")))</f>
        <v>0</v>
      </c>
      <c r="K553">
        <v>0</v>
      </c>
      <c r="L553">
        <v>0</v>
      </c>
      <c r="M553">
        <v>0</v>
      </c>
      <c r="N553">
        <f>IF(O553,TRUE,AND(R553:W553))</f>
        <v>0</v>
      </c>
      <c r="O553">
        <f>COUNTBLANK(Metadata!B553:G553)=COLUMNS(Metadata!B553:G553)</f>
        <v>0</v>
      </c>
      <c r="P553">
        <v>0</v>
      </c>
      <c r="R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S553">
        <f>IF(Metadata!C553="",FALSE,TRUE)</f>
        <v>0</v>
      </c>
      <c r="T553">
        <f>IF(Metadata!D553="",FALSE,TRUE)</f>
        <v>0</v>
      </c>
      <c r="U553">
        <f>IF(Metadata!E553="",FALSE,TRUE)</f>
        <v>0</v>
      </c>
      <c r="V553">
        <f>AND(IF(Metadata!F553="",FALSE,TRUE),exact(Metadata!F553,"rat gut metagenome"))</f>
        <v>0</v>
      </c>
      <c r="W553">
        <f>AND(IF(Metadata!G553="",FALSE,TRUE),exact(Metadata!G553,"1436733"))</f>
        <v>0</v>
      </c>
    </row>
    <row r="554" spans="1:23">
      <c r="A554" s="4">
        <f>IF(B554=" "," ",HYPERLINK(CONCATENATE("#metadata!",ADDRESS(INDEX($M$2:$M$1001,MATCH(ROWS($K$2:K554),$K$2:$K$1001,0),0),1)),INDEX($P$2:$P$1001,MATCH(ROWS($K$2:K554),$K$2:$K$1001,0),0)))</f>
        <v>0</v>
      </c>
      <c r="B554" s="3">
        <f>IF(OR(INDEX($L$2:$L$1001,MATCH(ROWS($K$2:K554),$K$2:$K$1001,0),1)&gt;=100000,INDEX($R$1005:$W$1005,1,MATCH(COLUMNS($R$1006:R1006),$R$1006:$W$1006,0))&gt;=100000), " ",IF(INDEX($R$2:$W$1001,MATCH(ROWS($K$2:K554),$K$2:$K$1001,0),MATCH(COLUMNS($R$1006:R1006),$R$1006:$W$1006,0)), HYPERLINK("#",""), HYPERLINK(CONCATENATE("#Metadata!", ADDRESS(INDEX($M$2:$M$1001,MATCH(ROWS($K$2:K554),$K$2:$K$1001,0),0), INDEX($R$1004:$W$1004,1,MATCH(COLUMNS($R$1006:R1006),$R$1006:$W$1006,0)))),"Fix")))</f>
        <v>0</v>
      </c>
      <c r="C554" s="3">
        <f>IF(OR(INDEX($L$2:$L$1001,MATCH(ROWS($K$2:K554),$K$2:$K$1001,0),1)&gt;=100000,INDEX($R$1005:$W$1005,1,MATCH(COLUMNS($R$1006:S1006),$R$1006:$W$1006,0))&gt;=100000), " ",IF(INDEX($R$2:$W$1001,MATCH(ROWS($K$2:K554),$K$2:$K$1001,0),MATCH(COLUMNS($R$1006:S1006),$R$1006:$W$1006,0)), HYPERLINK("#",""), HYPERLINK(CONCATENATE("#Metadata!", ADDRESS(INDEX($M$2:$M$1001,MATCH(ROWS($K$2:K554),$K$2:$K$1001,0),0), INDEX($R$1004:$W$1004,1,MATCH(COLUMNS($R$1006:S1006),$R$1006:$W$1006,0)))),"Fix")))</f>
        <v>0</v>
      </c>
      <c r="D554" s="3">
        <f>IF(OR(INDEX($L$2:$L$1001,MATCH(ROWS($K$2:K554),$K$2:$K$1001,0),1)&gt;=100000,INDEX($R$1005:$W$1005,1,MATCH(COLUMNS($R$1006:T1006),$R$1006:$W$1006,0))&gt;=100000), " ",IF(INDEX($R$2:$W$1001,MATCH(ROWS($K$2:K554),$K$2:$K$1001,0),MATCH(COLUMNS($R$1006:T1006),$R$1006:$W$1006,0)), HYPERLINK("#",""), HYPERLINK(CONCATENATE("#Metadata!", ADDRESS(INDEX($M$2:$M$1001,MATCH(ROWS($K$2:K554),$K$2:$K$1001,0),0), INDEX($R$1004:$W$1004,1,MATCH(COLUMNS($R$1006:T1006),$R$1006:$W$1006,0)))),"Fix")))</f>
        <v>0</v>
      </c>
      <c r="E554" s="3">
        <f>IF(OR(INDEX($L$2:$L$1001,MATCH(ROWS($K$2:K554),$K$2:$K$1001,0),1)&gt;=100000,INDEX($R$1005:$W$1005,1,MATCH(COLUMNS($R$1006:U1006),$R$1006:$W$1006,0))&gt;=100000), " ",IF(INDEX($R$2:$W$1001,MATCH(ROWS($K$2:K554),$K$2:$K$1001,0),MATCH(COLUMNS($R$1006:U1006),$R$1006:$W$1006,0)), HYPERLINK("#",""), HYPERLINK(CONCATENATE("#Metadata!", ADDRESS(INDEX($M$2:$M$1001,MATCH(ROWS($K$2:K554),$K$2:$K$1001,0),0), INDEX($R$1004:$W$1004,1,MATCH(COLUMNS($R$1006:U1006),$R$1006:$W$1006,0)))),"Fix")))</f>
        <v>0</v>
      </c>
      <c r="F554" s="3">
        <f>IF(OR(INDEX($L$2:$L$1001,MATCH(ROWS($K$2:K554),$K$2:$K$1001,0),1)&gt;=100000,INDEX($R$1005:$W$1005,1,MATCH(COLUMNS($R$1006:V1006),$R$1006:$W$1006,0))&gt;=100000), " ",IF(INDEX($R$2:$W$1001,MATCH(ROWS($K$2:K554),$K$2:$K$1001,0),MATCH(COLUMNS($R$1006:V1006),$R$1006:$W$1006,0)), HYPERLINK("#",""), HYPERLINK(CONCATENATE("#Metadata!", ADDRESS(INDEX($M$2:$M$1001,MATCH(ROWS($K$2:K554),$K$2:$K$1001,0),0), INDEX($R$1004:$W$1004,1,MATCH(COLUMNS($R$1006:V1006),$R$1006:$W$1006,0)))),"Fix")))</f>
        <v>0</v>
      </c>
      <c r="G554" s="3">
        <f>IF(OR(INDEX($L$2:$L$1001,MATCH(ROWS($K$2:K554),$K$2:$K$1001,0),1)&gt;=100000,INDEX($R$1005:$W$1005,1,MATCH(COLUMNS($R$1006:W1006),$R$1006:$W$1006,0))&gt;=100000), " ",IF(INDEX($R$2:$W$1001,MATCH(ROWS($K$2:K554),$K$2:$K$1001,0),MATCH(COLUMNS($R$1006:W1006),$R$1006:$W$1006,0)), HYPERLINK("#",""), HYPERLINK(CONCATENATE("#Metadata!", ADDRESS(INDEX($M$2:$M$1001,MATCH(ROWS($K$2:K554),$K$2:$K$1001,0),0), INDEX($R$1004:$W$1004,1,MATCH(COLUMNS($R$1006:W1006),$R$1006:$W$1006,0)))),"Fix")))</f>
        <v>0</v>
      </c>
      <c r="K554">
        <v>0</v>
      </c>
      <c r="L554">
        <v>0</v>
      </c>
      <c r="M554">
        <v>0</v>
      </c>
      <c r="N554">
        <f>IF(O554,TRUE,AND(R554:W554))</f>
        <v>0</v>
      </c>
      <c r="O554">
        <f>COUNTBLANK(Metadata!B554:G554)=COLUMNS(Metadata!B554:G554)</f>
        <v>0</v>
      </c>
      <c r="P554">
        <v>0</v>
      </c>
      <c r="R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S554">
        <f>IF(Metadata!C554="",FALSE,TRUE)</f>
        <v>0</v>
      </c>
      <c r="T554">
        <f>IF(Metadata!D554="",FALSE,TRUE)</f>
        <v>0</v>
      </c>
      <c r="U554">
        <f>IF(Metadata!E554="",FALSE,TRUE)</f>
        <v>0</v>
      </c>
      <c r="V554">
        <f>AND(IF(Metadata!F554="",FALSE,TRUE),exact(Metadata!F554,"rat gut metagenome"))</f>
        <v>0</v>
      </c>
      <c r="W554">
        <f>AND(IF(Metadata!G554="",FALSE,TRUE),exact(Metadata!G554,"1436733"))</f>
        <v>0</v>
      </c>
    </row>
    <row r="555" spans="1:23">
      <c r="A555" s="4">
        <f>IF(B555=" "," ",HYPERLINK(CONCATENATE("#metadata!",ADDRESS(INDEX($M$2:$M$1001,MATCH(ROWS($K$2:K555),$K$2:$K$1001,0),0),1)),INDEX($P$2:$P$1001,MATCH(ROWS($K$2:K555),$K$2:$K$1001,0),0)))</f>
        <v>0</v>
      </c>
      <c r="B555" s="3">
        <f>IF(OR(INDEX($L$2:$L$1001,MATCH(ROWS($K$2:K555),$K$2:$K$1001,0),1)&gt;=100000,INDEX($R$1005:$W$1005,1,MATCH(COLUMNS($R$1006:R1006),$R$1006:$W$1006,0))&gt;=100000), " ",IF(INDEX($R$2:$W$1001,MATCH(ROWS($K$2:K555),$K$2:$K$1001,0),MATCH(COLUMNS($R$1006:R1006),$R$1006:$W$1006,0)), HYPERLINK("#",""), HYPERLINK(CONCATENATE("#Metadata!", ADDRESS(INDEX($M$2:$M$1001,MATCH(ROWS($K$2:K555),$K$2:$K$1001,0),0), INDEX($R$1004:$W$1004,1,MATCH(COLUMNS($R$1006:R1006),$R$1006:$W$1006,0)))),"Fix")))</f>
        <v>0</v>
      </c>
      <c r="C555" s="3">
        <f>IF(OR(INDEX($L$2:$L$1001,MATCH(ROWS($K$2:K555),$K$2:$K$1001,0),1)&gt;=100000,INDEX($R$1005:$W$1005,1,MATCH(COLUMNS($R$1006:S1006),$R$1006:$W$1006,0))&gt;=100000), " ",IF(INDEX($R$2:$W$1001,MATCH(ROWS($K$2:K555),$K$2:$K$1001,0),MATCH(COLUMNS($R$1006:S1006),$R$1006:$W$1006,0)), HYPERLINK("#",""), HYPERLINK(CONCATENATE("#Metadata!", ADDRESS(INDEX($M$2:$M$1001,MATCH(ROWS($K$2:K555),$K$2:$K$1001,0),0), INDEX($R$1004:$W$1004,1,MATCH(COLUMNS($R$1006:S1006),$R$1006:$W$1006,0)))),"Fix")))</f>
        <v>0</v>
      </c>
      <c r="D555" s="3">
        <f>IF(OR(INDEX($L$2:$L$1001,MATCH(ROWS($K$2:K555),$K$2:$K$1001,0),1)&gt;=100000,INDEX($R$1005:$W$1005,1,MATCH(COLUMNS($R$1006:T1006),$R$1006:$W$1006,0))&gt;=100000), " ",IF(INDEX($R$2:$W$1001,MATCH(ROWS($K$2:K555),$K$2:$K$1001,0),MATCH(COLUMNS($R$1006:T1006),$R$1006:$W$1006,0)), HYPERLINK("#",""), HYPERLINK(CONCATENATE("#Metadata!", ADDRESS(INDEX($M$2:$M$1001,MATCH(ROWS($K$2:K555),$K$2:$K$1001,0),0), INDEX($R$1004:$W$1004,1,MATCH(COLUMNS($R$1006:T1006),$R$1006:$W$1006,0)))),"Fix")))</f>
        <v>0</v>
      </c>
      <c r="E555" s="3">
        <f>IF(OR(INDEX($L$2:$L$1001,MATCH(ROWS($K$2:K555),$K$2:$K$1001,0),1)&gt;=100000,INDEX($R$1005:$W$1005,1,MATCH(COLUMNS($R$1006:U1006),$R$1006:$W$1006,0))&gt;=100000), " ",IF(INDEX($R$2:$W$1001,MATCH(ROWS($K$2:K555),$K$2:$K$1001,0),MATCH(COLUMNS($R$1006:U1006),$R$1006:$W$1006,0)), HYPERLINK("#",""), HYPERLINK(CONCATENATE("#Metadata!", ADDRESS(INDEX($M$2:$M$1001,MATCH(ROWS($K$2:K555),$K$2:$K$1001,0),0), INDEX($R$1004:$W$1004,1,MATCH(COLUMNS($R$1006:U1006),$R$1006:$W$1006,0)))),"Fix")))</f>
        <v>0</v>
      </c>
      <c r="F555" s="3">
        <f>IF(OR(INDEX($L$2:$L$1001,MATCH(ROWS($K$2:K555),$K$2:$K$1001,0),1)&gt;=100000,INDEX($R$1005:$W$1005,1,MATCH(COLUMNS($R$1006:V1006),$R$1006:$W$1006,0))&gt;=100000), " ",IF(INDEX($R$2:$W$1001,MATCH(ROWS($K$2:K555),$K$2:$K$1001,0),MATCH(COLUMNS($R$1006:V1006),$R$1006:$W$1006,0)), HYPERLINK("#",""), HYPERLINK(CONCATENATE("#Metadata!", ADDRESS(INDEX($M$2:$M$1001,MATCH(ROWS($K$2:K555),$K$2:$K$1001,0),0), INDEX($R$1004:$W$1004,1,MATCH(COLUMNS($R$1006:V1006),$R$1006:$W$1006,0)))),"Fix")))</f>
        <v>0</v>
      </c>
      <c r="G555" s="3">
        <f>IF(OR(INDEX($L$2:$L$1001,MATCH(ROWS($K$2:K555),$K$2:$K$1001,0),1)&gt;=100000,INDEX($R$1005:$W$1005,1,MATCH(COLUMNS($R$1006:W1006),$R$1006:$W$1006,0))&gt;=100000), " ",IF(INDEX($R$2:$W$1001,MATCH(ROWS($K$2:K555),$K$2:$K$1001,0),MATCH(COLUMNS($R$1006:W1006),$R$1006:$W$1006,0)), HYPERLINK("#",""), HYPERLINK(CONCATENATE("#Metadata!", ADDRESS(INDEX($M$2:$M$1001,MATCH(ROWS($K$2:K555),$K$2:$K$1001,0),0), INDEX($R$1004:$W$1004,1,MATCH(COLUMNS($R$1006:W1006),$R$1006:$W$1006,0)))),"Fix")))</f>
        <v>0</v>
      </c>
      <c r="K555">
        <v>0</v>
      </c>
      <c r="L555">
        <v>0</v>
      </c>
      <c r="M555">
        <v>0</v>
      </c>
      <c r="N555">
        <f>IF(O555,TRUE,AND(R555:W555))</f>
        <v>0</v>
      </c>
      <c r="O555">
        <f>COUNTBLANK(Metadata!B555:G555)=COLUMNS(Metadata!B555:G555)</f>
        <v>0</v>
      </c>
      <c r="P555">
        <v>0</v>
      </c>
      <c r="R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S555">
        <f>IF(Metadata!C555="",FALSE,TRUE)</f>
        <v>0</v>
      </c>
      <c r="T555">
        <f>IF(Metadata!D555="",FALSE,TRUE)</f>
        <v>0</v>
      </c>
      <c r="U555">
        <f>IF(Metadata!E555="",FALSE,TRUE)</f>
        <v>0</v>
      </c>
      <c r="V555">
        <f>AND(IF(Metadata!F555="",FALSE,TRUE),exact(Metadata!F555,"rat gut metagenome"))</f>
        <v>0</v>
      </c>
      <c r="W555">
        <f>AND(IF(Metadata!G555="",FALSE,TRUE),exact(Metadata!G555,"1436733"))</f>
        <v>0</v>
      </c>
    </row>
    <row r="556" spans="1:23">
      <c r="A556" s="4">
        <f>IF(B556=" "," ",HYPERLINK(CONCATENATE("#metadata!",ADDRESS(INDEX($M$2:$M$1001,MATCH(ROWS($K$2:K556),$K$2:$K$1001,0),0),1)),INDEX($P$2:$P$1001,MATCH(ROWS($K$2:K556),$K$2:$K$1001,0),0)))</f>
        <v>0</v>
      </c>
      <c r="B556" s="3">
        <f>IF(OR(INDEX($L$2:$L$1001,MATCH(ROWS($K$2:K556),$K$2:$K$1001,0),1)&gt;=100000,INDEX($R$1005:$W$1005,1,MATCH(COLUMNS($R$1006:R1006),$R$1006:$W$1006,0))&gt;=100000), " ",IF(INDEX($R$2:$W$1001,MATCH(ROWS($K$2:K556),$K$2:$K$1001,0),MATCH(COLUMNS($R$1006:R1006),$R$1006:$W$1006,0)), HYPERLINK("#",""), HYPERLINK(CONCATENATE("#Metadata!", ADDRESS(INDEX($M$2:$M$1001,MATCH(ROWS($K$2:K556),$K$2:$K$1001,0),0), INDEX($R$1004:$W$1004,1,MATCH(COLUMNS($R$1006:R1006),$R$1006:$W$1006,0)))),"Fix")))</f>
        <v>0</v>
      </c>
      <c r="C556" s="3">
        <f>IF(OR(INDEX($L$2:$L$1001,MATCH(ROWS($K$2:K556),$K$2:$K$1001,0),1)&gt;=100000,INDEX($R$1005:$W$1005,1,MATCH(COLUMNS($R$1006:S1006),$R$1006:$W$1006,0))&gt;=100000), " ",IF(INDEX($R$2:$W$1001,MATCH(ROWS($K$2:K556),$K$2:$K$1001,0),MATCH(COLUMNS($R$1006:S1006),$R$1006:$W$1006,0)), HYPERLINK("#",""), HYPERLINK(CONCATENATE("#Metadata!", ADDRESS(INDEX($M$2:$M$1001,MATCH(ROWS($K$2:K556),$K$2:$K$1001,0),0), INDEX($R$1004:$W$1004,1,MATCH(COLUMNS($R$1006:S1006),$R$1006:$W$1006,0)))),"Fix")))</f>
        <v>0</v>
      </c>
      <c r="D556" s="3">
        <f>IF(OR(INDEX($L$2:$L$1001,MATCH(ROWS($K$2:K556),$K$2:$K$1001,0),1)&gt;=100000,INDEX($R$1005:$W$1005,1,MATCH(COLUMNS($R$1006:T1006),$R$1006:$W$1006,0))&gt;=100000), " ",IF(INDEX($R$2:$W$1001,MATCH(ROWS($K$2:K556),$K$2:$K$1001,0),MATCH(COLUMNS($R$1006:T1006),$R$1006:$W$1006,0)), HYPERLINK("#",""), HYPERLINK(CONCATENATE("#Metadata!", ADDRESS(INDEX($M$2:$M$1001,MATCH(ROWS($K$2:K556),$K$2:$K$1001,0),0), INDEX($R$1004:$W$1004,1,MATCH(COLUMNS($R$1006:T1006),$R$1006:$W$1006,0)))),"Fix")))</f>
        <v>0</v>
      </c>
      <c r="E556" s="3">
        <f>IF(OR(INDEX($L$2:$L$1001,MATCH(ROWS($K$2:K556),$K$2:$K$1001,0),1)&gt;=100000,INDEX($R$1005:$W$1005,1,MATCH(COLUMNS($R$1006:U1006),$R$1006:$W$1006,0))&gt;=100000), " ",IF(INDEX($R$2:$W$1001,MATCH(ROWS($K$2:K556),$K$2:$K$1001,0),MATCH(COLUMNS($R$1006:U1006),$R$1006:$W$1006,0)), HYPERLINK("#",""), HYPERLINK(CONCATENATE("#Metadata!", ADDRESS(INDEX($M$2:$M$1001,MATCH(ROWS($K$2:K556),$K$2:$K$1001,0),0), INDEX($R$1004:$W$1004,1,MATCH(COLUMNS($R$1006:U1006),$R$1006:$W$1006,0)))),"Fix")))</f>
        <v>0</v>
      </c>
      <c r="F556" s="3">
        <f>IF(OR(INDEX($L$2:$L$1001,MATCH(ROWS($K$2:K556),$K$2:$K$1001,0),1)&gt;=100000,INDEX($R$1005:$W$1005,1,MATCH(COLUMNS($R$1006:V1006),$R$1006:$W$1006,0))&gt;=100000), " ",IF(INDEX($R$2:$W$1001,MATCH(ROWS($K$2:K556),$K$2:$K$1001,0),MATCH(COLUMNS($R$1006:V1006),$R$1006:$W$1006,0)), HYPERLINK("#",""), HYPERLINK(CONCATENATE("#Metadata!", ADDRESS(INDEX($M$2:$M$1001,MATCH(ROWS($K$2:K556),$K$2:$K$1001,0),0), INDEX($R$1004:$W$1004,1,MATCH(COLUMNS($R$1006:V1006),$R$1006:$W$1006,0)))),"Fix")))</f>
        <v>0</v>
      </c>
      <c r="G556" s="3">
        <f>IF(OR(INDEX($L$2:$L$1001,MATCH(ROWS($K$2:K556),$K$2:$K$1001,0),1)&gt;=100000,INDEX($R$1005:$W$1005,1,MATCH(COLUMNS($R$1006:W1006),$R$1006:$W$1006,0))&gt;=100000), " ",IF(INDEX($R$2:$W$1001,MATCH(ROWS($K$2:K556),$K$2:$K$1001,0),MATCH(COLUMNS($R$1006:W1006),$R$1006:$W$1006,0)), HYPERLINK("#",""), HYPERLINK(CONCATENATE("#Metadata!", ADDRESS(INDEX($M$2:$M$1001,MATCH(ROWS($K$2:K556),$K$2:$K$1001,0),0), INDEX($R$1004:$W$1004,1,MATCH(COLUMNS($R$1006:W1006),$R$1006:$W$1006,0)))),"Fix")))</f>
        <v>0</v>
      </c>
      <c r="K556">
        <v>0</v>
      </c>
      <c r="L556">
        <v>0</v>
      </c>
      <c r="M556">
        <v>0</v>
      </c>
      <c r="N556">
        <f>IF(O556,TRUE,AND(R556:W556))</f>
        <v>0</v>
      </c>
      <c r="O556">
        <f>COUNTBLANK(Metadata!B556:G556)=COLUMNS(Metadata!B556:G556)</f>
        <v>0</v>
      </c>
      <c r="P556">
        <v>0</v>
      </c>
      <c r="R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S556">
        <f>IF(Metadata!C556="",FALSE,TRUE)</f>
        <v>0</v>
      </c>
      <c r="T556">
        <f>IF(Metadata!D556="",FALSE,TRUE)</f>
        <v>0</v>
      </c>
      <c r="U556">
        <f>IF(Metadata!E556="",FALSE,TRUE)</f>
        <v>0</v>
      </c>
      <c r="V556">
        <f>AND(IF(Metadata!F556="",FALSE,TRUE),exact(Metadata!F556,"rat gut metagenome"))</f>
        <v>0</v>
      </c>
      <c r="W556">
        <f>AND(IF(Metadata!G556="",FALSE,TRUE),exact(Metadata!G556,"1436733"))</f>
        <v>0</v>
      </c>
    </row>
    <row r="557" spans="1:23">
      <c r="A557" s="4">
        <f>IF(B557=" "," ",HYPERLINK(CONCATENATE("#metadata!",ADDRESS(INDEX($M$2:$M$1001,MATCH(ROWS($K$2:K557),$K$2:$K$1001,0),0),1)),INDEX($P$2:$P$1001,MATCH(ROWS($K$2:K557),$K$2:$K$1001,0),0)))</f>
        <v>0</v>
      </c>
      <c r="B557" s="3">
        <f>IF(OR(INDEX($L$2:$L$1001,MATCH(ROWS($K$2:K557),$K$2:$K$1001,0),1)&gt;=100000,INDEX($R$1005:$W$1005,1,MATCH(COLUMNS($R$1006:R1006),$R$1006:$W$1006,0))&gt;=100000), " ",IF(INDEX($R$2:$W$1001,MATCH(ROWS($K$2:K557),$K$2:$K$1001,0),MATCH(COLUMNS($R$1006:R1006),$R$1006:$W$1006,0)), HYPERLINK("#",""), HYPERLINK(CONCATENATE("#Metadata!", ADDRESS(INDEX($M$2:$M$1001,MATCH(ROWS($K$2:K557),$K$2:$K$1001,0),0), INDEX($R$1004:$W$1004,1,MATCH(COLUMNS($R$1006:R1006),$R$1006:$W$1006,0)))),"Fix")))</f>
        <v>0</v>
      </c>
      <c r="C557" s="3">
        <f>IF(OR(INDEX($L$2:$L$1001,MATCH(ROWS($K$2:K557),$K$2:$K$1001,0),1)&gt;=100000,INDEX($R$1005:$W$1005,1,MATCH(COLUMNS($R$1006:S1006),$R$1006:$W$1006,0))&gt;=100000), " ",IF(INDEX($R$2:$W$1001,MATCH(ROWS($K$2:K557),$K$2:$K$1001,0),MATCH(COLUMNS($R$1006:S1006),$R$1006:$W$1006,0)), HYPERLINK("#",""), HYPERLINK(CONCATENATE("#Metadata!", ADDRESS(INDEX($M$2:$M$1001,MATCH(ROWS($K$2:K557),$K$2:$K$1001,0),0), INDEX($R$1004:$W$1004,1,MATCH(COLUMNS($R$1006:S1006),$R$1006:$W$1006,0)))),"Fix")))</f>
        <v>0</v>
      </c>
      <c r="D557" s="3">
        <f>IF(OR(INDEX($L$2:$L$1001,MATCH(ROWS($K$2:K557),$K$2:$K$1001,0),1)&gt;=100000,INDEX($R$1005:$W$1005,1,MATCH(COLUMNS($R$1006:T1006),$R$1006:$W$1006,0))&gt;=100000), " ",IF(INDEX($R$2:$W$1001,MATCH(ROWS($K$2:K557),$K$2:$K$1001,0),MATCH(COLUMNS($R$1006:T1006),$R$1006:$W$1006,0)), HYPERLINK("#",""), HYPERLINK(CONCATENATE("#Metadata!", ADDRESS(INDEX($M$2:$M$1001,MATCH(ROWS($K$2:K557),$K$2:$K$1001,0),0), INDEX($R$1004:$W$1004,1,MATCH(COLUMNS($R$1006:T1006),$R$1006:$W$1006,0)))),"Fix")))</f>
        <v>0</v>
      </c>
      <c r="E557" s="3">
        <f>IF(OR(INDEX($L$2:$L$1001,MATCH(ROWS($K$2:K557),$K$2:$K$1001,0),1)&gt;=100000,INDEX($R$1005:$W$1005,1,MATCH(COLUMNS($R$1006:U1006),$R$1006:$W$1006,0))&gt;=100000), " ",IF(INDEX($R$2:$W$1001,MATCH(ROWS($K$2:K557),$K$2:$K$1001,0),MATCH(COLUMNS($R$1006:U1006),$R$1006:$W$1006,0)), HYPERLINK("#",""), HYPERLINK(CONCATENATE("#Metadata!", ADDRESS(INDEX($M$2:$M$1001,MATCH(ROWS($K$2:K557),$K$2:$K$1001,0),0), INDEX($R$1004:$W$1004,1,MATCH(COLUMNS($R$1006:U1006),$R$1006:$W$1006,0)))),"Fix")))</f>
        <v>0</v>
      </c>
      <c r="F557" s="3">
        <f>IF(OR(INDEX($L$2:$L$1001,MATCH(ROWS($K$2:K557),$K$2:$K$1001,0),1)&gt;=100000,INDEX($R$1005:$W$1005,1,MATCH(COLUMNS($R$1006:V1006),$R$1006:$W$1006,0))&gt;=100000), " ",IF(INDEX($R$2:$W$1001,MATCH(ROWS($K$2:K557),$K$2:$K$1001,0),MATCH(COLUMNS($R$1006:V1006),$R$1006:$W$1006,0)), HYPERLINK("#",""), HYPERLINK(CONCATENATE("#Metadata!", ADDRESS(INDEX($M$2:$M$1001,MATCH(ROWS($K$2:K557),$K$2:$K$1001,0),0), INDEX($R$1004:$W$1004,1,MATCH(COLUMNS($R$1006:V1006),$R$1006:$W$1006,0)))),"Fix")))</f>
        <v>0</v>
      </c>
      <c r="G557" s="3">
        <f>IF(OR(INDEX($L$2:$L$1001,MATCH(ROWS($K$2:K557),$K$2:$K$1001,0),1)&gt;=100000,INDEX($R$1005:$W$1005,1,MATCH(COLUMNS($R$1006:W1006),$R$1006:$W$1006,0))&gt;=100000), " ",IF(INDEX($R$2:$W$1001,MATCH(ROWS($K$2:K557),$K$2:$K$1001,0),MATCH(COLUMNS($R$1006:W1006),$R$1006:$W$1006,0)), HYPERLINK("#",""), HYPERLINK(CONCATENATE("#Metadata!", ADDRESS(INDEX($M$2:$M$1001,MATCH(ROWS($K$2:K557),$K$2:$K$1001,0),0), INDEX($R$1004:$W$1004,1,MATCH(COLUMNS($R$1006:W1006),$R$1006:$W$1006,0)))),"Fix")))</f>
        <v>0</v>
      </c>
      <c r="K557">
        <v>0</v>
      </c>
      <c r="L557">
        <v>0</v>
      </c>
      <c r="M557">
        <v>0</v>
      </c>
      <c r="N557">
        <f>IF(O557,TRUE,AND(R557:W557))</f>
        <v>0</v>
      </c>
      <c r="O557">
        <f>COUNTBLANK(Metadata!B557:G557)=COLUMNS(Metadata!B557:G557)</f>
        <v>0</v>
      </c>
      <c r="P557">
        <v>0</v>
      </c>
      <c r="R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S557">
        <f>IF(Metadata!C557="",FALSE,TRUE)</f>
        <v>0</v>
      </c>
      <c r="T557">
        <f>IF(Metadata!D557="",FALSE,TRUE)</f>
        <v>0</v>
      </c>
      <c r="U557">
        <f>IF(Metadata!E557="",FALSE,TRUE)</f>
        <v>0</v>
      </c>
      <c r="V557">
        <f>AND(IF(Metadata!F557="",FALSE,TRUE),exact(Metadata!F557,"rat gut metagenome"))</f>
        <v>0</v>
      </c>
      <c r="W557">
        <f>AND(IF(Metadata!G557="",FALSE,TRUE),exact(Metadata!G557,"1436733"))</f>
        <v>0</v>
      </c>
    </row>
    <row r="558" spans="1:23">
      <c r="A558" s="4">
        <f>IF(B558=" "," ",HYPERLINK(CONCATENATE("#metadata!",ADDRESS(INDEX($M$2:$M$1001,MATCH(ROWS($K$2:K558),$K$2:$K$1001,0),0),1)),INDEX($P$2:$P$1001,MATCH(ROWS($K$2:K558),$K$2:$K$1001,0),0)))</f>
        <v>0</v>
      </c>
      <c r="B558" s="3">
        <f>IF(OR(INDEX($L$2:$L$1001,MATCH(ROWS($K$2:K558),$K$2:$K$1001,0),1)&gt;=100000,INDEX($R$1005:$W$1005,1,MATCH(COLUMNS($R$1006:R1006),$R$1006:$W$1006,0))&gt;=100000), " ",IF(INDEX($R$2:$W$1001,MATCH(ROWS($K$2:K558),$K$2:$K$1001,0),MATCH(COLUMNS($R$1006:R1006),$R$1006:$W$1006,0)), HYPERLINK("#",""), HYPERLINK(CONCATENATE("#Metadata!", ADDRESS(INDEX($M$2:$M$1001,MATCH(ROWS($K$2:K558),$K$2:$K$1001,0),0), INDEX($R$1004:$W$1004,1,MATCH(COLUMNS($R$1006:R1006),$R$1006:$W$1006,0)))),"Fix")))</f>
        <v>0</v>
      </c>
      <c r="C558" s="3">
        <f>IF(OR(INDEX($L$2:$L$1001,MATCH(ROWS($K$2:K558),$K$2:$K$1001,0),1)&gt;=100000,INDEX($R$1005:$W$1005,1,MATCH(COLUMNS($R$1006:S1006),$R$1006:$W$1006,0))&gt;=100000), " ",IF(INDEX($R$2:$W$1001,MATCH(ROWS($K$2:K558),$K$2:$K$1001,0),MATCH(COLUMNS($R$1006:S1006),$R$1006:$W$1006,0)), HYPERLINK("#",""), HYPERLINK(CONCATENATE("#Metadata!", ADDRESS(INDEX($M$2:$M$1001,MATCH(ROWS($K$2:K558),$K$2:$K$1001,0),0), INDEX($R$1004:$W$1004,1,MATCH(COLUMNS($R$1006:S1006),$R$1006:$W$1006,0)))),"Fix")))</f>
        <v>0</v>
      </c>
      <c r="D558" s="3">
        <f>IF(OR(INDEX($L$2:$L$1001,MATCH(ROWS($K$2:K558),$K$2:$K$1001,0),1)&gt;=100000,INDEX($R$1005:$W$1005,1,MATCH(COLUMNS($R$1006:T1006),$R$1006:$W$1006,0))&gt;=100000), " ",IF(INDEX($R$2:$W$1001,MATCH(ROWS($K$2:K558),$K$2:$K$1001,0),MATCH(COLUMNS($R$1006:T1006),$R$1006:$W$1006,0)), HYPERLINK("#",""), HYPERLINK(CONCATENATE("#Metadata!", ADDRESS(INDEX($M$2:$M$1001,MATCH(ROWS($K$2:K558),$K$2:$K$1001,0),0), INDEX($R$1004:$W$1004,1,MATCH(COLUMNS($R$1006:T1006),$R$1006:$W$1006,0)))),"Fix")))</f>
        <v>0</v>
      </c>
      <c r="E558" s="3">
        <f>IF(OR(INDEX($L$2:$L$1001,MATCH(ROWS($K$2:K558),$K$2:$K$1001,0),1)&gt;=100000,INDEX($R$1005:$W$1005,1,MATCH(COLUMNS($R$1006:U1006),$R$1006:$W$1006,0))&gt;=100000), " ",IF(INDEX($R$2:$W$1001,MATCH(ROWS($K$2:K558),$K$2:$K$1001,0),MATCH(COLUMNS($R$1006:U1006),$R$1006:$W$1006,0)), HYPERLINK("#",""), HYPERLINK(CONCATENATE("#Metadata!", ADDRESS(INDEX($M$2:$M$1001,MATCH(ROWS($K$2:K558),$K$2:$K$1001,0),0), INDEX($R$1004:$W$1004,1,MATCH(COLUMNS($R$1006:U1006),$R$1006:$W$1006,0)))),"Fix")))</f>
        <v>0</v>
      </c>
      <c r="F558" s="3">
        <f>IF(OR(INDEX($L$2:$L$1001,MATCH(ROWS($K$2:K558),$K$2:$K$1001,0),1)&gt;=100000,INDEX($R$1005:$W$1005,1,MATCH(COLUMNS($R$1006:V1006),$R$1006:$W$1006,0))&gt;=100000), " ",IF(INDEX($R$2:$W$1001,MATCH(ROWS($K$2:K558),$K$2:$K$1001,0),MATCH(COLUMNS($R$1006:V1006),$R$1006:$W$1006,0)), HYPERLINK("#",""), HYPERLINK(CONCATENATE("#Metadata!", ADDRESS(INDEX($M$2:$M$1001,MATCH(ROWS($K$2:K558),$K$2:$K$1001,0),0), INDEX($R$1004:$W$1004,1,MATCH(COLUMNS($R$1006:V1006),$R$1006:$W$1006,0)))),"Fix")))</f>
        <v>0</v>
      </c>
      <c r="G558" s="3">
        <f>IF(OR(INDEX($L$2:$L$1001,MATCH(ROWS($K$2:K558),$K$2:$K$1001,0),1)&gt;=100000,INDEX($R$1005:$W$1005,1,MATCH(COLUMNS($R$1006:W1006),$R$1006:$W$1006,0))&gt;=100000), " ",IF(INDEX($R$2:$W$1001,MATCH(ROWS($K$2:K558),$K$2:$K$1001,0),MATCH(COLUMNS($R$1006:W1006),$R$1006:$W$1006,0)), HYPERLINK("#",""), HYPERLINK(CONCATENATE("#Metadata!", ADDRESS(INDEX($M$2:$M$1001,MATCH(ROWS($K$2:K558),$K$2:$K$1001,0),0), INDEX($R$1004:$W$1004,1,MATCH(COLUMNS($R$1006:W1006),$R$1006:$W$1006,0)))),"Fix")))</f>
        <v>0</v>
      </c>
      <c r="K558">
        <v>0</v>
      </c>
      <c r="L558">
        <v>0</v>
      </c>
      <c r="M558">
        <v>0</v>
      </c>
      <c r="N558">
        <f>IF(O558,TRUE,AND(R558:W558))</f>
        <v>0</v>
      </c>
      <c r="O558">
        <f>COUNTBLANK(Metadata!B558:G558)=COLUMNS(Metadata!B558:G558)</f>
        <v>0</v>
      </c>
      <c r="P558">
        <v>0</v>
      </c>
      <c r="R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S558">
        <f>IF(Metadata!C558="",FALSE,TRUE)</f>
        <v>0</v>
      </c>
      <c r="T558">
        <f>IF(Metadata!D558="",FALSE,TRUE)</f>
        <v>0</v>
      </c>
      <c r="U558">
        <f>IF(Metadata!E558="",FALSE,TRUE)</f>
        <v>0</v>
      </c>
      <c r="V558">
        <f>AND(IF(Metadata!F558="",FALSE,TRUE),exact(Metadata!F558,"rat gut metagenome"))</f>
        <v>0</v>
      </c>
      <c r="W558">
        <f>AND(IF(Metadata!G558="",FALSE,TRUE),exact(Metadata!G558,"1436733"))</f>
        <v>0</v>
      </c>
    </row>
    <row r="559" spans="1:23">
      <c r="A559" s="4">
        <f>IF(B559=" "," ",HYPERLINK(CONCATENATE("#metadata!",ADDRESS(INDEX($M$2:$M$1001,MATCH(ROWS($K$2:K559),$K$2:$K$1001,0),0),1)),INDEX($P$2:$P$1001,MATCH(ROWS($K$2:K559),$K$2:$K$1001,0),0)))</f>
        <v>0</v>
      </c>
      <c r="B559" s="3">
        <f>IF(OR(INDEX($L$2:$L$1001,MATCH(ROWS($K$2:K559),$K$2:$K$1001,0),1)&gt;=100000,INDEX($R$1005:$W$1005,1,MATCH(COLUMNS($R$1006:R1006),$R$1006:$W$1006,0))&gt;=100000), " ",IF(INDEX($R$2:$W$1001,MATCH(ROWS($K$2:K559),$K$2:$K$1001,0),MATCH(COLUMNS($R$1006:R1006),$R$1006:$W$1006,0)), HYPERLINK("#",""), HYPERLINK(CONCATENATE("#Metadata!", ADDRESS(INDEX($M$2:$M$1001,MATCH(ROWS($K$2:K559),$K$2:$K$1001,0),0), INDEX($R$1004:$W$1004,1,MATCH(COLUMNS($R$1006:R1006),$R$1006:$W$1006,0)))),"Fix")))</f>
        <v>0</v>
      </c>
      <c r="C559" s="3">
        <f>IF(OR(INDEX($L$2:$L$1001,MATCH(ROWS($K$2:K559),$K$2:$K$1001,0),1)&gt;=100000,INDEX($R$1005:$W$1005,1,MATCH(COLUMNS($R$1006:S1006),$R$1006:$W$1006,0))&gt;=100000), " ",IF(INDEX($R$2:$W$1001,MATCH(ROWS($K$2:K559),$K$2:$K$1001,0),MATCH(COLUMNS($R$1006:S1006),$R$1006:$W$1006,0)), HYPERLINK("#",""), HYPERLINK(CONCATENATE("#Metadata!", ADDRESS(INDEX($M$2:$M$1001,MATCH(ROWS($K$2:K559),$K$2:$K$1001,0),0), INDEX($R$1004:$W$1004,1,MATCH(COLUMNS($R$1006:S1006),$R$1006:$W$1006,0)))),"Fix")))</f>
        <v>0</v>
      </c>
      <c r="D559" s="3">
        <f>IF(OR(INDEX($L$2:$L$1001,MATCH(ROWS($K$2:K559),$K$2:$K$1001,0),1)&gt;=100000,INDEX($R$1005:$W$1005,1,MATCH(COLUMNS($R$1006:T1006),$R$1006:$W$1006,0))&gt;=100000), " ",IF(INDEX($R$2:$W$1001,MATCH(ROWS($K$2:K559),$K$2:$K$1001,0),MATCH(COLUMNS($R$1006:T1006),$R$1006:$W$1006,0)), HYPERLINK("#",""), HYPERLINK(CONCATENATE("#Metadata!", ADDRESS(INDEX($M$2:$M$1001,MATCH(ROWS($K$2:K559),$K$2:$K$1001,0),0), INDEX($R$1004:$W$1004,1,MATCH(COLUMNS($R$1006:T1006),$R$1006:$W$1006,0)))),"Fix")))</f>
        <v>0</v>
      </c>
      <c r="E559" s="3">
        <f>IF(OR(INDEX($L$2:$L$1001,MATCH(ROWS($K$2:K559),$K$2:$K$1001,0),1)&gt;=100000,INDEX($R$1005:$W$1005,1,MATCH(COLUMNS($R$1006:U1006),$R$1006:$W$1006,0))&gt;=100000), " ",IF(INDEX($R$2:$W$1001,MATCH(ROWS($K$2:K559),$K$2:$K$1001,0),MATCH(COLUMNS($R$1006:U1006),$R$1006:$W$1006,0)), HYPERLINK("#",""), HYPERLINK(CONCATENATE("#Metadata!", ADDRESS(INDEX($M$2:$M$1001,MATCH(ROWS($K$2:K559),$K$2:$K$1001,0),0), INDEX($R$1004:$W$1004,1,MATCH(COLUMNS($R$1006:U1006),$R$1006:$W$1006,0)))),"Fix")))</f>
        <v>0</v>
      </c>
      <c r="F559" s="3">
        <f>IF(OR(INDEX($L$2:$L$1001,MATCH(ROWS($K$2:K559),$K$2:$K$1001,0),1)&gt;=100000,INDEX($R$1005:$W$1005,1,MATCH(COLUMNS($R$1006:V1006),$R$1006:$W$1006,0))&gt;=100000), " ",IF(INDEX($R$2:$W$1001,MATCH(ROWS($K$2:K559),$K$2:$K$1001,0),MATCH(COLUMNS($R$1006:V1006),$R$1006:$W$1006,0)), HYPERLINK("#",""), HYPERLINK(CONCATENATE("#Metadata!", ADDRESS(INDEX($M$2:$M$1001,MATCH(ROWS($K$2:K559),$K$2:$K$1001,0),0), INDEX($R$1004:$W$1004,1,MATCH(COLUMNS($R$1006:V1006),$R$1006:$W$1006,0)))),"Fix")))</f>
        <v>0</v>
      </c>
      <c r="G559" s="3">
        <f>IF(OR(INDEX($L$2:$L$1001,MATCH(ROWS($K$2:K559),$K$2:$K$1001,0),1)&gt;=100000,INDEX($R$1005:$W$1005,1,MATCH(COLUMNS($R$1006:W1006),$R$1006:$W$1006,0))&gt;=100000), " ",IF(INDEX($R$2:$W$1001,MATCH(ROWS($K$2:K559),$K$2:$K$1001,0),MATCH(COLUMNS($R$1006:W1006),$R$1006:$W$1006,0)), HYPERLINK("#",""), HYPERLINK(CONCATENATE("#Metadata!", ADDRESS(INDEX($M$2:$M$1001,MATCH(ROWS($K$2:K559),$K$2:$K$1001,0),0), INDEX($R$1004:$W$1004,1,MATCH(COLUMNS($R$1006:W1006),$R$1006:$W$1006,0)))),"Fix")))</f>
        <v>0</v>
      </c>
      <c r="K559">
        <v>0</v>
      </c>
      <c r="L559">
        <v>0</v>
      </c>
      <c r="M559">
        <v>0</v>
      </c>
      <c r="N559">
        <f>IF(O559,TRUE,AND(R559:W559))</f>
        <v>0</v>
      </c>
      <c r="O559">
        <f>COUNTBLANK(Metadata!B559:G559)=COLUMNS(Metadata!B559:G559)</f>
        <v>0</v>
      </c>
      <c r="P559">
        <v>0</v>
      </c>
      <c r="R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S559">
        <f>IF(Metadata!C559="",FALSE,TRUE)</f>
        <v>0</v>
      </c>
      <c r="T559">
        <f>IF(Metadata!D559="",FALSE,TRUE)</f>
        <v>0</v>
      </c>
      <c r="U559">
        <f>IF(Metadata!E559="",FALSE,TRUE)</f>
        <v>0</v>
      </c>
      <c r="V559">
        <f>AND(IF(Metadata!F559="",FALSE,TRUE),exact(Metadata!F559,"rat gut metagenome"))</f>
        <v>0</v>
      </c>
      <c r="W559">
        <f>AND(IF(Metadata!G559="",FALSE,TRUE),exact(Metadata!G559,"1436733"))</f>
        <v>0</v>
      </c>
    </row>
    <row r="560" spans="1:23">
      <c r="A560" s="4">
        <f>IF(B560=" "," ",HYPERLINK(CONCATENATE("#metadata!",ADDRESS(INDEX($M$2:$M$1001,MATCH(ROWS($K$2:K560),$K$2:$K$1001,0),0),1)),INDEX($P$2:$P$1001,MATCH(ROWS($K$2:K560),$K$2:$K$1001,0),0)))</f>
        <v>0</v>
      </c>
      <c r="B560" s="3">
        <f>IF(OR(INDEX($L$2:$L$1001,MATCH(ROWS($K$2:K560),$K$2:$K$1001,0),1)&gt;=100000,INDEX($R$1005:$W$1005,1,MATCH(COLUMNS($R$1006:R1006),$R$1006:$W$1006,0))&gt;=100000), " ",IF(INDEX($R$2:$W$1001,MATCH(ROWS($K$2:K560),$K$2:$K$1001,0),MATCH(COLUMNS($R$1006:R1006),$R$1006:$W$1006,0)), HYPERLINK("#",""), HYPERLINK(CONCATENATE("#Metadata!", ADDRESS(INDEX($M$2:$M$1001,MATCH(ROWS($K$2:K560),$K$2:$K$1001,0),0), INDEX($R$1004:$W$1004,1,MATCH(COLUMNS($R$1006:R1006),$R$1006:$W$1006,0)))),"Fix")))</f>
        <v>0</v>
      </c>
      <c r="C560" s="3">
        <f>IF(OR(INDEX($L$2:$L$1001,MATCH(ROWS($K$2:K560),$K$2:$K$1001,0),1)&gt;=100000,INDEX($R$1005:$W$1005,1,MATCH(COLUMNS($R$1006:S1006),$R$1006:$W$1006,0))&gt;=100000), " ",IF(INDEX($R$2:$W$1001,MATCH(ROWS($K$2:K560),$K$2:$K$1001,0),MATCH(COLUMNS($R$1006:S1006),$R$1006:$W$1006,0)), HYPERLINK("#",""), HYPERLINK(CONCATENATE("#Metadata!", ADDRESS(INDEX($M$2:$M$1001,MATCH(ROWS($K$2:K560),$K$2:$K$1001,0),0), INDEX($R$1004:$W$1004,1,MATCH(COLUMNS($R$1006:S1006),$R$1006:$W$1006,0)))),"Fix")))</f>
        <v>0</v>
      </c>
      <c r="D560" s="3">
        <f>IF(OR(INDEX($L$2:$L$1001,MATCH(ROWS($K$2:K560),$K$2:$K$1001,0),1)&gt;=100000,INDEX($R$1005:$W$1005,1,MATCH(COLUMNS($R$1006:T1006),$R$1006:$W$1006,0))&gt;=100000), " ",IF(INDEX($R$2:$W$1001,MATCH(ROWS($K$2:K560),$K$2:$K$1001,0),MATCH(COLUMNS($R$1006:T1006),$R$1006:$W$1006,0)), HYPERLINK("#",""), HYPERLINK(CONCATENATE("#Metadata!", ADDRESS(INDEX($M$2:$M$1001,MATCH(ROWS($K$2:K560),$K$2:$K$1001,0),0), INDEX($R$1004:$W$1004,1,MATCH(COLUMNS($R$1006:T1006),$R$1006:$W$1006,0)))),"Fix")))</f>
        <v>0</v>
      </c>
      <c r="E560" s="3">
        <f>IF(OR(INDEX($L$2:$L$1001,MATCH(ROWS($K$2:K560),$K$2:$K$1001,0),1)&gt;=100000,INDEX($R$1005:$W$1005,1,MATCH(COLUMNS($R$1006:U1006),$R$1006:$W$1006,0))&gt;=100000), " ",IF(INDEX($R$2:$W$1001,MATCH(ROWS($K$2:K560),$K$2:$K$1001,0),MATCH(COLUMNS($R$1006:U1006),$R$1006:$W$1006,0)), HYPERLINK("#",""), HYPERLINK(CONCATENATE("#Metadata!", ADDRESS(INDEX($M$2:$M$1001,MATCH(ROWS($K$2:K560),$K$2:$K$1001,0),0), INDEX($R$1004:$W$1004,1,MATCH(COLUMNS($R$1006:U1006),$R$1006:$W$1006,0)))),"Fix")))</f>
        <v>0</v>
      </c>
      <c r="F560" s="3">
        <f>IF(OR(INDEX($L$2:$L$1001,MATCH(ROWS($K$2:K560),$K$2:$K$1001,0),1)&gt;=100000,INDEX($R$1005:$W$1005,1,MATCH(COLUMNS($R$1006:V1006),$R$1006:$W$1006,0))&gt;=100000), " ",IF(INDEX($R$2:$W$1001,MATCH(ROWS($K$2:K560),$K$2:$K$1001,0),MATCH(COLUMNS($R$1006:V1006),$R$1006:$W$1006,0)), HYPERLINK("#",""), HYPERLINK(CONCATENATE("#Metadata!", ADDRESS(INDEX($M$2:$M$1001,MATCH(ROWS($K$2:K560),$K$2:$K$1001,0),0), INDEX($R$1004:$W$1004,1,MATCH(COLUMNS($R$1006:V1006),$R$1006:$W$1006,0)))),"Fix")))</f>
        <v>0</v>
      </c>
      <c r="G560" s="3">
        <f>IF(OR(INDEX($L$2:$L$1001,MATCH(ROWS($K$2:K560),$K$2:$K$1001,0),1)&gt;=100000,INDEX($R$1005:$W$1005,1,MATCH(COLUMNS($R$1006:W1006),$R$1006:$W$1006,0))&gt;=100000), " ",IF(INDEX($R$2:$W$1001,MATCH(ROWS($K$2:K560),$K$2:$K$1001,0),MATCH(COLUMNS($R$1006:W1006),$R$1006:$W$1006,0)), HYPERLINK("#",""), HYPERLINK(CONCATENATE("#Metadata!", ADDRESS(INDEX($M$2:$M$1001,MATCH(ROWS($K$2:K560),$K$2:$K$1001,0),0), INDEX($R$1004:$W$1004,1,MATCH(COLUMNS($R$1006:W1006),$R$1006:$W$1006,0)))),"Fix")))</f>
        <v>0</v>
      </c>
      <c r="K560">
        <v>0</v>
      </c>
      <c r="L560">
        <v>0</v>
      </c>
      <c r="M560">
        <v>0</v>
      </c>
      <c r="N560">
        <f>IF(O560,TRUE,AND(R560:W560))</f>
        <v>0</v>
      </c>
      <c r="O560">
        <f>COUNTBLANK(Metadata!B560:G560)=COLUMNS(Metadata!B560:G560)</f>
        <v>0</v>
      </c>
      <c r="P560">
        <v>0</v>
      </c>
      <c r="R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S560">
        <f>IF(Metadata!C560="",FALSE,TRUE)</f>
        <v>0</v>
      </c>
      <c r="T560">
        <f>IF(Metadata!D560="",FALSE,TRUE)</f>
        <v>0</v>
      </c>
      <c r="U560">
        <f>IF(Metadata!E560="",FALSE,TRUE)</f>
        <v>0</v>
      </c>
      <c r="V560">
        <f>AND(IF(Metadata!F560="",FALSE,TRUE),exact(Metadata!F560,"rat gut metagenome"))</f>
        <v>0</v>
      </c>
      <c r="W560">
        <f>AND(IF(Metadata!G560="",FALSE,TRUE),exact(Metadata!G560,"1436733"))</f>
        <v>0</v>
      </c>
    </row>
    <row r="561" spans="1:23">
      <c r="A561" s="4">
        <f>IF(B561=" "," ",HYPERLINK(CONCATENATE("#metadata!",ADDRESS(INDEX($M$2:$M$1001,MATCH(ROWS($K$2:K561),$K$2:$K$1001,0),0),1)),INDEX($P$2:$P$1001,MATCH(ROWS($K$2:K561),$K$2:$K$1001,0),0)))</f>
        <v>0</v>
      </c>
      <c r="B561" s="3">
        <f>IF(OR(INDEX($L$2:$L$1001,MATCH(ROWS($K$2:K561),$K$2:$K$1001,0),1)&gt;=100000,INDEX($R$1005:$W$1005,1,MATCH(COLUMNS($R$1006:R1006),$R$1006:$W$1006,0))&gt;=100000), " ",IF(INDEX($R$2:$W$1001,MATCH(ROWS($K$2:K561),$K$2:$K$1001,0),MATCH(COLUMNS($R$1006:R1006),$R$1006:$W$1006,0)), HYPERLINK("#",""), HYPERLINK(CONCATENATE("#Metadata!", ADDRESS(INDEX($M$2:$M$1001,MATCH(ROWS($K$2:K561),$K$2:$K$1001,0),0), INDEX($R$1004:$W$1004,1,MATCH(COLUMNS($R$1006:R1006),$R$1006:$W$1006,0)))),"Fix")))</f>
        <v>0</v>
      </c>
      <c r="C561" s="3">
        <f>IF(OR(INDEX($L$2:$L$1001,MATCH(ROWS($K$2:K561),$K$2:$K$1001,0),1)&gt;=100000,INDEX($R$1005:$W$1005,1,MATCH(COLUMNS($R$1006:S1006),$R$1006:$W$1006,0))&gt;=100000), " ",IF(INDEX($R$2:$W$1001,MATCH(ROWS($K$2:K561),$K$2:$K$1001,0),MATCH(COLUMNS($R$1006:S1006),$R$1006:$W$1006,0)), HYPERLINK("#",""), HYPERLINK(CONCATENATE("#Metadata!", ADDRESS(INDEX($M$2:$M$1001,MATCH(ROWS($K$2:K561),$K$2:$K$1001,0),0), INDEX($R$1004:$W$1004,1,MATCH(COLUMNS($R$1006:S1006),$R$1006:$W$1006,0)))),"Fix")))</f>
        <v>0</v>
      </c>
      <c r="D561" s="3">
        <f>IF(OR(INDEX($L$2:$L$1001,MATCH(ROWS($K$2:K561),$K$2:$K$1001,0),1)&gt;=100000,INDEX($R$1005:$W$1005,1,MATCH(COLUMNS($R$1006:T1006),$R$1006:$W$1006,0))&gt;=100000), " ",IF(INDEX($R$2:$W$1001,MATCH(ROWS($K$2:K561),$K$2:$K$1001,0),MATCH(COLUMNS($R$1006:T1006),$R$1006:$W$1006,0)), HYPERLINK("#",""), HYPERLINK(CONCATENATE("#Metadata!", ADDRESS(INDEX($M$2:$M$1001,MATCH(ROWS($K$2:K561),$K$2:$K$1001,0),0), INDEX($R$1004:$W$1004,1,MATCH(COLUMNS($R$1006:T1006),$R$1006:$W$1006,0)))),"Fix")))</f>
        <v>0</v>
      </c>
      <c r="E561" s="3">
        <f>IF(OR(INDEX($L$2:$L$1001,MATCH(ROWS($K$2:K561),$K$2:$K$1001,0),1)&gt;=100000,INDEX($R$1005:$W$1005,1,MATCH(COLUMNS($R$1006:U1006),$R$1006:$W$1006,0))&gt;=100000), " ",IF(INDEX($R$2:$W$1001,MATCH(ROWS($K$2:K561),$K$2:$K$1001,0),MATCH(COLUMNS($R$1006:U1006),$R$1006:$W$1006,0)), HYPERLINK("#",""), HYPERLINK(CONCATENATE("#Metadata!", ADDRESS(INDEX($M$2:$M$1001,MATCH(ROWS($K$2:K561),$K$2:$K$1001,0),0), INDEX($R$1004:$W$1004,1,MATCH(COLUMNS($R$1006:U1006),$R$1006:$W$1006,0)))),"Fix")))</f>
        <v>0</v>
      </c>
      <c r="F561" s="3">
        <f>IF(OR(INDEX($L$2:$L$1001,MATCH(ROWS($K$2:K561),$K$2:$K$1001,0),1)&gt;=100000,INDEX($R$1005:$W$1005,1,MATCH(COLUMNS($R$1006:V1006),$R$1006:$W$1006,0))&gt;=100000), " ",IF(INDEX($R$2:$W$1001,MATCH(ROWS($K$2:K561),$K$2:$K$1001,0),MATCH(COLUMNS($R$1006:V1006),$R$1006:$W$1006,0)), HYPERLINK("#",""), HYPERLINK(CONCATENATE("#Metadata!", ADDRESS(INDEX($M$2:$M$1001,MATCH(ROWS($K$2:K561),$K$2:$K$1001,0),0), INDEX($R$1004:$W$1004,1,MATCH(COLUMNS($R$1006:V1006),$R$1006:$W$1006,0)))),"Fix")))</f>
        <v>0</v>
      </c>
      <c r="G561" s="3">
        <f>IF(OR(INDEX($L$2:$L$1001,MATCH(ROWS($K$2:K561),$K$2:$K$1001,0),1)&gt;=100000,INDEX($R$1005:$W$1005,1,MATCH(COLUMNS($R$1006:W1006),$R$1006:$W$1006,0))&gt;=100000), " ",IF(INDEX($R$2:$W$1001,MATCH(ROWS($K$2:K561),$K$2:$K$1001,0),MATCH(COLUMNS($R$1006:W1006),$R$1006:$W$1006,0)), HYPERLINK("#",""), HYPERLINK(CONCATENATE("#Metadata!", ADDRESS(INDEX($M$2:$M$1001,MATCH(ROWS($K$2:K561),$K$2:$K$1001,0),0), INDEX($R$1004:$W$1004,1,MATCH(COLUMNS($R$1006:W1006),$R$1006:$W$1006,0)))),"Fix")))</f>
        <v>0</v>
      </c>
      <c r="K561">
        <v>0</v>
      </c>
      <c r="L561">
        <v>0</v>
      </c>
      <c r="M561">
        <v>0</v>
      </c>
      <c r="N561">
        <f>IF(O561,TRUE,AND(R561:W561))</f>
        <v>0</v>
      </c>
      <c r="O561">
        <f>COUNTBLANK(Metadata!B561:G561)=COLUMNS(Metadata!B561:G561)</f>
        <v>0</v>
      </c>
      <c r="P561">
        <v>0</v>
      </c>
      <c r="R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S561">
        <f>IF(Metadata!C561="",FALSE,TRUE)</f>
        <v>0</v>
      </c>
      <c r="T561">
        <f>IF(Metadata!D561="",FALSE,TRUE)</f>
        <v>0</v>
      </c>
      <c r="U561">
        <f>IF(Metadata!E561="",FALSE,TRUE)</f>
        <v>0</v>
      </c>
      <c r="V561">
        <f>AND(IF(Metadata!F561="",FALSE,TRUE),exact(Metadata!F561,"rat gut metagenome"))</f>
        <v>0</v>
      </c>
      <c r="W561">
        <f>AND(IF(Metadata!G561="",FALSE,TRUE),exact(Metadata!G561,"1436733"))</f>
        <v>0</v>
      </c>
    </row>
    <row r="562" spans="1:23">
      <c r="A562" s="4">
        <f>IF(B562=" "," ",HYPERLINK(CONCATENATE("#metadata!",ADDRESS(INDEX($M$2:$M$1001,MATCH(ROWS($K$2:K562),$K$2:$K$1001,0),0),1)),INDEX($P$2:$P$1001,MATCH(ROWS($K$2:K562),$K$2:$K$1001,0),0)))</f>
        <v>0</v>
      </c>
      <c r="B562" s="3">
        <f>IF(OR(INDEX($L$2:$L$1001,MATCH(ROWS($K$2:K562),$K$2:$K$1001,0),1)&gt;=100000,INDEX($R$1005:$W$1005,1,MATCH(COLUMNS($R$1006:R1006),$R$1006:$W$1006,0))&gt;=100000), " ",IF(INDEX($R$2:$W$1001,MATCH(ROWS($K$2:K562),$K$2:$K$1001,0),MATCH(COLUMNS($R$1006:R1006),$R$1006:$W$1006,0)), HYPERLINK("#",""), HYPERLINK(CONCATENATE("#Metadata!", ADDRESS(INDEX($M$2:$M$1001,MATCH(ROWS($K$2:K562),$K$2:$K$1001,0),0), INDEX($R$1004:$W$1004,1,MATCH(COLUMNS($R$1006:R1006),$R$1006:$W$1006,0)))),"Fix")))</f>
        <v>0</v>
      </c>
      <c r="C562" s="3">
        <f>IF(OR(INDEX($L$2:$L$1001,MATCH(ROWS($K$2:K562),$K$2:$K$1001,0),1)&gt;=100000,INDEX($R$1005:$W$1005,1,MATCH(COLUMNS($R$1006:S1006),$R$1006:$W$1006,0))&gt;=100000), " ",IF(INDEX($R$2:$W$1001,MATCH(ROWS($K$2:K562),$K$2:$K$1001,0),MATCH(COLUMNS($R$1006:S1006),$R$1006:$W$1006,0)), HYPERLINK("#",""), HYPERLINK(CONCATENATE("#Metadata!", ADDRESS(INDEX($M$2:$M$1001,MATCH(ROWS($K$2:K562),$K$2:$K$1001,0),0), INDEX($R$1004:$W$1004,1,MATCH(COLUMNS($R$1006:S1006),$R$1006:$W$1006,0)))),"Fix")))</f>
        <v>0</v>
      </c>
      <c r="D562" s="3">
        <f>IF(OR(INDEX($L$2:$L$1001,MATCH(ROWS($K$2:K562),$K$2:$K$1001,0),1)&gt;=100000,INDEX($R$1005:$W$1005,1,MATCH(COLUMNS($R$1006:T1006),$R$1006:$W$1006,0))&gt;=100000), " ",IF(INDEX($R$2:$W$1001,MATCH(ROWS($K$2:K562),$K$2:$K$1001,0),MATCH(COLUMNS($R$1006:T1006),$R$1006:$W$1006,0)), HYPERLINK("#",""), HYPERLINK(CONCATENATE("#Metadata!", ADDRESS(INDEX($M$2:$M$1001,MATCH(ROWS($K$2:K562),$K$2:$K$1001,0),0), INDEX($R$1004:$W$1004,1,MATCH(COLUMNS($R$1006:T1006),$R$1006:$W$1006,0)))),"Fix")))</f>
        <v>0</v>
      </c>
      <c r="E562" s="3">
        <f>IF(OR(INDEX($L$2:$L$1001,MATCH(ROWS($K$2:K562),$K$2:$K$1001,0),1)&gt;=100000,INDEX($R$1005:$W$1005,1,MATCH(COLUMNS($R$1006:U1006),$R$1006:$W$1006,0))&gt;=100000), " ",IF(INDEX($R$2:$W$1001,MATCH(ROWS($K$2:K562),$K$2:$K$1001,0),MATCH(COLUMNS($R$1006:U1006),$R$1006:$W$1006,0)), HYPERLINK("#",""), HYPERLINK(CONCATENATE("#Metadata!", ADDRESS(INDEX($M$2:$M$1001,MATCH(ROWS($K$2:K562),$K$2:$K$1001,0),0), INDEX($R$1004:$W$1004,1,MATCH(COLUMNS($R$1006:U1006),$R$1006:$W$1006,0)))),"Fix")))</f>
        <v>0</v>
      </c>
      <c r="F562" s="3">
        <f>IF(OR(INDEX($L$2:$L$1001,MATCH(ROWS($K$2:K562),$K$2:$K$1001,0),1)&gt;=100000,INDEX($R$1005:$W$1005,1,MATCH(COLUMNS($R$1006:V1006),$R$1006:$W$1006,0))&gt;=100000), " ",IF(INDEX($R$2:$W$1001,MATCH(ROWS($K$2:K562),$K$2:$K$1001,0),MATCH(COLUMNS($R$1006:V1006),$R$1006:$W$1006,0)), HYPERLINK("#",""), HYPERLINK(CONCATENATE("#Metadata!", ADDRESS(INDEX($M$2:$M$1001,MATCH(ROWS($K$2:K562),$K$2:$K$1001,0),0), INDEX($R$1004:$W$1004,1,MATCH(COLUMNS($R$1006:V1006),$R$1006:$W$1006,0)))),"Fix")))</f>
        <v>0</v>
      </c>
      <c r="G562" s="3">
        <f>IF(OR(INDEX($L$2:$L$1001,MATCH(ROWS($K$2:K562),$K$2:$K$1001,0),1)&gt;=100000,INDEX($R$1005:$W$1005,1,MATCH(COLUMNS($R$1006:W1006),$R$1006:$W$1006,0))&gt;=100000), " ",IF(INDEX($R$2:$W$1001,MATCH(ROWS($K$2:K562),$K$2:$K$1001,0),MATCH(COLUMNS($R$1006:W1006),$R$1006:$W$1006,0)), HYPERLINK("#",""), HYPERLINK(CONCATENATE("#Metadata!", ADDRESS(INDEX($M$2:$M$1001,MATCH(ROWS($K$2:K562),$K$2:$K$1001,0),0), INDEX($R$1004:$W$1004,1,MATCH(COLUMNS($R$1006:W1006),$R$1006:$W$1006,0)))),"Fix")))</f>
        <v>0</v>
      </c>
      <c r="K562">
        <v>0</v>
      </c>
      <c r="L562">
        <v>0</v>
      </c>
      <c r="M562">
        <v>0</v>
      </c>
      <c r="N562">
        <f>IF(O562,TRUE,AND(R562:W562))</f>
        <v>0</v>
      </c>
      <c r="O562">
        <f>COUNTBLANK(Metadata!B562:G562)=COLUMNS(Metadata!B562:G562)</f>
        <v>0</v>
      </c>
      <c r="P562">
        <v>0</v>
      </c>
      <c r="R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S562">
        <f>IF(Metadata!C562="",FALSE,TRUE)</f>
        <v>0</v>
      </c>
      <c r="T562">
        <f>IF(Metadata!D562="",FALSE,TRUE)</f>
        <v>0</v>
      </c>
      <c r="U562">
        <f>IF(Metadata!E562="",FALSE,TRUE)</f>
        <v>0</v>
      </c>
      <c r="V562">
        <f>AND(IF(Metadata!F562="",FALSE,TRUE),exact(Metadata!F562,"rat gut metagenome"))</f>
        <v>0</v>
      </c>
      <c r="W562">
        <f>AND(IF(Metadata!G562="",FALSE,TRUE),exact(Metadata!G562,"1436733"))</f>
        <v>0</v>
      </c>
    </row>
    <row r="563" spans="1:23">
      <c r="A563" s="4">
        <f>IF(B563=" "," ",HYPERLINK(CONCATENATE("#metadata!",ADDRESS(INDEX($M$2:$M$1001,MATCH(ROWS($K$2:K563),$K$2:$K$1001,0),0),1)),INDEX($P$2:$P$1001,MATCH(ROWS($K$2:K563),$K$2:$K$1001,0),0)))</f>
        <v>0</v>
      </c>
      <c r="B563" s="3">
        <f>IF(OR(INDEX($L$2:$L$1001,MATCH(ROWS($K$2:K563),$K$2:$K$1001,0),1)&gt;=100000,INDEX($R$1005:$W$1005,1,MATCH(COLUMNS($R$1006:R1006),$R$1006:$W$1006,0))&gt;=100000), " ",IF(INDEX($R$2:$W$1001,MATCH(ROWS($K$2:K563),$K$2:$K$1001,0),MATCH(COLUMNS($R$1006:R1006),$R$1006:$W$1006,0)), HYPERLINK("#",""), HYPERLINK(CONCATENATE("#Metadata!", ADDRESS(INDEX($M$2:$M$1001,MATCH(ROWS($K$2:K563),$K$2:$K$1001,0),0), INDEX($R$1004:$W$1004,1,MATCH(COLUMNS($R$1006:R1006),$R$1006:$W$1006,0)))),"Fix")))</f>
        <v>0</v>
      </c>
      <c r="C563" s="3">
        <f>IF(OR(INDEX($L$2:$L$1001,MATCH(ROWS($K$2:K563),$K$2:$K$1001,0),1)&gt;=100000,INDEX($R$1005:$W$1005,1,MATCH(COLUMNS($R$1006:S1006),$R$1006:$W$1006,0))&gt;=100000), " ",IF(INDEX($R$2:$W$1001,MATCH(ROWS($K$2:K563),$K$2:$K$1001,0),MATCH(COLUMNS($R$1006:S1006),$R$1006:$W$1006,0)), HYPERLINK("#",""), HYPERLINK(CONCATENATE("#Metadata!", ADDRESS(INDEX($M$2:$M$1001,MATCH(ROWS($K$2:K563),$K$2:$K$1001,0),0), INDEX($R$1004:$W$1004,1,MATCH(COLUMNS($R$1006:S1006),$R$1006:$W$1006,0)))),"Fix")))</f>
        <v>0</v>
      </c>
      <c r="D563" s="3">
        <f>IF(OR(INDEX($L$2:$L$1001,MATCH(ROWS($K$2:K563),$K$2:$K$1001,0),1)&gt;=100000,INDEX($R$1005:$W$1005,1,MATCH(COLUMNS($R$1006:T1006),$R$1006:$W$1006,0))&gt;=100000), " ",IF(INDEX($R$2:$W$1001,MATCH(ROWS($K$2:K563),$K$2:$K$1001,0),MATCH(COLUMNS($R$1006:T1006),$R$1006:$W$1006,0)), HYPERLINK("#",""), HYPERLINK(CONCATENATE("#Metadata!", ADDRESS(INDEX($M$2:$M$1001,MATCH(ROWS($K$2:K563),$K$2:$K$1001,0),0), INDEX($R$1004:$W$1004,1,MATCH(COLUMNS($R$1006:T1006),$R$1006:$W$1006,0)))),"Fix")))</f>
        <v>0</v>
      </c>
      <c r="E563" s="3">
        <f>IF(OR(INDEX($L$2:$L$1001,MATCH(ROWS($K$2:K563),$K$2:$K$1001,0),1)&gt;=100000,INDEX($R$1005:$W$1005,1,MATCH(COLUMNS($R$1006:U1006),$R$1006:$W$1006,0))&gt;=100000), " ",IF(INDEX($R$2:$W$1001,MATCH(ROWS($K$2:K563),$K$2:$K$1001,0),MATCH(COLUMNS($R$1006:U1006),$R$1006:$W$1006,0)), HYPERLINK("#",""), HYPERLINK(CONCATENATE("#Metadata!", ADDRESS(INDEX($M$2:$M$1001,MATCH(ROWS($K$2:K563),$K$2:$K$1001,0),0), INDEX($R$1004:$W$1004,1,MATCH(COLUMNS($R$1006:U1006),$R$1006:$W$1006,0)))),"Fix")))</f>
        <v>0</v>
      </c>
      <c r="F563" s="3">
        <f>IF(OR(INDEX($L$2:$L$1001,MATCH(ROWS($K$2:K563),$K$2:$K$1001,0),1)&gt;=100000,INDEX($R$1005:$W$1005,1,MATCH(COLUMNS($R$1006:V1006),$R$1006:$W$1006,0))&gt;=100000), " ",IF(INDEX($R$2:$W$1001,MATCH(ROWS($K$2:K563),$K$2:$K$1001,0),MATCH(COLUMNS($R$1006:V1006),$R$1006:$W$1006,0)), HYPERLINK("#",""), HYPERLINK(CONCATENATE("#Metadata!", ADDRESS(INDEX($M$2:$M$1001,MATCH(ROWS($K$2:K563),$K$2:$K$1001,0),0), INDEX($R$1004:$W$1004,1,MATCH(COLUMNS($R$1006:V1006),$R$1006:$W$1006,0)))),"Fix")))</f>
        <v>0</v>
      </c>
      <c r="G563" s="3">
        <f>IF(OR(INDEX($L$2:$L$1001,MATCH(ROWS($K$2:K563),$K$2:$K$1001,0),1)&gt;=100000,INDEX($R$1005:$W$1005,1,MATCH(COLUMNS($R$1006:W1006),$R$1006:$W$1006,0))&gt;=100000), " ",IF(INDEX($R$2:$W$1001,MATCH(ROWS($K$2:K563),$K$2:$K$1001,0),MATCH(COLUMNS($R$1006:W1006),$R$1006:$W$1006,0)), HYPERLINK("#",""), HYPERLINK(CONCATENATE("#Metadata!", ADDRESS(INDEX($M$2:$M$1001,MATCH(ROWS($K$2:K563),$K$2:$K$1001,0),0), INDEX($R$1004:$W$1004,1,MATCH(COLUMNS($R$1006:W1006),$R$1006:$W$1006,0)))),"Fix")))</f>
        <v>0</v>
      </c>
      <c r="K563">
        <v>0</v>
      </c>
      <c r="L563">
        <v>0</v>
      </c>
      <c r="M563">
        <v>0</v>
      </c>
      <c r="N563">
        <f>IF(O563,TRUE,AND(R563:W563))</f>
        <v>0</v>
      </c>
      <c r="O563">
        <f>COUNTBLANK(Metadata!B563:G563)=COLUMNS(Metadata!B563:G563)</f>
        <v>0</v>
      </c>
      <c r="P563">
        <v>0</v>
      </c>
      <c r="R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S563">
        <f>IF(Metadata!C563="",FALSE,TRUE)</f>
        <v>0</v>
      </c>
      <c r="T563">
        <f>IF(Metadata!D563="",FALSE,TRUE)</f>
        <v>0</v>
      </c>
      <c r="U563">
        <f>IF(Metadata!E563="",FALSE,TRUE)</f>
        <v>0</v>
      </c>
      <c r="V563">
        <f>AND(IF(Metadata!F563="",FALSE,TRUE),exact(Metadata!F563,"rat gut metagenome"))</f>
        <v>0</v>
      </c>
      <c r="W563">
        <f>AND(IF(Metadata!G563="",FALSE,TRUE),exact(Metadata!G563,"1436733"))</f>
        <v>0</v>
      </c>
    </row>
    <row r="564" spans="1:23">
      <c r="A564" s="4">
        <f>IF(B564=" "," ",HYPERLINK(CONCATENATE("#metadata!",ADDRESS(INDEX($M$2:$M$1001,MATCH(ROWS($K$2:K564),$K$2:$K$1001,0),0),1)),INDEX($P$2:$P$1001,MATCH(ROWS($K$2:K564),$K$2:$K$1001,0),0)))</f>
        <v>0</v>
      </c>
      <c r="B564" s="3">
        <f>IF(OR(INDEX($L$2:$L$1001,MATCH(ROWS($K$2:K564),$K$2:$K$1001,0),1)&gt;=100000,INDEX($R$1005:$W$1005,1,MATCH(COLUMNS($R$1006:R1006),$R$1006:$W$1006,0))&gt;=100000), " ",IF(INDEX($R$2:$W$1001,MATCH(ROWS($K$2:K564),$K$2:$K$1001,0),MATCH(COLUMNS($R$1006:R1006),$R$1006:$W$1006,0)), HYPERLINK("#",""), HYPERLINK(CONCATENATE("#Metadata!", ADDRESS(INDEX($M$2:$M$1001,MATCH(ROWS($K$2:K564),$K$2:$K$1001,0),0), INDEX($R$1004:$W$1004,1,MATCH(COLUMNS($R$1006:R1006),$R$1006:$W$1006,0)))),"Fix")))</f>
        <v>0</v>
      </c>
      <c r="C564" s="3">
        <f>IF(OR(INDEX($L$2:$L$1001,MATCH(ROWS($K$2:K564),$K$2:$K$1001,0),1)&gt;=100000,INDEX($R$1005:$W$1005,1,MATCH(COLUMNS($R$1006:S1006),$R$1006:$W$1006,0))&gt;=100000), " ",IF(INDEX($R$2:$W$1001,MATCH(ROWS($K$2:K564),$K$2:$K$1001,0),MATCH(COLUMNS($R$1006:S1006),$R$1006:$W$1006,0)), HYPERLINK("#",""), HYPERLINK(CONCATENATE("#Metadata!", ADDRESS(INDEX($M$2:$M$1001,MATCH(ROWS($K$2:K564),$K$2:$K$1001,0),0), INDEX($R$1004:$W$1004,1,MATCH(COLUMNS($R$1006:S1006),$R$1006:$W$1006,0)))),"Fix")))</f>
        <v>0</v>
      </c>
      <c r="D564" s="3">
        <f>IF(OR(INDEX($L$2:$L$1001,MATCH(ROWS($K$2:K564),$K$2:$K$1001,0),1)&gt;=100000,INDEX($R$1005:$W$1005,1,MATCH(COLUMNS($R$1006:T1006),$R$1006:$W$1006,0))&gt;=100000), " ",IF(INDEX($R$2:$W$1001,MATCH(ROWS($K$2:K564),$K$2:$K$1001,0),MATCH(COLUMNS($R$1006:T1006),$R$1006:$W$1006,0)), HYPERLINK("#",""), HYPERLINK(CONCATENATE("#Metadata!", ADDRESS(INDEX($M$2:$M$1001,MATCH(ROWS($K$2:K564),$K$2:$K$1001,0),0), INDEX($R$1004:$W$1004,1,MATCH(COLUMNS($R$1006:T1006),$R$1006:$W$1006,0)))),"Fix")))</f>
        <v>0</v>
      </c>
      <c r="E564" s="3">
        <f>IF(OR(INDEX($L$2:$L$1001,MATCH(ROWS($K$2:K564),$K$2:$K$1001,0),1)&gt;=100000,INDEX($R$1005:$W$1005,1,MATCH(COLUMNS($R$1006:U1006),$R$1006:$W$1006,0))&gt;=100000), " ",IF(INDEX($R$2:$W$1001,MATCH(ROWS($K$2:K564),$K$2:$K$1001,0),MATCH(COLUMNS($R$1006:U1006),$R$1006:$W$1006,0)), HYPERLINK("#",""), HYPERLINK(CONCATENATE("#Metadata!", ADDRESS(INDEX($M$2:$M$1001,MATCH(ROWS($K$2:K564),$K$2:$K$1001,0),0), INDEX($R$1004:$W$1004,1,MATCH(COLUMNS($R$1006:U1006),$R$1006:$W$1006,0)))),"Fix")))</f>
        <v>0</v>
      </c>
      <c r="F564" s="3">
        <f>IF(OR(INDEX($L$2:$L$1001,MATCH(ROWS($K$2:K564),$K$2:$K$1001,0),1)&gt;=100000,INDEX($R$1005:$W$1005,1,MATCH(COLUMNS($R$1006:V1006),$R$1006:$W$1006,0))&gt;=100000), " ",IF(INDEX($R$2:$W$1001,MATCH(ROWS($K$2:K564),$K$2:$K$1001,0),MATCH(COLUMNS($R$1006:V1006),$R$1006:$W$1006,0)), HYPERLINK("#",""), HYPERLINK(CONCATENATE("#Metadata!", ADDRESS(INDEX($M$2:$M$1001,MATCH(ROWS($K$2:K564),$K$2:$K$1001,0),0), INDEX($R$1004:$W$1004,1,MATCH(COLUMNS($R$1006:V1006),$R$1006:$W$1006,0)))),"Fix")))</f>
        <v>0</v>
      </c>
      <c r="G564" s="3">
        <f>IF(OR(INDEX($L$2:$L$1001,MATCH(ROWS($K$2:K564),$K$2:$K$1001,0),1)&gt;=100000,INDEX($R$1005:$W$1005,1,MATCH(COLUMNS($R$1006:W1006),$R$1006:$W$1006,0))&gt;=100000), " ",IF(INDEX($R$2:$W$1001,MATCH(ROWS($K$2:K564),$K$2:$K$1001,0),MATCH(COLUMNS($R$1006:W1006),$R$1006:$W$1006,0)), HYPERLINK("#",""), HYPERLINK(CONCATENATE("#Metadata!", ADDRESS(INDEX($M$2:$M$1001,MATCH(ROWS($K$2:K564),$K$2:$K$1001,0),0), INDEX($R$1004:$W$1004,1,MATCH(COLUMNS($R$1006:W1006),$R$1006:$W$1006,0)))),"Fix")))</f>
        <v>0</v>
      </c>
      <c r="K564">
        <v>0</v>
      </c>
      <c r="L564">
        <v>0</v>
      </c>
      <c r="M564">
        <v>0</v>
      </c>
      <c r="N564">
        <f>IF(O564,TRUE,AND(R564:W564))</f>
        <v>0</v>
      </c>
      <c r="O564">
        <f>COUNTBLANK(Metadata!B564:G564)=COLUMNS(Metadata!B564:G564)</f>
        <v>0</v>
      </c>
      <c r="P564">
        <v>0</v>
      </c>
      <c r="R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S564">
        <f>IF(Metadata!C564="",FALSE,TRUE)</f>
        <v>0</v>
      </c>
      <c r="T564">
        <f>IF(Metadata!D564="",FALSE,TRUE)</f>
        <v>0</v>
      </c>
      <c r="U564">
        <f>IF(Metadata!E564="",FALSE,TRUE)</f>
        <v>0</v>
      </c>
      <c r="V564">
        <f>AND(IF(Metadata!F564="",FALSE,TRUE),exact(Metadata!F564,"rat gut metagenome"))</f>
        <v>0</v>
      </c>
      <c r="W564">
        <f>AND(IF(Metadata!G564="",FALSE,TRUE),exact(Metadata!G564,"1436733"))</f>
        <v>0</v>
      </c>
    </row>
    <row r="565" spans="1:23">
      <c r="A565" s="4">
        <f>IF(B565=" "," ",HYPERLINK(CONCATENATE("#metadata!",ADDRESS(INDEX($M$2:$M$1001,MATCH(ROWS($K$2:K565),$K$2:$K$1001,0),0),1)),INDEX($P$2:$P$1001,MATCH(ROWS($K$2:K565),$K$2:$K$1001,0),0)))</f>
        <v>0</v>
      </c>
      <c r="B565" s="3">
        <f>IF(OR(INDEX($L$2:$L$1001,MATCH(ROWS($K$2:K565),$K$2:$K$1001,0),1)&gt;=100000,INDEX($R$1005:$W$1005,1,MATCH(COLUMNS($R$1006:R1006),$R$1006:$W$1006,0))&gt;=100000), " ",IF(INDEX($R$2:$W$1001,MATCH(ROWS($K$2:K565),$K$2:$K$1001,0),MATCH(COLUMNS($R$1006:R1006),$R$1006:$W$1006,0)), HYPERLINK("#",""), HYPERLINK(CONCATENATE("#Metadata!", ADDRESS(INDEX($M$2:$M$1001,MATCH(ROWS($K$2:K565),$K$2:$K$1001,0),0), INDEX($R$1004:$W$1004,1,MATCH(COLUMNS($R$1006:R1006),$R$1006:$W$1006,0)))),"Fix")))</f>
        <v>0</v>
      </c>
      <c r="C565" s="3">
        <f>IF(OR(INDEX($L$2:$L$1001,MATCH(ROWS($K$2:K565),$K$2:$K$1001,0),1)&gt;=100000,INDEX($R$1005:$W$1005,1,MATCH(COLUMNS($R$1006:S1006),$R$1006:$W$1006,0))&gt;=100000), " ",IF(INDEX($R$2:$W$1001,MATCH(ROWS($K$2:K565),$K$2:$K$1001,0),MATCH(COLUMNS($R$1006:S1006),$R$1006:$W$1006,0)), HYPERLINK("#",""), HYPERLINK(CONCATENATE("#Metadata!", ADDRESS(INDEX($M$2:$M$1001,MATCH(ROWS($K$2:K565),$K$2:$K$1001,0),0), INDEX($R$1004:$W$1004,1,MATCH(COLUMNS($R$1006:S1006),$R$1006:$W$1006,0)))),"Fix")))</f>
        <v>0</v>
      </c>
      <c r="D565" s="3">
        <f>IF(OR(INDEX($L$2:$L$1001,MATCH(ROWS($K$2:K565),$K$2:$K$1001,0),1)&gt;=100000,INDEX($R$1005:$W$1005,1,MATCH(COLUMNS($R$1006:T1006),$R$1006:$W$1006,0))&gt;=100000), " ",IF(INDEX($R$2:$W$1001,MATCH(ROWS($K$2:K565),$K$2:$K$1001,0),MATCH(COLUMNS($R$1006:T1006),$R$1006:$W$1006,0)), HYPERLINK("#",""), HYPERLINK(CONCATENATE("#Metadata!", ADDRESS(INDEX($M$2:$M$1001,MATCH(ROWS($K$2:K565),$K$2:$K$1001,0),0), INDEX($R$1004:$W$1004,1,MATCH(COLUMNS($R$1006:T1006),$R$1006:$W$1006,0)))),"Fix")))</f>
        <v>0</v>
      </c>
      <c r="E565" s="3">
        <f>IF(OR(INDEX($L$2:$L$1001,MATCH(ROWS($K$2:K565),$K$2:$K$1001,0),1)&gt;=100000,INDEX($R$1005:$W$1005,1,MATCH(COLUMNS($R$1006:U1006),$R$1006:$W$1006,0))&gt;=100000), " ",IF(INDEX($R$2:$W$1001,MATCH(ROWS($K$2:K565),$K$2:$K$1001,0),MATCH(COLUMNS($R$1006:U1006),$R$1006:$W$1006,0)), HYPERLINK("#",""), HYPERLINK(CONCATENATE("#Metadata!", ADDRESS(INDEX($M$2:$M$1001,MATCH(ROWS($K$2:K565),$K$2:$K$1001,0),0), INDEX($R$1004:$W$1004,1,MATCH(COLUMNS($R$1006:U1006),$R$1006:$W$1006,0)))),"Fix")))</f>
        <v>0</v>
      </c>
      <c r="F565" s="3">
        <f>IF(OR(INDEX($L$2:$L$1001,MATCH(ROWS($K$2:K565),$K$2:$K$1001,0),1)&gt;=100000,INDEX($R$1005:$W$1005,1,MATCH(COLUMNS($R$1006:V1006),$R$1006:$W$1006,0))&gt;=100000), " ",IF(INDEX($R$2:$W$1001,MATCH(ROWS($K$2:K565),$K$2:$K$1001,0),MATCH(COLUMNS($R$1006:V1006),$R$1006:$W$1006,0)), HYPERLINK("#",""), HYPERLINK(CONCATENATE("#Metadata!", ADDRESS(INDEX($M$2:$M$1001,MATCH(ROWS($K$2:K565),$K$2:$K$1001,0),0), INDEX($R$1004:$W$1004,1,MATCH(COLUMNS($R$1006:V1006),$R$1006:$W$1006,0)))),"Fix")))</f>
        <v>0</v>
      </c>
      <c r="G565" s="3">
        <f>IF(OR(INDEX($L$2:$L$1001,MATCH(ROWS($K$2:K565),$K$2:$K$1001,0),1)&gt;=100000,INDEX($R$1005:$W$1005,1,MATCH(COLUMNS($R$1006:W1006),$R$1006:$W$1006,0))&gt;=100000), " ",IF(INDEX($R$2:$W$1001,MATCH(ROWS($K$2:K565),$K$2:$K$1001,0),MATCH(COLUMNS($R$1006:W1006),$R$1006:$W$1006,0)), HYPERLINK("#",""), HYPERLINK(CONCATENATE("#Metadata!", ADDRESS(INDEX($M$2:$M$1001,MATCH(ROWS($K$2:K565),$K$2:$K$1001,0),0), INDEX($R$1004:$W$1004,1,MATCH(COLUMNS($R$1006:W1006),$R$1006:$W$1006,0)))),"Fix")))</f>
        <v>0</v>
      </c>
      <c r="K565">
        <v>0</v>
      </c>
      <c r="L565">
        <v>0</v>
      </c>
      <c r="M565">
        <v>0</v>
      </c>
      <c r="N565">
        <f>IF(O565,TRUE,AND(R565:W565))</f>
        <v>0</v>
      </c>
      <c r="O565">
        <f>COUNTBLANK(Metadata!B565:G565)=COLUMNS(Metadata!B565:G565)</f>
        <v>0</v>
      </c>
      <c r="P565">
        <v>0</v>
      </c>
      <c r="R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S565">
        <f>IF(Metadata!C565="",FALSE,TRUE)</f>
        <v>0</v>
      </c>
      <c r="T565">
        <f>IF(Metadata!D565="",FALSE,TRUE)</f>
        <v>0</v>
      </c>
      <c r="U565">
        <f>IF(Metadata!E565="",FALSE,TRUE)</f>
        <v>0</v>
      </c>
      <c r="V565">
        <f>AND(IF(Metadata!F565="",FALSE,TRUE),exact(Metadata!F565,"rat gut metagenome"))</f>
        <v>0</v>
      </c>
      <c r="W565">
        <f>AND(IF(Metadata!G565="",FALSE,TRUE),exact(Metadata!G565,"1436733"))</f>
        <v>0</v>
      </c>
    </row>
    <row r="566" spans="1:23">
      <c r="A566" s="4">
        <f>IF(B566=" "," ",HYPERLINK(CONCATENATE("#metadata!",ADDRESS(INDEX($M$2:$M$1001,MATCH(ROWS($K$2:K566),$K$2:$K$1001,0),0),1)),INDEX($P$2:$P$1001,MATCH(ROWS($K$2:K566),$K$2:$K$1001,0),0)))</f>
        <v>0</v>
      </c>
      <c r="B566" s="3">
        <f>IF(OR(INDEX($L$2:$L$1001,MATCH(ROWS($K$2:K566),$K$2:$K$1001,0),1)&gt;=100000,INDEX($R$1005:$W$1005,1,MATCH(COLUMNS($R$1006:R1006),$R$1006:$W$1006,0))&gt;=100000), " ",IF(INDEX($R$2:$W$1001,MATCH(ROWS($K$2:K566),$K$2:$K$1001,0),MATCH(COLUMNS($R$1006:R1006),$R$1006:$W$1006,0)), HYPERLINK("#",""), HYPERLINK(CONCATENATE("#Metadata!", ADDRESS(INDEX($M$2:$M$1001,MATCH(ROWS($K$2:K566),$K$2:$K$1001,0),0), INDEX($R$1004:$W$1004,1,MATCH(COLUMNS($R$1006:R1006),$R$1006:$W$1006,0)))),"Fix")))</f>
        <v>0</v>
      </c>
      <c r="C566" s="3">
        <f>IF(OR(INDEX($L$2:$L$1001,MATCH(ROWS($K$2:K566),$K$2:$K$1001,0),1)&gt;=100000,INDEX($R$1005:$W$1005,1,MATCH(COLUMNS($R$1006:S1006),$R$1006:$W$1006,0))&gt;=100000), " ",IF(INDEX($R$2:$W$1001,MATCH(ROWS($K$2:K566),$K$2:$K$1001,0),MATCH(COLUMNS($R$1006:S1006),$R$1006:$W$1006,0)), HYPERLINK("#",""), HYPERLINK(CONCATENATE("#Metadata!", ADDRESS(INDEX($M$2:$M$1001,MATCH(ROWS($K$2:K566),$K$2:$K$1001,0),0), INDEX($R$1004:$W$1004,1,MATCH(COLUMNS($R$1006:S1006),$R$1006:$W$1006,0)))),"Fix")))</f>
        <v>0</v>
      </c>
      <c r="D566" s="3">
        <f>IF(OR(INDEX($L$2:$L$1001,MATCH(ROWS($K$2:K566),$K$2:$K$1001,0),1)&gt;=100000,INDEX($R$1005:$W$1005,1,MATCH(COLUMNS($R$1006:T1006),$R$1006:$W$1006,0))&gt;=100000), " ",IF(INDEX($R$2:$W$1001,MATCH(ROWS($K$2:K566),$K$2:$K$1001,0),MATCH(COLUMNS($R$1006:T1006),$R$1006:$W$1006,0)), HYPERLINK("#",""), HYPERLINK(CONCATENATE("#Metadata!", ADDRESS(INDEX($M$2:$M$1001,MATCH(ROWS($K$2:K566),$K$2:$K$1001,0),0), INDEX($R$1004:$W$1004,1,MATCH(COLUMNS($R$1006:T1006),$R$1006:$W$1006,0)))),"Fix")))</f>
        <v>0</v>
      </c>
      <c r="E566" s="3">
        <f>IF(OR(INDEX($L$2:$L$1001,MATCH(ROWS($K$2:K566),$K$2:$K$1001,0),1)&gt;=100000,INDEX($R$1005:$W$1005,1,MATCH(COLUMNS($R$1006:U1006),$R$1006:$W$1006,0))&gt;=100000), " ",IF(INDEX($R$2:$W$1001,MATCH(ROWS($K$2:K566),$K$2:$K$1001,0),MATCH(COLUMNS($R$1006:U1006),$R$1006:$W$1006,0)), HYPERLINK("#",""), HYPERLINK(CONCATENATE("#Metadata!", ADDRESS(INDEX($M$2:$M$1001,MATCH(ROWS($K$2:K566),$K$2:$K$1001,0),0), INDEX($R$1004:$W$1004,1,MATCH(COLUMNS($R$1006:U1006),$R$1006:$W$1006,0)))),"Fix")))</f>
        <v>0</v>
      </c>
      <c r="F566" s="3">
        <f>IF(OR(INDEX($L$2:$L$1001,MATCH(ROWS($K$2:K566),$K$2:$K$1001,0),1)&gt;=100000,INDEX($R$1005:$W$1005,1,MATCH(COLUMNS($R$1006:V1006),$R$1006:$W$1006,0))&gt;=100000), " ",IF(INDEX($R$2:$W$1001,MATCH(ROWS($K$2:K566),$K$2:$K$1001,0),MATCH(COLUMNS($R$1006:V1006),$R$1006:$W$1006,0)), HYPERLINK("#",""), HYPERLINK(CONCATENATE("#Metadata!", ADDRESS(INDEX($M$2:$M$1001,MATCH(ROWS($K$2:K566),$K$2:$K$1001,0),0), INDEX($R$1004:$W$1004,1,MATCH(COLUMNS($R$1006:V1006),$R$1006:$W$1006,0)))),"Fix")))</f>
        <v>0</v>
      </c>
      <c r="G566" s="3">
        <f>IF(OR(INDEX($L$2:$L$1001,MATCH(ROWS($K$2:K566),$K$2:$K$1001,0),1)&gt;=100000,INDEX($R$1005:$W$1005,1,MATCH(COLUMNS($R$1006:W1006),$R$1006:$W$1006,0))&gt;=100000), " ",IF(INDEX($R$2:$W$1001,MATCH(ROWS($K$2:K566),$K$2:$K$1001,0),MATCH(COLUMNS($R$1006:W1006),$R$1006:$W$1006,0)), HYPERLINK("#",""), HYPERLINK(CONCATENATE("#Metadata!", ADDRESS(INDEX($M$2:$M$1001,MATCH(ROWS($K$2:K566),$K$2:$K$1001,0),0), INDEX($R$1004:$W$1004,1,MATCH(COLUMNS($R$1006:W1006),$R$1006:$W$1006,0)))),"Fix")))</f>
        <v>0</v>
      </c>
      <c r="K566">
        <v>0</v>
      </c>
      <c r="L566">
        <v>0</v>
      </c>
      <c r="M566">
        <v>0</v>
      </c>
      <c r="N566">
        <f>IF(O566,TRUE,AND(R566:W566))</f>
        <v>0</v>
      </c>
      <c r="O566">
        <f>COUNTBLANK(Metadata!B566:G566)=COLUMNS(Metadata!B566:G566)</f>
        <v>0</v>
      </c>
      <c r="P566">
        <v>0</v>
      </c>
      <c r="R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S566">
        <f>IF(Metadata!C566="",FALSE,TRUE)</f>
        <v>0</v>
      </c>
      <c r="T566">
        <f>IF(Metadata!D566="",FALSE,TRUE)</f>
        <v>0</v>
      </c>
      <c r="U566">
        <f>IF(Metadata!E566="",FALSE,TRUE)</f>
        <v>0</v>
      </c>
      <c r="V566">
        <f>AND(IF(Metadata!F566="",FALSE,TRUE),exact(Metadata!F566,"rat gut metagenome"))</f>
        <v>0</v>
      </c>
      <c r="W566">
        <f>AND(IF(Metadata!G566="",FALSE,TRUE),exact(Metadata!G566,"1436733"))</f>
        <v>0</v>
      </c>
    </row>
    <row r="567" spans="1:23">
      <c r="A567" s="4">
        <f>IF(B567=" "," ",HYPERLINK(CONCATENATE("#metadata!",ADDRESS(INDEX($M$2:$M$1001,MATCH(ROWS($K$2:K567),$K$2:$K$1001,0),0),1)),INDEX($P$2:$P$1001,MATCH(ROWS($K$2:K567),$K$2:$K$1001,0),0)))</f>
        <v>0</v>
      </c>
      <c r="B567" s="3">
        <f>IF(OR(INDEX($L$2:$L$1001,MATCH(ROWS($K$2:K567),$K$2:$K$1001,0),1)&gt;=100000,INDEX($R$1005:$W$1005,1,MATCH(COLUMNS($R$1006:R1006),$R$1006:$W$1006,0))&gt;=100000), " ",IF(INDEX($R$2:$W$1001,MATCH(ROWS($K$2:K567),$K$2:$K$1001,0),MATCH(COLUMNS($R$1006:R1006),$R$1006:$W$1006,0)), HYPERLINK("#",""), HYPERLINK(CONCATENATE("#Metadata!", ADDRESS(INDEX($M$2:$M$1001,MATCH(ROWS($K$2:K567),$K$2:$K$1001,0),0), INDEX($R$1004:$W$1004,1,MATCH(COLUMNS($R$1006:R1006),$R$1006:$W$1006,0)))),"Fix")))</f>
        <v>0</v>
      </c>
      <c r="C567" s="3">
        <f>IF(OR(INDEX($L$2:$L$1001,MATCH(ROWS($K$2:K567),$K$2:$K$1001,0),1)&gt;=100000,INDEX($R$1005:$W$1005,1,MATCH(COLUMNS($R$1006:S1006),$R$1006:$W$1006,0))&gt;=100000), " ",IF(INDEX($R$2:$W$1001,MATCH(ROWS($K$2:K567),$K$2:$K$1001,0),MATCH(COLUMNS($R$1006:S1006),$R$1006:$W$1006,0)), HYPERLINK("#",""), HYPERLINK(CONCATENATE("#Metadata!", ADDRESS(INDEX($M$2:$M$1001,MATCH(ROWS($K$2:K567),$K$2:$K$1001,0),0), INDEX($R$1004:$W$1004,1,MATCH(COLUMNS($R$1006:S1006),$R$1006:$W$1006,0)))),"Fix")))</f>
        <v>0</v>
      </c>
      <c r="D567" s="3">
        <f>IF(OR(INDEX($L$2:$L$1001,MATCH(ROWS($K$2:K567),$K$2:$K$1001,0),1)&gt;=100000,INDEX($R$1005:$W$1005,1,MATCH(COLUMNS($R$1006:T1006),$R$1006:$W$1006,0))&gt;=100000), " ",IF(INDEX($R$2:$W$1001,MATCH(ROWS($K$2:K567),$K$2:$K$1001,0),MATCH(COLUMNS($R$1006:T1006),$R$1006:$W$1006,0)), HYPERLINK("#",""), HYPERLINK(CONCATENATE("#Metadata!", ADDRESS(INDEX($M$2:$M$1001,MATCH(ROWS($K$2:K567),$K$2:$K$1001,0),0), INDEX($R$1004:$W$1004,1,MATCH(COLUMNS($R$1006:T1006),$R$1006:$W$1006,0)))),"Fix")))</f>
        <v>0</v>
      </c>
      <c r="E567" s="3">
        <f>IF(OR(INDEX($L$2:$L$1001,MATCH(ROWS($K$2:K567),$K$2:$K$1001,0),1)&gt;=100000,INDEX($R$1005:$W$1005,1,MATCH(COLUMNS($R$1006:U1006),$R$1006:$W$1006,0))&gt;=100000), " ",IF(INDEX($R$2:$W$1001,MATCH(ROWS($K$2:K567),$K$2:$K$1001,0),MATCH(COLUMNS($R$1006:U1006),$R$1006:$W$1006,0)), HYPERLINK("#",""), HYPERLINK(CONCATENATE("#Metadata!", ADDRESS(INDEX($M$2:$M$1001,MATCH(ROWS($K$2:K567),$K$2:$K$1001,0),0), INDEX($R$1004:$W$1004,1,MATCH(COLUMNS($R$1006:U1006),$R$1006:$W$1006,0)))),"Fix")))</f>
        <v>0</v>
      </c>
      <c r="F567" s="3">
        <f>IF(OR(INDEX($L$2:$L$1001,MATCH(ROWS($K$2:K567),$K$2:$K$1001,0),1)&gt;=100000,INDEX($R$1005:$W$1005,1,MATCH(COLUMNS($R$1006:V1006),$R$1006:$W$1006,0))&gt;=100000), " ",IF(INDEX($R$2:$W$1001,MATCH(ROWS($K$2:K567),$K$2:$K$1001,0),MATCH(COLUMNS($R$1006:V1006),$R$1006:$W$1006,0)), HYPERLINK("#",""), HYPERLINK(CONCATENATE("#Metadata!", ADDRESS(INDEX($M$2:$M$1001,MATCH(ROWS($K$2:K567),$K$2:$K$1001,0),0), INDEX($R$1004:$W$1004,1,MATCH(COLUMNS($R$1006:V1006),$R$1006:$W$1006,0)))),"Fix")))</f>
        <v>0</v>
      </c>
      <c r="G567" s="3">
        <f>IF(OR(INDEX($L$2:$L$1001,MATCH(ROWS($K$2:K567),$K$2:$K$1001,0),1)&gt;=100000,INDEX($R$1005:$W$1005,1,MATCH(COLUMNS($R$1006:W1006),$R$1006:$W$1006,0))&gt;=100000), " ",IF(INDEX($R$2:$W$1001,MATCH(ROWS($K$2:K567),$K$2:$K$1001,0),MATCH(COLUMNS($R$1006:W1006),$R$1006:$W$1006,0)), HYPERLINK("#",""), HYPERLINK(CONCATENATE("#Metadata!", ADDRESS(INDEX($M$2:$M$1001,MATCH(ROWS($K$2:K567),$K$2:$K$1001,0),0), INDEX($R$1004:$W$1004,1,MATCH(COLUMNS($R$1006:W1006),$R$1006:$W$1006,0)))),"Fix")))</f>
        <v>0</v>
      </c>
      <c r="K567">
        <v>0</v>
      </c>
      <c r="L567">
        <v>0</v>
      </c>
      <c r="M567">
        <v>0</v>
      </c>
      <c r="N567">
        <f>IF(O567,TRUE,AND(R567:W567))</f>
        <v>0</v>
      </c>
      <c r="O567">
        <f>COUNTBLANK(Metadata!B567:G567)=COLUMNS(Metadata!B567:G567)</f>
        <v>0</v>
      </c>
      <c r="P567">
        <v>0</v>
      </c>
      <c r="R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S567">
        <f>IF(Metadata!C567="",FALSE,TRUE)</f>
        <v>0</v>
      </c>
      <c r="T567">
        <f>IF(Metadata!D567="",FALSE,TRUE)</f>
        <v>0</v>
      </c>
      <c r="U567">
        <f>IF(Metadata!E567="",FALSE,TRUE)</f>
        <v>0</v>
      </c>
      <c r="V567">
        <f>AND(IF(Metadata!F567="",FALSE,TRUE),exact(Metadata!F567,"rat gut metagenome"))</f>
        <v>0</v>
      </c>
      <c r="W567">
        <f>AND(IF(Metadata!G567="",FALSE,TRUE),exact(Metadata!G567,"1436733"))</f>
        <v>0</v>
      </c>
    </row>
    <row r="568" spans="1:23">
      <c r="A568" s="4">
        <f>IF(B568=" "," ",HYPERLINK(CONCATENATE("#metadata!",ADDRESS(INDEX($M$2:$M$1001,MATCH(ROWS($K$2:K568),$K$2:$K$1001,0),0),1)),INDEX($P$2:$P$1001,MATCH(ROWS($K$2:K568),$K$2:$K$1001,0),0)))</f>
        <v>0</v>
      </c>
      <c r="B568" s="3">
        <f>IF(OR(INDEX($L$2:$L$1001,MATCH(ROWS($K$2:K568),$K$2:$K$1001,0),1)&gt;=100000,INDEX($R$1005:$W$1005,1,MATCH(COLUMNS($R$1006:R1006),$R$1006:$W$1006,0))&gt;=100000), " ",IF(INDEX($R$2:$W$1001,MATCH(ROWS($K$2:K568),$K$2:$K$1001,0),MATCH(COLUMNS($R$1006:R1006),$R$1006:$W$1006,0)), HYPERLINK("#",""), HYPERLINK(CONCATENATE("#Metadata!", ADDRESS(INDEX($M$2:$M$1001,MATCH(ROWS($K$2:K568),$K$2:$K$1001,0),0), INDEX($R$1004:$W$1004,1,MATCH(COLUMNS($R$1006:R1006),$R$1006:$W$1006,0)))),"Fix")))</f>
        <v>0</v>
      </c>
      <c r="C568" s="3">
        <f>IF(OR(INDEX($L$2:$L$1001,MATCH(ROWS($K$2:K568),$K$2:$K$1001,0),1)&gt;=100000,INDEX($R$1005:$W$1005,1,MATCH(COLUMNS($R$1006:S1006),$R$1006:$W$1006,0))&gt;=100000), " ",IF(INDEX($R$2:$W$1001,MATCH(ROWS($K$2:K568),$K$2:$K$1001,0),MATCH(COLUMNS($R$1006:S1006),$R$1006:$W$1006,0)), HYPERLINK("#",""), HYPERLINK(CONCATENATE("#Metadata!", ADDRESS(INDEX($M$2:$M$1001,MATCH(ROWS($K$2:K568),$K$2:$K$1001,0),0), INDEX($R$1004:$W$1004,1,MATCH(COLUMNS($R$1006:S1006),$R$1006:$W$1006,0)))),"Fix")))</f>
        <v>0</v>
      </c>
      <c r="D568" s="3">
        <f>IF(OR(INDEX($L$2:$L$1001,MATCH(ROWS($K$2:K568),$K$2:$K$1001,0),1)&gt;=100000,INDEX($R$1005:$W$1005,1,MATCH(COLUMNS($R$1006:T1006),$R$1006:$W$1006,0))&gt;=100000), " ",IF(INDEX($R$2:$W$1001,MATCH(ROWS($K$2:K568),$K$2:$K$1001,0),MATCH(COLUMNS($R$1006:T1006),$R$1006:$W$1006,0)), HYPERLINK("#",""), HYPERLINK(CONCATENATE("#Metadata!", ADDRESS(INDEX($M$2:$M$1001,MATCH(ROWS($K$2:K568),$K$2:$K$1001,0),0), INDEX($R$1004:$W$1004,1,MATCH(COLUMNS($R$1006:T1006),$R$1006:$W$1006,0)))),"Fix")))</f>
        <v>0</v>
      </c>
      <c r="E568" s="3">
        <f>IF(OR(INDEX($L$2:$L$1001,MATCH(ROWS($K$2:K568),$K$2:$K$1001,0),1)&gt;=100000,INDEX($R$1005:$W$1005,1,MATCH(COLUMNS($R$1006:U1006),$R$1006:$W$1006,0))&gt;=100000), " ",IF(INDEX($R$2:$W$1001,MATCH(ROWS($K$2:K568),$K$2:$K$1001,0),MATCH(COLUMNS($R$1006:U1006),$R$1006:$W$1006,0)), HYPERLINK("#",""), HYPERLINK(CONCATENATE("#Metadata!", ADDRESS(INDEX($M$2:$M$1001,MATCH(ROWS($K$2:K568),$K$2:$K$1001,0),0), INDEX($R$1004:$W$1004,1,MATCH(COLUMNS($R$1006:U1006),$R$1006:$W$1006,0)))),"Fix")))</f>
        <v>0</v>
      </c>
      <c r="F568" s="3">
        <f>IF(OR(INDEX($L$2:$L$1001,MATCH(ROWS($K$2:K568),$K$2:$K$1001,0),1)&gt;=100000,INDEX($R$1005:$W$1005,1,MATCH(COLUMNS($R$1006:V1006),$R$1006:$W$1006,0))&gt;=100000), " ",IF(INDEX($R$2:$W$1001,MATCH(ROWS($K$2:K568),$K$2:$K$1001,0),MATCH(COLUMNS($R$1006:V1006),$R$1006:$W$1006,0)), HYPERLINK("#",""), HYPERLINK(CONCATENATE("#Metadata!", ADDRESS(INDEX($M$2:$M$1001,MATCH(ROWS($K$2:K568),$K$2:$K$1001,0),0), INDEX($R$1004:$W$1004,1,MATCH(COLUMNS($R$1006:V1006),$R$1006:$W$1006,0)))),"Fix")))</f>
        <v>0</v>
      </c>
      <c r="G568" s="3">
        <f>IF(OR(INDEX($L$2:$L$1001,MATCH(ROWS($K$2:K568),$K$2:$K$1001,0),1)&gt;=100000,INDEX($R$1005:$W$1005,1,MATCH(COLUMNS($R$1006:W1006),$R$1006:$W$1006,0))&gt;=100000), " ",IF(INDEX($R$2:$W$1001,MATCH(ROWS($K$2:K568),$K$2:$K$1001,0),MATCH(COLUMNS($R$1006:W1006),$R$1006:$W$1006,0)), HYPERLINK("#",""), HYPERLINK(CONCATENATE("#Metadata!", ADDRESS(INDEX($M$2:$M$1001,MATCH(ROWS($K$2:K568),$K$2:$K$1001,0),0), INDEX($R$1004:$W$1004,1,MATCH(COLUMNS($R$1006:W1006),$R$1006:$W$1006,0)))),"Fix")))</f>
        <v>0</v>
      </c>
      <c r="K568">
        <v>0</v>
      </c>
      <c r="L568">
        <v>0</v>
      </c>
      <c r="M568">
        <v>0</v>
      </c>
      <c r="N568">
        <f>IF(O568,TRUE,AND(R568:W568))</f>
        <v>0</v>
      </c>
      <c r="O568">
        <f>COUNTBLANK(Metadata!B568:G568)=COLUMNS(Metadata!B568:G568)</f>
        <v>0</v>
      </c>
      <c r="P568">
        <v>0</v>
      </c>
      <c r="R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S568">
        <f>IF(Metadata!C568="",FALSE,TRUE)</f>
        <v>0</v>
      </c>
      <c r="T568">
        <f>IF(Metadata!D568="",FALSE,TRUE)</f>
        <v>0</v>
      </c>
      <c r="U568">
        <f>IF(Metadata!E568="",FALSE,TRUE)</f>
        <v>0</v>
      </c>
      <c r="V568">
        <f>AND(IF(Metadata!F568="",FALSE,TRUE),exact(Metadata!F568,"rat gut metagenome"))</f>
        <v>0</v>
      </c>
      <c r="W568">
        <f>AND(IF(Metadata!G568="",FALSE,TRUE),exact(Metadata!G568,"1436733"))</f>
        <v>0</v>
      </c>
    </row>
    <row r="569" spans="1:23">
      <c r="A569" s="4">
        <f>IF(B569=" "," ",HYPERLINK(CONCATENATE("#metadata!",ADDRESS(INDEX($M$2:$M$1001,MATCH(ROWS($K$2:K569),$K$2:$K$1001,0),0),1)),INDEX($P$2:$P$1001,MATCH(ROWS($K$2:K569),$K$2:$K$1001,0),0)))</f>
        <v>0</v>
      </c>
      <c r="B569" s="3">
        <f>IF(OR(INDEX($L$2:$L$1001,MATCH(ROWS($K$2:K569),$K$2:$K$1001,0),1)&gt;=100000,INDEX($R$1005:$W$1005,1,MATCH(COLUMNS($R$1006:R1006),$R$1006:$W$1006,0))&gt;=100000), " ",IF(INDEX($R$2:$W$1001,MATCH(ROWS($K$2:K569),$K$2:$K$1001,0),MATCH(COLUMNS($R$1006:R1006),$R$1006:$W$1006,0)), HYPERLINK("#",""), HYPERLINK(CONCATENATE("#Metadata!", ADDRESS(INDEX($M$2:$M$1001,MATCH(ROWS($K$2:K569),$K$2:$K$1001,0),0), INDEX($R$1004:$W$1004,1,MATCH(COLUMNS($R$1006:R1006),$R$1006:$W$1006,0)))),"Fix")))</f>
        <v>0</v>
      </c>
      <c r="C569" s="3">
        <f>IF(OR(INDEX($L$2:$L$1001,MATCH(ROWS($K$2:K569),$K$2:$K$1001,0),1)&gt;=100000,INDEX($R$1005:$W$1005,1,MATCH(COLUMNS($R$1006:S1006),$R$1006:$W$1006,0))&gt;=100000), " ",IF(INDEX($R$2:$W$1001,MATCH(ROWS($K$2:K569),$K$2:$K$1001,0),MATCH(COLUMNS($R$1006:S1006),$R$1006:$W$1006,0)), HYPERLINK("#",""), HYPERLINK(CONCATENATE("#Metadata!", ADDRESS(INDEX($M$2:$M$1001,MATCH(ROWS($K$2:K569),$K$2:$K$1001,0),0), INDEX($R$1004:$W$1004,1,MATCH(COLUMNS($R$1006:S1006),$R$1006:$W$1006,0)))),"Fix")))</f>
        <v>0</v>
      </c>
      <c r="D569" s="3">
        <f>IF(OR(INDEX($L$2:$L$1001,MATCH(ROWS($K$2:K569),$K$2:$K$1001,0),1)&gt;=100000,INDEX($R$1005:$W$1005,1,MATCH(COLUMNS($R$1006:T1006),$R$1006:$W$1006,0))&gt;=100000), " ",IF(INDEX($R$2:$W$1001,MATCH(ROWS($K$2:K569),$K$2:$K$1001,0),MATCH(COLUMNS($R$1006:T1006),$R$1006:$W$1006,0)), HYPERLINK("#",""), HYPERLINK(CONCATENATE("#Metadata!", ADDRESS(INDEX($M$2:$M$1001,MATCH(ROWS($K$2:K569),$K$2:$K$1001,0),0), INDEX($R$1004:$W$1004,1,MATCH(COLUMNS($R$1006:T1006),$R$1006:$W$1006,0)))),"Fix")))</f>
        <v>0</v>
      </c>
      <c r="E569" s="3">
        <f>IF(OR(INDEX($L$2:$L$1001,MATCH(ROWS($K$2:K569),$K$2:$K$1001,0),1)&gt;=100000,INDEX($R$1005:$W$1005,1,MATCH(COLUMNS($R$1006:U1006),$R$1006:$W$1006,0))&gt;=100000), " ",IF(INDEX($R$2:$W$1001,MATCH(ROWS($K$2:K569),$K$2:$K$1001,0),MATCH(COLUMNS($R$1006:U1006),$R$1006:$W$1006,0)), HYPERLINK("#",""), HYPERLINK(CONCATENATE("#Metadata!", ADDRESS(INDEX($M$2:$M$1001,MATCH(ROWS($K$2:K569),$K$2:$K$1001,0),0), INDEX($R$1004:$W$1004,1,MATCH(COLUMNS($R$1006:U1006),$R$1006:$W$1006,0)))),"Fix")))</f>
        <v>0</v>
      </c>
      <c r="F569" s="3">
        <f>IF(OR(INDEX($L$2:$L$1001,MATCH(ROWS($K$2:K569),$K$2:$K$1001,0),1)&gt;=100000,INDEX($R$1005:$W$1005,1,MATCH(COLUMNS($R$1006:V1006),$R$1006:$W$1006,0))&gt;=100000), " ",IF(INDEX($R$2:$W$1001,MATCH(ROWS($K$2:K569),$K$2:$K$1001,0),MATCH(COLUMNS($R$1006:V1006),$R$1006:$W$1006,0)), HYPERLINK("#",""), HYPERLINK(CONCATENATE("#Metadata!", ADDRESS(INDEX($M$2:$M$1001,MATCH(ROWS($K$2:K569),$K$2:$K$1001,0),0), INDEX($R$1004:$W$1004,1,MATCH(COLUMNS($R$1006:V1006),$R$1006:$W$1006,0)))),"Fix")))</f>
        <v>0</v>
      </c>
      <c r="G569" s="3">
        <f>IF(OR(INDEX($L$2:$L$1001,MATCH(ROWS($K$2:K569),$K$2:$K$1001,0),1)&gt;=100000,INDEX($R$1005:$W$1005,1,MATCH(COLUMNS($R$1006:W1006),$R$1006:$W$1006,0))&gt;=100000), " ",IF(INDEX($R$2:$W$1001,MATCH(ROWS($K$2:K569),$K$2:$K$1001,0),MATCH(COLUMNS($R$1006:W1006),$R$1006:$W$1006,0)), HYPERLINK("#",""), HYPERLINK(CONCATENATE("#Metadata!", ADDRESS(INDEX($M$2:$M$1001,MATCH(ROWS($K$2:K569),$K$2:$K$1001,0),0), INDEX($R$1004:$W$1004,1,MATCH(COLUMNS($R$1006:W1006),$R$1006:$W$1006,0)))),"Fix")))</f>
        <v>0</v>
      </c>
      <c r="K569">
        <v>0</v>
      </c>
      <c r="L569">
        <v>0</v>
      </c>
      <c r="M569">
        <v>0</v>
      </c>
      <c r="N569">
        <f>IF(O569,TRUE,AND(R569:W569))</f>
        <v>0</v>
      </c>
      <c r="O569">
        <f>COUNTBLANK(Metadata!B569:G569)=COLUMNS(Metadata!B569:G569)</f>
        <v>0</v>
      </c>
      <c r="P569">
        <v>0</v>
      </c>
      <c r="R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S569">
        <f>IF(Metadata!C569="",FALSE,TRUE)</f>
        <v>0</v>
      </c>
      <c r="T569">
        <f>IF(Metadata!D569="",FALSE,TRUE)</f>
        <v>0</v>
      </c>
      <c r="U569">
        <f>IF(Metadata!E569="",FALSE,TRUE)</f>
        <v>0</v>
      </c>
      <c r="V569">
        <f>AND(IF(Metadata!F569="",FALSE,TRUE),exact(Metadata!F569,"rat gut metagenome"))</f>
        <v>0</v>
      </c>
      <c r="W569">
        <f>AND(IF(Metadata!G569="",FALSE,TRUE),exact(Metadata!G569,"1436733"))</f>
        <v>0</v>
      </c>
    </row>
    <row r="570" spans="1:23">
      <c r="A570" s="4">
        <f>IF(B570=" "," ",HYPERLINK(CONCATENATE("#metadata!",ADDRESS(INDEX($M$2:$M$1001,MATCH(ROWS($K$2:K570),$K$2:$K$1001,0),0),1)),INDEX($P$2:$P$1001,MATCH(ROWS($K$2:K570),$K$2:$K$1001,0),0)))</f>
        <v>0</v>
      </c>
      <c r="B570" s="3">
        <f>IF(OR(INDEX($L$2:$L$1001,MATCH(ROWS($K$2:K570),$K$2:$K$1001,0),1)&gt;=100000,INDEX($R$1005:$W$1005,1,MATCH(COLUMNS($R$1006:R1006),$R$1006:$W$1006,0))&gt;=100000), " ",IF(INDEX($R$2:$W$1001,MATCH(ROWS($K$2:K570),$K$2:$K$1001,0),MATCH(COLUMNS($R$1006:R1006),$R$1006:$W$1006,0)), HYPERLINK("#",""), HYPERLINK(CONCATENATE("#Metadata!", ADDRESS(INDEX($M$2:$M$1001,MATCH(ROWS($K$2:K570),$K$2:$K$1001,0),0), INDEX($R$1004:$W$1004,1,MATCH(COLUMNS($R$1006:R1006),$R$1006:$W$1006,0)))),"Fix")))</f>
        <v>0</v>
      </c>
      <c r="C570" s="3">
        <f>IF(OR(INDEX($L$2:$L$1001,MATCH(ROWS($K$2:K570),$K$2:$K$1001,0),1)&gt;=100000,INDEX($R$1005:$W$1005,1,MATCH(COLUMNS($R$1006:S1006),$R$1006:$W$1006,0))&gt;=100000), " ",IF(INDEX($R$2:$W$1001,MATCH(ROWS($K$2:K570),$K$2:$K$1001,0),MATCH(COLUMNS($R$1006:S1006),$R$1006:$W$1006,0)), HYPERLINK("#",""), HYPERLINK(CONCATENATE("#Metadata!", ADDRESS(INDEX($M$2:$M$1001,MATCH(ROWS($K$2:K570),$K$2:$K$1001,0),0), INDEX($R$1004:$W$1004,1,MATCH(COLUMNS($R$1006:S1006),$R$1006:$W$1006,0)))),"Fix")))</f>
        <v>0</v>
      </c>
      <c r="D570" s="3">
        <f>IF(OR(INDEX($L$2:$L$1001,MATCH(ROWS($K$2:K570),$K$2:$K$1001,0),1)&gt;=100000,INDEX($R$1005:$W$1005,1,MATCH(COLUMNS($R$1006:T1006),$R$1006:$W$1006,0))&gt;=100000), " ",IF(INDEX($R$2:$W$1001,MATCH(ROWS($K$2:K570),$K$2:$K$1001,0),MATCH(COLUMNS($R$1006:T1006),$R$1006:$W$1006,0)), HYPERLINK("#",""), HYPERLINK(CONCATENATE("#Metadata!", ADDRESS(INDEX($M$2:$M$1001,MATCH(ROWS($K$2:K570),$K$2:$K$1001,0),0), INDEX($R$1004:$W$1004,1,MATCH(COLUMNS($R$1006:T1006),$R$1006:$W$1006,0)))),"Fix")))</f>
        <v>0</v>
      </c>
      <c r="E570" s="3">
        <f>IF(OR(INDEX($L$2:$L$1001,MATCH(ROWS($K$2:K570),$K$2:$K$1001,0),1)&gt;=100000,INDEX($R$1005:$W$1005,1,MATCH(COLUMNS($R$1006:U1006),$R$1006:$W$1006,0))&gt;=100000), " ",IF(INDEX($R$2:$W$1001,MATCH(ROWS($K$2:K570),$K$2:$K$1001,0),MATCH(COLUMNS($R$1006:U1006),$R$1006:$W$1006,0)), HYPERLINK("#",""), HYPERLINK(CONCATENATE("#Metadata!", ADDRESS(INDEX($M$2:$M$1001,MATCH(ROWS($K$2:K570),$K$2:$K$1001,0),0), INDEX($R$1004:$W$1004,1,MATCH(COLUMNS($R$1006:U1006),$R$1006:$W$1006,0)))),"Fix")))</f>
        <v>0</v>
      </c>
      <c r="F570" s="3">
        <f>IF(OR(INDEX($L$2:$L$1001,MATCH(ROWS($K$2:K570),$K$2:$K$1001,0),1)&gt;=100000,INDEX($R$1005:$W$1005,1,MATCH(COLUMNS($R$1006:V1006),$R$1006:$W$1006,0))&gt;=100000), " ",IF(INDEX($R$2:$W$1001,MATCH(ROWS($K$2:K570),$K$2:$K$1001,0),MATCH(COLUMNS($R$1006:V1006),$R$1006:$W$1006,0)), HYPERLINK("#",""), HYPERLINK(CONCATENATE("#Metadata!", ADDRESS(INDEX($M$2:$M$1001,MATCH(ROWS($K$2:K570),$K$2:$K$1001,0),0), INDEX($R$1004:$W$1004,1,MATCH(COLUMNS($R$1006:V1006),$R$1006:$W$1006,0)))),"Fix")))</f>
        <v>0</v>
      </c>
      <c r="G570" s="3">
        <f>IF(OR(INDEX($L$2:$L$1001,MATCH(ROWS($K$2:K570),$K$2:$K$1001,0),1)&gt;=100000,INDEX($R$1005:$W$1005,1,MATCH(COLUMNS($R$1006:W1006),$R$1006:$W$1006,0))&gt;=100000), " ",IF(INDEX($R$2:$W$1001,MATCH(ROWS($K$2:K570),$K$2:$K$1001,0),MATCH(COLUMNS($R$1006:W1006),$R$1006:$W$1006,0)), HYPERLINK("#",""), HYPERLINK(CONCATENATE("#Metadata!", ADDRESS(INDEX($M$2:$M$1001,MATCH(ROWS($K$2:K570),$K$2:$K$1001,0),0), INDEX($R$1004:$W$1004,1,MATCH(COLUMNS($R$1006:W1006),$R$1006:$W$1006,0)))),"Fix")))</f>
        <v>0</v>
      </c>
      <c r="K570">
        <v>0</v>
      </c>
      <c r="L570">
        <v>0</v>
      </c>
      <c r="M570">
        <v>0</v>
      </c>
      <c r="N570">
        <f>IF(O570,TRUE,AND(R570:W570))</f>
        <v>0</v>
      </c>
      <c r="O570">
        <f>COUNTBLANK(Metadata!B570:G570)=COLUMNS(Metadata!B570:G570)</f>
        <v>0</v>
      </c>
      <c r="P570">
        <v>0</v>
      </c>
      <c r="R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S570">
        <f>IF(Metadata!C570="",FALSE,TRUE)</f>
        <v>0</v>
      </c>
      <c r="T570">
        <f>IF(Metadata!D570="",FALSE,TRUE)</f>
        <v>0</v>
      </c>
      <c r="U570">
        <f>IF(Metadata!E570="",FALSE,TRUE)</f>
        <v>0</v>
      </c>
      <c r="V570">
        <f>AND(IF(Metadata!F570="",FALSE,TRUE),exact(Metadata!F570,"rat gut metagenome"))</f>
        <v>0</v>
      </c>
      <c r="W570">
        <f>AND(IF(Metadata!G570="",FALSE,TRUE),exact(Metadata!G570,"1436733"))</f>
        <v>0</v>
      </c>
    </row>
    <row r="571" spans="1:23">
      <c r="A571" s="4">
        <f>IF(B571=" "," ",HYPERLINK(CONCATENATE("#metadata!",ADDRESS(INDEX($M$2:$M$1001,MATCH(ROWS($K$2:K571),$K$2:$K$1001,0),0),1)),INDEX($P$2:$P$1001,MATCH(ROWS($K$2:K571),$K$2:$K$1001,0),0)))</f>
        <v>0</v>
      </c>
      <c r="B571" s="3">
        <f>IF(OR(INDEX($L$2:$L$1001,MATCH(ROWS($K$2:K571),$K$2:$K$1001,0),1)&gt;=100000,INDEX($R$1005:$W$1005,1,MATCH(COLUMNS($R$1006:R1006),$R$1006:$W$1006,0))&gt;=100000), " ",IF(INDEX($R$2:$W$1001,MATCH(ROWS($K$2:K571),$K$2:$K$1001,0),MATCH(COLUMNS($R$1006:R1006),$R$1006:$W$1006,0)), HYPERLINK("#",""), HYPERLINK(CONCATENATE("#Metadata!", ADDRESS(INDEX($M$2:$M$1001,MATCH(ROWS($K$2:K571),$K$2:$K$1001,0),0), INDEX($R$1004:$W$1004,1,MATCH(COLUMNS($R$1006:R1006),$R$1006:$W$1006,0)))),"Fix")))</f>
        <v>0</v>
      </c>
      <c r="C571" s="3">
        <f>IF(OR(INDEX($L$2:$L$1001,MATCH(ROWS($K$2:K571),$K$2:$K$1001,0),1)&gt;=100000,INDEX($R$1005:$W$1005,1,MATCH(COLUMNS($R$1006:S1006),$R$1006:$W$1006,0))&gt;=100000), " ",IF(INDEX($R$2:$W$1001,MATCH(ROWS($K$2:K571),$K$2:$K$1001,0),MATCH(COLUMNS($R$1006:S1006),$R$1006:$W$1006,0)), HYPERLINK("#",""), HYPERLINK(CONCATENATE("#Metadata!", ADDRESS(INDEX($M$2:$M$1001,MATCH(ROWS($K$2:K571),$K$2:$K$1001,0),0), INDEX($R$1004:$W$1004,1,MATCH(COLUMNS($R$1006:S1006),$R$1006:$W$1006,0)))),"Fix")))</f>
        <v>0</v>
      </c>
      <c r="D571" s="3">
        <f>IF(OR(INDEX($L$2:$L$1001,MATCH(ROWS($K$2:K571),$K$2:$K$1001,0),1)&gt;=100000,INDEX($R$1005:$W$1005,1,MATCH(COLUMNS($R$1006:T1006),$R$1006:$W$1006,0))&gt;=100000), " ",IF(INDEX($R$2:$W$1001,MATCH(ROWS($K$2:K571),$K$2:$K$1001,0),MATCH(COLUMNS($R$1006:T1006),$R$1006:$W$1006,0)), HYPERLINK("#",""), HYPERLINK(CONCATENATE("#Metadata!", ADDRESS(INDEX($M$2:$M$1001,MATCH(ROWS($K$2:K571),$K$2:$K$1001,0),0), INDEX($R$1004:$W$1004,1,MATCH(COLUMNS($R$1006:T1006),$R$1006:$W$1006,0)))),"Fix")))</f>
        <v>0</v>
      </c>
      <c r="E571" s="3">
        <f>IF(OR(INDEX($L$2:$L$1001,MATCH(ROWS($K$2:K571),$K$2:$K$1001,0),1)&gt;=100000,INDEX($R$1005:$W$1005,1,MATCH(COLUMNS($R$1006:U1006),$R$1006:$W$1006,0))&gt;=100000), " ",IF(INDEX($R$2:$W$1001,MATCH(ROWS($K$2:K571),$K$2:$K$1001,0),MATCH(COLUMNS($R$1006:U1006),$R$1006:$W$1006,0)), HYPERLINK("#",""), HYPERLINK(CONCATENATE("#Metadata!", ADDRESS(INDEX($M$2:$M$1001,MATCH(ROWS($K$2:K571),$K$2:$K$1001,0),0), INDEX($R$1004:$W$1004,1,MATCH(COLUMNS($R$1006:U1006),$R$1006:$W$1006,0)))),"Fix")))</f>
        <v>0</v>
      </c>
      <c r="F571" s="3">
        <f>IF(OR(INDEX($L$2:$L$1001,MATCH(ROWS($K$2:K571),$K$2:$K$1001,0),1)&gt;=100000,INDEX($R$1005:$W$1005,1,MATCH(COLUMNS($R$1006:V1006),$R$1006:$W$1006,0))&gt;=100000), " ",IF(INDEX($R$2:$W$1001,MATCH(ROWS($K$2:K571),$K$2:$K$1001,0),MATCH(COLUMNS($R$1006:V1006),$R$1006:$W$1006,0)), HYPERLINK("#",""), HYPERLINK(CONCATENATE("#Metadata!", ADDRESS(INDEX($M$2:$M$1001,MATCH(ROWS($K$2:K571),$K$2:$K$1001,0),0), INDEX($R$1004:$W$1004,1,MATCH(COLUMNS($R$1006:V1006),$R$1006:$W$1006,0)))),"Fix")))</f>
        <v>0</v>
      </c>
      <c r="G571" s="3">
        <f>IF(OR(INDEX($L$2:$L$1001,MATCH(ROWS($K$2:K571),$K$2:$K$1001,0),1)&gt;=100000,INDEX($R$1005:$W$1005,1,MATCH(COLUMNS($R$1006:W1006),$R$1006:$W$1006,0))&gt;=100000), " ",IF(INDEX($R$2:$W$1001,MATCH(ROWS($K$2:K571),$K$2:$K$1001,0),MATCH(COLUMNS($R$1006:W1006),$R$1006:$W$1006,0)), HYPERLINK("#",""), HYPERLINK(CONCATENATE("#Metadata!", ADDRESS(INDEX($M$2:$M$1001,MATCH(ROWS($K$2:K571),$K$2:$K$1001,0),0), INDEX($R$1004:$W$1004,1,MATCH(COLUMNS($R$1006:W1006),$R$1006:$W$1006,0)))),"Fix")))</f>
        <v>0</v>
      </c>
      <c r="K571">
        <v>0</v>
      </c>
      <c r="L571">
        <v>0</v>
      </c>
      <c r="M571">
        <v>0</v>
      </c>
      <c r="N571">
        <f>IF(O571,TRUE,AND(R571:W571))</f>
        <v>0</v>
      </c>
      <c r="O571">
        <f>COUNTBLANK(Metadata!B571:G571)=COLUMNS(Metadata!B571:G571)</f>
        <v>0</v>
      </c>
      <c r="P571">
        <v>0</v>
      </c>
      <c r="R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S571">
        <f>IF(Metadata!C571="",FALSE,TRUE)</f>
        <v>0</v>
      </c>
      <c r="T571">
        <f>IF(Metadata!D571="",FALSE,TRUE)</f>
        <v>0</v>
      </c>
      <c r="U571">
        <f>IF(Metadata!E571="",FALSE,TRUE)</f>
        <v>0</v>
      </c>
      <c r="V571">
        <f>AND(IF(Metadata!F571="",FALSE,TRUE),exact(Metadata!F571,"rat gut metagenome"))</f>
        <v>0</v>
      </c>
      <c r="W571">
        <f>AND(IF(Metadata!G571="",FALSE,TRUE),exact(Metadata!G571,"1436733"))</f>
        <v>0</v>
      </c>
    </row>
    <row r="572" spans="1:23">
      <c r="A572" s="4">
        <f>IF(B572=" "," ",HYPERLINK(CONCATENATE("#metadata!",ADDRESS(INDEX($M$2:$M$1001,MATCH(ROWS($K$2:K572),$K$2:$K$1001,0),0),1)),INDEX($P$2:$P$1001,MATCH(ROWS($K$2:K572),$K$2:$K$1001,0),0)))</f>
        <v>0</v>
      </c>
      <c r="B572" s="3">
        <f>IF(OR(INDEX($L$2:$L$1001,MATCH(ROWS($K$2:K572),$K$2:$K$1001,0),1)&gt;=100000,INDEX($R$1005:$W$1005,1,MATCH(COLUMNS($R$1006:R1006),$R$1006:$W$1006,0))&gt;=100000), " ",IF(INDEX($R$2:$W$1001,MATCH(ROWS($K$2:K572),$K$2:$K$1001,0),MATCH(COLUMNS($R$1006:R1006),$R$1006:$W$1006,0)), HYPERLINK("#",""), HYPERLINK(CONCATENATE("#Metadata!", ADDRESS(INDEX($M$2:$M$1001,MATCH(ROWS($K$2:K572),$K$2:$K$1001,0),0), INDEX($R$1004:$W$1004,1,MATCH(COLUMNS($R$1006:R1006),$R$1006:$W$1006,0)))),"Fix")))</f>
        <v>0</v>
      </c>
      <c r="C572" s="3">
        <f>IF(OR(INDEX($L$2:$L$1001,MATCH(ROWS($K$2:K572),$K$2:$K$1001,0),1)&gt;=100000,INDEX($R$1005:$W$1005,1,MATCH(COLUMNS($R$1006:S1006),$R$1006:$W$1006,0))&gt;=100000), " ",IF(INDEX($R$2:$W$1001,MATCH(ROWS($K$2:K572),$K$2:$K$1001,0),MATCH(COLUMNS($R$1006:S1006),$R$1006:$W$1006,0)), HYPERLINK("#",""), HYPERLINK(CONCATENATE("#Metadata!", ADDRESS(INDEX($M$2:$M$1001,MATCH(ROWS($K$2:K572),$K$2:$K$1001,0),0), INDEX($R$1004:$W$1004,1,MATCH(COLUMNS($R$1006:S1006),$R$1006:$W$1006,0)))),"Fix")))</f>
        <v>0</v>
      </c>
      <c r="D572" s="3">
        <f>IF(OR(INDEX($L$2:$L$1001,MATCH(ROWS($K$2:K572),$K$2:$K$1001,0),1)&gt;=100000,INDEX($R$1005:$W$1005,1,MATCH(COLUMNS($R$1006:T1006),$R$1006:$W$1006,0))&gt;=100000), " ",IF(INDEX($R$2:$W$1001,MATCH(ROWS($K$2:K572),$K$2:$K$1001,0),MATCH(COLUMNS($R$1006:T1006),$R$1006:$W$1006,0)), HYPERLINK("#",""), HYPERLINK(CONCATENATE("#Metadata!", ADDRESS(INDEX($M$2:$M$1001,MATCH(ROWS($K$2:K572),$K$2:$K$1001,0),0), INDEX($R$1004:$W$1004,1,MATCH(COLUMNS($R$1006:T1006),$R$1006:$W$1006,0)))),"Fix")))</f>
        <v>0</v>
      </c>
      <c r="E572" s="3">
        <f>IF(OR(INDEX($L$2:$L$1001,MATCH(ROWS($K$2:K572),$K$2:$K$1001,0),1)&gt;=100000,INDEX($R$1005:$W$1005,1,MATCH(COLUMNS($R$1006:U1006),$R$1006:$W$1006,0))&gt;=100000), " ",IF(INDEX($R$2:$W$1001,MATCH(ROWS($K$2:K572),$K$2:$K$1001,0),MATCH(COLUMNS($R$1006:U1006),$R$1006:$W$1006,0)), HYPERLINK("#",""), HYPERLINK(CONCATENATE("#Metadata!", ADDRESS(INDEX($M$2:$M$1001,MATCH(ROWS($K$2:K572),$K$2:$K$1001,0),0), INDEX($R$1004:$W$1004,1,MATCH(COLUMNS($R$1006:U1006),$R$1006:$W$1006,0)))),"Fix")))</f>
        <v>0</v>
      </c>
      <c r="F572" s="3">
        <f>IF(OR(INDEX($L$2:$L$1001,MATCH(ROWS($K$2:K572),$K$2:$K$1001,0),1)&gt;=100000,INDEX($R$1005:$W$1005,1,MATCH(COLUMNS($R$1006:V1006),$R$1006:$W$1006,0))&gt;=100000), " ",IF(INDEX($R$2:$W$1001,MATCH(ROWS($K$2:K572),$K$2:$K$1001,0),MATCH(COLUMNS($R$1006:V1006),$R$1006:$W$1006,0)), HYPERLINK("#",""), HYPERLINK(CONCATENATE("#Metadata!", ADDRESS(INDEX($M$2:$M$1001,MATCH(ROWS($K$2:K572),$K$2:$K$1001,0),0), INDEX($R$1004:$W$1004,1,MATCH(COLUMNS($R$1006:V1006),$R$1006:$W$1006,0)))),"Fix")))</f>
        <v>0</v>
      </c>
      <c r="G572" s="3">
        <f>IF(OR(INDEX($L$2:$L$1001,MATCH(ROWS($K$2:K572),$K$2:$K$1001,0),1)&gt;=100000,INDEX($R$1005:$W$1005,1,MATCH(COLUMNS($R$1006:W1006),$R$1006:$W$1006,0))&gt;=100000), " ",IF(INDEX($R$2:$W$1001,MATCH(ROWS($K$2:K572),$K$2:$K$1001,0),MATCH(COLUMNS($R$1006:W1006),$R$1006:$W$1006,0)), HYPERLINK("#",""), HYPERLINK(CONCATENATE("#Metadata!", ADDRESS(INDEX($M$2:$M$1001,MATCH(ROWS($K$2:K572),$K$2:$K$1001,0),0), INDEX($R$1004:$W$1004,1,MATCH(COLUMNS($R$1006:W1006),$R$1006:$W$1006,0)))),"Fix")))</f>
        <v>0</v>
      </c>
      <c r="K572">
        <v>0</v>
      </c>
      <c r="L572">
        <v>0</v>
      </c>
      <c r="M572">
        <v>0</v>
      </c>
      <c r="N572">
        <f>IF(O572,TRUE,AND(R572:W572))</f>
        <v>0</v>
      </c>
      <c r="O572">
        <f>COUNTBLANK(Metadata!B572:G572)=COLUMNS(Metadata!B572:G572)</f>
        <v>0</v>
      </c>
      <c r="P572">
        <v>0</v>
      </c>
      <c r="R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S572">
        <f>IF(Metadata!C572="",FALSE,TRUE)</f>
        <v>0</v>
      </c>
      <c r="T572">
        <f>IF(Metadata!D572="",FALSE,TRUE)</f>
        <v>0</v>
      </c>
      <c r="U572">
        <f>IF(Metadata!E572="",FALSE,TRUE)</f>
        <v>0</v>
      </c>
      <c r="V572">
        <f>AND(IF(Metadata!F572="",FALSE,TRUE),exact(Metadata!F572,"rat gut metagenome"))</f>
        <v>0</v>
      </c>
      <c r="W572">
        <f>AND(IF(Metadata!G572="",FALSE,TRUE),exact(Metadata!G572,"1436733"))</f>
        <v>0</v>
      </c>
    </row>
    <row r="573" spans="1:23">
      <c r="A573" s="4">
        <f>IF(B573=" "," ",HYPERLINK(CONCATENATE("#metadata!",ADDRESS(INDEX($M$2:$M$1001,MATCH(ROWS($K$2:K573),$K$2:$K$1001,0),0),1)),INDEX($P$2:$P$1001,MATCH(ROWS($K$2:K573),$K$2:$K$1001,0),0)))</f>
        <v>0</v>
      </c>
      <c r="B573" s="3">
        <f>IF(OR(INDEX($L$2:$L$1001,MATCH(ROWS($K$2:K573),$K$2:$K$1001,0),1)&gt;=100000,INDEX($R$1005:$W$1005,1,MATCH(COLUMNS($R$1006:R1006),$R$1006:$W$1006,0))&gt;=100000), " ",IF(INDEX($R$2:$W$1001,MATCH(ROWS($K$2:K573),$K$2:$K$1001,0),MATCH(COLUMNS($R$1006:R1006),$R$1006:$W$1006,0)), HYPERLINK("#",""), HYPERLINK(CONCATENATE("#Metadata!", ADDRESS(INDEX($M$2:$M$1001,MATCH(ROWS($K$2:K573),$K$2:$K$1001,0),0), INDEX($R$1004:$W$1004,1,MATCH(COLUMNS($R$1006:R1006),$R$1006:$W$1006,0)))),"Fix")))</f>
        <v>0</v>
      </c>
      <c r="C573" s="3">
        <f>IF(OR(INDEX($L$2:$L$1001,MATCH(ROWS($K$2:K573),$K$2:$K$1001,0),1)&gt;=100000,INDEX($R$1005:$W$1005,1,MATCH(COLUMNS($R$1006:S1006),$R$1006:$W$1006,0))&gt;=100000), " ",IF(INDEX($R$2:$W$1001,MATCH(ROWS($K$2:K573),$K$2:$K$1001,0),MATCH(COLUMNS($R$1006:S1006),$R$1006:$W$1006,0)), HYPERLINK("#",""), HYPERLINK(CONCATENATE("#Metadata!", ADDRESS(INDEX($M$2:$M$1001,MATCH(ROWS($K$2:K573),$K$2:$K$1001,0),0), INDEX($R$1004:$W$1004,1,MATCH(COLUMNS($R$1006:S1006),$R$1006:$W$1006,0)))),"Fix")))</f>
        <v>0</v>
      </c>
      <c r="D573" s="3">
        <f>IF(OR(INDEX($L$2:$L$1001,MATCH(ROWS($K$2:K573),$K$2:$K$1001,0),1)&gt;=100000,INDEX($R$1005:$W$1005,1,MATCH(COLUMNS($R$1006:T1006),$R$1006:$W$1006,0))&gt;=100000), " ",IF(INDEX($R$2:$W$1001,MATCH(ROWS($K$2:K573),$K$2:$K$1001,0),MATCH(COLUMNS($R$1006:T1006),$R$1006:$W$1006,0)), HYPERLINK("#",""), HYPERLINK(CONCATENATE("#Metadata!", ADDRESS(INDEX($M$2:$M$1001,MATCH(ROWS($K$2:K573),$K$2:$K$1001,0),0), INDEX($R$1004:$W$1004,1,MATCH(COLUMNS($R$1006:T1006),$R$1006:$W$1006,0)))),"Fix")))</f>
        <v>0</v>
      </c>
      <c r="E573" s="3">
        <f>IF(OR(INDEX($L$2:$L$1001,MATCH(ROWS($K$2:K573),$K$2:$K$1001,0),1)&gt;=100000,INDEX($R$1005:$W$1005,1,MATCH(COLUMNS($R$1006:U1006),$R$1006:$W$1006,0))&gt;=100000), " ",IF(INDEX($R$2:$W$1001,MATCH(ROWS($K$2:K573),$K$2:$K$1001,0),MATCH(COLUMNS($R$1006:U1006),$R$1006:$W$1006,0)), HYPERLINK("#",""), HYPERLINK(CONCATENATE("#Metadata!", ADDRESS(INDEX($M$2:$M$1001,MATCH(ROWS($K$2:K573),$K$2:$K$1001,0),0), INDEX($R$1004:$W$1004,1,MATCH(COLUMNS($R$1006:U1006),$R$1006:$W$1006,0)))),"Fix")))</f>
        <v>0</v>
      </c>
      <c r="F573" s="3">
        <f>IF(OR(INDEX($L$2:$L$1001,MATCH(ROWS($K$2:K573),$K$2:$K$1001,0),1)&gt;=100000,INDEX($R$1005:$W$1005,1,MATCH(COLUMNS($R$1006:V1006),$R$1006:$W$1006,0))&gt;=100000), " ",IF(INDEX($R$2:$W$1001,MATCH(ROWS($K$2:K573),$K$2:$K$1001,0),MATCH(COLUMNS($R$1006:V1006),$R$1006:$W$1006,0)), HYPERLINK("#",""), HYPERLINK(CONCATENATE("#Metadata!", ADDRESS(INDEX($M$2:$M$1001,MATCH(ROWS($K$2:K573),$K$2:$K$1001,0),0), INDEX($R$1004:$W$1004,1,MATCH(COLUMNS($R$1006:V1006),$R$1006:$W$1006,0)))),"Fix")))</f>
        <v>0</v>
      </c>
      <c r="G573" s="3">
        <f>IF(OR(INDEX($L$2:$L$1001,MATCH(ROWS($K$2:K573),$K$2:$K$1001,0),1)&gt;=100000,INDEX($R$1005:$W$1005,1,MATCH(COLUMNS($R$1006:W1006),$R$1006:$W$1006,0))&gt;=100000), " ",IF(INDEX($R$2:$W$1001,MATCH(ROWS($K$2:K573),$K$2:$K$1001,0),MATCH(COLUMNS($R$1006:W1006),$R$1006:$W$1006,0)), HYPERLINK("#",""), HYPERLINK(CONCATENATE("#Metadata!", ADDRESS(INDEX($M$2:$M$1001,MATCH(ROWS($K$2:K573),$K$2:$K$1001,0),0), INDEX($R$1004:$W$1004,1,MATCH(COLUMNS($R$1006:W1006),$R$1006:$W$1006,0)))),"Fix")))</f>
        <v>0</v>
      </c>
      <c r="K573">
        <v>0</v>
      </c>
      <c r="L573">
        <v>0</v>
      </c>
      <c r="M573">
        <v>0</v>
      </c>
      <c r="N573">
        <f>IF(O573,TRUE,AND(R573:W573))</f>
        <v>0</v>
      </c>
      <c r="O573">
        <f>COUNTBLANK(Metadata!B573:G573)=COLUMNS(Metadata!B573:G573)</f>
        <v>0</v>
      </c>
      <c r="P573">
        <v>0</v>
      </c>
      <c r="R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S573">
        <f>IF(Metadata!C573="",FALSE,TRUE)</f>
        <v>0</v>
      </c>
      <c r="T573">
        <f>IF(Metadata!D573="",FALSE,TRUE)</f>
        <v>0</v>
      </c>
      <c r="U573">
        <f>IF(Metadata!E573="",FALSE,TRUE)</f>
        <v>0</v>
      </c>
      <c r="V573">
        <f>AND(IF(Metadata!F573="",FALSE,TRUE),exact(Metadata!F573,"rat gut metagenome"))</f>
        <v>0</v>
      </c>
      <c r="W573">
        <f>AND(IF(Metadata!G573="",FALSE,TRUE),exact(Metadata!G573,"1436733"))</f>
        <v>0</v>
      </c>
    </row>
    <row r="574" spans="1:23">
      <c r="A574" s="4">
        <f>IF(B574=" "," ",HYPERLINK(CONCATENATE("#metadata!",ADDRESS(INDEX($M$2:$M$1001,MATCH(ROWS($K$2:K574),$K$2:$K$1001,0),0),1)),INDEX($P$2:$P$1001,MATCH(ROWS($K$2:K574),$K$2:$K$1001,0),0)))</f>
        <v>0</v>
      </c>
      <c r="B574" s="3">
        <f>IF(OR(INDEX($L$2:$L$1001,MATCH(ROWS($K$2:K574),$K$2:$K$1001,0),1)&gt;=100000,INDEX($R$1005:$W$1005,1,MATCH(COLUMNS($R$1006:R1006),$R$1006:$W$1006,0))&gt;=100000), " ",IF(INDEX($R$2:$W$1001,MATCH(ROWS($K$2:K574),$K$2:$K$1001,0),MATCH(COLUMNS($R$1006:R1006),$R$1006:$W$1006,0)), HYPERLINK("#",""), HYPERLINK(CONCATENATE("#Metadata!", ADDRESS(INDEX($M$2:$M$1001,MATCH(ROWS($K$2:K574),$K$2:$K$1001,0),0), INDEX($R$1004:$W$1004,1,MATCH(COLUMNS($R$1006:R1006),$R$1006:$W$1006,0)))),"Fix")))</f>
        <v>0</v>
      </c>
      <c r="C574" s="3">
        <f>IF(OR(INDEX($L$2:$L$1001,MATCH(ROWS($K$2:K574),$K$2:$K$1001,0),1)&gt;=100000,INDEX($R$1005:$W$1005,1,MATCH(COLUMNS($R$1006:S1006),$R$1006:$W$1006,0))&gt;=100000), " ",IF(INDEX($R$2:$W$1001,MATCH(ROWS($K$2:K574),$K$2:$K$1001,0),MATCH(COLUMNS($R$1006:S1006),$R$1006:$W$1006,0)), HYPERLINK("#",""), HYPERLINK(CONCATENATE("#Metadata!", ADDRESS(INDEX($M$2:$M$1001,MATCH(ROWS($K$2:K574),$K$2:$K$1001,0),0), INDEX($R$1004:$W$1004,1,MATCH(COLUMNS($R$1006:S1006),$R$1006:$W$1006,0)))),"Fix")))</f>
        <v>0</v>
      </c>
      <c r="D574" s="3">
        <f>IF(OR(INDEX($L$2:$L$1001,MATCH(ROWS($K$2:K574),$K$2:$K$1001,0),1)&gt;=100000,INDEX($R$1005:$W$1005,1,MATCH(COLUMNS($R$1006:T1006),$R$1006:$W$1006,0))&gt;=100000), " ",IF(INDEX($R$2:$W$1001,MATCH(ROWS($K$2:K574),$K$2:$K$1001,0),MATCH(COLUMNS($R$1006:T1006),$R$1006:$W$1006,0)), HYPERLINK("#",""), HYPERLINK(CONCATENATE("#Metadata!", ADDRESS(INDEX($M$2:$M$1001,MATCH(ROWS($K$2:K574),$K$2:$K$1001,0),0), INDEX($R$1004:$W$1004,1,MATCH(COLUMNS($R$1006:T1006),$R$1006:$W$1006,0)))),"Fix")))</f>
        <v>0</v>
      </c>
      <c r="E574" s="3">
        <f>IF(OR(INDEX($L$2:$L$1001,MATCH(ROWS($K$2:K574),$K$2:$K$1001,0),1)&gt;=100000,INDEX($R$1005:$W$1005,1,MATCH(COLUMNS($R$1006:U1006),$R$1006:$W$1006,0))&gt;=100000), " ",IF(INDEX($R$2:$W$1001,MATCH(ROWS($K$2:K574),$K$2:$K$1001,0),MATCH(COLUMNS($R$1006:U1006),$R$1006:$W$1006,0)), HYPERLINK("#",""), HYPERLINK(CONCATENATE("#Metadata!", ADDRESS(INDEX($M$2:$M$1001,MATCH(ROWS($K$2:K574),$K$2:$K$1001,0),0), INDEX($R$1004:$W$1004,1,MATCH(COLUMNS($R$1006:U1006),$R$1006:$W$1006,0)))),"Fix")))</f>
        <v>0</v>
      </c>
      <c r="F574" s="3">
        <f>IF(OR(INDEX($L$2:$L$1001,MATCH(ROWS($K$2:K574),$K$2:$K$1001,0),1)&gt;=100000,INDEX($R$1005:$W$1005,1,MATCH(COLUMNS($R$1006:V1006),$R$1006:$W$1006,0))&gt;=100000), " ",IF(INDEX($R$2:$W$1001,MATCH(ROWS($K$2:K574),$K$2:$K$1001,0),MATCH(COLUMNS($R$1006:V1006),$R$1006:$W$1006,0)), HYPERLINK("#",""), HYPERLINK(CONCATENATE("#Metadata!", ADDRESS(INDEX($M$2:$M$1001,MATCH(ROWS($K$2:K574),$K$2:$K$1001,0),0), INDEX($R$1004:$W$1004,1,MATCH(COLUMNS($R$1006:V1006),$R$1006:$W$1006,0)))),"Fix")))</f>
        <v>0</v>
      </c>
      <c r="G574" s="3">
        <f>IF(OR(INDEX($L$2:$L$1001,MATCH(ROWS($K$2:K574),$K$2:$K$1001,0),1)&gt;=100000,INDEX($R$1005:$W$1005,1,MATCH(COLUMNS($R$1006:W1006),$R$1006:$W$1006,0))&gt;=100000), " ",IF(INDEX($R$2:$W$1001,MATCH(ROWS($K$2:K574),$K$2:$K$1001,0),MATCH(COLUMNS($R$1006:W1006),$R$1006:$W$1006,0)), HYPERLINK("#",""), HYPERLINK(CONCATENATE("#Metadata!", ADDRESS(INDEX($M$2:$M$1001,MATCH(ROWS($K$2:K574),$K$2:$K$1001,0),0), INDEX($R$1004:$W$1004,1,MATCH(COLUMNS($R$1006:W1006),$R$1006:$W$1006,0)))),"Fix")))</f>
        <v>0</v>
      </c>
      <c r="K574">
        <v>0</v>
      </c>
      <c r="L574">
        <v>0</v>
      </c>
      <c r="M574">
        <v>0</v>
      </c>
      <c r="N574">
        <f>IF(O574,TRUE,AND(R574:W574))</f>
        <v>0</v>
      </c>
      <c r="O574">
        <f>COUNTBLANK(Metadata!B574:G574)=COLUMNS(Metadata!B574:G574)</f>
        <v>0</v>
      </c>
      <c r="P574">
        <v>0</v>
      </c>
      <c r="R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S574">
        <f>IF(Metadata!C574="",FALSE,TRUE)</f>
        <v>0</v>
      </c>
      <c r="T574">
        <f>IF(Metadata!D574="",FALSE,TRUE)</f>
        <v>0</v>
      </c>
      <c r="U574">
        <f>IF(Metadata!E574="",FALSE,TRUE)</f>
        <v>0</v>
      </c>
      <c r="V574">
        <f>AND(IF(Metadata!F574="",FALSE,TRUE),exact(Metadata!F574,"rat gut metagenome"))</f>
        <v>0</v>
      </c>
      <c r="W574">
        <f>AND(IF(Metadata!G574="",FALSE,TRUE),exact(Metadata!G574,"1436733"))</f>
        <v>0</v>
      </c>
    </row>
    <row r="575" spans="1:23">
      <c r="A575" s="4">
        <f>IF(B575=" "," ",HYPERLINK(CONCATENATE("#metadata!",ADDRESS(INDEX($M$2:$M$1001,MATCH(ROWS($K$2:K575),$K$2:$K$1001,0),0),1)),INDEX($P$2:$P$1001,MATCH(ROWS($K$2:K575),$K$2:$K$1001,0),0)))</f>
        <v>0</v>
      </c>
      <c r="B575" s="3">
        <f>IF(OR(INDEX($L$2:$L$1001,MATCH(ROWS($K$2:K575),$K$2:$K$1001,0),1)&gt;=100000,INDEX($R$1005:$W$1005,1,MATCH(COLUMNS($R$1006:R1006),$R$1006:$W$1006,0))&gt;=100000), " ",IF(INDEX($R$2:$W$1001,MATCH(ROWS($K$2:K575),$K$2:$K$1001,0),MATCH(COLUMNS($R$1006:R1006),$R$1006:$W$1006,0)), HYPERLINK("#",""), HYPERLINK(CONCATENATE("#Metadata!", ADDRESS(INDEX($M$2:$M$1001,MATCH(ROWS($K$2:K575),$K$2:$K$1001,0),0), INDEX($R$1004:$W$1004,1,MATCH(COLUMNS($R$1006:R1006),$R$1006:$W$1006,0)))),"Fix")))</f>
        <v>0</v>
      </c>
      <c r="C575" s="3">
        <f>IF(OR(INDEX($L$2:$L$1001,MATCH(ROWS($K$2:K575),$K$2:$K$1001,0),1)&gt;=100000,INDEX($R$1005:$W$1005,1,MATCH(COLUMNS($R$1006:S1006),$R$1006:$W$1006,0))&gt;=100000), " ",IF(INDEX($R$2:$W$1001,MATCH(ROWS($K$2:K575),$K$2:$K$1001,0),MATCH(COLUMNS($R$1006:S1006),$R$1006:$W$1006,0)), HYPERLINK("#",""), HYPERLINK(CONCATENATE("#Metadata!", ADDRESS(INDEX($M$2:$M$1001,MATCH(ROWS($K$2:K575),$K$2:$K$1001,0),0), INDEX($R$1004:$W$1004,1,MATCH(COLUMNS($R$1006:S1006),$R$1006:$W$1006,0)))),"Fix")))</f>
        <v>0</v>
      </c>
      <c r="D575" s="3">
        <f>IF(OR(INDEX($L$2:$L$1001,MATCH(ROWS($K$2:K575),$K$2:$K$1001,0),1)&gt;=100000,INDEX($R$1005:$W$1005,1,MATCH(COLUMNS($R$1006:T1006),$R$1006:$W$1006,0))&gt;=100000), " ",IF(INDEX($R$2:$W$1001,MATCH(ROWS($K$2:K575),$K$2:$K$1001,0),MATCH(COLUMNS($R$1006:T1006),$R$1006:$W$1006,0)), HYPERLINK("#",""), HYPERLINK(CONCATENATE("#Metadata!", ADDRESS(INDEX($M$2:$M$1001,MATCH(ROWS($K$2:K575),$K$2:$K$1001,0),0), INDEX($R$1004:$W$1004,1,MATCH(COLUMNS($R$1006:T1006),$R$1006:$W$1006,0)))),"Fix")))</f>
        <v>0</v>
      </c>
      <c r="E575" s="3">
        <f>IF(OR(INDEX($L$2:$L$1001,MATCH(ROWS($K$2:K575),$K$2:$K$1001,0),1)&gt;=100000,INDEX($R$1005:$W$1005,1,MATCH(COLUMNS($R$1006:U1006),$R$1006:$W$1006,0))&gt;=100000), " ",IF(INDEX($R$2:$W$1001,MATCH(ROWS($K$2:K575),$K$2:$K$1001,0),MATCH(COLUMNS($R$1006:U1006),$R$1006:$W$1006,0)), HYPERLINK("#",""), HYPERLINK(CONCATENATE("#Metadata!", ADDRESS(INDEX($M$2:$M$1001,MATCH(ROWS($K$2:K575),$K$2:$K$1001,0),0), INDEX($R$1004:$W$1004,1,MATCH(COLUMNS($R$1006:U1006),$R$1006:$W$1006,0)))),"Fix")))</f>
        <v>0</v>
      </c>
      <c r="F575" s="3">
        <f>IF(OR(INDEX($L$2:$L$1001,MATCH(ROWS($K$2:K575),$K$2:$K$1001,0),1)&gt;=100000,INDEX($R$1005:$W$1005,1,MATCH(COLUMNS($R$1006:V1006),$R$1006:$W$1006,0))&gt;=100000), " ",IF(INDEX($R$2:$W$1001,MATCH(ROWS($K$2:K575),$K$2:$K$1001,0),MATCH(COLUMNS($R$1006:V1006),$R$1006:$W$1006,0)), HYPERLINK("#",""), HYPERLINK(CONCATENATE("#Metadata!", ADDRESS(INDEX($M$2:$M$1001,MATCH(ROWS($K$2:K575),$K$2:$K$1001,0),0), INDEX($R$1004:$W$1004,1,MATCH(COLUMNS($R$1006:V1006),$R$1006:$W$1006,0)))),"Fix")))</f>
        <v>0</v>
      </c>
      <c r="G575" s="3">
        <f>IF(OR(INDEX($L$2:$L$1001,MATCH(ROWS($K$2:K575),$K$2:$K$1001,0),1)&gt;=100000,INDEX($R$1005:$W$1005,1,MATCH(COLUMNS($R$1006:W1006),$R$1006:$W$1006,0))&gt;=100000), " ",IF(INDEX($R$2:$W$1001,MATCH(ROWS($K$2:K575),$K$2:$K$1001,0),MATCH(COLUMNS($R$1006:W1006),$R$1006:$W$1006,0)), HYPERLINK("#",""), HYPERLINK(CONCATENATE("#Metadata!", ADDRESS(INDEX($M$2:$M$1001,MATCH(ROWS($K$2:K575),$K$2:$K$1001,0),0), INDEX($R$1004:$W$1004,1,MATCH(COLUMNS($R$1006:W1006),$R$1006:$W$1006,0)))),"Fix")))</f>
        <v>0</v>
      </c>
      <c r="K575">
        <v>0</v>
      </c>
      <c r="L575">
        <v>0</v>
      </c>
      <c r="M575">
        <v>0</v>
      </c>
      <c r="N575">
        <f>IF(O575,TRUE,AND(R575:W575))</f>
        <v>0</v>
      </c>
      <c r="O575">
        <f>COUNTBLANK(Metadata!B575:G575)=COLUMNS(Metadata!B575:G575)</f>
        <v>0</v>
      </c>
      <c r="P575">
        <v>0</v>
      </c>
      <c r="R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S575">
        <f>IF(Metadata!C575="",FALSE,TRUE)</f>
        <v>0</v>
      </c>
      <c r="T575">
        <f>IF(Metadata!D575="",FALSE,TRUE)</f>
        <v>0</v>
      </c>
      <c r="U575">
        <f>IF(Metadata!E575="",FALSE,TRUE)</f>
        <v>0</v>
      </c>
      <c r="V575">
        <f>AND(IF(Metadata!F575="",FALSE,TRUE),exact(Metadata!F575,"rat gut metagenome"))</f>
        <v>0</v>
      </c>
      <c r="W575">
        <f>AND(IF(Metadata!G575="",FALSE,TRUE),exact(Metadata!G575,"1436733"))</f>
        <v>0</v>
      </c>
    </row>
    <row r="576" spans="1:23">
      <c r="A576" s="4">
        <f>IF(B576=" "," ",HYPERLINK(CONCATENATE("#metadata!",ADDRESS(INDEX($M$2:$M$1001,MATCH(ROWS($K$2:K576),$K$2:$K$1001,0),0),1)),INDEX($P$2:$P$1001,MATCH(ROWS($K$2:K576),$K$2:$K$1001,0),0)))</f>
        <v>0</v>
      </c>
      <c r="B576" s="3">
        <f>IF(OR(INDEX($L$2:$L$1001,MATCH(ROWS($K$2:K576),$K$2:$K$1001,0),1)&gt;=100000,INDEX($R$1005:$W$1005,1,MATCH(COLUMNS($R$1006:R1006),$R$1006:$W$1006,0))&gt;=100000), " ",IF(INDEX($R$2:$W$1001,MATCH(ROWS($K$2:K576),$K$2:$K$1001,0),MATCH(COLUMNS($R$1006:R1006),$R$1006:$W$1006,0)), HYPERLINK("#",""), HYPERLINK(CONCATENATE("#Metadata!", ADDRESS(INDEX($M$2:$M$1001,MATCH(ROWS($K$2:K576),$K$2:$K$1001,0),0), INDEX($R$1004:$W$1004,1,MATCH(COLUMNS($R$1006:R1006),$R$1006:$W$1006,0)))),"Fix")))</f>
        <v>0</v>
      </c>
      <c r="C576" s="3">
        <f>IF(OR(INDEX($L$2:$L$1001,MATCH(ROWS($K$2:K576),$K$2:$K$1001,0),1)&gt;=100000,INDEX($R$1005:$W$1005,1,MATCH(COLUMNS($R$1006:S1006),$R$1006:$W$1006,0))&gt;=100000), " ",IF(INDEX($R$2:$W$1001,MATCH(ROWS($K$2:K576),$K$2:$K$1001,0),MATCH(COLUMNS($R$1006:S1006),$R$1006:$W$1006,0)), HYPERLINK("#",""), HYPERLINK(CONCATENATE("#Metadata!", ADDRESS(INDEX($M$2:$M$1001,MATCH(ROWS($K$2:K576),$K$2:$K$1001,0),0), INDEX($R$1004:$W$1004,1,MATCH(COLUMNS($R$1006:S1006),$R$1006:$W$1006,0)))),"Fix")))</f>
        <v>0</v>
      </c>
      <c r="D576" s="3">
        <f>IF(OR(INDEX($L$2:$L$1001,MATCH(ROWS($K$2:K576),$K$2:$K$1001,0),1)&gt;=100000,INDEX($R$1005:$W$1005,1,MATCH(COLUMNS($R$1006:T1006),$R$1006:$W$1006,0))&gt;=100000), " ",IF(INDEX($R$2:$W$1001,MATCH(ROWS($K$2:K576),$K$2:$K$1001,0),MATCH(COLUMNS($R$1006:T1006),$R$1006:$W$1006,0)), HYPERLINK("#",""), HYPERLINK(CONCATENATE("#Metadata!", ADDRESS(INDEX($M$2:$M$1001,MATCH(ROWS($K$2:K576),$K$2:$K$1001,0),0), INDEX($R$1004:$W$1004,1,MATCH(COLUMNS($R$1006:T1006),$R$1006:$W$1006,0)))),"Fix")))</f>
        <v>0</v>
      </c>
      <c r="E576" s="3">
        <f>IF(OR(INDEX($L$2:$L$1001,MATCH(ROWS($K$2:K576),$K$2:$K$1001,0),1)&gt;=100000,INDEX($R$1005:$W$1005,1,MATCH(COLUMNS($R$1006:U1006),$R$1006:$W$1006,0))&gt;=100000), " ",IF(INDEX($R$2:$W$1001,MATCH(ROWS($K$2:K576),$K$2:$K$1001,0),MATCH(COLUMNS($R$1006:U1006),$R$1006:$W$1006,0)), HYPERLINK("#",""), HYPERLINK(CONCATENATE("#Metadata!", ADDRESS(INDEX($M$2:$M$1001,MATCH(ROWS($K$2:K576),$K$2:$K$1001,0),0), INDEX($R$1004:$W$1004,1,MATCH(COLUMNS($R$1006:U1006),$R$1006:$W$1006,0)))),"Fix")))</f>
        <v>0</v>
      </c>
      <c r="F576" s="3">
        <f>IF(OR(INDEX($L$2:$L$1001,MATCH(ROWS($K$2:K576),$K$2:$K$1001,0),1)&gt;=100000,INDEX($R$1005:$W$1005,1,MATCH(COLUMNS($R$1006:V1006),$R$1006:$W$1006,0))&gt;=100000), " ",IF(INDEX($R$2:$W$1001,MATCH(ROWS($K$2:K576),$K$2:$K$1001,0),MATCH(COLUMNS($R$1006:V1006),$R$1006:$W$1006,0)), HYPERLINK("#",""), HYPERLINK(CONCATENATE("#Metadata!", ADDRESS(INDEX($M$2:$M$1001,MATCH(ROWS($K$2:K576),$K$2:$K$1001,0),0), INDEX($R$1004:$W$1004,1,MATCH(COLUMNS($R$1006:V1006),$R$1006:$W$1006,0)))),"Fix")))</f>
        <v>0</v>
      </c>
      <c r="G576" s="3">
        <f>IF(OR(INDEX($L$2:$L$1001,MATCH(ROWS($K$2:K576),$K$2:$K$1001,0),1)&gt;=100000,INDEX($R$1005:$W$1005,1,MATCH(COLUMNS($R$1006:W1006),$R$1006:$W$1006,0))&gt;=100000), " ",IF(INDEX($R$2:$W$1001,MATCH(ROWS($K$2:K576),$K$2:$K$1001,0),MATCH(COLUMNS($R$1006:W1006),$R$1006:$W$1006,0)), HYPERLINK("#",""), HYPERLINK(CONCATENATE("#Metadata!", ADDRESS(INDEX($M$2:$M$1001,MATCH(ROWS($K$2:K576),$K$2:$K$1001,0),0), INDEX($R$1004:$W$1004,1,MATCH(COLUMNS($R$1006:W1006),$R$1006:$W$1006,0)))),"Fix")))</f>
        <v>0</v>
      </c>
      <c r="K576">
        <v>0</v>
      </c>
      <c r="L576">
        <v>0</v>
      </c>
      <c r="M576">
        <v>0</v>
      </c>
      <c r="N576">
        <f>IF(O576,TRUE,AND(R576:W576))</f>
        <v>0</v>
      </c>
      <c r="O576">
        <f>COUNTBLANK(Metadata!B576:G576)=COLUMNS(Metadata!B576:G576)</f>
        <v>0</v>
      </c>
      <c r="P576">
        <v>0</v>
      </c>
      <c r="R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S576">
        <f>IF(Metadata!C576="",FALSE,TRUE)</f>
        <v>0</v>
      </c>
      <c r="T576">
        <f>IF(Metadata!D576="",FALSE,TRUE)</f>
        <v>0</v>
      </c>
      <c r="U576">
        <f>IF(Metadata!E576="",FALSE,TRUE)</f>
        <v>0</v>
      </c>
      <c r="V576">
        <f>AND(IF(Metadata!F576="",FALSE,TRUE),exact(Metadata!F576,"rat gut metagenome"))</f>
        <v>0</v>
      </c>
      <c r="W576">
        <f>AND(IF(Metadata!G576="",FALSE,TRUE),exact(Metadata!G576,"1436733"))</f>
        <v>0</v>
      </c>
    </row>
    <row r="577" spans="1:23">
      <c r="A577" s="4">
        <f>IF(B577=" "," ",HYPERLINK(CONCATENATE("#metadata!",ADDRESS(INDEX($M$2:$M$1001,MATCH(ROWS($K$2:K577),$K$2:$K$1001,0),0),1)),INDEX($P$2:$P$1001,MATCH(ROWS($K$2:K577),$K$2:$K$1001,0),0)))</f>
        <v>0</v>
      </c>
      <c r="B577" s="3">
        <f>IF(OR(INDEX($L$2:$L$1001,MATCH(ROWS($K$2:K577),$K$2:$K$1001,0),1)&gt;=100000,INDEX($R$1005:$W$1005,1,MATCH(COLUMNS($R$1006:R1006),$R$1006:$W$1006,0))&gt;=100000), " ",IF(INDEX($R$2:$W$1001,MATCH(ROWS($K$2:K577),$K$2:$K$1001,0),MATCH(COLUMNS($R$1006:R1006),$R$1006:$W$1006,0)), HYPERLINK("#",""), HYPERLINK(CONCATENATE("#Metadata!", ADDRESS(INDEX($M$2:$M$1001,MATCH(ROWS($K$2:K577),$K$2:$K$1001,0),0), INDEX($R$1004:$W$1004,1,MATCH(COLUMNS($R$1006:R1006),$R$1006:$W$1006,0)))),"Fix")))</f>
        <v>0</v>
      </c>
      <c r="C577" s="3">
        <f>IF(OR(INDEX($L$2:$L$1001,MATCH(ROWS($K$2:K577),$K$2:$K$1001,0),1)&gt;=100000,INDEX($R$1005:$W$1005,1,MATCH(COLUMNS($R$1006:S1006),$R$1006:$W$1006,0))&gt;=100000), " ",IF(INDEX($R$2:$W$1001,MATCH(ROWS($K$2:K577),$K$2:$K$1001,0),MATCH(COLUMNS($R$1006:S1006),$R$1006:$W$1006,0)), HYPERLINK("#",""), HYPERLINK(CONCATENATE("#Metadata!", ADDRESS(INDEX($M$2:$M$1001,MATCH(ROWS($K$2:K577),$K$2:$K$1001,0),0), INDEX($R$1004:$W$1004,1,MATCH(COLUMNS($R$1006:S1006),$R$1006:$W$1006,0)))),"Fix")))</f>
        <v>0</v>
      </c>
      <c r="D577" s="3">
        <f>IF(OR(INDEX($L$2:$L$1001,MATCH(ROWS($K$2:K577),$K$2:$K$1001,0),1)&gt;=100000,INDEX($R$1005:$W$1005,1,MATCH(COLUMNS($R$1006:T1006),$R$1006:$W$1006,0))&gt;=100000), " ",IF(INDEX($R$2:$W$1001,MATCH(ROWS($K$2:K577),$K$2:$K$1001,0),MATCH(COLUMNS($R$1006:T1006),$R$1006:$W$1006,0)), HYPERLINK("#",""), HYPERLINK(CONCATENATE("#Metadata!", ADDRESS(INDEX($M$2:$M$1001,MATCH(ROWS($K$2:K577),$K$2:$K$1001,0),0), INDEX($R$1004:$W$1004,1,MATCH(COLUMNS($R$1006:T1006),$R$1006:$W$1006,0)))),"Fix")))</f>
        <v>0</v>
      </c>
      <c r="E577" s="3">
        <f>IF(OR(INDEX($L$2:$L$1001,MATCH(ROWS($K$2:K577),$K$2:$K$1001,0),1)&gt;=100000,INDEX($R$1005:$W$1005,1,MATCH(COLUMNS($R$1006:U1006),$R$1006:$W$1006,0))&gt;=100000), " ",IF(INDEX($R$2:$W$1001,MATCH(ROWS($K$2:K577),$K$2:$K$1001,0),MATCH(COLUMNS($R$1006:U1006),$R$1006:$W$1006,0)), HYPERLINK("#",""), HYPERLINK(CONCATENATE("#Metadata!", ADDRESS(INDEX($M$2:$M$1001,MATCH(ROWS($K$2:K577),$K$2:$K$1001,0),0), INDEX($R$1004:$W$1004,1,MATCH(COLUMNS($R$1006:U1006),$R$1006:$W$1006,0)))),"Fix")))</f>
        <v>0</v>
      </c>
      <c r="F577" s="3">
        <f>IF(OR(INDEX($L$2:$L$1001,MATCH(ROWS($K$2:K577),$K$2:$K$1001,0),1)&gt;=100000,INDEX($R$1005:$W$1005,1,MATCH(COLUMNS($R$1006:V1006),$R$1006:$W$1006,0))&gt;=100000), " ",IF(INDEX($R$2:$W$1001,MATCH(ROWS($K$2:K577),$K$2:$K$1001,0),MATCH(COLUMNS($R$1006:V1006),$R$1006:$W$1006,0)), HYPERLINK("#",""), HYPERLINK(CONCATENATE("#Metadata!", ADDRESS(INDEX($M$2:$M$1001,MATCH(ROWS($K$2:K577),$K$2:$K$1001,0),0), INDEX($R$1004:$W$1004,1,MATCH(COLUMNS($R$1006:V1006),$R$1006:$W$1006,0)))),"Fix")))</f>
        <v>0</v>
      </c>
      <c r="G577" s="3">
        <f>IF(OR(INDEX($L$2:$L$1001,MATCH(ROWS($K$2:K577),$K$2:$K$1001,0),1)&gt;=100000,INDEX($R$1005:$W$1005,1,MATCH(COLUMNS($R$1006:W1006),$R$1006:$W$1006,0))&gt;=100000), " ",IF(INDEX($R$2:$W$1001,MATCH(ROWS($K$2:K577),$K$2:$K$1001,0),MATCH(COLUMNS($R$1006:W1006),$R$1006:$W$1006,0)), HYPERLINK("#",""), HYPERLINK(CONCATENATE("#Metadata!", ADDRESS(INDEX($M$2:$M$1001,MATCH(ROWS($K$2:K577),$K$2:$K$1001,0),0), INDEX($R$1004:$W$1004,1,MATCH(COLUMNS($R$1006:W1006),$R$1006:$W$1006,0)))),"Fix")))</f>
        <v>0</v>
      </c>
      <c r="K577">
        <v>0</v>
      </c>
      <c r="L577">
        <v>0</v>
      </c>
      <c r="M577">
        <v>0</v>
      </c>
      <c r="N577">
        <f>IF(O577,TRUE,AND(R577:W577))</f>
        <v>0</v>
      </c>
      <c r="O577">
        <f>COUNTBLANK(Metadata!B577:G577)=COLUMNS(Metadata!B577:G577)</f>
        <v>0</v>
      </c>
      <c r="P577">
        <v>0</v>
      </c>
      <c r="R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S577">
        <f>IF(Metadata!C577="",FALSE,TRUE)</f>
        <v>0</v>
      </c>
      <c r="T577">
        <f>IF(Metadata!D577="",FALSE,TRUE)</f>
        <v>0</v>
      </c>
      <c r="U577">
        <f>IF(Metadata!E577="",FALSE,TRUE)</f>
        <v>0</v>
      </c>
      <c r="V577">
        <f>AND(IF(Metadata!F577="",FALSE,TRUE),exact(Metadata!F577,"rat gut metagenome"))</f>
        <v>0</v>
      </c>
      <c r="W577">
        <f>AND(IF(Metadata!G577="",FALSE,TRUE),exact(Metadata!G577,"1436733"))</f>
        <v>0</v>
      </c>
    </row>
    <row r="578" spans="1:23">
      <c r="A578" s="4">
        <f>IF(B578=" "," ",HYPERLINK(CONCATENATE("#metadata!",ADDRESS(INDEX($M$2:$M$1001,MATCH(ROWS($K$2:K578),$K$2:$K$1001,0),0),1)),INDEX($P$2:$P$1001,MATCH(ROWS($K$2:K578),$K$2:$K$1001,0),0)))</f>
        <v>0</v>
      </c>
      <c r="B578" s="3">
        <f>IF(OR(INDEX($L$2:$L$1001,MATCH(ROWS($K$2:K578),$K$2:$K$1001,0),1)&gt;=100000,INDEX($R$1005:$W$1005,1,MATCH(COLUMNS($R$1006:R1006),$R$1006:$W$1006,0))&gt;=100000), " ",IF(INDEX($R$2:$W$1001,MATCH(ROWS($K$2:K578),$K$2:$K$1001,0),MATCH(COLUMNS($R$1006:R1006),$R$1006:$W$1006,0)), HYPERLINK("#",""), HYPERLINK(CONCATENATE("#Metadata!", ADDRESS(INDEX($M$2:$M$1001,MATCH(ROWS($K$2:K578),$K$2:$K$1001,0),0), INDEX($R$1004:$W$1004,1,MATCH(COLUMNS($R$1006:R1006),$R$1006:$W$1006,0)))),"Fix")))</f>
        <v>0</v>
      </c>
      <c r="C578" s="3">
        <f>IF(OR(INDEX($L$2:$L$1001,MATCH(ROWS($K$2:K578),$K$2:$K$1001,0),1)&gt;=100000,INDEX($R$1005:$W$1005,1,MATCH(COLUMNS($R$1006:S1006),$R$1006:$W$1006,0))&gt;=100000), " ",IF(INDEX($R$2:$W$1001,MATCH(ROWS($K$2:K578),$K$2:$K$1001,0),MATCH(COLUMNS($R$1006:S1006),$R$1006:$W$1006,0)), HYPERLINK("#",""), HYPERLINK(CONCATENATE("#Metadata!", ADDRESS(INDEX($M$2:$M$1001,MATCH(ROWS($K$2:K578),$K$2:$K$1001,0),0), INDEX($R$1004:$W$1004,1,MATCH(COLUMNS($R$1006:S1006),$R$1006:$W$1006,0)))),"Fix")))</f>
        <v>0</v>
      </c>
      <c r="D578" s="3">
        <f>IF(OR(INDEX($L$2:$L$1001,MATCH(ROWS($K$2:K578),$K$2:$K$1001,0),1)&gt;=100000,INDEX($R$1005:$W$1005,1,MATCH(COLUMNS($R$1006:T1006),$R$1006:$W$1006,0))&gt;=100000), " ",IF(INDEX($R$2:$W$1001,MATCH(ROWS($K$2:K578),$K$2:$K$1001,0),MATCH(COLUMNS($R$1006:T1006),$R$1006:$W$1006,0)), HYPERLINK("#",""), HYPERLINK(CONCATENATE("#Metadata!", ADDRESS(INDEX($M$2:$M$1001,MATCH(ROWS($K$2:K578),$K$2:$K$1001,0),0), INDEX($R$1004:$W$1004,1,MATCH(COLUMNS($R$1006:T1006),$R$1006:$W$1006,0)))),"Fix")))</f>
        <v>0</v>
      </c>
      <c r="E578" s="3">
        <f>IF(OR(INDEX($L$2:$L$1001,MATCH(ROWS($K$2:K578),$K$2:$K$1001,0),1)&gt;=100000,INDEX($R$1005:$W$1005,1,MATCH(COLUMNS($R$1006:U1006),$R$1006:$W$1006,0))&gt;=100000), " ",IF(INDEX($R$2:$W$1001,MATCH(ROWS($K$2:K578),$K$2:$K$1001,0),MATCH(COLUMNS($R$1006:U1006),$R$1006:$W$1006,0)), HYPERLINK("#",""), HYPERLINK(CONCATENATE("#Metadata!", ADDRESS(INDEX($M$2:$M$1001,MATCH(ROWS($K$2:K578),$K$2:$K$1001,0),0), INDEX($R$1004:$W$1004,1,MATCH(COLUMNS($R$1006:U1006),$R$1006:$W$1006,0)))),"Fix")))</f>
        <v>0</v>
      </c>
      <c r="F578" s="3">
        <f>IF(OR(INDEX($L$2:$L$1001,MATCH(ROWS($K$2:K578),$K$2:$K$1001,0),1)&gt;=100000,INDEX($R$1005:$W$1005,1,MATCH(COLUMNS($R$1006:V1006),$R$1006:$W$1006,0))&gt;=100000), " ",IF(INDEX($R$2:$W$1001,MATCH(ROWS($K$2:K578),$K$2:$K$1001,0),MATCH(COLUMNS($R$1006:V1006),$R$1006:$W$1006,0)), HYPERLINK("#",""), HYPERLINK(CONCATENATE("#Metadata!", ADDRESS(INDEX($M$2:$M$1001,MATCH(ROWS($K$2:K578),$K$2:$K$1001,0),0), INDEX($R$1004:$W$1004,1,MATCH(COLUMNS($R$1006:V1006),$R$1006:$W$1006,0)))),"Fix")))</f>
        <v>0</v>
      </c>
      <c r="G578" s="3">
        <f>IF(OR(INDEX($L$2:$L$1001,MATCH(ROWS($K$2:K578),$K$2:$K$1001,0),1)&gt;=100000,INDEX($R$1005:$W$1005,1,MATCH(COLUMNS($R$1006:W1006),$R$1006:$W$1006,0))&gt;=100000), " ",IF(INDEX($R$2:$W$1001,MATCH(ROWS($K$2:K578),$K$2:$K$1001,0),MATCH(COLUMNS($R$1006:W1006),$R$1006:$W$1006,0)), HYPERLINK("#",""), HYPERLINK(CONCATENATE("#Metadata!", ADDRESS(INDEX($M$2:$M$1001,MATCH(ROWS($K$2:K578),$K$2:$K$1001,0),0), INDEX($R$1004:$W$1004,1,MATCH(COLUMNS($R$1006:W1006),$R$1006:$W$1006,0)))),"Fix")))</f>
        <v>0</v>
      </c>
      <c r="K578">
        <v>0</v>
      </c>
      <c r="L578">
        <v>0</v>
      </c>
      <c r="M578">
        <v>0</v>
      </c>
      <c r="N578">
        <f>IF(O578,TRUE,AND(R578:W578))</f>
        <v>0</v>
      </c>
      <c r="O578">
        <f>COUNTBLANK(Metadata!B578:G578)=COLUMNS(Metadata!B578:G578)</f>
        <v>0</v>
      </c>
      <c r="P578">
        <v>0</v>
      </c>
      <c r="R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S578">
        <f>IF(Metadata!C578="",FALSE,TRUE)</f>
        <v>0</v>
      </c>
      <c r="T578">
        <f>IF(Metadata!D578="",FALSE,TRUE)</f>
        <v>0</v>
      </c>
      <c r="U578">
        <f>IF(Metadata!E578="",FALSE,TRUE)</f>
        <v>0</v>
      </c>
      <c r="V578">
        <f>AND(IF(Metadata!F578="",FALSE,TRUE),exact(Metadata!F578,"rat gut metagenome"))</f>
        <v>0</v>
      </c>
      <c r="W578">
        <f>AND(IF(Metadata!G578="",FALSE,TRUE),exact(Metadata!G578,"1436733"))</f>
        <v>0</v>
      </c>
    </row>
    <row r="579" spans="1:23">
      <c r="A579" s="4">
        <f>IF(B579=" "," ",HYPERLINK(CONCATENATE("#metadata!",ADDRESS(INDEX($M$2:$M$1001,MATCH(ROWS($K$2:K579),$K$2:$K$1001,0),0),1)),INDEX($P$2:$P$1001,MATCH(ROWS($K$2:K579),$K$2:$K$1001,0),0)))</f>
        <v>0</v>
      </c>
      <c r="B579" s="3">
        <f>IF(OR(INDEX($L$2:$L$1001,MATCH(ROWS($K$2:K579),$K$2:$K$1001,0),1)&gt;=100000,INDEX($R$1005:$W$1005,1,MATCH(COLUMNS($R$1006:R1006),$R$1006:$W$1006,0))&gt;=100000), " ",IF(INDEX($R$2:$W$1001,MATCH(ROWS($K$2:K579),$K$2:$K$1001,0),MATCH(COLUMNS($R$1006:R1006),$R$1006:$W$1006,0)), HYPERLINK("#",""), HYPERLINK(CONCATENATE("#Metadata!", ADDRESS(INDEX($M$2:$M$1001,MATCH(ROWS($K$2:K579),$K$2:$K$1001,0),0), INDEX($R$1004:$W$1004,1,MATCH(COLUMNS($R$1006:R1006),$R$1006:$W$1006,0)))),"Fix")))</f>
        <v>0</v>
      </c>
      <c r="C579" s="3">
        <f>IF(OR(INDEX($L$2:$L$1001,MATCH(ROWS($K$2:K579),$K$2:$K$1001,0),1)&gt;=100000,INDEX($R$1005:$W$1005,1,MATCH(COLUMNS($R$1006:S1006),$R$1006:$W$1006,0))&gt;=100000), " ",IF(INDEX($R$2:$W$1001,MATCH(ROWS($K$2:K579),$K$2:$K$1001,0),MATCH(COLUMNS($R$1006:S1006),$R$1006:$W$1006,0)), HYPERLINK("#",""), HYPERLINK(CONCATENATE("#Metadata!", ADDRESS(INDEX($M$2:$M$1001,MATCH(ROWS($K$2:K579),$K$2:$K$1001,0),0), INDEX($R$1004:$W$1004,1,MATCH(COLUMNS($R$1006:S1006),$R$1006:$W$1006,0)))),"Fix")))</f>
        <v>0</v>
      </c>
      <c r="D579" s="3">
        <f>IF(OR(INDEX($L$2:$L$1001,MATCH(ROWS($K$2:K579),$K$2:$K$1001,0),1)&gt;=100000,INDEX($R$1005:$W$1005,1,MATCH(COLUMNS($R$1006:T1006),$R$1006:$W$1006,0))&gt;=100000), " ",IF(INDEX($R$2:$W$1001,MATCH(ROWS($K$2:K579),$K$2:$K$1001,0),MATCH(COLUMNS($R$1006:T1006),$R$1006:$W$1006,0)), HYPERLINK("#",""), HYPERLINK(CONCATENATE("#Metadata!", ADDRESS(INDEX($M$2:$M$1001,MATCH(ROWS($K$2:K579),$K$2:$K$1001,0),0), INDEX($R$1004:$W$1004,1,MATCH(COLUMNS($R$1006:T1006),$R$1006:$W$1006,0)))),"Fix")))</f>
        <v>0</v>
      </c>
      <c r="E579" s="3">
        <f>IF(OR(INDEX($L$2:$L$1001,MATCH(ROWS($K$2:K579),$K$2:$K$1001,0),1)&gt;=100000,INDEX($R$1005:$W$1005,1,MATCH(COLUMNS($R$1006:U1006),$R$1006:$W$1006,0))&gt;=100000), " ",IF(INDEX($R$2:$W$1001,MATCH(ROWS($K$2:K579),$K$2:$K$1001,0),MATCH(COLUMNS($R$1006:U1006),$R$1006:$W$1006,0)), HYPERLINK("#",""), HYPERLINK(CONCATENATE("#Metadata!", ADDRESS(INDEX($M$2:$M$1001,MATCH(ROWS($K$2:K579),$K$2:$K$1001,0),0), INDEX($R$1004:$W$1004,1,MATCH(COLUMNS($R$1006:U1006),$R$1006:$W$1006,0)))),"Fix")))</f>
        <v>0</v>
      </c>
      <c r="F579" s="3">
        <f>IF(OR(INDEX($L$2:$L$1001,MATCH(ROWS($K$2:K579),$K$2:$K$1001,0),1)&gt;=100000,INDEX($R$1005:$W$1005,1,MATCH(COLUMNS($R$1006:V1006),$R$1006:$W$1006,0))&gt;=100000), " ",IF(INDEX($R$2:$W$1001,MATCH(ROWS($K$2:K579),$K$2:$K$1001,0),MATCH(COLUMNS($R$1006:V1006),$R$1006:$W$1006,0)), HYPERLINK("#",""), HYPERLINK(CONCATENATE("#Metadata!", ADDRESS(INDEX($M$2:$M$1001,MATCH(ROWS($K$2:K579),$K$2:$K$1001,0),0), INDEX($R$1004:$W$1004,1,MATCH(COLUMNS($R$1006:V1006),$R$1006:$W$1006,0)))),"Fix")))</f>
        <v>0</v>
      </c>
      <c r="G579" s="3">
        <f>IF(OR(INDEX($L$2:$L$1001,MATCH(ROWS($K$2:K579),$K$2:$K$1001,0),1)&gt;=100000,INDEX($R$1005:$W$1005,1,MATCH(COLUMNS($R$1006:W1006),$R$1006:$W$1006,0))&gt;=100000), " ",IF(INDEX($R$2:$W$1001,MATCH(ROWS($K$2:K579),$K$2:$K$1001,0),MATCH(COLUMNS($R$1006:W1006),$R$1006:$W$1006,0)), HYPERLINK("#",""), HYPERLINK(CONCATENATE("#Metadata!", ADDRESS(INDEX($M$2:$M$1001,MATCH(ROWS($K$2:K579),$K$2:$K$1001,0),0), INDEX($R$1004:$W$1004,1,MATCH(COLUMNS($R$1006:W1006),$R$1006:$W$1006,0)))),"Fix")))</f>
        <v>0</v>
      </c>
      <c r="K579">
        <v>0</v>
      </c>
      <c r="L579">
        <v>0</v>
      </c>
      <c r="M579">
        <v>0</v>
      </c>
      <c r="N579">
        <f>IF(O579,TRUE,AND(R579:W579))</f>
        <v>0</v>
      </c>
      <c r="O579">
        <f>COUNTBLANK(Metadata!B579:G579)=COLUMNS(Metadata!B579:G579)</f>
        <v>0</v>
      </c>
      <c r="P579">
        <v>0</v>
      </c>
      <c r="R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S579">
        <f>IF(Metadata!C579="",FALSE,TRUE)</f>
        <v>0</v>
      </c>
      <c r="T579">
        <f>IF(Metadata!D579="",FALSE,TRUE)</f>
        <v>0</v>
      </c>
      <c r="U579">
        <f>IF(Metadata!E579="",FALSE,TRUE)</f>
        <v>0</v>
      </c>
      <c r="V579">
        <f>AND(IF(Metadata!F579="",FALSE,TRUE),exact(Metadata!F579,"rat gut metagenome"))</f>
        <v>0</v>
      </c>
      <c r="W579">
        <f>AND(IF(Metadata!G579="",FALSE,TRUE),exact(Metadata!G579,"1436733"))</f>
        <v>0</v>
      </c>
    </row>
    <row r="580" spans="1:23">
      <c r="A580" s="4">
        <f>IF(B580=" "," ",HYPERLINK(CONCATENATE("#metadata!",ADDRESS(INDEX($M$2:$M$1001,MATCH(ROWS($K$2:K580),$K$2:$K$1001,0),0),1)),INDEX($P$2:$P$1001,MATCH(ROWS($K$2:K580),$K$2:$K$1001,0),0)))</f>
        <v>0</v>
      </c>
      <c r="B580" s="3">
        <f>IF(OR(INDEX($L$2:$L$1001,MATCH(ROWS($K$2:K580),$K$2:$K$1001,0),1)&gt;=100000,INDEX($R$1005:$W$1005,1,MATCH(COLUMNS($R$1006:R1006),$R$1006:$W$1006,0))&gt;=100000), " ",IF(INDEX($R$2:$W$1001,MATCH(ROWS($K$2:K580),$K$2:$K$1001,0),MATCH(COLUMNS($R$1006:R1006),$R$1006:$W$1006,0)), HYPERLINK("#",""), HYPERLINK(CONCATENATE("#Metadata!", ADDRESS(INDEX($M$2:$M$1001,MATCH(ROWS($K$2:K580),$K$2:$K$1001,0),0), INDEX($R$1004:$W$1004,1,MATCH(COLUMNS($R$1006:R1006),$R$1006:$W$1006,0)))),"Fix")))</f>
        <v>0</v>
      </c>
      <c r="C580" s="3">
        <f>IF(OR(INDEX($L$2:$L$1001,MATCH(ROWS($K$2:K580),$K$2:$K$1001,0),1)&gt;=100000,INDEX($R$1005:$W$1005,1,MATCH(COLUMNS($R$1006:S1006),$R$1006:$W$1006,0))&gt;=100000), " ",IF(INDEX($R$2:$W$1001,MATCH(ROWS($K$2:K580),$K$2:$K$1001,0),MATCH(COLUMNS($R$1006:S1006),$R$1006:$W$1006,0)), HYPERLINK("#",""), HYPERLINK(CONCATENATE("#Metadata!", ADDRESS(INDEX($M$2:$M$1001,MATCH(ROWS($K$2:K580),$K$2:$K$1001,0),0), INDEX($R$1004:$W$1004,1,MATCH(COLUMNS($R$1006:S1006),$R$1006:$W$1006,0)))),"Fix")))</f>
        <v>0</v>
      </c>
      <c r="D580" s="3">
        <f>IF(OR(INDEX($L$2:$L$1001,MATCH(ROWS($K$2:K580),$K$2:$K$1001,0),1)&gt;=100000,INDEX($R$1005:$W$1005,1,MATCH(COLUMNS($R$1006:T1006),$R$1006:$W$1006,0))&gt;=100000), " ",IF(INDEX($R$2:$W$1001,MATCH(ROWS($K$2:K580),$K$2:$K$1001,0),MATCH(COLUMNS($R$1006:T1006),$R$1006:$W$1006,0)), HYPERLINK("#",""), HYPERLINK(CONCATENATE("#Metadata!", ADDRESS(INDEX($M$2:$M$1001,MATCH(ROWS($K$2:K580),$K$2:$K$1001,0),0), INDEX($R$1004:$W$1004,1,MATCH(COLUMNS($R$1006:T1006),$R$1006:$W$1006,0)))),"Fix")))</f>
        <v>0</v>
      </c>
      <c r="E580" s="3">
        <f>IF(OR(INDEX($L$2:$L$1001,MATCH(ROWS($K$2:K580),$K$2:$K$1001,0),1)&gt;=100000,INDEX($R$1005:$W$1005,1,MATCH(COLUMNS($R$1006:U1006),$R$1006:$W$1006,0))&gt;=100000), " ",IF(INDEX($R$2:$W$1001,MATCH(ROWS($K$2:K580),$K$2:$K$1001,0),MATCH(COLUMNS($R$1006:U1006),$R$1006:$W$1006,0)), HYPERLINK("#",""), HYPERLINK(CONCATENATE("#Metadata!", ADDRESS(INDEX($M$2:$M$1001,MATCH(ROWS($K$2:K580),$K$2:$K$1001,0),0), INDEX($R$1004:$W$1004,1,MATCH(COLUMNS($R$1006:U1006),$R$1006:$W$1006,0)))),"Fix")))</f>
        <v>0</v>
      </c>
      <c r="F580" s="3">
        <f>IF(OR(INDEX($L$2:$L$1001,MATCH(ROWS($K$2:K580),$K$2:$K$1001,0),1)&gt;=100000,INDEX($R$1005:$W$1005,1,MATCH(COLUMNS($R$1006:V1006),$R$1006:$W$1006,0))&gt;=100000), " ",IF(INDEX($R$2:$W$1001,MATCH(ROWS($K$2:K580),$K$2:$K$1001,0),MATCH(COLUMNS($R$1006:V1006),$R$1006:$W$1006,0)), HYPERLINK("#",""), HYPERLINK(CONCATENATE("#Metadata!", ADDRESS(INDEX($M$2:$M$1001,MATCH(ROWS($K$2:K580),$K$2:$K$1001,0),0), INDEX($R$1004:$W$1004,1,MATCH(COLUMNS($R$1006:V1006),$R$1006:$W$1006,0)))),"Fix")))</f>
        <v>0</v>
      </c>
      <c r="G580" s="3">
        <f>IF(OR(INDEX($L$2:$L$1001,MATCH(ROWS($K$2:K580),$K$2:$K$1001,0),1)&gt;=100000,INDEX($R$1005:$W$1005,1,MATCH(COLUMNS($R$1006:W1006),$R$1006:$W$1006,0))&gt;=100000), " ",IF(INDEX($R$2:$W$1001,MATCH(ROWS($K$2:K580),$K$2:$K$1001,0),MATCH(COLUMNS($R$1006:W1006),$R$1006:$W$1006,0)), HYPERLINK("#",""), HYPERLINK(CONCATENATE("#Metadata!", ADDRESS(INDEX($M$2:$M$1001,MATCH(ROWS($K$2:K580),$K$2:$K$1001,0),0), INDEX($R$1004:$W$1004,1,MATCH(COLUMNS($R$1006:W1006),$R$1006:$W$1006,0)))),"Fix")))</f>
        <v>0</v>
      </c>
      <c r="K580">
        <v>0</v>
      </c>
      <c r="L580">
        <v>0</v>
      </c>
      <c r="M580">
        <v>0</v>
      </c>
      <c r="N580">
        <f>IF(O580,TRUE,AND(R580:W580))</f>
        <v>0</v>
      </c>
      <c r="O580">
        <f>COUNTBLANK(Metadata!B580:G580)=COLUMNS(Metadata!B580:G580)</f>
        <v>0</v>
      </c>
      <c r="P580">
        <v>0</v>
      </c>
      <c r="R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S580">
        <f>IF(Metadata!C580="",FALSE,TRUE)</f>
        <v>0</v>
      </c>
      <c r="T580">
        <f>IF(Metadata!D580="",FALSE,TRUE)</f>
        <v>0</v>
      </c>
      <c r="U580">
        <f>IF(Metadata!E580="",FALSE,TRUE)</f>
        <v>0</v>
      </c>
      <c r="V580">
        <f>AND(IF(Metadata!F580="",FALSE,TRUE),exact(Metadata!F580,"rat gut metagenome"))</f>
        <v>0</v>
      </c>
      <c r="W580">
        <f>AND(IF(Metadata!G580="",FALSE,TRUE),exact(Metadata!G580,"1436733"))</f>
        <v>0</v>
      </c>
    </row>
    <row r="581" spans="1:23">
      <c r="A581" s="4">
        <f>IF(B581=" "," ",HYPERLINK(CONCATENATE("#metadata!",ADDRESS(INDEX($M$2:$M$1001,MATCH(ROWS($K$2:K581),$K$2:$K$1001,0),0),1)),INDEX($P$2:$P$1001,MATCH(ROWS($K$2:K581),$K$2:$K$1001,0),0)))</f>
        <v>0</v>
      </c>
      <c r="B581" s="3">
        <f>IF(OR(INDEX($L$2:$L$1001,MATCH(ROWS($K$2:K581),$K$2:$K$1001,0),1)&gt;=100000,INDEX($R$1005:$W$1005,1,MATCH(COLUMNS($R$1006:R1006),$R$1006:$W$1006,0))&gt;=100000), " ",IF(INDEX($R$2:$W$1001,MATCH(ROWS($K$2:K581),$K$2:$K$1001,0),MATCH(COLUMNS($R$1006:R1006),$R$1006:$W$1006,0)), HYPERLINK("#",""), HYPERLINK(CONCATENATE("#Metadata!", ADDRESS(INDEX($M$2:$M$1001,MATCH(ROWS($K$2:K581),$K$2:$K$1001,0),0), INDEX($R$1004:$W$1004,1,MATCH(COLUMNS($R$1006:R1006),$R$1006:$W$1006,0)))),"Fix")))</f>
        <v>0</v>
      </c>
      <c r="C581" s="3">
        <f>IF(OR(INDEX($L$2:$L$1001,MATCH(ROWS($K$2:K581),$K$2:$K$1001,0),1)&gt;=100000,INDEX($R$1005:$W$1005,1,MATCH(COLUMNS($R$1006:S1006),$R$1006:$W$1006,0))&gt;=100000), " ",IF(INDEX($R$2:$W$1001,MATCH(ROWS($K$2:K581),$K$2:$K$1001,0),MATCH(COLUMNS($R$1006:S1006),$R$1006:$W$1006,0)), HYPERLINK("#",""), HYPERLINK(CONCATENATE("#Metadata!", ADDRESS(INDEX($M$2:$M$1001,MATCH(ROWS($K$2:K581),$K$2:$K$1001,0),0), INDEX($R$1004:$W$1004,1,MATCH(COLUMNS($R$1006:S1006),$R$1006:$W$1006,0)))),"Fix")))</f>
        <v>0</v>
      </c>
      <c r="D581" s="3">
        <f>IF(OR(INDEX($L$2:$L$1001,MATCH(ROWS($K$2:K581),$K$2:$K$1001,0),1)&gt;=100000,INDEX($R$1005:$W$1005,1,MATCH(COLUMNS($R$1006:T1006),$R$1006:$W$1006,0))&gt;=100000), " ",IF(INDEX($R$2:$W$1001,MATCH(ROWS($K$2:K581),$K$2:$K$1001,0),MATCH(COLUMNS($R$1006:T1006),$R$1006:$W$1006,0)), HYPERLINK("#",""), HYPERLINK(CONCATENATE("#Metadata!", ADDRESS(INDEX($M$2:$M$1001,MATCH(ROWS($K$2:K581),$K$2:$K$1001,0),0), INDEX($R$1004:$W$1004,1,MATCH(COLUMNS($R$1006:T1006),$R$1006:$W$1006,0)))),"Fix")))</f>
        <v>0</v>
      </c>
      <c r="E581" s="3">
        <f>IF(OR(INDEX($L$2:$L$1001,MATCH(ROWS($K$2:K581),$K$2:$K$1001,0),1)&gt;=100000,INDEX($R$1005:$W$1005,1,MATCH(COLUMNS($R$1006:U1006),$R$1006:$W$1006,0))&gt;=100000), " ",IF(INDEX($R$2:$W$1001,MATCH(ROWS($K$2:K581),$K$2:$K$1001,0),MATCH(COLUMNS($R$1006:U1006),$R$1006:$W$1006,0)), HYPERLINK("#",""), HYPERLINK(CONCATENATE("#Metadata!", ADDRESS(INDEX($M$2:$M$1001,MATCH(ROWS($K$2:K581),$K$2:$K$1001,0),0), INDEX($R$1004:$W$1004,1,MATCH(COLUMNS($R$1006:U1006),$R$1006:$W$1006,0)))),"Fix")))</f>
        <v>0</v>
      </c>
      <c r="F581" s="3">
        <f>IF(OR(INDEX($L$2:$L$1001,MATCH(ROWS($K$2:K581),$K$2:$K$1001,0),1)&gt;=100000,INDEX($R$1005:$W$1005,1,MATCH(COLUMNS($R$1006:V1006),$R$1006:$W$1006,0))&gt;=100000), " ",IF(INDEX($R$2:$W$1001,MATCH(ROWS($K$2:K581),$K$2:$K$1001,0),MATCH(COLUMNS($R$1006:V1006),$R$1006:$W$1006,0)), HYPERLINK("#",""), HYPERLINK(CONCATENATE("#Metadata!", ADDRESS(INDEX($M$2:$M$1001,MATCH(ROWS($K$2:K581),$K$2:$K$1001,0),0), INDEX($R$1004:$W$1004,1,MATCH(COLUMNS($R$1006:V1006),$R$1006:$W$1006,0)))),"Fix")))</f>
        <v>0</v>
      </c>
      <c r="G581" s="3">
        <f>IF(OR(INDEX($L$2:$L$1001,MATCH(ROWS($K$2:K581),$K$2:$K$1001,0),1)&gt;=100000,INDEX($R$1005:$W$1005,1,MATCH(COLUMNS($R$1006:W1006),$R$1006:$W$1006,0))&gt;=100000), " ",IF(INDEX($R$2:$W$1001,MATCH(ROWS($K$2:K581),$K$2:$K$1001,0),MATCH(COLUMNS($R$1006:W1006),$R$1006:$W$1006,0)), HYPERLINK("#",""), HYPERLINK(CONCATENATE("#Metadata!", ADDRESS(INDEX($M$2:$M$1001,MATCH(ROWS($K$2:K581),$K$2:$K$1001,0),0), INDEX($R$1004:$W$1004,1,MATCH(COLUMNS($R$1006:W1006),$R$1006:$W$1006,0)))),"Fix")))</f>
        <v>0</v>
      </c>
      <c r="K581">
        <v>0</v>
      </c>
      <c r="L581">
        <v>0</v>
      </c>
      <c r="M581">
        <v>0</v>
      </c>
      <c r="N581">
        <f>IF(O581,TRUE,AND(R581:W581))</f>
        <v>0</v>
      </c>
      <c r="O581">
        <f>COUNTBLANK(Metadata!B581:G581)=COLUMNS(Metadata!B581:G581)</f>
        <v>0</v>
      </c>
      <c r="P581">
        <v>0</v>
      </c>
      <c r="R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S581">
        <f>IF(Metadata!C581="",FALSE,TRUE)</f>
        <v>0</v>
      </c>
      <c r="T581">
        <f>IF(Metadata!D581="",FALSE,TRUE)</f>
        <v>0</v>
      </c>
      <c r="U581">
        <f>IF(Metadata!E581="",FALSE,TRUE)</f>
        <v>0</v>
      </c>
      <c r="V581">
        <f>AND(IF(Metadata!F581="",FALSE,TRUE),exact(Metadata!F581,"rat gut metagenome"))</f>
        <v>0</v>
      </c>
      <c r="W581">
        <f>AND(IF(Metadata!G581="",FALSE,TRUE),exact(Metadata!G581,"1436733"))</f>
        <v>0</v>
      </c>
    </row>
    <row r="582" spans="1:23">
      <c r="A582" s="4">
        <f>IF(B582=" "," ",HYPERLINK(CONCATENATE("#metadata!",ADDRESS(INDEX($M$2:$M$1001,MATCH(ROWS($K$2:K582),$K$2:$K$1001,0),0),1)),INDEX($P$2:$P$1001,MATCH(ROWS($K$2:K582),$K$2:$K$1001,0),0)))</f>
        <v>0</v>
      </c>
      <c r="B582" s="3">
        <f>IF(OR(INDEX($L$2:$L$1001,MATCH(ROWS($K$2:K582),$K$2:$K$1001,0),1)&gt;=100000,INDEX($R$1005:$W$1005,1,MATCH(COLUMNS($R$1006:R1006),$R$1006:$W$1006,0))&gt;=100000), " ",IF(INDEX($R$2:$W$1001,MATCH(ROWS($K$2:K582),$K$2:$K$1001,0),MATCH(COLUMNS($R$1006:R1006),$R$1006:$W$1006,0)), HYPERLINK("#",""), HYPERLINK(CONCATENATE("#Metadata!", ADDRESS(INDEX($M$2:$M$1001,MATCH(ROWS($K$2:K582),$K$2:$K$1001,0),0), INDEX($R$1004:$W$1004,1,MATCH(COLUMNS($R$1006:R1006),$R$1006:$W$1006,0)))),"Fix")))</f>
        <v>0</v>
      </c>
      <c r="C582" s="3">
        <f>IF(OR(INDEX($L$2:$L$1001,MATCH(ROWS($K$2:K582),$K$2:$K$1001,0),1)&gt;=100000,INDEX($R$1005:$W$1005,1,MATCH(COLUMNS($R$1006:S1006),$R$1006:$W$1006,0))&gt;=100000), " ",IF(INDEX($R$2:$W$1001,MATCH(ROWS($K$2:K582),$K$2:$K$1001,0),MATCH(COLUMNS($R$1006:S1006),$R$1006:$W$1006,0)), HYPERLINK("#",""), HYPERLINK(CONCATENATE("#Metadata!", ADDRESS(INDEX($M$2:$M$1001,MATCH(ROWS($K$2:K582),$K$2:$K$1001,0),0), INDEX($R$1004:$W$1004,1,MATCH(COLUMNS($R$1006:S1006),$R$1006:$W$1006,0)))),"Fix")))</f>
        <v>0</v>
      </c>
      <c r="D582" s="3">
        <f>IF(OR(INDEX($L$2:$L$1001,MATCH(ROWS($K$2:K582),$K$2:$K$1001,0),1)&gt;=100000,INDEX($R$1005:$W$1005,1,MATCH(COLUMNS($R$1006:T1006),$R$1006:$W$1006,0))&gt;=100000), " ",IF(INDEX($R$2:$W$1001,MATCH(ROWS($K$2:K582),$K$2:$K$1001,0),MATCH(COLUMNS($R$1006:T1006),$R$1006:$W$1006,0)), HYPERLINK("#",""), HYPERLINK(CONCATENATE("#Metadata!", ADDRESS(INDEX($M$2:$M$1001,MATCH(ROWS($K$2:K582),$K$2:$K$1001,0),0), INDEX($R$1004:$W$1004,1,MATCH(COLUMNS($R$1006:T1006),$R$1006:$W$1006,0)))),"Fix")))</f>
        <v>0</v>
      </c>
      <c r="E582" s="3">
        <f>IF(OR(INDEX($L$2:$L$1001,MATCH(ROWS($K$2:K582),$K$2:$K$1001,0),1)&gt;=100000,INDEX($R$1005:$W$1005,1,MATCH(COLUMNS($R$1006:U1006),$R$1006:$W$1006,0))&gt;=100000), " ",IF(INDEX($R$2:$W$1001,MATCH(ROWS($K$2:K582),$K$2:$K$1001,0),MATCH(COLUMNS($R$1006:U1006),$R$1006:$W$1006,0)), HYPERLINK("#",""), HYPERLINK(CONCATENATE("#Metadata!", ADDRESS(INDEX($M$2:$M$1001,MATCH(ROWS($K$2:K582),$K$2:$K$1001,0),0), INDEX($R$1004:$W$1004,1,MATCH(COLUMNS($R$1006:U1006),$R$1006:$W$1006,0)))),"Fix")))</f>
        <v>0</v>
      </c>
      <c r="F582" s="3">
        <f>IF(OR(INDEX($L$2:$L$1001,MATCH(ROWS($K$2:K582),$K$2:$K$1001,0),1)&gt;=100000,INDEX($R$1005:$W$1005,1,MATCH(COLUMNS($R$1006:V1006),$R$1006:$W$1006,0))&gt;=100000), " ",IF(INDEX($R$2:$W$1001,MATCH(ROWS($K$2:K582),$K$2:$K$1001,0),MATCH(COLUMNS($R$1006:V1006),$R$1006:$W$1006,0)), HYPERLINK("#",""), HYPERLINK(CONCATENATE("#Metadata!", ADDRESS(INDEX($M$2:$M$1001,MATCH(ROWS($K$2:K582),$K$2:$K$1001,0),0), INDEX($R$1004:$W$1004,1,MATCH(COLUMNS($R$1006:V1006),$R$1006:$W$1006,0)))),"Fix")))</f>
        <v>0</v>
      </c>
      <c r="G582" s="3">
        <f>IF(OR(INDEX($L$2:$L$1001,MATCH(ROWS($K$2:K582),$K$2:$K$1001,0),1)&gt;=100000,INDEX($R$1005:$W$1005,1,MATCH(COLUMNS($R$1006:W1006),$R$1006:$W$1006,0))&gt;=100000), " ",IF(INDEX($R$2:$W$1001,MATCH(ROWS($K$2:K582),$K$2:$K$1001,0),MATCH(COLUMNS($R$1006:W1006),$R$1006:$W$1006,0)), HYPERLINK("#",""), HYPERLINK(CONCATENATE("#Metadata!", ADDRESS(INDEX($M$2:$M$1001,MATCH(ROWS($K$2:K582),$K$2:$K$1001,0),0), INDEX($R$1004:$W$1004,1,MATCH(COLUMNS($R$1006:W1006),$R$1006:$W$1006,0)))),"Fix")))</f>
        <v>0</v>
      </c>
      <c r="K582">
        <v>0</v>
      </c>
      <c r="L582">
        <v>0</v>
      </c>
      <c r="M582">
        <v>0</v>
      </c>
      <c r="N582">
        <f>IF(O582,TRUE,AND(R582:W582))</f>
        <v>0</v>
      </c>
      <c r="O582">
        <f>COUNTBLANK(Metadata!B582:G582)=COLUMNS(Metadata!B582:G582)</f>
        <v>0</v>
      </c>
      <c r="P582">
        <v>0</v>
      </c>
      <c r="R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S582">
        <f>IF(Metadata!C582="",FALSE,TRUE)</f>
        <v>0</v>
      </c>
      <c r="T582">
        <f>IF(Metadata!D582="",FALSE,TRUE)</f>
        <v>0</v>
      </c>
      <c r="U582">
        <f>IF(Metadata!E582="",FALSE,TRUE)</f>
        <v>0</v>
      </c>
      <c r="V582">
        <f>AND(IF(Metadata!F582="",FALSE,TRUE),exact(Metadata!F582,"rat gut metagenome"))</f>
        <v>0</v>
      </c>
      <c r="W582">
        <f>AND(IF(Metadata!G582="",FALSE,TRUE),exact(Metadata!G582,"1436733"))</f>
        <v>0</v>
      </c>
    </row>
    <row r="583" spans="1:23">
      <c r="A583" s="4">
        <f>IF(B583=" "," ",HYPERLINK(CONCATENATE("#metadata!",ADDRESS(INDEX($M$2:$M$1001,MATCH(ROWS($K$2:K583),$K$2:$K$1001,0),0),1)),INDEX($P$2:$P$1001,MATCH(ROWS($K$2:K583),$K$2:$K$1001,0),0)))</f>
        <v>0</v>
      </c>
      <c r="B583" s="3">
        <f>IF(OR(INDEX($L$2:$L$1001,MATCH(ROWS($K$2:K583),$K$2:$K$1001,0),1)&gt;=100000,INDEX($R$1005:$W$1005,1,MATCH(COLUMNS($R$1006:R1006),$R$1006:$W$1006,0))&gt;=100000), " ",IF(INDEX($R$2:$W$1001,MATCH(ROWS($K$2:K583),$K$2:$K$1001,0),MATCH(COLUMNS($R$1006:R1006),$R$1006:$W$1006,0)), HYPERLINK("#",""), HYPERLINK(CONCATENATE("#Metadata!", ADDRESS(INDEX($M$2:$M$1001,MATCH(ROWS($K$2:K583),$K$2:$K$1001,0),0), INDEX($R$1004:$W$1004,1,MATCH(COLUMNS($R$1006:R1006),$R$1006:$W$1006,0)))),"Fix")))</f>
        <v>0</v>
      </c>
      <c r="C583" s="3">
        <f>IF(OR(INDEX($L$2:$L$1001,MATCH(ROWS($K$2:K583),$K$2:$K$1001,0),1)&gt;=100000,INDEX($R$1005:$W$1005,1,MATCH(COLUMNS($R$1006:S1006),$R$1006:$W$1006,0))&gt;=100000), " ",IF(INDEX($R$2:$W$1001,MATCH(ROWS($K$2:K583),$K$2:$K$1001,0),MATCH(COLUMNS($R$1006:S1006),$R$1006:$W$1006,0)), HYPERLINK("#",""), HYPERLINK(CONCATENATE("#Metadata!", ADDRESS(INDEX($M$2:$M$1001,MATCH(ROWS($K$2:K583),$K$2:$K$1001,0),0), INDEX($R$1004:$W$1004,1,MATCH(COLUMNS($R$1006:S1006),$R$1006:$W$1006,0)))),"Fix")))</f>
        <v>0</v>
      </c>
      <c r="D583" s="3">
        <f>IF(OR(INDEX($L$2:$L$1001,MATCH(ROWS($K$2:K583),$K$2:$K$1001,0),1)&gt;=100000,INDEX($R$1005:$W$1005,1,MATCH(COLUMNS($R$1006:T1006),$R$1006:$W$1006,0))&gt;=100000), " ",IF(INDEX($R$2:$W$1001,MATCH(ROWS($K$2:K583),$K$2:$K$1001,0),MATCH(COLUMNS($R$1006:T1006),$R$1006:$W$1006,0)), HYPERLINK("#",""), HYPERLINK(CONCATENATE("#Metadata!", ADDRESS(INDEX($M$2:$M$1001,MATCH(ROWS($K$2:K583),$K$2:$K$1001,0),0), INDEX($R$1004:$W$1004,1,MATCH(COLUMNS($R$1006:T1006),$R$1006:$W$1006,0)))),"Fix")))</f>
        <v>0</v>
      </c>
      <c r="E583" s="3">
        <f>IF(OR(INDEX($L$2:$L$1001,MATCH(ROWS($K$2:K583),$K$2:$K$1001,0),1)&gt;=100000,INDEX($R$1005:$W$1005,1,MATCH(COLUMNS($R$1006:U1006),$R$1006:$W$1006,0))&gt;=100000), " ",IF(INDEX($R$2:$W$1001,MATCH(ROWS($K$2:K583),$K$2:$K$1001,0),MATCH(COLUMNS($R$1006:U1006),$R$1006:$W$1006,0)), HYPERLINK("#",""), HYPERLINK(CONCATENATE("#Metadata!", ADDRESS(INDEX($M$2:$M$1001,MATCH(ROWS($K$2:K583),$K$2:$K$1001,0),0), INDEX($R$1004:$W$1004,1,MATCH(COLUMNS($R$1006:U1006),$R$1006:$W$1006,0)))),"Fix")))</f>
        <v>0</v>
      </c>
      <c r="F583" s="3">
        <f>IF(OR(INDEX($L$2:$L$1001,MATCH(ROWS($K$2:K583),$K$2:$K$1001,0),1)&gt;=100000,INDEX($R$1005:$W$1005,1,MATCH(COLUMNS($R$1006:V1006),$R$1006:$W$1006,0))&gt;=100000), " ",IF(INDEX($R$2:$W$1001,MATCH(ROWS($K$2:K583),$K$2:$K$1001,0),MATCH(COLUMNS($R$1006:V1006),$R$1006:$W$1006,0)), HYPERLINK("#",""), HYPERLINK(CONCATENATE("#Metadata!", ADDRESS(INDEX($M$2:$M$1001,MATCH(ROWS($K$2:K583),$K$2:$K$1001,0),0), INDEX($R$1004:$W$1004,1,MATCH(COLUMNS($R$1006:V1006),$R$1006:$W$1006,0)))),"Fix")))</f>
        <v>0</v>
      </c>
      <c r="G583" s="3">
        <f>IF(OR(INDEX($L$2:$L$1001,MATCH(ROWS($K$2:K583),$K$2:$K$1001,0),1)&gt;=100000,INDEX($R$1005:$W$1005,1,MATCH(COLUMNS($R$1006:W1006),$R$1006:$W$1006,0))&gt;=100000), " ",IF(INDEX($R$2:$W$1001,MATCH(ROWS($K$2:K583),$K$2:$K$1001,0),MATCH(COLUMNS($R$1006:W1006),$R$1006:$W$1006,0)), HYPERLINK("#",""), HYPERLINK(CONCATENATE("#Metadata!", ADDRESS(INDEX($M$2:$M$1001,MATCH(ROWS($K$2:K583),$K$2:$K$1001,0),0), INDEX($R$1004:$W$1004,1,MATCH(COLUMNS($R$1006:W1006),$R$1006:$W$1006,0)))),"Fix")))</f>
        <v>0</v>
      </c>
      <c r="K583">
        <v>0</v>
      </c>
      <c r="L583">
        <v>0</v>
      </c>
      <c r="M583">
        <v>0</v>
      </c>
      <c r="N583">
        <f>IF(O583,TRUE,AND(R583:W583))</f>
        <v>0</v>
      </c>
      <c r="O583">
        <f>COUNTBLANK(Metadata!B583:G583)=COLUMNS(Metadata!B583:G583)</f>
        <v>0</v>
      </c>
      <c r="P583">
        <v>0</v>
      </c>
      <c r="R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S583">
        <f>IF(Metadata!C583="",FALSE,TRUE)</f>
        <v>0</v>
      </c>
      <c r="T583">
        <f>IF(Metadata!D583="",FALSE,TRUE)</f>
        <v>0</v>
      </c>
      <c r="U583">
        <f>IF(Metadata!E583="",FALSE,TRUE)</f>
        <v>0</v>
      </c>
      <c r="V583">
        <f>AND(IF(Metadata!F583="",FALSE,TRUE),exact(Metadata!F583,"rat gut metagenome"))</f>
        <v>0</v>
      </c>
      <c r="W583">
        <f>AND(IF(Metadata!G583="",FALSE,TRUE),exact(Metadata!G583,"1436733"))</f>
        <v>0</v>
      </c>
    </row>
    <row r="584" spans="1:23">
      <c r="A584" s="4">
        <f>IF(B584=" "," ",HYPERLINK(CONCATENATE("#metadata!",ADDRESS(INDEX($M$2:$M$1001,MATCH(ROWS($K$2:K584),$K$2:$K$1001,0),0),1)),INDEX($P$2:$P$1001,MATCH(ROWS($K$2:K584),$K$2:$K$1001,0),0)))</f>
        <v>0</v>
      </c>
      <c r="B584" s="3">
        <f>IF(OR(INDEX($L$2:$L$1001,MATCH(ROWS($K$2:K584),$K$2:$K$1001,0),1)&gt;=100000,INDEX($R$1005:$W$1005,1,MATCH(COLUMNS($R$1006:R1006),$R$1006:$W$1006,0))&gt;=100000), " ",IF(INDEX($R$2:$W$1001,MATCH(ROWS($K$2:K584),$K$2:$K$1001,0),MATCH(COLUMNS($R$1006:R1006),$R$1006:$W$1006,0)), HYPERLINK("#",""), HYPERLINK(CONCATENATE("#Metadata!", ADDRESS(INDEX($M$2:$M$1001,MATCH(ROWS($K$2:K584),$K$2:$K$1001,0),0), INDEX($R$1004:$W$1004,1,MATCH(COLUMNS($R$1006:R1006),$R$1006:$W$1006,0)))),"Fix")))</f>
        <v>0</v>
      </c>
      <c r="C584" s="3">
        <f>IF(OR(INDEX($L$2:$L$1001,MATCH(ROWS($K$2:K584),$K$2:$K$1001,0),1)&gt;=100000,INDEX($R$1005:$W$1005,1,MATCH(COLUMNS($R$1006:S1006),$R$1006:$W$1006,0))&gt;=100000), " ",IF(INDEX($R$2:$W$1001,MATCH(ROWS($K$2:K584),$K$2:$K$1001,0),MATCH(COLUMNS($R$1006:S1006),$R$1006:$W$1006,0)), HYPERLINK("#",""), HYPERLINK(CONCATENATE("#Metadata!", ADDRESS(INDEX($M$2:$M$1001,MATCH(ROWS($K$2:K584),$K$2:$K$1001,0),0), INDEX($R$1004:$W$1004,1,MATCH(COLUMNS($R$1006:S1006),$R$1006:$W$1006,0)))),"Fix")))</f>
        <v>0</v>
      </c>
      <c r="D584" s="3">
        <f>IF(OR(INDEX($L$2:$L$1001,MATCH(ROWS($K$2:K584),$K$2:$K$1001,0),1)&gt;=100000,INDEX($R$1005:$W$1005,1,MATCH(COLUMNS($R$1006:T1006),$R$1006:$W$1006,0))&gt;=100000), " ",IF(INDEX($R$2:$W$1001,MATCH(ROWS($K$2:K584),$K$2:$K$1001,0),MATCH(COLUMNS($R$1006:T1006),$R$1006:$W$1006,0)), HYPERLINK("#",""), HYPERLINK(CONCATENATE("#Metadata!", ADDRESS(INDEX($M$2:$M$1001,MATCH(ROWS($K$2:K584),$K$2:$K$1001,0),0), INDEX($R$1004:$W$1004,1,MATCH(COLUMNS($R$1006:T1006),$R$1006:$W$1006,0)))),"Fix")))</f>
        <v>0</v>
      </c>
      <c r="E584" s="3">
        <f>IF(OR(INDEX($L$2:$L$1001,MATCH(ROWS($K$2:K584),$K$2:$K$1001,0),1)&gt;=100000,INDEX($R$1005:$W$1005,1,MATCH(COLUMNS($R$1006:U1006),$R$1006:$W$1006,0))&gt;=100000), " ",IF(INDEX($R$2:$W$1001,MATCH(ROWS($K$2:K584),$K$2:$K$1001,0),MATCH(COLUMNS($R$1006:U1006),$R$1006:$W$1006,0)), HYPERLINK("#",""), HYPERLINK(CONCATENATE("#Metadata!", ADDRESS(INDEX($M$2:$M$1001,MATCH(ROWS($K$2:K584),$K$2:$K$1001,0),0), INDEX($R$1004:$W$1004,1,MATCH(COLUMNS($R$1006:U1006),$R$1006:$W$1006,0)))),"Fix")))</f>
        <v>0</v>
      </c>
      <c r="F584" s="3">
        <f>IF(OR(INDEX($L$2:$L$1001,MATCH(ROWS($K$2:K584),$K$2:$K$1001,0),1)&gt;=100000,INDEX($R$1005:$W$1005,1,MATCH(COLUMNS($R$1006:V1006),$R$1006:$W$1006,0))&gt;=100000), " ",IF(INDEX($R$2:$W$1001,MATCH(ROWS($K$2:K584),$K$2:$K$1001,0),MATCH(COLUMNS($R$1006:V1006),$R$1006:$W$1006,0)), HYPERLINK("#",""), HYPERLINK(CONCATENATE("#Metadata!", ADDRESS(INDEX($M$2:$M$1001,MATCH(ROWS($K$2:K584),$K$2:$K$1001,0),0), INDEX($R$1004:$W$1004,1,MATCH(COLUMNS($R$1006:V1006),$R$1006:$W$1006,0)))),"Fix")))</f>
        <v>0</v>
      </c>
      <c r="G584" s="3">
        <f>IF(OR(INDEX($L$2:$L$1001,MATCH(ROWS($K$2:K584),$K$2:$K$1001,0),1)&gt;=100000,INDEX($R$1005:$W$1005,1,MATCH(COLUMNS($R$1006:W1006),$R$1006:$W$1006,0))&gt;=100000), " ",IF(INDEX($R$2:$W$1001,MATCH(ROWS($K$2:K584),$K$2:$K$1001,0),MATCH(COLUMNS($R$1006:W1006),$R$1006:$W$1006,0)), HYPERLINK("#",""), HYPERLINK(CONCATENATE("#Metadata!", ADDRESS(INDEX($M$2:$M$1001,MATCH(ROWS($K$2:K584),$K$2:$K$1001,0),0), INDEX($R$1004:$W$1004,1,MATCH(COLUMNS($R$1006:W1006),$R$1006:$W$1006,0)))),"Fix")))</f>
        <v>0</v>
      </c>
      <c r="K584">
        <v>0</v>
      </c>
      <c r="L584">
        <v>0</v>
      </c>
      <c r="M584">
        <v>0</v>
      </c>
      <c r="N584">
        <f>IF(O584,TRUE,AND(R584:W584))</f>
        <v>0</v>
      </c>
      <c r="O584">
        <f>COUNTBLANK(Metadata!B584:G584)=COLUMNS(Metadata!B584:G584)</f>
        <v>0</v>
      </c>
      <c r="P584">
        <v>0</v>
      </c>
      <c r="R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S584">
        <f>IF(Metadata!C584="",FALSE,TRUE)</f>
        <v>0</v>
      </c>
      <c r="T584">
        <f>IF(Metadata!D584="",FALSE,TRUE)</f>
        <v>0</v>
      </c>
      <c r="U584">
        <f>IF(Metadata!E584="",FALSE,TRUE)</f>
        <v>0</v>
      </c>
      <c r="V584">
        <f>AND(IF(Metadata!F584="",FALSE,TRUE),exact(Metadata!F584,"rat gut metagenome"))</f>
        <v>0</v>
      </c>
      <c r="W584">
        <f>AND(IF(Metadata!G584="",FALSE,TRUE),exact(Metadata!G584,"1436733"))</f>
        <v>0</v>
      </c>
    </row>
    <row r="585" spans="1:23">
      <c r="A585" s="4">
        <f>IF(B585=" "," ",HYPERLINK(CONCATENATE("#metadata!",ADDRESS(INDEX($M$2:$M$1001,MATCH(ROWS($K$2:K585),$K$2:$K$1001,0),0),1)),INDEX($P$2:$P$1001,MATCH(ROWS($K$2:K585),$K$2:$K$1001,0),0)))</f>
        <v>0</v>
      </c>
      <c r="B585" s="3">
        <f>IF(OR(INDEX($L$2:$L$1001,MATCH(ROWS($K$2:K585),$K$2:$K$1001,0),1)&gt;=100000,INDEX($R$1005:$W$1005,1,MATCH(COLUMNS($R$1006:R1006),$R$1006:$W$1006,0))&gt;=100000), " ",IF(INDEX($R$2:$W$1001,MATCH(ROWS($K$2:K585),$K$2:$K$1001,0),MATCH(COLUMNS($R$1006:R1006),$R$1006:$W$1006,0)), HYPERLINK("#",""), HYPERLINK(CONCATENATE("#Metadata!", ADDRESS(INDEX($M$2:$M$1001,MATCH(ROWS($K$2:K585),$K$2:$K$1001,0),0), INDEX($R$1004:$W$1004,1,MATCH(COLUMNS($R$1006:R1006),$R$1006:$W$1006,0)))),"Fix")))</f>
        <v>0</v>
      </c>
      <c r="C585" s="3">
        <f>IF(OR(INDEX($L$2:$L$1001,MATCH(ROWS($K$2:K585),$K$2:$K$1001,0),1)&gt;=100000,INDEX($R$1005:$W$1005,1,MATCH(COLUMNS($R$1006:S1006),$R$1006:$W$1006,0))&gt;=100000), " ",IF(INDEX($R$2:$W$1001,MATCH(ROWS($K$2:K585),$K$2:$K$1001,0),MATCH(COLUMNS($R$1006:S1006),$R$1006:$W$1006,0)), HYPERLINK("#",""), HYPERLINK(CONCATENATE("#Metadata!", ADDRESS(INDEX($M$2:$M$1001,MATCH(ROWS($K$2:K585),$K$2:$K$1001,0),0), INDEX($R$1004:$W$1004,1,MATCH(COLUMNS($R$1006:S1006),$R$1006:$W$1006,0)))),"Fix")))</f>
        <v>0</v>
      </c>
      <c r="D585" s="3">
        <f>IF(OR(INDEX($L$2:$L$1001,MATCH(ROWS($K$2:K585),$K$2:$K$1001,0),1)&gt;=100000,INDEX($R$1005:$W$1005,1,MATCH(COLUMNS($R$1006:T1006),$R$1006:$W$1006,0))&gt;=100000), " ",IF(INDEX($R$2:$W$1001,MATCH(ROWS($K$2:K585),$K$2:$K$1001,0),MATCH(COLUMNS($R$1006:T1006),$R$1006:$W$1006,0)), HYPERLINK("#",""), HYPERLINK(CONCATENATE("#Metadata!", ADDRESS(INDEX($M$2:$M$1001,MATCH(ROWS($K$2:K585),$K$2:$K$1001,0),0), INDEX($R$1004:$W$1004,1,MATCH(COLUMNS($R$1006:T1006),$R$1006:$W$1006,0)))),"Fix")))</f>
        <v>0</v>
      </c>
      <c r="E585" s="3">
        <f>IF(OR(INDEX($L$2:$L$1001,MATCH(ROWS($K$2:K585),$K$2:$K$1001,0),1)&gt;=100000,INDEX($R$1005:$W$1005,1,MATCH(COLUMNS($R$1006:U1006),$R$1006:$W$1006,0))&gt;=100000), " ",IF(INDEX($R$2:$W$1001,MATCH(ROWS($K$2:K585),$K$2:$K$1001,0),MATCH(COLUMNS($R$1006:U1006),$R$1006:$W$1006,0)), HYPERLINK("#",""), HYPERLINK(CONCATENATE("#Metadata!", ADDRESS(INDEX($M$2:$M$1001,MATCH(ROWS($K$2:K585),$K$2:$K$1001,0),0), INDEX($R$1004:$W$1004,1,MATCH(COLUMNS($R$1006:U1006),$R$1006:$W$1006,0)))),"Fix")))</f>
        <v>0</v>
      </c>
      <c r="F585" s="3">
        <f>IF(OR(INDEX($L$2:$L$1001,MATCH(ROWS($K$2:K585),$K$2:$K$1001,0),1)&gt;=100000,INDEX($R$1005:$W$1005,1,MATCH(COLUMNS($R$1006:V1006),$R$1006:$W$1006,0))&gt;=100000), " ",IF(INDEX($R$2:$W$1001,MATCH(ROWS($K$2:K585),$K$2:$K$1001,0),MATCH(COLUMNS($R$1006:V1006),$R$1006:$W$1006,0)), HYPERLINK("#",""), HYPERLINK(CONCATENATE("#Metadata!", ADDRESS(INDEX($M$2:$M$1001,MATCH(ROWS($K$2:K585),$K$2:$K$1001,0),0), INDEX($R$1004:$W$1004,1,MATCH(COLUMNS($R$1006:V1006),$R$1006:$W$1006,0)))),"Fix")))</f>
        <v>0</v>
      </c>
      <c r="G585" s="3">
        <f>IF(OR(INDEX($L$2:$L$1001,MATCH(ROWS($K$2:K585),$K$2:$K$1001,0),1)&gt;=100000,INDEX($R$1005:$W$1005,1,MATCH(COLUMNS($R$1006:W1006),$R$1006:$W$1006,0))&gt;=100000), " ",IF(INDEX($R$2:$W$1001,MATCH(ROWS($K$2:K585),$K$2:$K$1001,0),MATCH(COLUMNS($R$1006:W1006),$R$1006:$W$1006,0)), HYPERLINK("#",""), HYPERLINK(CONCATENATE("#Metadata!", ADDRESS(INDEX($M$2:$M$1001,MATCH(ROWS($K$2:K585),$K$2:$K$1001,0),0), INDEX($R$1004:$W$1004,1,MATCH(COLUMNS($R$1006:W1006),$R$1006:$W$1006,0)))),"Fix")))</f>
        <v>0</v>
      </c>
      <c r="K585">
        <v>0</v>
      </c>
      <c r="L585">
        <v>0</v>
      </c>
      <c r="M585">
        <v>0</v>
      </c>
      <c r="N585">
        <f>IF(O585,TRUE,AND(R585:W585))</f>
        <v>0</v>
      </c>
      <c r="O585">
        <f>COUNTBLANK(Metadata!B585:G585)=COLUMNS(Metadata!B585:G585)</f>
        <v>0</v>
      </c>
      <c r="P585">
        <v>0</v>
      </c>
      <c r="R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S585">
        <f>IF(Metadata!C585="",FALSE,TRUE)</f>
        <v>0</v>
      </c>
      <c r="T585">
        <f>IF(Metadata!D585="",FALSE,TRUE)</f>
        <v>0</v>
      </c>
      <c r="U585">
        <f>IF(Metadata!E585="",FALSE,TRUE)</f>
        <v>0</v>
      </c>
      <c r="V585">
        <f>AND(IF(Metadata!F585="",FALSE,TRUE),exact(Metadata!F585,"rat gut metagenome"))</f>
        <v>0</v>
      </c>
      <c r="W585">
        <f>AND(IF(Metadata!G585="",FALSE,TRUE),exact(Metadata!G585,"1436733"))</f>
        <v>0</v>
      </c>
    </row>
    <row r="586" spans="1:23">
      <c r="A586" s="4">
        <f>IF(B586=" "," ",HYPERLINK(CONCATENATE("#metadata!",ADDRESS(INDEX($M$2:$M$1001,MATCH(ROWS($K$2:K586),$K$2:$K$1001,0),0),1)),INDEX($P$2:$P$1001,MATCH(ROWS($K$2:K586),$K$2:$K$1001,0),0)))</f>
        <v>0</v>
      </c>
      <c r="B586" s="3">
        <f>IF(OR(INDEX($L$2:$L$1001,MATCH(ROWS($K$2:K586),$K$2:$K$1001,0),1)&gt;=100000,INDEX($R$1005:$W$1005,1,MATCH(COLUMNS($R$1006:R1006),$R$1006:$W$1006,0))&gt;=100000), " ",IF(INDEX($R$2:$W$1001,MATCH(ROWS($K$2:K586),$K$2:$K$1001,0),MATCH(COLUMNS($R$1006:R1006),$R$1006:$W$1006,0)), HYPERLINK("#",""), HYPERLINK(CONCATENATE("#Metadata!", ADDRESS(INDEX($M$2:$M$1001,MATCH(ROWS($K$2:K586),$K$2:$K$1001,0),0), INDEX($R$1004:$W$1004,1,MATCH(COLUMNS($R$1006:R1006),$R$1006:$W$1006,0)))),"Fix")))</f>
        <v>0</v>
      </c>
      <c r="C586" s="3">
        <f>IF(OR(INDEX($L$2:$L$1001,MATCH(ROWS($K$2:K586),$K$2:$K$1001,0),1)&gt;=100000,INDEX($R$1005:$W$1005,1,MATCH(COLUMNS($R$1006:S1006),$R$1006:$W$1006,0))&gt;=100000), " ",IF(INDEX($R$2:$W$1001,MATCH(ROWS($K$2:K586),$K$2:$K$1001,0),MATCH(COLUMNS($R$1006:S1006),$R$1006:$W$1006,0)), HYPERLINK("#",""), HYPERLINK(CONCATENATE("#Metadata!", ADDRESS(INDEX($M$2:$M$1001,MATCH(ROWS($K$2:K586),$K$2:$K$1001,0),0), INDEX($R$1004:$W$1004,1,MATCH(COLUMNS($R$1006:S1006),$R$1006:$W$1006,0)))),"Fix")))</f>
        <v>0</v>
      </c>
      <c r="D586" s="3">
        <f>IF(OR(INDEX($L$2:$L$1001,MATCH(ROWS($K$2:K586),$K$2:$K$1001,0),1)&gt;=100000,INDEX($R$1005:$W$1005,1,MATCH(COLUMNS($R$1006:T1006),$R$1006:$W$1006,0))&gt;=100000), " ",IF(INDEX($R$2:$W$1001,MATCH(ROWS($K$2:K586),$K$2:$K$1001,0),MATCH(COLUMNS($R$1006:T1006),$R$1006:$W$1006,0)), HYPERLINK("#",""), HYPERLINK(CONCATENATE("#Metadata!", ADDRESS(INDEX($M$2:$M$1001,MATCH(ROWS($K$2:K586),$K$2:$K$1001,0),0), INDEX($R$1004:$W$1004,1,MATCH(COLUMNS($R$1006:T1006),$R$1006:$W$1006,0)))),"Fix")))</f>
        <v>0</v>
      </c>
      <c r="E586" s="3">
        <f>IF(OR(INDEX($L$2:$L$1001,MATCH(ROWS($K$2:K586),$K$2:$K$1001,0),1)&gt;=100000,INDEX($R$1005:$W$1005,1,MATCH(COLUMNS($R$1006:U1006),$R$1006:$W$1006,0))&gt;=100000), " ",IF(INDEX($R$2:$W$1001,MATCH(ROWS($K$2:K586),$K$2:$K$1001,0),MATCH(COLUMNS($R$1006:U1006),$R$1006:$W$1006,0)), HYPERLINK("#",""), HYPERLINK(CONCATENATE("#Metadata!", ADDRESS(INDEX($M$2:$M$1001,MATCH(ROWS($K$2:K586),$K$2:$K$1001,0),0), INDEX($R$1004:$W$1004,1,MATCH(COLUMNS($R$1006:U1006),$R$1006:$W$1006,0)))),"Fix")))</f>
        <v>0</v>
      </c>
      <c r="F586" s="3">
        <f>IF(OR(INDEX($L$2:$L$1001,MATCH(ROWS($K$2:K586),$K$2:$K$1001,0),1)&gt;=100000,INDEX($R$1005:$W$1005,1,MATCH(COLUMNS($R$1006:V1006),$R$1006:$W$1006,0))&gt;=100000), " ",IF(INDEX($R$2:$W$1001,MATCH(ROWS($K$2:K586),$K$2:$K$1001,0),MATCH(COLUMNS($R$1006:V1006),$R$1006:$W$1006,0)), HYPERLINK("#",""), HYPERLINK(CONCATENATE("#Metadata!", ADDRESS(INDEX($M$2:$M$1001,MATCH(ROWS($K$2:K586),$K$2:$K$1001,0),0), INDEX($R$1004:$W$1004,1,MATCH(COLUMNS($R$1006:V1006),$R$1006:$W$1006,0)))),"Fix")))</f>
        <v>0</v>
      </c>
      <c r="G586" s="3">
        <f>IF(OR(INDEX($L$2:$L$1001,MATCH(ROWS($K$2:K586),$K$2:$K$1001,0),1)&gt;=100000,INDEX($R$1005:$W$1005,1,MATCH(COLUMNS($R$1006:W1006),$R$1006:$W$1006,0))&gt;=100000), " ",IF(INDEX($R$2:$W$1001,MATCH(ROWS($K$2:K586),$K$2:$K$1001,0),MATCH(COLUMNS($R$1006:W1006),$R$1006:$W$1006,0)), HYPERLINK("#",""), HYPERLINK(CONCATENATE("#Metadata!", ADDRESS(INDEX($M$2:$M$1001,MATCH(ROWS($K$2:K586),$K$2:$K$1001,0),0), INDEX($R$1004:$W$1004,1,MATCH(COLUMNS($R$1006:W1006),$R$1006:$W$1006,0)))),"Fix")))</f>
        <v>0</v>
      </c>
      <c r="K586">
        <v>0</v>
      </c>
      <c r="L586">
        <v>0</v>
      </c>
      <c r="M586">
        <v>0</v>
      </c>
      <c r="N586">
        <f>IF(O586,TRUE,AND(R586:W586))</f>
        <v>0</v>
      </c>
      <c r="O586">
        <f>COUNTBLANK(Metadata!B586:G586)=COLUMNS(Metadata!B586:G586)</f>
        <v>0</v>
      </c>
      <c r="P586">
        <v>0</v>
      </c>
      <c r="R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S586">
        <f>IF(Metadata!C586="",FALSE,TRUE)</f>
        <v>0</v>
      </c>
      <c r="T586">
        <f>IF(Metadata!D586="",FALSE,TRUE)</f>
        <v>0</v>
      </c>
      <c r="U586">
        <f>IF(Metadata!E586="",FALSE,TRUE)</f>
        <v>0</v>
      </c>
      <c r="V586">
        <f>AND(IF(Metadata!F586="",FALSE,TRUE),exact(Metadata!F586,"rat gut metagenome"))</f>
        <v>0</v>
      </c>
      <c r="W586">
        <f>AND(IF(Metadata!G586="",FALSE,TRUE),exact(Metadata!G586,"1436733"))</f>
        <v>0</v>
      </c>
    </row>
    <row r="587" spans="1:23">
      <c r="A587" s="4">
        <f>IF(B587=" "," ",HYPERLINK(CONCATENATE("#metadata!",ADDRESS(INDEX($M$2:$M$1001,MATCH(ROWS($K$2:K587),$K$2:$K$1001,0),0),1)),INDEX($P$2:$P$1001,MATCH(ROWS($K$2:K587),$K$2:$K$1001,0),0)))</f>
        <v>0</v>
      </c>
      <c r="B587" s="3">
        <f>IF(OR(INDEX($L$2:$L$1001,MATCH(ROWS($K$2:K587),$K$2:$K$1001,0),1)&gt;=100000,INDEX($R$1005:$W$1005,1,MATCH(COLUMNS($R$1006:R1006),$R$1006:$W$1006,0))&gt;=100000), " ",IF(INDEX($R$2:$W$1001,MATCH(ROWS($K$2:K587),$K$2:$K$1001,0),MATCH(COLUMNS($R$1006:R1006),$R$1006:$W$1006,0)), HYPERLINK("#",""), HYPERLINK(CONCATENATE("#Metadata!", ADDRESS(INDEX($M$2:$M$1001,MATCH(ROWS($K$2:K587),$K$2:$K$1001,0),0), INDEX($R$1004:$W$1004,1,MATCH(COLUMNS($R$1006:R1006),$R$1006:$W$1006,0)))),"Fix")))</f>
        <v>0</v>
      </c>
      <c r="C587" s="3">
        <f>IF(OR(INDEX($L$2:$L$1001,MATCH(ROWS($K$2:K587),$K$2:$K$1001,0),1)&gt;=100000,INDEX($R$1005:$W$1005,1,MATCH(COLUMNS($R$1006:S1006),$R$1006:$W$1006,0))&gt;=100000), " ",IF(INDEX($R$2:$W$1001,MATCH(ROWS($K$2:K587),$K$2:$K$1001,0),MATCH(COLUMNS($R$1006:S1006),$R$1006:$W$1006,0)), HYPERLINK("#",""), HYPERLINK(CONCATENATE("#Metadata!", ADDRESS(INDEX($M$2:$M$1001,MATCH(ROWS($K$2:K587),$K$2:$K$1001,0),0), INDEX($R$1004:$W$1004,1,MATCH(COLUMNS($R$1006:S1006),$R$1006:$W$1006,0)))),"Fix")))</f>
        <v>0</v>
      </c>
      <c r="D587" s="3">
        <f>IF(OR(INDEX($L$2:$L$1001,MATCH(ROWS($K$2:K587),$K$2:$K$1001,0),1)&gt;=100000,INDEX($R$1005:$W$1005,1,MATCH(COLUMNS($R$1006:T1006),$R$1006:$W$1006,0))&gt;=100000), " ",IF(INDEX($R$2:$W$1001,MATCH(ROWS($K$2:K587),$K$2:$K$1001,0),MATCH(COLUMNS($R$1006:T1006),$R$1006:$W$1006,0)), HYPERLINK("#",""), HYPERLINK(CONCATENATE("#Metadata!", ADDRESS(INDEX($M$2:$M$1001,MATCH(ROWS($K$2:K587),$K$2:$K$1001,0),0), INDEX($R$1004:$W$1004,1,MATCH(COLUMNS($R$1006:T1006),$R$1006:$W$1006,0)))),"Fix")))</f>
        <v>0</v>
      </c>
      <c r="E587" s="3">
        <f>IF(OR(INDEX($L$2:$L$1001,MATCH(ROWS($K$2:K587),$K$2:$K$1001,0),1)&gt;=100000,INDEX($R$1005:$W$1005,1,MATCH(COLUMNS($R$1006:U1006),$R$1006:$W$1006,0))&gt;=100000), " ",IF(INDEX($R$2:$W$1001,MATCH(ROWS($K$2:K587),$K$2:$K$1001,0),MATCH(COLUMNS($R$1006:U1006),$R$1006:$W$1006,0)), HYPERLINK("#",""), HYPERLINK(CONCATENATE("#Metadata!", ADDRESS(INDEX($M$2:$M$1001,MATCH(ROWS($K$2:K587),$K$2:$K$1001,0),0), INDEX($R$1004:$W$1004,1,MATCH(COLUMNS($R$1006:U1006),$R$1006:$W$1006,0)))),"Fix")))</f>
        <v>0</v>
      </c>
      <c r="F587" s="3">
        <f>IF(OR(INDEX($L$2:$L$1001,MATCH(ROWS($K$2:K587),$K$2:$K$1001,0),1)&gt;=100000,INDEX($R$1005:$W$1005,1,MATCH(COLUMNS($R$1006:V1006),$R$1006:$W$1006,0))&gt;=100000), " ",IF(INDEX($R$2:$W$1001,MATCH(ROWS($K$2:K587),$K$2:$K$1001,0),MATCH(COLUMNS($R$1006:V1006),$R$1006:$W$1006,0)), HYPERLINK("#",""), HYPERLINK(CONCATENATE("#Metadata!", ADDRESS(INDEX($M$2:$M$1001,MATCH(ROWS($K$2:K587),$K$2:$K$1001,0),0), INDEX($R$1004:$W$1004,1,MATCH(COLUMNS($R$1006:V1006),$R$1006:$W$1006,0)))),"Fix")))</f>
        <v>0</v>
      </c>
      <c r="G587" s="3">
        <f>IF(OR(INDEX($L$2:$L$1001,MATCH(ROWS($K$2:K587),$K$2:$K$1001,0),1)&gt;=100000,INDEX($R$1005:$W$1005,1,MATCH(COLUMNS($R$1006:W1006),$R$1006:$W$1006,0))&gt;=100000), " ",IF(INDEX($R$2:$W$1001,MATCH(ROWS($K$2:K587),$K$2:$K$1001,0),MATCH(COLUMNS($R$1006:W1006),$R$1006:$W$1006,0)), HYPERLINK("#",""), HYPERLINK(CONCATENATE("#Metadata!", ADDRESS(INDEX($M$2:$M$1001,MATCH(ROWS($K$2:K587),$K$2:$K$1001,0),0), INDEX($R$1004:$W$1004,1,MATCH(COLUMNS($R$1006:W1006),$R$1006:$W$1006,0)))),"Fix")))</f>
        <v>0</v>
      </c>
      <c r="K587">
        <v>0</v>
      </c>
      <c r="L587">
        <v>0</v>
      </c>
      <c r="M587">
        <v>0</v>
      </c>
      <c r="N587">
        <f>IF(O587,TRUE,AND(R587:W587))</f>
        <v>0</v>
      </c>
      <c r="O587">
        <f>COUNTBLANK(Metadata!B587:G587)=COLUMNS(Metadata!B587:G587)</f>
        <v>0</v>
      </c>
      <c r="P587">
        <v>0</v>
      </c>
      <c r="R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S587">
        <f>IF(Metadata!C587="",FALSE,TRUE)</f>
        <v>0</v>
      </c>
      <c r="T587">
        <f>IF(Metadata!D587="",FALSE,TRUE)</f>
        <v>0</v>
      </c>
      <c r="U587">
        <f>IF(Metadata!E587="",FALSE,TRUE)</f>
        <v>0</v>
      </c>
      <c r="V587">
        <f>AND(IF(Metadata!F587="",FALSE,TRUE),exact(Metadata!F587,"rat gut metagenome"))</f>
        <v>0</v>
      </c>
      <c r="W587">
        <f>AND(IF(Metadata!G587="",FALSE,TRUE),exact(Metadata!G587,"1436733"))</f>
        <v>0</v>
      </c>
    </row>
    <row r="588" spans="1:23">
      <c r="A588" s="4">
        <f>IF(B588=" "," ",HYPERLINK(CONCATENATE("#metadata!",ADDRESS(INDEX($M$2:$M$1001,MATCH(ROWS($K$2:K588),$K$2:$K$1001,0),0),1)),INDEX($P$2:$P$1001,MATCH(ROWS($K$2:K588),$K$2:$K$1001,0),0)))</f>
        <v>0</v>
      </c>
      <c r="B588" s="3">
        <f>IF(OR(INDEX($L$2:$L$1001,MATCH(ROWS($K$2:K588),$K$2:$K$1001,0),1)&gt;=100000,INDEX($R$1005:$W$1005,1,MATCH(COLUMNS($R$1006:R1006),$R$1006:$W$1006,0))&gt;=100000), " ",IF(INDEX($R$2:$W$1001,MATCH(ROWS($K$2:K588),$K$2:$K$1001,0),MATCH(COLUMNS($R$1006:R1006),$R$1006:$W$1006,0)), HYPERLINK("#",""), HYPERLINK(CONCATENATE("#Metadata!", ADDRESS(INDEX($M$2:$M$1001,MATCH(ROWS($K$2:K588),$K$2:$K$1001,0),0), INDEX($R$1004:$W$1004,1,MATCH(COLUMNS($R$1006:R1006),$R$1006:$W$1006,0)))),"Fix")))</f>
        <v>0</v>
      </c>
      <c r="C588" s="3">
        <f>IF(OR(INDEX($L$2:$L$1001,MATCH(ROWS($K$2:K588),$K$2:$K$1001,0),1)&gt;=100000,INDEX($R$1005:$W$1005,1,MATCH(COLUMNS($R$1006:S1006),$R$1006:$W$1006,0))&gt;=100000), " ",IF(INDEX($R$2:$W$1001,MATCH(ROWS($K$2:K588),$K$2:$K$1001,0),MATCH(COLUMNS($R$1006:S1006),$R$1006:$W$1006,0)), HYPERLINK("#",""), HYPERLINK(CONCATENATE("#Metadata!", ADDRESS(INDEX($M$2:$M$1001,MATCH(ROWS($K$2:K588),$K$2:$K$1001,0),0), INDEX($R$1004:$W$1004,1,MATCH(COLUMNS($R$1006:S1006),$R$1006:$W$1006,0)))),"Fix")))</f>
        <v>0</v>
      </c>
      <c r="D588" s="3">
        <f>IF(OR(INDEX($L$2:$L$1001,MATCH(ROWS($K$2:K588),$K$2:$K$1001,0),1)&gt;=100000,INDEX($R$1005:$W$1005,1,MATCH(COLUMNS($R$1006:T1006),$R$1006:$W$1006,0))&gt;=100000), " ",IF(INDEX($R$2:$W$1001,MATCH(ROWS($K$2:K588),$K$2:$K$1001,0),MATCH(COLUMNS($R$1006:T1006),$R$1006:$W$1006,0)), HYPERLINK("#",""), HYPERLINK(CONCATENATE("#Metadata!", ADDRESS(INDEX($M$2:$M$1001,MATCH(ROWS($K$2:K588),$K$2:$K$1001,0),0), INDEX($R$1004:$W$1004,1,MATCH(COLUMNS($R$1006:T1006),$R$1006:$W$1006,0)))),"Fix")))</f>
        <v>0</v>
      </c>
      <c r="E588" s="3">
        <f>IF(OR(INDEX($L$2:$L$1001,MATCH(ROWS($K$2:K588),$K$2:$K$1001,0),1)&gt;=100000,INDEX($R$1005:$W$1005,1,MATCH(COLUMNS($R$1006:U1006),$R$1006:$W$1006,0))&gt;=100000), " ",IF(INDEX($R$2:$W$1001,MATCH(ROWS($K$2:K588),$K$2:$K$1001,0),MATCH(COLUMNS($R$1006:U1006),$R$1006:$W$1006,0)), HYPERLINK("#",""), HYPERLINK(CONCATENATE("#Metadata!", ADDRESS(INDEX($M$2:$M$1001,MATCH(ROWS($K$2:K588),$K$2:$K$1001,0),0), INDEX($R$1004:$W$1004,1,MATCH(COLUMNS($R$1006:U1006),$R$1006:$W$1006,0)))),"Fix")))</f>
        <v>0</v>
      </c>
      <c r="F588" s="3">
        <f>IF(OR(INDEX($L$2:$L$1001,MATCH(ROWS($K$2:K588),$K$2:$K$1001,0),1)&gt;=100000,INDEX($R$1005:$W$1005,1,MATCH(COLUMNS($R$1006:V1006),$R$1006:$W$1006,0))&gt;=100000), " ",IF(INDEX($R$2:$W$1001,MATCH(ROWS($K$2:K588),$K$2:$K$1001,0),MATCH(COLUMNS($R$1006:V1006),$R$1006:$W$1006,0)), HYPERLINK("#",""), HYPERLINK(CONCATENATE("#Metadata!", ADDRESS(INDEX($M$2:$M$1001,MATCH(ROWS($K$2:K588),$K$2:$K$1001,0),0), INDEX($R$1004:$W$1004,1,MATCH(COLUMNS($R$1006:V1006),$R$1006:$W$1006,0)))),"Fix")))</f>
        <v>0</v>
      </c>
      <c r="G588" s="3">
        <f>IF(OR(INDEX($L$2:$L$1001,MATCH(ROWS($K$2:K588),$K$2:$K$1001,0),1)&gt;=100000,INDEX($R$1005:$W$1005,1,MATCH(COLUMNS($R$1006:W1006),$R$1006:$W$1006,0))&gt;=100000), " ",IF(INDEX($R$2:$W$1001,MATCH(ROWS($K$2:K588),$K$2:$K$1001,0),MATCH(COLUMNS($R$1006:W1006),$R$1006:$W$1006,0)), HYPERLINK("#",""), HYPERLINK(CONCATENATE("#Metadata!", ADDRESS(INDEX($M$2:$M$1001,MATCH(ROWS($K$2:K588),$K$2:$K$1001,0),0), INDEX($R$1004:$W$1004,1,MATCH(COLUMNS($R$1006:W1006),$R$1006:$W$1006,0)))),"Fix")))</f>
        <v>0</v>
      </c>
      <c r="K588">
        <v>0</v>
      </c>
      <c r="L588">
        <v>0</v>
      </c>
      <c r="M588">
        <v>0</v>
      </c>
      <c r="N588">
        <f>IF(O588,TRUE,AND(R588:W588))</f>
        <v>0</v>
      </c>
      <c r="O588">
        <f>COUNTBLANK(Metadata!B588:G588)=COLUMNS(Metadata!B588:G588)</f>
        <v>0</v>
      </c>
      <c r="P588">
        <v>0</v>
      </c>
      <c r="R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S588">
        <f>IF(Metadata!C588="",FALSE,TRUE)</f>
        <v>0</v>
      </c>
      <c r="T588">
        <f>IF(Metadata!D588="",FALSE,TRUE)</f>
        <v>0</v>
      </c>
      <c r="U588">
        <f>IF(Metadata!E588="",FALSE,TRUE)</f>
        <v>0</v>
      </c>
      <c r="V588">
        <f>AND(IF(Metadata!F588="",FALSE,TRUE),exact(Metadata!F588,"rat gut metagenome"))</f>
        <v>0</v>
      </c>
      <c r="W588">
        <f>AND(IF(Metadata!G588="",FALSE,TRUE),exact(Metadata!G588,"1436733"))</f>
        <v>0</v>
      </c>
    </row>
    <row r="589" spans="1:23">
      <c r="A589" s="4">
        <f>IF(B589=" "," ",HYPERLINK(CONCATENATE("#metadata!",ADDRESS(INDEX($M$2:$M$1001,MATCH(ROWS($K$2:K589),$K$2:$K$1001,0),0),1)),INDEX($P$2:$P$1001,MATCH(ROWS($K$2:K589),$K$2:$K$1001,0),0)))</f>
        <v>0</v>
      </c>
      <c r="B589" s="3">
        <f>IF(OR(INDEX($L$2:$L$1001,MATCH(ROWS($K$2:K589),$K$2:$K$1001,0),1)&gt;=100000,INDEX($R$1005:$W$1005,1,MATCH(COLUMNS($R$1006:R1006),$R$1006:$W$1006,0))&gt;=100000), " ",IF(INDEX($R$2:$W$1001,MATCH(ROWS($K$2:K589),$K$2:$K$1001,0),MATCH(COLUMNS($R$1006:R1006),$R$1006:$W$1006,0)), HYPERLINK("#",""), HYPERLINK(CONCATENATE("#Metadata!", ADDRESS(INDEX($M$2:$M$1001,MATCH(ROWS($K$2:K589),$K$2:$K$1001,0),0), INDEX($R$1004:$W$1004,1,MATCH(COLUMNS($R$1006:R1006),$R$1006:$W$1006,0)))),"Fix")))</f>
        <v>0</v>
      </c>
      <c r="C589" s="3">
        <f>IF(OR(INDEX($L$2:$L$1001,MATCH(ROWS($K$2:K589),$K$2:$K$1001,0),1)&gt;=100000,INDEX($R$1005:$W$1005,1,MATCH(COLUMNS($R$1006:S1006),$R$1006:$W$1006,0))&gt;=100000), " ",IF(INDEX($R$2:$W$1001,MATCH(ROWS($K$2:K589),$K$2:$K$1001,0),MATCH(COLUMNS($R$1006:S1006),$R$1006:$W$1006,0)), HYPERLINK("#",""), HYPERLINK(CONCATENATE("#Metadata!", ADDRESS(INDEX($M$2:$M$1001,MATCH(ROWS($K$2:K589),$K$2:$K$1001,0),0), INDEX($R$1004:$W$1004,1,MATCH(COLUMNS($R$1006:S1006),$R$1006:$W$1006,0)))),"Fix")))</f>
        <v>0</v>
      </c>
      <c r="D589" s="3">
        <f>IF(OR(INDEX($L$2:$L$1001,MATCH(ROWS($K$2:K589),$K$2:$K$1001,0),1)&gt;=100000,INDEX($R$1005:$W$1005,1,MATCH(COLUMNS($R$1006:T1006),$R$1006:$W$1006,0))&gt;=100000), " ",IF(INDEX($R$2:$W$1001,MATCH(ROWS($K$2:K589),$K$2:$K$1001,0),MATCH(COLUMNS($R$1006:T1006),$R$1006:$W$1006,0)), HYPERLINK("#",""), HYPERLINK(CONCATENATE("#Metadata!", ADDRESS(INDEX($M$2:$M$1001,MATCH(ROWS($K$2:K589),$K$2:$K$1001,0),0), INDEX($R$1004:$W$1004,1,MATCH(COLUMNS($R$1006:T1006),$R$1006:$W$1006,0)))),"Fix")))</f>
        <v>0</v>
      </c>
      <c r="E589" s="3">
        <f>IF(OR(INDEX($L$2:$L$1001,MATCH(ROWS($K$2:K589),$K$2:$K$1001,0),1)&gt;=100000,INDEX($R$1005:$W$1005,1,MATCH(COLUMNS($R$1006:U1006),$R$1006:$W$1006,0))&gt;=100000), " ",IF(INDEX($R$2:$W$1001,MATCH(ROWS($K$2:K589),$K$2:$K$1001,0),MATCH(COLUMNS($R$1006:U1006),$R$1006:$W$1006,0)), HYPERLINK("#",""), HYPERLINK(CONCATENATE("#Metadata!", ADDRESS(INDEX($M$2:$M$1001,MATCH(ROWS($K$2:K589),$K$2:$K$1001,0),0), INDEX($R$1004:$W$1004,1,MATCH(COLUMNS($R$1006:U1006),$R$1006:$W$1006,0)))),"Fix")))</f>
        <v>0</v>
      </c>
      <c r="F589" s="3">
        <f>IF(OR(INDEX($L$2:$L$1001,MATCH(ROWS($K$2:K589),$K$2:$K$1001,0),1)&gt;=100000,INDEX($R$1005:$W$1005,1,MATCH(COLUMNS($R$1006:V1006),$R$1006:$W$1006,0))&gt;=100000), " ",IF(INDEX($R$2:$W$1001,MATCH(ROWS($K$2:K589),$K$2:$K$1001,0),MATCH(COLUMNS($R$1006:V1006),$R$1006:$W$1006,0)), HYPERLINK("#",""), HYPERLINK(CONCATENATE("#Metadata!", ADDRESS(INDEX($M$2:$M$1001,MATCH(ROWS($K$2:K589),$K$2:$K$1001,0),0), INDEX($R$1004:$W$1004,1,MATCH(COLUMNS($R$1006:V1006),$R$1006:$W$1006,0)))),"Fix")))</f>
        <v>0</v>
      </c>
      <c r="G589" s="3">
        <f>IF(OR(INDEX($L$2:$L$1001,MATCH(ROWS($K$2:K589),$K$2:$K$1001,0),1)&gt;=100000,INDEX($R$1005:$W$1005,1,MATCH(COLUMNS($R$1006:W1006),$R$1006:$W$1006,0))&gt;=100000), " ",IF(INDEX($R$2:$W$1001,MATCH(ROWS($K$2:K589),$K$2:$K$1001,0),MATCH(COLUMNS($R$1006:W1006),$R$1006:$W$1006,0)), HYPERLINK("#",""), HYPERLINK(CONCATENATE("#Metadata!", ADDRESS(INDEX($M$2:$M$1001,MATCH(ROWS($K$2:K589),$K$2:$K$1001,0),0), INDEX($R$1004:$W$1004,1,MATCH(COLUMNS($R$1006:W1006),$R$1006:$W$1006,0)))),"Fix")))</f>
        <v>0</v>
      </c>
      <c r="K589">
        <v>0</v>
      </c>
      <c r="L589">
        <v>0</v>
      </c>
      <c r="M589">
        <v>0</v>
      </c>
      <c r="N589">
        <f>IF(O589,TRUE,AND(R589:W589))</f>
        <v>0</v>
      </c>
      <c r="O589">
        <f>COUNTBLANK(Metadata!B589:G589)=COLUMNS(Metadata!B589:G589)</f>
        <v>0</v>
      </c>
      <c r="P589">
        <v>0</v>
      </c>
      <c r="R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S589">
        <f>IF(Metadata!C589="",FALSE,TRUE)</f>
        <v>0</v>
      </c>
      <c r="T589">
        <f>IF(Metadata!D589="",FALSE,TRUE)</f>
        <v>0</v>
      </c>
      <c r="U589">
        <f>IF(Metadata!E589="",FALSE,TRUE)</f>
        <v>0</v>
      </c>
      <c r="V589">
        <f>AND(IF(Metadata!F589="",FALSE,TRUE),exact(Metadata!F589,"rat gut metagenome"))</f>
        <v>0</v>
      </c>
      <c r="W589">
        <f>AND(IF(Metadata!G589="",FALSE,TRUE),exact(Metadata!G589,"1436733"))</f>
        <v>0</v>
      </c>
    </row>
    <row r="590" spans="1:23">
      <c r="A590" s="4">
        <f>IF(B590=" "," ",HYPERLINK(CONCATENATE("#metadata!",ADDRESS(INDEX($M$2:$M$1001,MATCH(ROWS($K$2:K590),$K$2:$K$1001,0),0),1)),INDEX($P$2:$P$1001,MATCH(ROWS($K$2:K590),$K$2:$K$1001,0),0)))</f>
        <v>0</v>
      </c>
      <c r="B590" s="3">
        <f>IF(OR(INDEX($L$2:$L$1001,MATCH(ROWS($K$2:K590),$K$2:$K$1001,0),1)&gt;=100000,INDEX($R$1005:$W$1005,1,MATCH(COLUMNS($R$1006:R1006),$R$1006:$W$1006,0))&gt;=100000), " ",IF(INDEX($R$2:$W$1001,MATCH(ROWS($K$2:K590),$K$2:$K$1001,0),MATCH(COLUMNS($R$1006:R1006),$R$1006:$W$1006,0)), HYPERLINK("#",""), HYPERLINK(CONCATENATE("#Metadata!", ADDRESS(INDEX($M$2:$M$1001,MATCH(ROWS($K$2:K590),$K$2:$K$1001,0),0), INDEX($R$1004:$W$1004,1,MATCH(COLUMNS($R$1006:R1006),$R$1006:$W$1006,0)))),"Fix")))</f>
        <v>0</v>
      </c>
      <c r="C590" s="3">
        <f>IF(OR(INDEX($L$2:$L$1001,MATCH(ROWS($K$2:K590),$K$2:$K$1001,0),1)&gt;=100000,INDEX($R$1005:$W$1005,1,MATCH(COLUMNS($R$1006:S1006),$R$1006:$W$1006,0))&gt;=100000), " ",IF(INDEX($R$2:$W$1001,MATCH(ROWS($K$2:K590),$K$2:$K$1001,0),MATCH(COLUMNS($R$1006:S1006),$R$1006:$W$1006,0)), HYPERLINK("#",""), HYPERLINK(CONCATENATE("#Metadata!", ADDRESS(INDEX($M$2:$M$1001,MATCH(ROWS($K$2:K590),$K$2:$K$1001,0),0), INDEX($R$1004:$W$1004,1,MATCH(COLUMNS($R$1006:S1006),$R$1006:$W$1006,0)))),"Fix")))</f>
        <v>0</v>
      </c>
      <c r="D590" s="3">
        <f>IF(OR(INDEX($L$2:$L$1001,MATCH(ROWS($K$2:K590),$K$2:$K$1001,0),1)&gt;=100000,INDEX($R$1005:$W$1005,1,MATCH(COLUMNS($R$1006:T1006),$R$1006:$W$1006,0))&gt;=100000), " ",IF(INDEX($R$2:$W$1001,MATCH(ROWS($K$2:K590),$K$2:$K$1001,0),MATCH(COLUMNS($R$1006:T1006),$R$1006:$W$1006,0)), HYPERLINK("#",""), HYPERLINK(CONCATENATE("#Metadata!", ADDRESS(INDEX($M$2:$M$1001,MATCH(ROWS($K$2:K590),$K$2:$K$1001,0),0), INDEX($R$1004:$W$1004,1,MATCH(COLUMNS($R$1006:T1006),$R$1006:$W$1006,0)))),"Fix")))</f>
        <v>0</v>
      </c>
      <c r="E590" s="3">
        <f>IF(OR(INDEX($L$2:$L$1001,MATCH(ROWS($K$2:K590),$K$2:$K$1001,0),1)&gt;=100000,INDEX($R$1005:$W$1005,1,MATCH(COLUMNS($R$1006:U1006),$R$1006:$W$1006,0))&gt;=100000), " ",IF(INDEX($R$2:$W$1001,MATCH(ROWS($K$2:K590),$K$2:$K$1001,0),MATCH(COLUMNS($R$1006:U1006),$R$1006:$W$1006,0)), HYPERLINK("#",""), HYPERLINK(CONCATENATE("#Metadata!", ADDRESS(INDEX($M$2:$M$1001,MATCH(ROWS($K$2:K590),$K$2:$K$1001,0),0), INDEX($R$1004:$W$1004,1,MATCH(COLUMNS($R$1006:U1006),$R$1006:$W$1006,0)))),"Fix")))</f>
        <v>0</v>
      </c>
      <c r="F590" s="3">
        <f>IF(OR(INDEX($L$2:$L$1001,MATCH(ROWS($K$2:K590),$K$2:$K$1001,0),1)&gt;=100000,INDEX($R$1005:$W$1005,1,MATCH(COLUMNS($R$1006:V1006),$R$1006:$W$1006,0))&gt;=100000), " ",IF(INDEX($R$2:$W$1001,MATCH(ROWS($K$2:K590),$K$2:$K$1001,0),MATCH(COLUMNS($R$1006:V1006),$R$1006:$W$1006,0)), HYPERLINK("#",""), HYPERLINK(CONCATENATE("#Metadata!", ADDRESS(INDEX($M$2:$M$1001,MATCH(ROWS($K$2:K590),$K$2:$K$1001,0),0), INDEX($R$1004:$W$1004,1,MATCH(COLUMNS($R$1006:V1006),$R$1006:$W$1006,0)))),"Fix")))</f>
        <v>0</v>
      </c>
      <c r="G590" s="3">
        <f>IF(OR(INDEX($L$2:$L$1001,MATCH(ROWS($K$2:K590),$K$2:$K$1001,0),1)&gt;=100000,INDEX($R$1005:$W$1005,1,MATCH(COLUMNS($R$1006:W1006),$R$1006:$W$1006,0))&gt;=100000), " ",IF(INDEX($R$2:$W$1001,MATCH(ROWS($K$2:K590),$K$2:$K$1001,0),MATCH(COLUMNS($R$1006:W1006),$R$1006:$W$1006,0)), HYPERLINK("#",""), HYPERLINK(CONCATENATE("#Metadata!", ADDRESS(INDEX($M$2:$M$1001,MATCH(ROWS($K$2:K590),$K$2:$K$1001,0),0), INDEX($R$1004:$W$1004,1,MATCH(COLUMNS($R$1006:W1006),$R$1006:$W$1006,0)))),"Fix")))</f>
        <v>0</v>
      </c>
      <c r="K590">
        <v>0</v>
      </c>
      <c r="L590">
        <v>0</v>
      </c>
      <c r="M590">
        <v>0</v>
      </c>
      <c r="N590">
        <f>IF(O590,TRUE,AND(R590:W590))</f>
        <v>0</v>
      </c>
      <c r="O590">
        <f>COUNTBLANK(Metadata!B590:G590)=COLUMNS(Metadata!B590:G590)</f>
        <v>0</v>
      </c>
      <c r="P590">
        <v>0</v>
      </c>
      <c r="R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S590">
        <f>IF(Metadata!C590="",FALSE,TRUE)</f>
        <v>0</v>
      </c>
      <c r="T590">
        <f>IF(Metadata!D590="",FALSE,TRUE)</f>
        <v>0</v>
      </c>
      <c r="U590">
        <f>IF(Metadata!E590="",FALSE,TRUE)</f>
        <v>0</v>
      </c>
      <c r="V590">
        <f>AND(IF(Metadata!F590="",FALSE,TRUE),exact(Metadata!F590,"rat gut metagenome"))</f>
        <v>0</v>
      </c>
      <c r="W590">
        <f>AND(IF(Metadata!G590="",FALSE,TRUE),exact(Metadata!G590,"1436733"))</f>
        <v>0</v>
      </c>
    </row>
    <row r="591" spans="1:23">
      <c r="A591" s="4">
        <f>IF(B591=" "," ",HYPERLINK(CONCATENATE("#metadata!",ADDRESS(INDEX($M$2:$M$1001,MATCH(ROWS($K$2:K591),$K$2:$K$1001,0),0),1)),INDEX($P$2:$P$1001,MATCH(ROWS($K$2:K591),$K$2:$K$1001,0),0)))</f>
        <v>0</v>
      </c>
      <c r="B591" s="3">
        <f>IF(OR(INDEX($L$2:$L$1001,MATCH(ROWS($K$2:K591),$K$2:$K$1001,0),1)&gt;=100000,INDEX($R$1005:$W$1005,1,MATCH(COLUMNS($R$1006:R1006),$R$1006:$W$1006,0))&gt;=100000), " ",IF(INDEX($R$2:$W$1001,MATCH(ROWS($K$2:K591),$K$2:$K$1001,0),MATCH(COLUMNS($R$1006:R1006),$R$1006:$W$1006,0)), HYPERLINK("#",""), HYPERLINK(CONCATENATE("#Metadata!", ADDRESS(INDEX($M$2:$M$1001,MATCH(ROWS($K$2:K591),$K$2:$K$1001,0),0), INDEX($R$1004:$W$1004,1,MATCH(COLUMNS($R$1006:R1006),$R$1006:$W$1006,0)))),"Fix")))</f>
        <v>0</v>
      </c>
      <c r="C591" s="3">
        <f>IF(OR(INDEX($L$2:$L$1001,MATCH(ROWS($K$2:K591),$K$2:$K$1001,0),1)&gt;=100000,INDEX($R$1005:$W$1005,1,MATCH(COLUMNS($R$1006:S1006),$R$1006:$W$1006,0))&gt;=100000), " ",IF(INDEX($R$2:$W$1001,MATCH(ROWS($K$2:K591),$K$2:$K$1001,0),MATCH(COLUMNS($R$1006:S1006),$R$1006:$W$1006,0)), HYPERLINK("#",""), HYPERLINK(CONCATENATE("#Metadata!", ADDRESS(INDEX($M$2:$M$1001,MATCH(ROWS($K$2:K591),$K$2:$K$1001,0),0), INDEX($R$1004:$W$1004,1,MATCH(COLUMNS($R$1006:S1006),$R$1006:$W$1006,0)))),"Fix")))</f>
        <v>0</v>
      </c>
      <c r="D591" s="3">
        <f>IF(OR(INDEX($L$2:$L$1001,MATCH(ROWS($K$2:K591),$K$2:$K$1001,0),1)&gt;=100000,INDEX($R$1005:$W$1005,1,MATCH(COLUMNS($R$1006:T1006),$R$1006:$W$1006,0))&gt;=100000), " ",IF(INDEX($R$2:$W$1001,MATCH(ROWS($K$2:K591),$K$2:$K$1001,0),MATCH(COLUMNS($R$1006:T1006),$R$1006:$W$1006,0)), HYPERLINK("#",""), HYPERLINK(CONCATENATE("#Metadata!", ADDRESS(INDEX($M$2:$M$1001,MATCH(ROWS($K$2:K591),$K$2:$K$1001,0),0), INDEX($R$1004:$W$1004,1,MATCH(COLUMNS($R$1006:T1006),$R$1006:$W$1006,0)))),"Fix")))</f>
        <v>0</v>
      </c>
      <c r="E591" s="3">
        <f>IF(OR(INDEX($L$2:$L$1001,MATCH(ROWS($K$2:K591),$K$2:$K$1001,0),1)&gt;=100000,INDEX($R$1005:$W$1005,1,MATCH(COLUMNS($R$1006:U1006),$R$1006:$W$1006,0))&gt;=100000), " ",IF(INDEX($R$2:$W$1001,MATCH(ROWS($K$2:K591),$K$2:$K$1001,0),MATCH(COLUMNS($R$1006:U1006),$R$1006:$W$1006,0)), HYPERLINK("#",""), HYPERLINK(CONCATENATE("#Metadata!", ADDRESS(INDEX($M$2:$M$1001,MATCH(ROWS($K$2:K591),$K$2:$K$1001,0),0), INDEX($R$1004:$W$1004,1,MATCH(COLUMNS($R$1006:U1006),$R$1006:$W$1006,0)))),"Fix")))</f>
        <v>0</v>
      </c>
      <c r="F591" s="3">
        <f>IF(OR(INDEX($L$2:$L$1001,MATCH(ROWS($K$2:K591),$K$2:$K$1001,0),1)&gt;=100000,INDEX($R$1005:$W$1005,1,MATCH(COLUMNS($R$1006:V1006),$R$1006:$W$1006,0))&gt;=100000), " ",IF(INDEX($R$2:$W$1001,MATCH(ROWS($K$2:K591),$K$2:$K$1001,0),MATCH(COLUMNS($R$1006:V1006),$R$1006:$W$1006,0)), HYPERLINK("#",""), HYPERLINK(CONCATENATE("#Metadata!", ADDRESS(INDEX($M$2:$M$1001,MATCH(ROWS($K$2:K591),$K$2:$K$1001,0),0), INDEX($R$1004:$W$1004,1,MATCH(COLUMNS($R$1006:V1006),$R$1006:$W$1006,0)))),"Fix")))</f>
        <v>0</v>
      </c>
      <c r="G591" s="3">
        <f>IF(OR(INDEX($L$2:$L$1001,MATCH(ROWS($K$2:K591),$K$2:$K$1001,0),1)&gt;=100000,INDEX($R$1005:$W$1005,1,MATCH(COLUMNS($R$1006:W1006),$R$1006:$W$1006,0))&gt;=100000), " ",IF(INDEX($R$2:$W$1001,MATCH(ROWS($K$2:K591),$K$2:$K$1001,0),MATCH(COLUMNS($R$1006:W1006),$R$1006:$W$1006,0)), HYPERLINK("#",""), HYPERLINK(CONCATENATE("#Metadata!", ADDRESS(INDEX($M$2:$M$1001,MATCH(ROWS($K$2:K591),$K$2:$K$1001,0),0), INDEX($R$1004:$W$1004,1,MATCH(COLUMNS($R$1006:W1006),$R$1006:$W$1006,0)))),"Fix")))</f>
        <v>0</v>
      </c>
      <c r="K591">
        <v>0</v>
      </c>
      <c r="L591">
        <v>0</v>
      </c>
      <c r="M591">
        <v>0</v>
      </c>
      <c r="N591">
        <f>IF(O591,TRUE,AND(R591:W591))</f>
        <v>0</v>
      </c>
      <c r="O591">
        <f>COUNTBLANK(Metadata!B591:G591)=COLUMNS(Metadata!B591:G591)</f>
        <v>0</v>
      </c>
      <c r="P591">
        <v>0</v>
      </c>
      <c r="R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S591">
        <f>IF(Metadata!C591="",FALSE,TRUE)</f>
        <v>0</v>
      </c>
      <c r="T591">
        <f>IF(Metadata!D591="",FALSE,TRUE)</f>
        <v>0</v>
      </c>
      <c r="U591">
        <f>IF(Metadata!E591="",FALSE,TRUE)</f>
        <v>0</v>
      </c>
      <c r="V591">
        <f>AND(IF(Metadata!F591="",FALSE,TRUE),exact(Metadata!F591,"rat gut metagenome"))</f>
        <v>0</v>
      </c>
      <c r="W591">
        <f>AND(IF(Metadata!G591="",FALSE,TRUE),exact(Metadata!G591,"1436733"))</f>
        <v>0</v>
      </c>
    </row>
    <row r="592" spans="1:23">
      <c r="A592" s="4">
        <f>IF(B592=" "," ",HYPERLINK(CONCATENATE("#metadata!",ADDRESS(INDEX($M$2:$M$1001,MATCH(ROWS($K$2:K592),$K$2:$K$1001,0),0),1)),INDEX($P$2:$P$1001,MATCH(ROWS($K$2:K592),$K$2:$K$1001,0),0)))</f>
        <v>0</v>
      </c>
      <c r="B592" s="3">
        <f>IF(OR(INDEX($L$2:$L$1001,MATCH(ROWS($K$2:K592),$K$2:$K$1001,0),1)&gt;=100000,INDEX($R$1005:$W$1005,1,MATCH(COLUMNS($R$1006:R1006),$R$1006:$W$1006,0))&gt;=100000), " ",IF(INDEX($R$2:$W$1001,MATCH(ROWS($K$2:K592),$K$2:$K$1001,0),MATCH(COLUMNS($R$1006:R1006),$R$1006:$W$1006,0)), HYPERLINK("#",""), HYPERLINK(CONCATENATE("#Metadata!", ADDRESS(INDEX($M$2:$M$1001,MATCH(ROWS($K$2:K592),$K$2:$K$1001,0),0), INDEX($R$1004:$W$1004,1,MATCH(COLUMNS($R$1006:R1006),$R$1006:$W$1006,0)))),"Fix")))</f>
        <v>0</v>
      </c>
      <c r="C592" s="3">
        <f>IF(OR(INDEX($L$2:$L$1001,MATCH(ROWS($K$2:K592),$K$2:$K$1001,0),1)&gt;=100000,INDEX($R$1005:$W$1005,1,MATCH(COLUMNS($R$1006:S1006),$R$1006:$W$1006,0))&gt;=100000), " ",IF(INDEX($R$2:$W$1001,MATCH(ROWS($K$2:K592),$K$2:$K$1001,0),MATCH(COLUMNS($R$1006:S1006),$R$1006:$W$1006,0)), HYPERLINK("#",""), HYPERLINK(CONCATENATE("#Metadata!", ADDRESS(INDEX($M$2:$M$1001,MATCH(ROWS($K$2:K592),$K$2:$K$1001,0),0), INDEX($R$1004:$W$1004,1,MATCH(COLUMNS($R$1006:S1006),$R$1006:$W$1006,0)))),"Fix")))</f>
        <v>0</v>
      </c>
      <c r="D592" s="3">
        <f>IF(OR(INDEX($L$2:$L$1001,MATCH(ROWS($K$2:K592),$K$2:$K$1001,0),1)&gt;=100000,INDEX($R$1005:$W$1005,1,MATCH(COLUMNS($R$1006:T1006),$R$1006:$W$1006,0))&gt;=100000), " ",IF(INDEX($R$2:$W$1001,MATCH(ROWS($K$2:K592),$K$2:$K$1001,0),MATCH(COLUMNS($R$1006:T1006),$R$1006:$W$1006,0)), HYPERLINK("#",""), HYPERLINK(CONCATENATE("#Metadata!", ADDRESS(INDEX($M$2:$M$1001,MATCH(ROWS($K$2:K592),$K$2:$K$1001,0),0), INDEX($R$1004:$W$1004,1,MATCH(COLUMNS($R$1006:T1006),$R$1006:$W$1006,0)))),"Fix")))</f>
        <v>0</v>
      </c>
      <c r="E592" s="3">
        <f>IF(OR(INDEX($L$2:$L$1001,MATCH(ROWS($K$2:K592),$K$2:$K$1001,0),1)&gt;=100000,INDEX($R$1005:$W$1005,1,MATCH(COLUMNS($R$1006:U1006),$R$1006:$W$1006,0))&gt;=100000), " ",IF(INDEX($R$2:$W$1001,MATCH(ROWS($K$2:K592),$K$2:$K$1001,0),MATCH(COLUMNS($R$1006:U1006),$R$1006:$W$1006,0)), HYPERLINK("#",""), HYPERLINK(CONCATENATE("#Metadata!", ADDRESS(INDEX($M$2:$M$1001,MATCH(ROWS($K$2:K592),$K$2:$K$1001,0),0), INDEX($R$1004:$W$1004,1,MATCH(COLUMNS($R$1006:U1006),$R$1006:$W$1006,0)))),"Fix")))</f>
        <v>0</v>
      </c>
      <c r="F592" s="3">
        <f>IF(OR(INDEX($L$2:$L$1001,MATCH(ROWS($K$2:K592),$K$2:$K$1001,0),1)&gt;=100000,INDEX($R$1005:$W$1005,1,MATCH(COLUMNS($R$1006:V1006),$R$1006:$W$1006,0))&gt;=100000), " ",IF(INDEX($R$2:$W$1001,MATCH(ROWS($K$2:K592),$K$2:$K$1001,0),MATCH(COLUMNS($R$1006:V1006),$R$1006:$W$1006,0)), HYPERLINK("#",""), HYPERLINK(CONCATENATE("#Metadata!", ADDRESS(INDEX($M$2:$M$1001,MATCH(ROWS($K$2:K592),$K$2:$K$1001,0),0), INDEX($R$1004:$W$1004,1,MATCH(COLUMNS($R$1006:V1006),$R$1006:$W$1006,0)))),"Fix")))</f>
        <v>0</v>
      </c>
      <c r="G592" s="3">
        <f>IF(OR(INDEX($L$2:$L$1001,MATCH(ROWS($K$2:K592),$K$2:$K$1001,0),1)&gt;=100000,INDEX($R$1005:$W$1005,1,MATCH(COLUMNS($R$1006:W1006),$R$1006:$W$1006,0))&gt;=100000), " ",IF(INDEX($R$2:$W$1001,MATCH(ROWS($K$2:K592),$K$2:$K$1001,0),MATCH(COLUMNS($R$1006:W1006),$R$1006:$W$1006,0)), HYPERLINK("#",""), HYPERLINK(CONCATENATE("#Metadata!", ADDRESS(INDEX($M$2:$M$1001,MATCH(ROWS($K$2:K592),$K$2:$K$1001,0),0), INDEX($R$1004:$W$1004,1,MATCH(COLUMNS($R$1006:W1006),$R$1006:$W$1006,0)))),"Fix")))</f>
        <v>0</v>
      </c>
      <c r="K592">
        <v>0</v>
      </c>
      <c r="L592">
        <v>0</v>
      </c>
      <c r="M592">
        <v>0</v>
      </c>
      <c r="N592">
        <f>IF(O592,TRUE,AND(R592:W592))</f>
        <v>0</v>
      </c>
      <c r="O592">
        <f>COUNTBLANK(Metadata!B592:G592)=COLUMNS(Metadata!B592:G592)</f>
        <v>0</v>
      </c>
      <c r="P592">
        <v>0</v>
      </c>
      <c r="R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S592">
        <f>IF(Metadata!C592="",FALSE,TRUE)</f>
        <v>0</v>
      </c>
      <c r="T592">
        <f>IF(Metadata!D592="",FALSE,TRUE)</f>
        <v>0</v>
      </c>
      <c r="U592">
        <f>IF(Metadata!E592="",FALSE,TRUE)</f>
        <v>0</v>
      </c>
      <c r="V592">
        <f>AND(IF(Metadata!F592="",FALSE,TRUE),exact(Metadata!F592,"rat gut metagenome"))</f>
        <v>0</v>
      </c>
      <c r="W592">
        <f>AND(IF(Metadata!G592="",FALSE,TRUE),exact(Metadata!G592,"1436733"))</f>
        <v>0</v>
      </c>
    </row>
    <row r="593" spans="1:23">
      <c r="A593" s="4">
        <f>IF(B593=" "," ",HYPERLINK(CONCATENATE("#metadata!",ADDRESS(INDEX($M$2:$M$1001,MATCH(ROWS($K$2:K593),$K$2:$K$1001,0),0),1)),INDEX($P$2:$P$1001,MATCH(ROWS($K$2:K593),$K$2:$K$1001,0),0)))</f>
        <v>0</v>
      </c>
      <c r="B593" s="3">
        <f>IF(OR(INDEX($L$2:$L$1001,MATCH(ROWS($K$2:K593),$K$2:$K$1001,0),1)&gt;=100000,INDEX($R$1005:$W$1005,1,MATCH(COLUMNS($R$1006:R1006),$R$1006:$W$1006,0))&gt;=100000), " ",IF(INDEX($R$2:$W$1001,MATCH(ROWS($K$2:K593),$K$2:$K$1001,0),MATCH(COLUMNS($R$1006:R1006),$R$1006:$W$1006,0)), HYPERLINK("#",""), HYPERLINK(CONCATENATE("#Metadata!", ADDRESS(INDEX($M$2:$M$1001,MATCH(ROWS($K$2:K593),$K$2:$K$1001,0),0), INDEX($R$1004:$W$1004,1,MATCH(COLUMNS($R$1006:R1006),$R$1006:$W$1006,0)))),"Fix")))</f>
        <v>0</v>
      </c>
      <c r="C593" s="3">
        <f>IF(OR(INDEX($L$2:$L$1001,MATCH(ROWS($K$2:K593),$K$2:$K$1001,0),1)&gt;=100000,INDEX($R$1005:$W$1005,1,MATCH(COLUMNS($R$1006:S1006),$R$1006:$W$1006,0))&gt;=100000), " ",IF(INDEX($R$2:$W$1001,MATCH(ROWS($K$2:K593),$K$2:$K$1001,0),MATCH(COLUMNS($R$1006:S1006),$R$1006:$W$1006,0)), HYPERLINK("#",""), HYPERLINK(CONCATENATE("#Metadata!", ADDRESS(INDEX($M$2:$M$1001,MATCH(ROWS($K$2:K593),$K$2:$K$1001,0),0), INDEX($R$1004:$W$1004,1,MATCH(COLUMNS($R$1006:S1006),$R$1006:$W$1006,0)))),"Fix")))</f>
        <v>0</v>
      </c>
      <c r="D593" s="3">
        <f>IF(OR(INDEX($L$2:$L$1001,MATCH(ROWS($K$2:K593),$K$2:$K$1001,0),1)&gt;=100000,INDEX($R$1005:$W$1005,1,MATCH(COLUMNS($R$1006:T1006),$R$1006:$W$1006,0))&gt;=100000), " ",IF(INDEX($R$2:$W$1001,MATCH(ROWS($K$2:K593),$K$2:$K$1001,0),MATCH(COLUMNS($R$1006:T1006),$R$1006:$W$1006,0)), HYPERLINK("#",""), HYPERLINK(CONCATENATE("#Metadata!", ADDRESS(INDEX($M$2:$M$1001,MATCH(ROWS($K$2:K593),$K$2:$K$1001,0),0), INDEX($R$1004:$W$1004,1,MATCH(COLUMNS($R$1006:T1006),$R$1006:$W$1006,0)))),"Fix")))</f>
        <v>0</v>
      </c>
      <c r="E593" s="3">
        <f>IF(OR(INDEX($L$2:$L$1001,MATCH(ROWS($K$2:K593),$K$2:$K$1001,0),1)&gt;=100000,INDEX($R$1005:$W$1005,1,MATCH(COLUMNS($R$1006:U1006),$R$1006:$W$1006,0))&gt;=100000), " ",IF(INDEX($R$2:$W$1001,MATCH(ROWS($K$2:K593),$K$2:$K$1001,0),MATCH(COLUMNS($R$1006:U1006),$R$1006:$W$1006,0)), HYPERLINK("#",""), HYPERLINK(CONCATENATE("#Metadata!", ADDRESS(INDEX($M$2:$M$1001,MATCH(ROWS($K$2:K593),$K$2:$K$1001,0),0), INDEX($R$1004:$W$1004,1,MATCH(COLUMNS($R$1006:U1006),$R$1006:$W$1006,0)))),"Fix")))</f>
        <v>0</v>
      </c>
      <c r="F593" s="3">
        <f>IF(OR(INDEX($L$2:$L$1001,MATCH(ROWS($K$2:K593),$K$2:$K$1001,0),1)&gt;=100000,INDEX($R$1005:$W$1005,1,MATCH(COLUMNS($R$1006:V1006),$R$1006:$W$1006,0))&gt;=100000), " ",IF(INDEX($R$2:$W$1001,MATCH(ROWS($K$2:K593),$K$2:$K$1001,0),MATCH(COLUMNS($R$1006:V1006),$R$1006:$W$1006,0)), HYPERLINK("#",""), HYPERLINK(CONCATENATE("#Metadata!", ADDRESS(INDEX($M$2:$M$1001,MATCH(ROWS($K$2:K593),$K$2:$K$1001,0),0), INDEX($R$1004:$W$1004,1,MATCH(COLUMNS($R$1006:V1006),$R$1006:$W$1006,0)))),"Fix")))</f>
        <v>0</v>
      </c>
      <c r="G593" s="3">
        <f>IF(OR(INDEX($L$2:$L$1001,MATCH(ROWS($K$2:K593),$K$2:$K$1001,0),1)&gt;=100000,INDEX($R$1005:$W$1005,1,MATCH(COLUMNS($R$1006:W1006),$R$1006:$W$1006,0))&gt;=100000), " ",IF(INDEX($R$2:$W$1001,MATCH(ROWS($K$2:K593),$K$2:$K$1001,0),MATCH(COLUMNS($R$1006:W1006),$R$1006:$W$1006,0)), HYPERLINK("#",""), HYPERLINK(CONCATENATE("#Metadata!", ADDRESS(INDEX($M$2:$M$1001,MATCH(ROWS($K$2:K593),$K$2:$K$1001,0),0), INDEX($R$1004:$W$1004,1,MATCH(COLUMNS($R$1006:W1006),$R$1006:$W$1006,0)))),"Fix")))</f>
        <v>0</v>
      </c>
      <c r="K593">
        <v>0</v>
      </c>
      <c r="L593">
        <v>0</v>
      </c>
      <c r="M593">
        <v>0</v>
      </c>
      <c r="N593">
        <f>IF(O593,TRUE,AND(R593:W593))</f>
        <v>0</v>
      </c>
      <c r="O593">
        <f>COUNTBLANK(Metadata!B593:G593)=COLUMNS(Metadata!B593:G593)</f>
        <v>0</v>
      </c>
      <c r="P593">
        <v>0</v>
      </c>
      <c r="R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S593">
        <f>IF(Metadata!C593="",FALSE,TRUE)</f>
        <v>0</v>
      </c>
      <c r="T593">
        <f>IF(Metadata!D593="",FALSE,TRUE)</f>
        <v>0</v>
      </c>
      <c r="U593">
        <f>IF(Metadata!E593="",FALSE,TRUE)</f>
        <v>0</v>
      </c>
      <c r="V593">
        <f>AND(IF(Metadata!F593="",FALSE,TRUE),exact(Metadata!F593,"rat gut metagenome"))</f>
        <v>0</v>
      </c>
      <c r="W593">
        <f>AND(IF(Metadata!G593="",FALSE,TRUE),exact(Metadata!G593,"1436733"))</f>
        <v>0</v>
      </c>
    </row>
    <row r="594" spans="1:23">
      <c r="A594" s="4">
        <f>IF(B594=" "," ",HYPERLINK(CONCATENATE("#metadata!",ADDRESS(INDEX($M$2:$M$1001,MATCH(ROWS($K$2:K594),$K$2:$K$1001,0),0),1)),INDEX($P$2:$P$1001,MATCH(ROWS($K$2:K594),$K$2:$K$1001,0),0)))</f>
        <v>0</v>
      </c>
      <c r="B594" s="3">
        <f>IF(OR(INDEX($L$2:$L$1001,MATCH(ROWS($K$2:K594),$K$2:$K$1001,0),1)&gt;=100000,INDEX($R$1005:$W$1005,1,MATCH(COLUMNS($R$1006:R1006),$R$1006:$W$1006,0))&gt;=100000), " ",IF(INDEX($R$2:$W$1001,MATCH(ROWS($K$2:K594),$K$2:$K$1001,0),MATCH(COLUMNS($R$1006:R1006),$R$1006:$W$1006,0)), HYPERLINK("#",""), HYPERLINK(CONCATENATE("#Metadata!", ADDRESS(INDEX($M$2:$M$1001,MATCH(ROWS($K$2:K594),$K$2:$K$1001,0),0), INDEX($R$1004:$W$1004,1,MATCH(COLUMNS($R$1006:R1006),$R$1006:$W$1006,0)))),"Fix")))</f>
        <v>0</v>
      </c>
      <c r="C594" s="3">
        <f>IF(OR(INDEX($L$2:$L$1001,MATCH(ROWS($K$2:K594),$K$2:$K$1001,0),1)&gt;=100000,INDEX($R$1005:$W$1005,1,MATCH(COLUMNS($R$1006:S1006),$R$1006:$W$1006,0))&gt;=100000), " ",IF(INDEX($R$2:$W$1001,MATCH(ROWS($K$2:K594),$K$2:$K$1001,0),MATCH(COLUMNS($R$1006:S1006),$R$1006:$W$1006,0)), HYPERLINK("#",""), HYPERLINK(CONCATENATE("#Metadata!", ADDRESS(INDEX($M$2:$M$1001,MATCH(ROWS($K$2:K594),$K$2:$K$1001,0),0), INDEX($R$1004:$W$1004,1,MATCH(COLUMNS($R$1006:S1006),$R$1006:$W$1006,0)))),"Fix")))</f>
        <v>0</v>
      </c>
      <c r="D594" s="3">
        <f>IF(OR(INDEX($L$2:$L$1001,MATCH(ROWS($K$2:K594),$K$2:$K$1001,0),1)&gt;=100000,INDEX($R$1005:$W$1005,1,MATCH(COLUMNS($R$1006:T1006),$R$1006:$W$1006,0))&gt;=100000), " ",IF(INDEX($R$2:$W$1001,MATCH(ROWS($K$2:K594),$K$2:$K$1001,0),MATCH(COLUMNS($R$1006:T1006),$R$1006:$W$1006,0)), HYPERLINK("#",""), HYPERLINK(CONCATENATE("#Metadata!", ADDRESS(INDEX($M$2:$M$1001,MATCH(ROWS($K$2:K594),$K$2:$K$1001,0),0), INDEX($R$1004:$W$1004,1,MATCH(COLUMNS($R$1006:T1006),$R$1006:$W$1006,0)))),"Fix")))</f>
        <v>0</v>
      </c>
      <c r="E594" s="3">
        <f>IF(OR(INDEX($L$2:$L$1001,MATCH(ROWS($K$2:K594),$K$2:$K$1001,0),1)&gt;=100000,INDEX($R$1005:$W$1005,1,MATCH(COLUMNS($R$1006:U1006),$R$1006:$W$1006,0))&gt;=100000), " ",IF(INDEX($R$2:$W$1001,MATCH(ROWS($K$2:K594),$K$2:$K$1001,0),MATCH(COLUMNS($R$1006:U1006),$R$1006:$W$1006,0)), HYPERLINK("#",""), HYPERLINK(CONCATENATE("#Metadata!", ADDRESS(INDEX($M$2:$M$1001,MATCH(ROWS($K$2:K594),$K$2:$K$1001,0),0), INDEX($R$1004:$W$1004,1,MATCH(COLUMNS($R$1006:U1006),$R$1006:$W$1006,0)))),"Fix")))</f>
        <v>0</v>
      </c>
      <c r="F594" s="3">
        <f>IF(OR(INDEX($L$2:$L$1001,MATCH(ROWS($K$2:K594),$K$2:$K$1001,0),1)&gt;=100000,INDEX($R$1005:$W$1005,1,MATCH(COLUMNS($R$1006:V1006),$R$1006:$W$1006,0))&gt;=100000), " ",IF(INDEX($R$2:$W$1001,MATCH(ROWS($K$2:K594),$K$2:$K$1001,0),MATCH(COLUMNS($R$1006:V1006),$R$1006:$W$1006,0)), HYPERLINK("#",""), HYPERLINK(CONCATENATE("#Metadata!", ADDRESS(INDEX($M$2:$M$1001,MATCH(ROWS($K$2:K594),$K$2:$K$1001,0),0), INDEX($R$1004:$W$1004,1,MATCH(COLUMNS($R$1006:V1006),$R$1006:$W$1006,0)))),"Fix")))</f>
        <v>0</v>
      </c>
      <c r="G594" s="3">
        <f>IF(OR(INDEX($L$2:$L$1001,MATCH(ROWS($K$2:K594),$K$2:$K$1001,0),1)&gt;=100000,INDEX($R$1005:$W$1005,1,MATCH(COLUMNS($R$1006:W1006),$R$1006:$W$1006,0))&gt;=100000), " ",IF(INDEX($R$2:$W$1001,MATCH(ROWS($K$2:K594),$K$2:$K$1001,0),MATCH(COLUMNS($R$1006:W1006),$R$1006:$W$1006,0)), HYPERLINK("#",""), HYPERLINK(CONCATENATE("#Metadata!", ADDRESS(INDEX($M$2:$M$1001,MATCH(ROWS($K$2:K594),$K$2:$K$1001,0),0), INDEX($R$1004:$W$1004,1,MATCH(COLUMNS($R$1006:W1006),$R$1006:$W$1006,0)))),"Fix")))</f>
        <v>0</v>
      </c>
      <c r="K594">
        <v>0</v>
      </c>
      <c r="L594">
        <v>0</v>
      </c>
      <c r="M594">
        <v>0</v>
      </c>
      <c r="N594">
        <f>IF(O594,TRUE,AND(R594:W594))</f>
        <v>0</v>
      </c>
      <c r="O594">
        <f>COUNTBLANK(Metadata!B594:G594)=COLUMNS(Metadata!B594:G594)</f>
        <v>0</v>
      </c>
      <c r="P594">
        <v>0</v>
      </c>
      <c r="R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S594">
        <f>IF(Metadata!C594="",FALSE,TRUE)</f>
        <v>0</v>
      </c>
      <c r="T594">
        <f>IF(Metadata!D594="",FALSE,TRUE)</f>
        <v>0</v>
      </c>
      <c r="U594">
        <f>IF(Metadata!E594="",FALSE,TRUE)</f>
        <v>0</v>
      </c>
      <c r="V594">
        <f>AND(IF(Metadata!F594="",FALSE,TRUE),exact(Metadata!F594,"rat gut metagenome"))</f>
        <v>0</v>
      </c>
      <c r="W594">
        <f>AND(IF(Metadata!G594="",FALSE,TRUE),exact(Metadata!G594,"1436733"))</f>
        <v>0</v>
      </c>
    </row>
    <row r="595" spans="1:23">
      <c r="A595" s="4">
        <f>IF(B595=" "," ",HYPERLINK(CONCATENATE("#metadata!",ADDRESS(INDEX($M$2:$M$1001,MATCH(ROWS($K$2:K595),$K$2:$K$1001,0),0),1)),INDEX($P$2:$P$1001,MATCH(ROWS($K$2:K595),$K$2:$K$1001,0),0)))</f>
        <v>0</v>
      </c>
      <c r="B595" s="3">
        <f>IF(OR(INDEX($L$2:$L$1001,MATCH(ROWS($K$2:K595),$K$2:$K$1001,0),1)&gt;=100000,INDEX($R$1005:$W$1005,1,MATCH(COLUMNS($R$1006:R1006),$R$1006:$W$1006,0))&gt;=100000), " ",IF(INDEX($R$2:$W$1001,MATCH(ROWS($K$2:K595),$K$2:$K$1001,0),MATCH(COLUMNS($R$1006:R1006),$R$1006:$W$1006,0)), HYPERLINK("#",""), HYPERLINK(CONCATENATE("#Metadata!", ADDRESS(INDEX($M$2:$M$1001,MATCH(ROWS($K$2:K595),$K$2:$K$1001,0),0), INDEX($R$1004:$W$1004,1,MATCH(COLUMNS($R$1006:R1006),$R$1006:$W$1006,0)))),"Fix")))</f>
        <v>0</v>
      </c>
      <c r="C595" s="3">
        <f>IF(OR(INDEX($L$2:$L$1001,MATCH(ROWS($K$2:K595),$K$2:$K$1001,0),1)&gt;=100000,INDEX($R$1005:$W$1005,1,MATCH(COLUMNS($R$1006:S1006),$R$1006:$W$1006,0))&gt;=100000), " ",IF(INDEX($R$2:$W$1001,MATCH(ROWS($K$2:K595),$K$2:$K$1001,0),MATCH(COLUMNS($R$1006:S1006),$R$1006:$W$1006,0)), HYPERLINK("#",""), HYPERLINK(CONCATENATE("#Metadata!", ADDRESS(INDEX($M$2:$M$1001,MATCH(ROWS($K$2:K595),$K$2:$K$1001,0),0), INDEX($R$1004:$W$1004,1,MATCH(COLUMNS($R$1006:S1006),$R$1006:$W$1006,0)))),"Fix")))</f>
        <v>0</v>
      </c>
      <c r="D595" s="3">
        <f>IF(OR(INDEX($L$2:$L$1001,MATCH(ROWS($K$2:K595),$K$2:$K$1001,0),1)&gt;=100000,INDEX($R$1005:$W$1005,1,MATCH(COLUMNS($R$1006:T1006),$R$1006:$W$1006,0))&gt;=100000), " ",IF(INDEX($R$2:$W$1001,MATCH(ROWS($K$2:K595),$K$2:$K$1001,0),MATCH(COLUMNS($R$1006:T1006),$R$1006:$W$1006,0)), HYPERLINK("#",""), HYPERLINK(CONCATENATE("#Metadata!", ADDRESS(INDEX($M$2:$M$1001,MATCH(ROWS($K$2:K595),$K$2:$K$1001,0),0), INDEX($R$1004:$W$1004,1,MATCH(COLUMNS($R$1006:T1006),$R$1006:$W$1006,0)))),"Fix")))</f>
        <v>0</v>
      </c>
      <c r="E595" s="3">
        <f>IF(OR(INDEX($L$2:$L$1001,MATCH(ROWS($K$2:K595),$K$2:$K$1001,0),1)&gt;=100000,INDEX($R$1005:$W$1005,1,MATCH(COLUMNS($R$1006:U1006),$R$1006:$W$1006,0))&gt;=100000), " ",IF(INDEX($R$2:$W$1001,MATCH(ROWS($K$2:K595),$K$2:$K$1001,0),MATCH(COLUMNS($R$1006:U1006),$R$1006:$W$1006,0)), HYPERLINK("#",""), HYPERLINK(CONCATENATE("#Metadata!", ADDRESS(INDEX($M$2:$M$1001,MATCH(ROWS($K$2:K595),$K$2:$K$1001,0),0), INDEX($R$1004:$W$1004,1,MATCH(COLUMNS($R$1006:U1006),$R$1006:$W$1006,0)))),"Fix")))</f>
        <v>0</v>
      </c>
      <c r="F595" s="3">
        <f>IF(OR(INDEX($L$2:$L$1001,MATCH(ROWS($K$2:K595),$K$2:$K$1001,0),1)&gt;=100000,INDEX($R$1005:$W$1005,1,MATCH(COLUMNS($R$1006:V1006),$R$1006:$W$1006,0))&gt;=100000), " ",IF(INDEX($R$2:$W$1001,MATCH(ROWS($K$2:K595),$K$2:$K$1001,0),MATCH(COLUMNS($R$1006:V1006),$R$1006:$W$1006,0)), HYPERLINK("#",""), HYPERLINK(CONCATENATE("#Metadata!", ADDRESS(INDEX($M$2:$M$1001,MATCH(ROWS($K$2:K595),$K$2:$K$1001,0),0), INDEX($R$1004:$W$1004,1,MATCH(COLUMNS($R$1006:V1006),$R$1006:$W$1006,0)))),"Fix")))</f>
        <v>0</v>
      </c>
      <c r="G595" s="3">
        <f>IF(OR(INDEX($L$2:$L$1001,MATCH(ROWS($K$2:K595),$K$2:$K$1001,0),1)&gt;=100000,INDEX($R$1005:$W$1005,1,MATCH(COLUMNS($R$1006:W1006),$R$1006:$W$1006,0))&gt;=100000), " ",IF(INDEX($R$2:$W$1001,MATCH(ROWS($K$2:K595),$K$2:$K$1001,0),MATCH(COLUMNS($R$1006:W1006),$R$1006:$W$1006,0)), HYPERLINK("#",""), HYPERLINK(CONCATENATE("#Metadata!", ADDRESS(INDEX($M$2:$M$1001,MATCH(ROWS($K$2:K595),$K$2:$K$1001,0),0), INDEX($R$1004:$W$1004,1,MATCH(COLUMNS($R$1006:W1006),$R$1006:$W$1006,0)))),"Fix")))</f>
        <v>0</v>
      </c>
      <c r="K595">
        <v>0</v>
      </c>
      <c r="L595">
        <v>0</v>
      </c>
      <c r="M595">
        <v>0</v>
      </c>
      <c r="N595">
        <f>IF(O595,TRUE,AND(R595:W595))</f>
        <v>0</v>
      </c>
      <c r="O595">
        <f>COUNTBLANK(Metadata!B595:G595)=COLUMNS(Metadata!B595:G595)</f>
        <v>0</v>
      </c>
      <c r="P595">
        <v>0</v>
      </c>
      <c r="R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S595">
        <f>IF(Metadata!C595="",FALSE,TRUE)</f>
        <v>0</v>
      </c>
      <c r="T595">
        <f>IF(Metadata!D595="",FALSE,TRUE)</f>
        <v>0</v>
      </c>
      <c r="U595">
        <f>IF(Metadata!E595="",FALSE,TRUE)</f>
        <v>0</v>
      </c>
      <c r="V595">
        <f>AND(IF(Metadata!F595="",FALSE,TRUE),exact(Metadata!F595,"rat gut metagenome"))</f>
        <v>0</v>
      </c>
      <c r="W595">
        <f>AND(IF(Metadata!G595="",FALSE,TRUE),exact(Metadata!G595,"1436733"))</f>
        <v>0</v>
      </c>
    </row>
    <row r="596" spans="1:23">
      <c r="A596" s="4">
        <f>IF(B596=" "," ",HYPERLINK(CONCATENATE("#metadata!",ADDRESS(INDEX($M$2:$M$1001,MATCH(ROWS($K$2:K596),$K$2:$K$1001,0),0),1)),INDEX($P$2:$P$1001,MATCH(ROWS($K$2:K596),$K$2:$K$1001,0),0)))</f>
        <v>0</v>
      </c>
      <c r="B596" s="3">
        <f>IF(OR(INDEX($L$2:$L$1001,MATCH(ROWS($K$2:K596),$K$2:$K$1001,0),1)&gt;=100000,INDEX($R$1005:$W$1005,1,MATCH(COLUMNS($R$1006:R1006),$R$1006:$W$1006,0))&gt;=100000), " ",IF(INDEX($R$2:$W$1001,MATCH(ROWS($K$2:K596),$K$2:$K$1001,0),MATCH(COLUMNS($R$1006:R1006),$R$1006:$W$1006,0)), HYPERLINK("#",""), HYPERLINK(CONCATENATE("#Metadata!", ADDRESS(INDEX($M$2:$M$1001,MATCH(ROWS($K$2:K596),$K$2:$K$1001,0),0), INDEX($R$1004:$W$1004,1,MATCH(COLUMNS($R$1006:R1006),$R$1006:$W$1006,0)))),"Fix")))</f>
        <v>0</v>
      </c>
      <c r="C596" s="3">
        <f>IF(OR(INDEX($L$2:$L$1001,MATCH(ROWS($K$2:K596),$K$2:$K$1001,0),1)&gt;=100000,INDEX($R$1005:$W$1005,1,MATCH(COLUMNS($R$1006:S1006),$R$1006:$W$1006,0))&gt;=100000), " ",IF(INDEX($R$2:$W$1001,MATCH(ROWS($K$2:K596),$K$2:$K$1001,0),MATCH(COLUMNS($R$1006:S1006),$R$1006:$W$1006,0)), HYPERLINK("#",""), HYPERLINK(CONCATENATE("#Metadata!", ADDRESS(INDEX($M$2:$M$1001,MATCH(ROWS($K$2:K596),$K$2:$K$1001,0),0), INDEX($R$1004:$W$1004,1,MATCH(COLUMNS($R$1006:S1006),$R$1006:$W$1006,0)))),"Fix")))</f>
        <v>0</v>
      </c>
      <c r="D596" s="3">
        <f>IF(OR(INDEX($L$2:$L$1001,MATCH(ROWS($K$2:K596),$K$2:$K$1001,0),1)&gt;=100000,INDEX($R$1005:$W$1005,1,MATCH(COLUMNS($R$1006:T1006),$R$1006:$W$1006,0))&gt;=100000), " ",IF(INDEX($R$2:$W$1001,MATCH(ROWS($K$2:K596),$K$2:$K$1001,0),MATCH(COLUMNS($R$1006:T1006),$R$1006:$W$1006,0)), HYPERLINK("#",""), HYPERLINK(CONCATENATE("#Metadata!", ADDRESS(INDEX($M$2:$M$1001,MATCH(ROWS($K$2:K596),$K$2:$K$1001,0),0), INDEX($R$1004:$W$1004,1,MATCH(COLUMNS($R$1006:T1006),$R$1006:$W$1006,0)))),"Fix")))</f>
        <v>0</v>
      </c>
      <c r="E596" s="3">
        <f>IF(OR(INDEX($L$2:$L$1001,MATCH(ROWS($K$2:K596),$K$2:$K$1001,0),1)&gt;=100000,INDEX($R$1005:$W$1005,1,MATCH(COLUMNS($R$1006:U1006),$R$1006:$W$1006,0))&gt;=100000), " ",IF(INDEX($R$2:$W$1001,MATCH(ROWS($K$2:K596),$K$2:$K$1001,0),MATCH(COLUMNS($R$1006:U1006),$R$1006:$W$1006,0)), HYPERLINK("#",""), HYPERLINK(CONCATENATE("#Metadata!", ADDRESS(INDEX($M$2:$M$1001,MATCH(ROWS($K$2:K596),$K$2:$K$1001,0),0), INDEX($R$1004:$W$1004,1,MATCH(COLUMNS($R$1006:U1006),$R$1006:$W$1006,0)))),"Fix")))</f>
        <v>0</v>
      </c>
      <c r="F596" s="3">
        <f>IF(OR(INDEX($L$2:$L$1001,MATCH(ROWS($K$2:K596),$K$2:$K$1001,0),1)&gt;=100000,INDEX($R$1005:$W$1005,1,MATCH(COLUMNS($R$1006:V1006),$R$1006:$W$1006,0))&gt;=100000), " ",IF(INDEX($R$2:$W$1001,MATCH(ROWS($K$2:K596),$K$2:$K$1001,0),MATCH(COLUMNS($R$1006:V1006),$R$1006:$W$1006,0)), HYPERLINK("#",""), HYPERLINK(CONCATENATE("#Metadata!", ADDRESS(INDEX($M$2:$M$1001,MATCH(ROWS($K$2:K596),$K$2:$K$1001,0),0), INDEX($R$1004:$W$1004,1,MATCH(COLUMNS($R$1006:V1006),$R$1006:$W$1006,0)))),"Fix")))</f>
        <v>0</v>
      </c>
      <c r="G596" s="3">
        <f>IF(OR(INDEX($L$2:$L$1001,MATCH(ROWS($K$2:K596),$K$2:$K$1001,0),1)&gt;=100000,INDEX($R$1005:$W$1005,1,MATCH(COLUMNS($R$1006:W1006),$R$1006:$W$1006,0))&gt;=100000), " ",IF(INDEX($R$2:$W$1001,MATCH(ROWS($K$2:K596),$K$2:$K$1001,0),MATCH(COLUMNS($R$1006:W1006),$R$1006:$W$1006,0)), HYPERLINK("#",""), HYPERLINK(CONCATENATE("#Metadata!", ADDRESS(INDEX($M$2:$M$1001,MATCH(ROWS($K$2:K596),$K$2:$K$1001,0),0), INDEX($R$1004:$W$1004,1,MATCH(COLUMNS($R$1006:W1006),$R$1006:$W$1006,0)))),"Fix")))</f>
        <v>0</v>
      </c>
      <c r="K596">
        <v>0</v>
      </c>
      <c r="L596">
        <v>0</v>
      </c>
      <c r="M596">
        <v>0</v>
      </c>
      <c r="N596">
        <f>IF(O596,TRUE,AND(R596:W596))</f>
        <v>0</v>
      </c>
      <c r="O596">
        <f>COUNTBLANK(Metadata!B596:G596)=COLUMNS(Metadata!B596:G596)</f>
        <v>0</v>
      </c>
      <c r="P596">
        <v>0</v>
      </c>
      <c r="R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S596">
        <f>IF(Metadata!C596="",FALSE,TRUE)</f>
        <v>0</v>
      </c>
      <c r="T596">
        <f>IF(Metadata!D596="",FALSE,TRUE)</f>
        <v>0</v>
      </c>
      <c r="U596">
        <f>IF(Metadata!E596="",FALSE,TRUE)</f>
        <v>0</v>
      </c>
      <c r="V596">
        <f>AND(IF(Metadata!F596="",FALSE,TRUE),exact(Metadata!F596,"rat gut metagenome"))</f>
        <v>0</v>
      </c>
      <c r="W596">
        <f>AND(IF(Metadata!G596="",FALSE,TRUE),exact(Metadata!G596,"1436733"))</f>
        <v>0</v>
      </c>
    </row>
    <row r="597" spans="1:23">
      <c r="A597" s="4">
        <f>IF(B597=" "," ",HYPERLINK(CONCATENATE("#metadata!",ADDRESS(INDEX($M$2:$M$1001,MATCH(ROWS($K$2:K597),$K$2:$K$1001,0),0),1)),INDEX($P$2:$P$1001,MATCH(ROWS($K$2:K597),$K$2:$K$1001,0),0)))</f>
        <v>0</v>
      </c>
      <c r="B597" s="3">
        <f>IF(OR(INDEX($L$2:$L$1001,MATCH(ROWS($K$2:K597),$K$2:$K$1001,0),1)&gt;=100000,INDEX($R$1005:$W$1005,1,MATCH(COLUMNS($R$1006:R1006),$R$1006:$W$1006,0))&gt;=100000), " ",IF(INDEX($R$2:$W$1001,MATCH(ROWS($K$2:K597),$K$2:$K$1001,0),MATCH(COLUMNS($R$1006:R1006),$R$1006:$W$1006,0)), HYPERLINK("#",""), HYPERLINK(CONCATENATE("#Metadata!", ADDRESS(INDEX($M$2:$M$1001,MATCH(ROWS($K$2:K597),$K$2:$K$1001,0),0), INDEX($R$1004:$W$1004,1,MATCH(COLUMNS($R$1006:R1006),$R$1006:$W$1006,0)))),"Fix")))</f>
        <v>0</v>
      </c>
      <c r="C597" s="3">
        <f>IF(OR(INDEX($L$2:$L$1001,MATCH(ROWS($K$2:K597),$K$2:$K$1001,0),1)&gt;=100000,INDEX($R$1005:$W$1005,1,MATCH(COLUMNS($R$1006:S1006),$R$1006:$W$1006,0))&gt;=100000), " ",IF(INDEX($R$2:$W$1001,MATCH(ROWS($K$2:K597),$K$2:$K$1001,0),MATCH(COLUMNS($R$1006:S1006),$R$1006:$W$1006,0)), HYPERLINK("#",""), HYPERLINK(CONCATENATE("#Metadata!", ADDRESS(INDEX($M$2:$M$1001,MATCH(ROWS($K$2:K597),$K$2:$K$1001,0),0), INDEX($R$1004:$W$1004,1,MATCH(COLUMNS($R$1006:S1006),$R$1006:$W$1006,0)))),"Fix")))</f>
        <v>0</v>
      </c>
      <c r="D597" s="3">
        <f>IF(OR(INDEX($L$2:$L$1001,MATCH(ROWS($K$2:K597),$K$2:$K$1001,0),1)&gt;=100000,INDEX($R$1005:$W$1005,1,MATCH(COLUMNS($R$1006:T1006),$R$1006:$W$1006,0))&gt;=100000), " ",IF(INDEX($R$2:$W$1001,MATCH(ROWS($K$2:K597),$K$2:$K$1001,0),MATCH(COLUMNS($R$1006:T1006),$R$1006:$W$1006,0)), HYPERLINK("#",""), HYPERLINK(CONCATENATE("#Metadata!", ADDRESS(INDEX($M$2:$M$1001,MATCH(ROWS($K$2:K597),$K$2:$K$1001,0),0), INDEX($R$1004:$W$1004,1,MATCH(COLUMNS($R$1006:T1006),$R$1006:$W$1006,0)))),"Fix")))</f>
        <v>0</v>
      </c>
      <c r="E597" s="3">
        <f>IF(OR(INDEX($L$2:$L$1001,MATCH(ROWS($K$2:K597),$K$2:$K$1001,0),1)&gt;=100000,INDEX($R$1005:$W$1005,1,MATCH(COLUMNS($R$1006:U1006),$R$1006:$W$1006,0))&gt;=100000), " ",IF(INDEX($R$2:$W$1001,MATCH(ROWS($K$2:K597),$K$2:$K$1001,0),MATCH(COLUMNS($R$1006:U1006),$R$1006:$W$1006,0)), HYPERLINK("#",""), HYPERLINK(CONCATENATE("#Metadata!", ADDRESS(INDEX($M$2:$M$1001,MATCH(ROWS($K$2:K597),$K$2:$K$1001,0),0), INDEX($R$1004:$W$1004,1,MATCH(COLUMNS($R$1006:U1006),$R$1006:$W$1006,0)))),"Fix")))</f>
        <v>0</v>
      </c>
      <c r="F597" s="3">
        <f>IF(OR(INDEX($L$2:$L$1001,MATCH(ROWS($K$2:K597),$K$2:$K$1001,0),1)&gt;=100000,INDEX($R$1005:$W$1005,1,MATCH(COLUMNS($R$1006:V1006),$R$1006:$W$1006,0))&gt;=100000), " ",IF(INDEX($R$2:$W$1001,MATCH(ROWS($K$2:K597),$K$2:$K$1001,0),MATCH(COLUMNS($R$1006:V1006),$R$1006:$W$1006,0)), HYPERLINK("#",""), HYPERLINK(CONCATENATE("#Metadata!", ADDRESS(INDEX($M$2:$M$1001,MATCH(ROWS($K$2:K597),$K$2:$K$1001,0),0), INDEX($R$1004:$W$1004,1,MATCH(COLUMNS($R$1006:V1006),$R$1006:$W$1006,0)))),"Fix")))</f>
        <v>0</v>
      </c>
      <c r="G597" s="3">
        <f>IF(OR(INDEX($L$2:$L$1001,MATCH(ROWS($K$2:K597),$K$2:$K$1001,0),1)&gt;=100000,INDEX($R$1005:$W$1005,1,MATCH(COLUMNS($R$1006:W1006),$R$1006:$W$1006,0))&gt;=100000), " ",IF(INDEX($R$2:$W$1001,MATCH(ROWS($K$2:K597),$K$2:$K$1001,0),MATCH(COLUMNS($R$1006:W1006),$R$1006:$W$1006,0)), HYPERLINK("#",""), HYPERLINK(CONCATENATE("#Metadata!", ADDRESS(INDEX($M$2:$M$1001,MATCH(ROWS($K$2:K597),$K$2:$K$1001,0),0), INDEX($R$1004:$W$1004,1,MATCH(COLUMNS($R$1006:W1006),$R$1006:$W$1006,0)))),"Fix")))</f>
        <v>0</v>
      </c>
      <c r="K597">
        <v>0</v>
      </c>
      <c r="L597">
        <v>0</v>
      </c>
      <c r="M597">
        <v>0</v>
      </c>
      <c r="N597">
        <f>IF(O597,TRUE,AND(R597:W597))</f>
        <v>0</v>
      </c>
      <c r="O597">
        <f>COUNTBLANK(Metadata!B597:G597)=COLUMNS(Metadata!B597:G597)</f>
        <v>0</v>
      </c>
      <c r="P597">
        <v>0</v>
      </c>
      <c r="R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S597">
        <f>IF(Metadata!C597="",FALSE,TRUE)</f>
        <v>0</v>
      </c>
      <c r="T597">
        <f>IF(Metadata!D597="",FALSE,TRUE)</f>
        <v>0</v>
      </c>
      <c r="U597">
        <f>IF(Metadata!E597="",FALSE,TRUE)</f>
        <v>0</v>
      </c>
      <c r="V597">
        <f>AND(IF(Metadata!F597="",FALSE,TRUE),exact(Metadata!F597,"rat gut metagenome"))</f>
        <v>0</v>
      </c>
      <c r="W597">
        <f>AND(IF(Metadata!G597="",FALSE,TRUE),exact(Metadata!G597,"1436733"))</f>
        <v>0</v>
      </c>
    </row>
    <row r="598" spans="1:23">
      <c r="A598" s="4">
        <f>IF(B598=" "," ",HYPERLINK(CONCATENATE("#metadata!",ADDRESS(INDEX($M$2:$M$1001,MATCH(ROWS($K$2:K598),$K$2:$K$1001,0),0),1)),INDEX($P$2:$P$1001,MATCH(ROWS($K$2:K598),$K$2:$K$1001,0),0)))</f>
        <v>0</v>
      </c>
      <c r="B598" s="3">
        <f>IF(OR(INDEX($L$2:$L$1001,MATCH(ROWS($K$2:K598),$K$2:$K$1001,0),1)&gt;=100000,INDEX($R$1005:$W$1005,1,MATCH(COLUMNS($R$1006:R1006),$R$1006:$W$1006,0))&gt;=100000), " ",IF(INDEX($R$2:$W$1001,MATCH(ROWS($K$2:K598),$K$2:$K$1001,0),MATCH(COLUMNS($R$1006:R1006),$R$1006:$W$1006,0)), HYPERLINK("#",""), HYPERLINK(CONCATENATE("#Metadata!", ADDRESS(INDEX($M$2:$M$1001,MATCH(ROWS($K$2:K598),$K$2:$K$1001,0),0), INDEX($R$1004:$W$1004,1,MATCH(COLUMNS($R$1006:R1006),$R$1006:$W$1006,0)))),"Fix")))</f>
        <v>0</v>
      </c>
      <c r="C598" s="3">
        <f>IF(OR(INDEX($L$2:$L$1001,MATCH(ROWS($K$2:K598),$K$2:$K$1001,0),1)&gt;=100000,INDEX($R$1005:$W$1005,1,MATCH(COLUMNS($R$1006:S1006),$R$1006:$W$1006,0))&gt;=100000), " ",IF(INDEX($R$2:$W$1001,MATCH(ROWS($K$2:K598),$K$2:$K$1001,0),MATCH(COLUMNS($R$1006:S1006),$R$1006:$W$1006,0)), HYPERLINK("#",""), HYPERLINK(CONCATENATE("#Metadata!", ADDRESS(INDEX($M$2:$M$1001,MATCH(ROWS($K$2:K598),$K$2:$K$1001,0),0), INDEX($R$1004:$W$1004,1,MATCH(COLUMNS($R$1006:S1006),$R$1006:$W$1006,0)))),"Fix")))</f>
        <v>0</v>
      </c>
      <c r="D598" s="3">
        <f>IF(OR(INDEX($L$2:$L$1001,MATCH(ROWS($K$2:K598),$K$2:$K$1001,0),1)&gt;=100000,INDEX($R$1005:$W$1005,1,MATCH(COLUMNS($R$1006:T1006),$R$1006:$W$1006,0))&gt;=100000), " ",IF(INDEX($R$2:$W$1001,MATCH(ROWS($K$2:K598),$K$2:$K$1001,0),MATCH(COLUMNS($R$1006:T1006),$R$1006:$W$1006,0)), HYPERLINK("#",""), HYPERLINK(CONCATENATE("#Metadata!", ADDRESS(INDEX($M$2:$M$1001,MATCH(ROWS($K$2:K598),$K$2:$K$1001,0),0), INDEX($R$1004:$W$1004,1,MATCH(COLUMNS($R$1006:T1006),$R$1006:$W$1006,0)))),"Fix")))</f>
        <v>0</v>
      </c>
      <c r="E598" s="3">
        <f>IF(OR(INDEX($L$2:$L$1001,MATCH(ROWS($K$2:K598),$K$2:$K$1001,0),1)&gt;=100000,INDEX($R$1005:$W$1005,1,MATCH(COLUMNS($R$1006:U1006),$R$1006:$W$1006,0))&gt;=100000), " ",IF(INDEX($R$2:$W$1001,MATCH(ROWS($K$2:K598),$K$2:$K$1001,0),MATCH(COLUMNS($R$1006:U1006),$R$1006:$W$1006,0)), HYPERLINK("#",""), HYPERLINK(CONCATENATE("#Metadata!", ADDRESS(INDEX($M$2:$M$1001,MATCH(ROWS($K$2:K598),$K$2:$K$1001,0),0), INDEX($R$1004:$W$1004,1,MATCH(COLUMNS($R$1006:U1006),$R$1006:$W$1006,0)))),"Fix")))</f>
        <v>0</v>
      </c>
      <c r="F598" s="3">
        <f>IF(OR(INDEX($L$2:$L$1001,MATCH(ROWS($K$2:K598),$K$2:$K$1001,0),1)&gt;=100000,INDEX($R$1005:$W$1005,1,MATCH(COLUMNS($R$1006:V1006),$R$1006:$W$1006,0))&gt;=100000), " ",IF(INDEX($R$2:$W$1001,MATCH(ROWS($K$2:K598),$K$2:$K$1001,0),MATCH(COLUMNS($R$1006:V1006),$R$1006:$W$1006,0)), HYPERLINK("#",""), HYPERLINK(CONCATENATE("#Metadata!", ADDRESS(INDEX($M$2:$M$1001,MATCH(ROWS($K$2:K598),$K$2:$K$1001,0),0), INDEX($R$1004:$W$1004,1,MATCH(COLUMNS($R$1006:V1006),$R$1006:$W$1006,0)))),"Fix")))</f>
        <v>0</v>
      </c>
      <c r="G598" s="3">
        <f>IF(OR(INDEX($L$2:$L$1001,MATCH(ROWS($K$2:K598),$K$2:$K$1001,0),1)&gt;=100000,INDEX($R$1005:$W$1005,1,MATCH(COLUMNS($R$1006:W1006),$R$1006:$W$1006,0))&gt;=100000), " ",IF(INDEX($R$2:$W$1001,MATCH(ROWS($K$2:K598),$K$2:$K$1001,0),MATCH(COLUMNS($R$1006:W1006),$R$1006:$W$1006,0)), HYPERLINK("#",""), HYPERLINK(CONCATENATE("#Metadata!", ADDRESS(INDEX($M$2:$M$1001,MATCH(ROWS($K$2:K598),$K$2:$K$1001,0),0), INDEX($R$1004:$W$1004,1,MATCH(COLUMNS($R$1006:W1006),$R$1006:$W$1006,0)))),"Fix")))</f>
        <v>0</v>
      </c>
      <c r="K598">
        <v>0</v>
      </c>
      <c r="L598">
        <v>0</v>
      </c>
      <c r="M598">
        <v>0</v>
      </c>
      <c r="N598">
        <f>IF(O598,TRUE,AND(R598:W598))</f>
        <v>0</v>
      </c>
      <c r="O598">
        <f>COUNTBLANK(Metadata!B598:G598)=COLUMNS(Metadata!B598:G598)</f>
        <v>0</v>
      </c>
      <c r="P598">
        <v>0</v>
      </c>
      <c r="R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S598">
        <f>IF(Metadata!C598="",FALSE,TRUE)</f>
        <v>0</v>
      </c>
      <c r="T598">
        <f>IF(Metadata!D598="",FALSE,TRUE)</f>
        <v>0</v>
      </c>
      <c r="U598">
        <f>IF(Metadata!E598="",FALSE,TRUE)</f>
        <v>0</v>
      </c>
      <c r="V598">
        <f>AND(IF(Metadata!F598="",FALSE,TRUE),exact(Metadata!F598,"rat gut metagenome"))</f>
        <v>0</v>
      </c>
      <c r="W598">
        <f>AND(IF(Metadata!G598="",FALSE,TRUE),exact(Metadata!G598,"1436733"))</f>
        <v>0</v>
      </c>
    </row>
    <row r="599" spans="1:23">
      <c r="A599" s="4">
        <f>IF(B599=" "," ",HYPERLINK(CONCATENATE("#metadata!",ADDRESS(INDEX($M$2:$M$1001,MATCH(ROWS($K$2:K599),$K$2:$K$1001,0),0),1)),INDEX($P$2:$P$1001,MATCH(ROWS($K$2:K599),$K$2:$K$1001,0),0)))</f>
        <v>0</v>
      </c>
      <c r="B599" s="3">
        <f>IF(OR(INDEX($L$2:$L$1001,MATCH(ROWS($K$2:K599),$K$2:$K$1001,0),1)&gt;=100000,INDEX($R$1005:$W$1005,1,MATCH(COLUMNS($R$1006:R1006),$R$1006:$W$1006,0))&gt;=100000), " ",IF(INDEX($R$2:$W$1001,MATCH(ROWS($K$2:K599),$K$2:$K$1001,0),MATCH(COLUMNS($R$1006:R1006),$R$1006:$W$1006,0)), HYPERLINK("#",""), HYPERLINK(CONCATENATE("#Metadata!", ADDRESS(INDEX($M$2:$M$1001,MATCH(ROWS($K$2:K599),$K$2:$K$1001,0),0), INDEX($R$1004:$W$1004,1,MATCH(COLUMNS($R$1006:R1006),$R$1006:$W$1006,0)))),"Fix")))</f>
        <v>0</v>
      </c>
      <c r="C599" s="3">
        <f>IF(OR(INDEX($L$2:$L$1001,MATCH(ROWS($K$2:K599),$K$2:$K$1001,0),1)&gt;=100000,INDEX($R$1005:$W$1005,1,MATCH(COLUMNS($R$1006:S1006),$R$1006:$W$1006,0))&gt;=100000), " ",IF(INDEX($R$2:$W$1001,MATCH(ROWS($K$2:K599),$K$2:$K$1001,0),MATCH(COLUMNS($R$1006:S1006),$R$1006:$W$1006,0)), HYPERLINK("#",""), HYPERLINK(CONCATENATE("#Metadata!", ADDRESS(INDEX($M$2:$M$1001,MATCH(ROWS($K$2:K599),$K$2:$K$1001,0),0), INDEX($R$1004:$W$1004,1,MATCH(COLUMNS($R$1006:S1006),$R$1006:$W$1006,0)))),"Fix")))</f>
        <v>0</v>
      </c>
      <c r="D599" s="3">
        <f>IF(OR(INDEX($L$2:$L$1001,MATCH(ROWS($K$2:K599),$K$2:$K$1001,0),1)&gt;=100000,INDEX($R$1005:$W$1005,1,MATCH(COLUMNS($R$1006:T1006),$R$1006:$W$1006,0))&gt;=100000), " ",IF(INDEX($R$2:$W$1001,MATCH(ROWS($K$2:K599),$K$2:$K$1001,0),MATCH(COLUMNS($R$1006:T1006),$R$1006:$W$1006,0)), HYPERLINK("#",""), HYPERLINK(CONCATENATE("#Metadata!", ADDRESS(INDEX($M$2:$M$1001,MATCH(ROWS($K$2:K599),$K$2:$K$1001,0),0), INDEX($R$1004:$W$1004,1,MATCH(COLUMNS($R$1006:T1006),$R$1006:$W$1006,0)))),"Fix")))</f>
        <v>0</v>
      </c>
      <c r="E599" s="3">
        <f>IF(OR(INDEX($L$2:$L$1001,MATCH(ROWS($K$2:K599),$K$2:$K$1001,0),1)&gt;=100000,INDEX($R$1005:$W$1005,1,MATCH(COLUMNS($R$1006:U1006),$R$1006:$W$1006,0))&gt;=100000), " ",IF(INDEX($R$2:$W$1001,MATCH(ROWS($K$2:K599),$K$2:$K$1001,0),MATCH(COLUMNS($R$1006:U1006),$R$1006:$W$1006,0)), HYPERLINK("#",""), HYPERLINK(CONCATENATE("#Metadata!", ADDRESS(INDEX($M$2:$M$1001,MATCH(ROWS($K$2:K599),$K$2:$K$1001,0),0), INDEX($R$1004:$W$1004,1,MATCH(COLUMNS($R$1006:U1006),$R$1006:$W$1006,0)))),"Fix")))</f>
        <v>0</v>
      </c>
      <c r="F599" s="3">
        <f>IF(OR(INDEX($L$2:$L$1001,MATCH(ROWS($K$2:K599),$K$2:$K$1001,0),1)&gt;=100000,INDEX($R$1005:$W$1005,1,MATCH(COLUMNS($R$1006:V1006),$R$1006:$W$1006,0))&gt;=100000), " ",IF(INDEX($R$2:$W$1001,MATCH(ROWS($K$2:K599),$K$2:$K$1001,0),MATCH(COLUMNS($R$1006:V1006),$R$1006:$W$1006,0)), HYPERLINK("#",""), HYPERLINK(CONCATENATE("#Metadata!", ADDRESS(INDEX($M$2:$M$1001,MATCH(ROWS($K$2:K599),$K$2:$K$1001,0),0), INDEX($R$1004:$W$1004,1,MATCH(COLUMNS($R$1006:V1006),$R$1006:$W$1006,0)))),"Fix")))</f>
        <v>0</v>
      </c>
      <c r="G599" s="3">
        <f>IF(OR(INDEX($L$2:$L$1001,MATCH(ROWS($K$2:K599),$K$2:$K$1001,0),1)&gt;=100000,INDEX($R$1005:$W$1005,1,MATCH(COLUMNS($R$1006:W1006),$R$1006:$W$1006,0))&gt;=100000), " ",IF(INDEX($R$2:$W$1001,MATCH(ROWS($K$2:K599),$K$2:$K$1001,0),MATCH(COLUMNS($R$1006:W1006),$R$1006:$W$1006,0)), HYPERLINK("#",""), HYPERLINK(CONCATENATE("#Metadata!", ADDRESS(INDEX($M$2:$M$1001,MATCH(ROWS($K$2:K599),$K$2:$K$1001,0),0), INDEX($R$1004:$W$1004,1,MATCH(COLUMNS($R$1006:W1006),$R$1006:$W$1006,0)))),"Fix")))</f>
        <v>0</v>
      </c>
      <c r="K599">
        <v>0</v>
      </c>
      <c r="L599">
        <v>0</v>
      </c>
      <c r="M599">
        <v>0</v>
      </c>
      <c r="N599">
        <f>IF(O599,TRUE,AND(R599:W599))</f>
        <v>0</v>
      </c>
      <c r="O599">
        <f>COUNTBLANK(Metadata!B599:G599)=COLUMNS(Metadata!B599:G599)</f>
        <v>0</v>
      </c>
      <c r="P599">
        <v>0</v>
      </c>
      <c r="R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S599">
        <f>IF(Metadata!C599="",FALSE,TRUE)</f>
        <v>0</v>
      </c>
      <c r="T599">
        <f>IF(Metadata!D599="",FALSE,TRUE)</f>
        <v>0</v>
      </c>
      <c r="U599">
        <f>IF(Metadata!E599="",FALSE,TRUE)</f>
        <v>0</v>
      </c>
      <c r="V599">
        <f>AND(IF(Metadata!F599="",FALSE,TRUE),exact(Metadata!F599,"rat gut metagenome"))</f>
        <v>0</v>
      </c>
      <c r="W599">
        <f>AND(IF(Metadata!G599="",FALSE,TRUE),exact(Metadata!G599,"1436733"))</f>
        <v>0</v>
      </c>
    </row>
    <row r="600" spans="1:23">
      <c r="A600" s="4">
        <f>IF(B600=" "," ",HYPERLINK(CONCATENATE("#metadata!",ADDRESS(INDEX($M$2:$M$1001,MATCH(ROWS($K$2:K600),$K$2:$K$1001,0),0),1)),INDEX($P$2:$P$1001,MATCH(ROWS($K$2:K600),$K$2:$K$1001,0),0)))</f>
        <v>0</v>
      </c>
      <c r="B600" s="3">
        <f>IF(OR(INDEX($L$2:$L$1001,MATCH(ROWS($K$2:K600),$K$2:$K$1001,0),1)&gt;=100000,INDEX($R$1005:$W$1005,1,MATCH(COLUMNS($R$1006:R1006),$R$1006:$W$1006,0))&gt;=100000), " ",IF(INDEX($R$2:$W$1001,MATCH(ROWS($K$2:K600),$K$2:$K$1001,0),MATCH(COLUMNS($R$1006:R1006),$R$1006:$W$1006,0)), HYPERLINK("#",""), HYPERLINK(CONCATENATE("#Metadata!", ADDRESS(INDEX($M$2:$M$1001,MATCH(ROWS($K$2:K600),$K$2:$K$1001,0),0), INDEX($R$1004:$W$1004,1,MATCH(COLUMNS($R$1006:R1006),$R$1006:$W$1006,0)))),"Fix")))</f>
        <v>0</v>
      </c>
      <c r="C600" s="3">
        <f>IF(OR(INDEX($L$2:$L$1001,MATCH(ROWS($K$2:K600),$K$2:$K$1001,0),1)&gt;=100000,INDEX($R$1005:$W$1005,1,MATCH(COLUMNS($R$1006:S1006),$R$1006:$W$1006,0))&gt;=100000), " ",IF(INDEX($R$2:$W$1001,MATCH(ROWS($K$2:K600),$K$2:$K$1001,0),MATCH(COLUMNS($R$1006:S1006),$R$1006:$W$1006,0)), HYPERLINK("#",""), HYPERLINK(CONCATENATE("#Metadata!", ADDRESS(INDEX($M$2:$M$1001,MATCH(ROWS($K$2:K600),$K$2:$K$1001,0),0), INDEX($R$1004:$W$1004,1,MATCH(COLUMNS($R$1006:S1006),$R$1006:$W$1006,0)))),"Fix")))</f>
        <v>0</v>
      </c>
      <c r="D600" s="3">
        <f>IF(OR(INDEX($L$2:$L$1001,MATCH(ROWS($K$2:K600),$K$2:$K$1001,0),1)&gt;=100000,INDEX($R$1005:$W$1005,1,MATCH(COLUMNS($R$1006:T1006),$R$1006:$W$1006,0))&gt;=100000), " ",IF(INDEX($R$2:$W$1001,MATCH(ROWS($K$2:K600),$K$2:$K$1001,0),MATCH(COLUMNS($R$1006:T1006),$R$1006:$W$1006,0)), HYPERLINK("#",""), HYPERLINK(CONCATENATE("#Metadata!", ADDRESS(INDEX($M$2:$M$1001,MATCH(ROWS($K$2:K600),$K$2:$K$1001,0),0), INDEX($R$1004:$W$1004,1,MATCH(COLUMNS($R$1006:T1006),$R$1006:$W$1006,0)))),"Fix")))</f>
        <v>0</v>
      </c>
      <c r="E600" s="3">
        <f>IF(OR(INDEX($L$2:$L$1001,MATCH(ROWS($K$2:K600),$K$2:$K$1001,0),1)&gt;=100000,INDEX($R$1005:$W$1005,1,MATCH(COLUMNS($R$1006:U1006),$R$1006:$W$1006,0))&gt;=100000), " ",IF(INDEX($R$2:$W$1001,MATCH(ROWS($K$2:K600),$K$2:$K$1001,0),MATCH(COLUMNS($R$1006:U1006),$R$1006:$W$1006,0)), HYPERLINK("#",""), HYPERLINK(CONCATENATE("#Metadata!", ADDRESS(INDEX($M$2:$M$1001,MATCH(ROWS($K$2:K600),$K$2:$K$1001,0),0), INDEX($R$1004:$W$1004,1,MATCH(COLUMNS($R$1006:U1006),$R$1006:$W$1006,0)))),"Fix")))</f>
        <v>0</v>
      </c>
      <c r="F600" s="3">
        <f>IF(OR(INDEX($L$2:$L$1001,MATCH(ROWS($K$2:K600),$K$2:$K$1001,0),1)&gt;=100000,INDEX($R$1005:$W$1005,1,MATCH(COLUMNS($R$1006:V1006),$R$1006:$W$1006,0))&gt;=100000), " ",IF(INDEX($R$2:$W$1001,MATCH(ROWS($K$2:K600),$K$2:$K$1001,0),MATCH(COLUMNS($R$1006:V1006),$R$1006:$W$1006,0)), HYPERLINK("#",""), HYPERLINK(CONCATENATE("#Metadata!", ADDRESS(INDEX($M$2:$M$1001,MATCH(ROWS($K$2:K600),$K$2:$K$1001,0),0), INDEX($R$1004:$W$1004,1,MATCH(COLUMNS($R$1006:V1006),$R$1006:$W$1006,0)))),"Fix")))</f>
        <v>0</v>
      </c>
      <c r="G600" s="3">
        <f>IF(OR(INDEX($L$2:$L$1001,MATCH(ROWS($K$2:K600),$K$2:$K$1001,0),1)&gt;=100000,INDEX($R$1005:$W$1005,1,MATCH(COLUMNS($R$1006:W1006),$R$1006:$W$1006,0))&gt;=100000), " ",IF(INDEX($R$2:$W$1001,MATCH(ROWS($K$2:K600),$K$2:$K$1001,0),MATCH(COLUMNS($R$1006:W1006),$R$1006:$W$1006,0)), HYPERLINK("#",""), HYPERLINK(CONCATENATE("#Metadata!", ADDRESS(INDEX($M$2:$M$1001,MATCH(ROWS($K$2:K600),$K$2:$K$1001,0),0), INDEX($R$1004:$W$1004,1,MATCH(COLUMNS($R$1006:W1006),$R$1006:$W$1006,0)))),"Fix")))</f>
        <v>0</v>
      </c>
      <c r="K600">
        <v>0</v>
      </c>
      <c r="L600">
        <v>0</v>
      </c>
      <c r="M600">
        <v>0</v>
      </c>
      <c r="N600">
        <f>IF(O600,TRUE,AND(R600:W600))</f>
        <v>0</v>
      </c>
      <c r="O600">
        <f>COUNTBLANK(Metadata!B600:G600)=COLUMNS(Metadata!B600:G600)</f>
        <v>0</v>
      </c>
      <c r="P600">
        <v>0</v>
      </c>
      <c r="R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S600">
        <f>IF(Metadata!C600="",FALSE,TRUE)</f>
        <v>0</v>
      </c>
      <c r="T600">
        <f>IF(Metadata!D600="",FALSE,TRUE)</f>
        <v>0</v>
      </c>
      <c r="U600">
        <f>IF(Metadata!E600="",FALSE,TRUE)</f>
        <v>0</v>
      </c>
      <c r="V600">
        <f>AND(IF(Metadata!F600="",FALSE,TRUE),exact(Metadata!F600,"rat gut metagenome"))</f>
        <v>0</v>
      </c>
      <c r="W600">
        <f>AND(IF(Metadata!G600="",FALSE,TRUE),exact(Metadata!G600,"1436733"))</f>
        <v>0</v>
      </c>
    </row>
    <row r="601" spans="1:23">
      <c r="A601" s="4">
        <f>IF(B601=" "," ",HYPERLINK(CONCATENATE("#metadata!",ADDRESS(INDEX($M$2:$M$1001,MATCH(ROWS($K$2:K601),$K$2:$K$1001,0),0),1)),INDEX($P$2:$P$1001,MATCH(ROWS($K$2:K601),$K$2:$K$1001,0),0)))</f>
        <v>0</v>
      </c>
      <c r="B601" s="3">
        <f>IF(OR(INDEX($L$2:$L$1001,MATCH(ROWS($K$2:K601),$K$2:$K$1001,0),1)&gt;=100000,INDEX($R$1005:$W$1005,1,MATCH(COLUMNS($R$1006:R1006),$R$1006:$W$1006,0))&gt;=100000), " ",IF(INDEX($R$2:$W$1001,MATCH(ROWS($K$2:K601),$K$2:$K$1001,0),MATCH(COLUMNS($R$1006:R1006),$R$1006:$W$1006,0)), HYPERLINK("#",""), HYPERLINK(CONCATENATE("#Metadata!", ADDRESS(INDEX($M$2:$M$1001,MATCH(ROWS($K$2:K601),$K$2:$K$1001,0),0), INDEX($R$1004:$W$1004,1,MATCH(COLUMNS($R$1006:R1006),$R$1006:$W$1006,0)))),"Fix")))</f>
        <v>0</v>
      </c>
      <c r="C601" s="3">
        <f>IF(OR(INDEX($L$2:$L$1001,MATCH(ROWS($K$2:K601),$K$2:$K$1001,0),1)&gt;=100000,INDEX($R$1005:$W$1005,1,MATCH(COLUMNS($R$1006:S1006),$R$1006:$W$1006,0))&gt;=100000), " ",IF(INDEX($R$2:$W$1001,MATCH(ROWS($K$2:K601),$K$2:$K$1001,0),MATCH(COLUMNS($R$1006:S1006),$R$1006:$W$1006,0)), HYPERLINK("#",""), HYPERLINK(CONCATENATE("#Metadata!", ADDRESS(INDEX($M$2:$M$1001,MATCH(ROWS($K$2:K601),$K$2:$K$1001,0),0), INDEX($R$1004:$W$1004,1,MATCH(COLUMNS($R$1006:S1006),$R$1006:$W$1006,0)))),"Fix")))</f>
        <v>0</v>
      </c>
      <c r="D601" s="3">
        <f>IF(OR(INDEX($L$2:$L$1001,MATCH(ROWS($K$2:K601),$K$2:$K$1001,0),1)&gt;=100000,INDEX($R$1005:$W$1005,1,MATCH(COLUMNS($R$1006:T1006),$R$1006:$W$1006,0))&gt;=100000), " ",IF(INDEX($R$2:$W$1001,MATCH(ROWS($K$2:K601),$K$2:$K$1001,0),MATCH(COLUMNS($R$1006:T1006),$R$1006:$W$1006,0)), HYPERLINK("#",""), HYPERLINK(CONCATENATE("#Metadata!", ADDRESS(INDEX($M$2:$M$1001,MATCH(ROWS($K$2:K601),$K$2:$K$1001,0),0), INDEX($R$1004:$W$1004,1,MATCH(COLUMNS($R$1006:T1006),$R$1006:$W$1006,0)))),"Fix")))</f>
        <v>0</v>
      </c>
      <c r="E601" s="3">
        <f>IF(OR(INDEX($L$2:$L$1001,MATCH(ROWS($K$2:K601),$K$2:$K$1001,0),1)&gt;=100000,INDEX($R$1005:$W$1005,1,MATCH(COLUMNS($R$1006:U1006),$R$1006:$W$1006,0))&gt;=100000), " ",IF(INDEX($R$2:$W$1001,MATCH(ROWS($K$2:K601),$K$2:$K$1001,0),MATCH(COLUMNS($R$1006:U1006),$R$1006:$W$1006,0)), HYPERLINK("#",""), HYPERLINK(CONCATENATE("#Metadata!", ADDRESS(INDEX($M$2:$M$1001,MATCH(ROWS($K$2:K601),$K$2:$K$1001,0),0), INDEX($R$1004:$W$1004,1,MATCH(COLUMNS($R$1006:U1006),$R$1006:$W$1006,0)))),"Fix")))</f>
        <v>0</v>
      </c>
      <c r="F601" s="3">
        <f>IF(OR(INDEX($L$2:$L$1001,MATCH(ROWS($K$2:K601),$K$2:$K$1001,0),1)&gt;=100000,INDEX($R$1005:$W$1005,1,MATCH(COLUMNS($R$1006:V1006),$R$1006:$W$1006,0))&gt;=100000), " ",IF(INDEX($R$2:$W$1001,MATCH(ROWS($K$2:K601),$K$2:$K$1001,0),MATCH(COLUMNS($R$1006:V1006),$R$1006:$W$1006,0)), HYPERLINK("#",""), HYPERLINK(CONCATENATE("#Metadata!", ADDRESS(INDEX($M$2:$M$1001,MATCH(ROWS($K$2:K601),$K$2:$K$1001,0),0), INDEX($R$1004:$W$1004,1,MATCH(COLUMNS($R$1006:V1006),$R$1006:$W$1006,0)))),"Fix")))</f>
        <v>0</v>
      </c>
      <c r="G601" s="3">
        <f>IF(OR(INDEX($L$2:$L$1001,MATCH(ROWS($K$2:K601),$K$2:$K$1001,0),1)&gt;=100000,INDEX($R$1005:$W$1005,1,MATCH(COLUMNS($R$1006:W1006),$R$1006:$W$1006,0))&gt;=100000), " ",IF(INDEX($R$2:$W$1001,MATCH(ROWS($K$2:K601),$K$2:$K$1001,0),MATCH(COLUMNS($R$1006:W1006),$R$1006:$W$1006,0)), HYPERLINK("#",""), HYPERLINK(CONCATENATE("#Metadata!", ADDRESS(INDEX($M$2:$M$1001,MATCH(ROWS($K$2:K601),$K$2:$K$1001,0),0), INDEX($R$1004:$W$1004,1,MATCH(COLUMNS($R$1006:W1006),$R$1006:$W$1006,0)))),"Fix")))</f>
        <v>0</v>
      </c>
      <c r="K601">
        <v>0</v>
      </c>
      <c r="L601">
        <v>0</v>
      </c>
      <c r="M601">
        <v>0</v>
      </c>
      <c r="N601">
        <f>IF(O601,TRUE,AND(R601:W601))</f>
        <v>0</v>
      </c>
      <c r="O601">
        <f>COUNTBLANK(Metadata!B601:G601)=COLUMNS(Metadata!B601:G601)</f>
        <v>0</v>
      </c>
      <c r="P601">
        <v>0</v>
      </c>
      <c r="R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S601">
        <f>IF(Metadata!C601="",FALSE,TRUE)</f>
        <v>0</v>
      </c>
      <c r="T601">
        <f>IF(Metadata!D601="",FALSE,TRUE)</f>
        <v>0</v>
      </c>
      <c r="U601">
        <f>IF(Metadata!E601="",FALSE,TRUE)</f>
        <v>0</v>
      </c>
      <c r="V601">
        <f>AND(IF(Metadata!F601="",FALSE,TRUE),exact(Metadata!F601,"rat gut metagenome"))</f>
        <v>0</v>
      </c>
      <c r="W601">
        <f>AND(IF(Metadata!G601="",FALSE,TRUE),exact(Metadata!G601,"1436733"))</f>
        <v>0</v>
      </c>
    </row>
    <row r="602" spans="1:23">
      <c r="A602" s="4">
        <f>IF(B602=" "," ",HYPERLINK(CONCATENATE("#metadata!",ADDRESS(INDEX($M$2:$M$1001,MATCH(ROWS($K$2:K602),$K$2:$K$1001,0),0),1)),INDEX($P$2:$P$1001,MATCH(ROWS($K$2:K602),$K$2:$K$1001,0),0)))</f>
        <v>0</v>
      </c>
      <c r="B602" s="3">
        <f>IF(OR(INDEX($L$2:$L$1001,MATCH(ROWS($K$2:K602),$K$2:$K$1001,0),1)&gt;=100000,INDEX($R$1005:$W$1005,1,MATCH(COLUMNS($R$1006:R1006),$R$1006:$W$1006,0))&gt;=100000), " ",IF(INDEX($R$2:$W$1001,MATCH(ROWS($K$2:K602),$K$2:$K$1001,0),MATCH(COLUMNS($R$1006:R1006),$R$1006:$W$1006,0)), HYPERLINK("#",""), HYPERLINK(CONCATENATE("#Metadata!", ADDRESS(INDEX($M$2:$M$1001,MATCH(ROWS($K$2:K602),$K$2:$K$1001,0),0), INDEX($R$1004:$W$1004,1,MATCH(COLUMNS($R$1006:R1006),$R$1006:$W$1006,0)))),"Fix")))</f>
        <v>0</v>
      </c>
      <c r="C602" s="3">
        <f>IF(OR(INDEX($L$2:$L$1001,MATCH(ROWS($K$2:K602),$K$2:$K$1001,0),1)&gt;=100000,INDEX($R$1005:$W$1005,1,MATCH(COLUMNS($R$1006:S1006),$R$1006:$W$1006,0))&gt;=100000), " ",IF(INDEX($R$2:$W$1001,MATCH(ROWS($K$2:K602),$K$2:$K$1001,0),MATCH(COLUMNS($R$1006:S1006),$R$1006:$W$1006,0)), HYPERLINK("#",""), HYPERLINK(CONCATENATE("#Metadata!", ADDRESS(INDEX($M$2:$M$1001,MATCH(ROWS($K$2:K602),$K$2:$K$1001,0),0), INDEX($R$1004:$W$1004,1,MATCH(COLUMNS($R$1006:S1006),$R$1006:$W$1006,0)))),"Fix")))</f>
        <v>0</v>
      </c>
      <c r="D602" s="3">
        <f>IF(OR(INDEX($L$2:$L$1001,MATCH(ROWS($K$2:K602),$K$2:$K$1001,0),1)&gt;=100000,INDEX($R$1005:$W$1005,1,MATCH(COLUMNS($R$1006:T1006),$R$1006:$W$1006,0))&gt;=100000), " ",IF(INDEX($R$2:$W$1001,MATCH(ROWS($K$2:K602),$K$2:$K$1001,0),MATCH(COLUMNS($R$1006:T1006),$R$1006:$W$1006,0)), HYPERLINK("#",""), HYPERLINK(CONCATENATE("#Metadata!", ADDRESS(INDEX($M$2:$M$1001,MATCH(ROWS($K$2:K602),$K$2:$K$1001,0),0), INDEX($R$1004:$W$1004,1,MATCH(COLUMNS($R$1006:T1006),$R$1006:$W$1006,0)))),"Fix")))</f>
        <v>0</v>
      </c>
      <c r="E602" s="3">
        <f>IF(OR(INDEX($L$2:$L$1001,MATCH(ROWS($K$2:K602),$K$2:$K$1001,0),1)&gt;=100000,INDEX($R$1005:$W$1005,1,MATCH(COLUMNS($R$1006:U1006),$R$1006:$W$1006,0))&gt;=100000), " ",IF(INDEX($R$2:$W$1001,MATCH(ROWS($K$2:K602),$K$2:$K$1001,0),MATCH(COLUMNS($R$1006:U1006),$R$1006:$W$1006,0)), HYPERLINK("#",""), HYPERLINK(CONCATENATE("#Metadata!", ADDRESS(INDEX($M$2:$M$1001,MATCH(ROWS($K$2:K602),$K$2:$K$1001,0),0), INDEX($R$1004:$W$1004,1,MATCH(COLUMNS($R$1006:U1006),$R$1006:$W$1006,0)))),"Fix")))</f>
        <v>0</v>
      </c>
      <c r="F602" s="3">
        <f>IF(OR(INDEX($L$2:$L$1001,MATCH(ROWS($K$2:K602),$K$2:$K$1001,0),1)&gt;=100000,INDEX($R$1005:$W$1005,1,MATCH(COLUMNS($R$1006:V1006),$R$1006:$W$1006,0))&gt;=100000), " ",IF(INDEX($R$2:$W$1001,MATCH(ROWS($K$2:K602),$K$2:$K$1001,0),MATCH(COLUMNS($R$1006:V1006),$R$1006:$W$1006,0)), HYPERLINK("#",""), HYPERLINK(CONCATENATE("#Metadata!", ADDRESS(INDEX($M$2:$M$1001,MATCH(ROWS($K$2:K602),$K$2:$K$1001,0),0), INDEX($R$1004:$W$1004,1,MATCH(COLUMNS($R$1006:V1006),$R$1006:$W$1006,0)))),"Fix")))</f>
        <v>0</v>
      </c>
      <c r="G602" s="3">
        <f>IF(OR(INDEX($L$2:$L$1001,MATCH(ROWS($K$2:K602),$K$2:$K$1001,0),1)&gt;=100000,INDEX($R$1005:$W$1005,1,MATCH(COLUMNS($R$1006:W1006),$R$1006:$W$1006,0))&gt;=100000), " ",IF(INDEX($R$2:$W$1001,MATCH(ROWS($K$2:K602),$K$2:$K$1001,0),MATCH(COLUMNS($R$1006:W1006),$R$1006:$W$1006,0)), HYPERLINK("#",""), HYPERLINK(CONCATENATE("#Metadata!", ADDRESS(INDEX($M$2:$M$1001,MATCH(ROWS($K$2:K602),$K$2:$K$1001,0),0), INDEX($R$1004:$W$1004,1,MATCH(COLUMNS($R$1006:W1006),$R$1006:$W$1006,0)))),"Fix")))</f>
        <v>0</v>
      </c>
      <c r="K602">
        <v>0</v>
      </c>
      <c r="L602">
        <v>0</v>
      </c>
      <c r="M602">
        <v>0</v>
      </c>
      <c r="N602">
        <f>IF(O602,TRUE,AND(R602:W602))</f>
        <v>0</v>
      </c>
      <c r="O602">
        <f>COUNTBLANK(Metadata!B602:G602)=COLUMNS(Metadata!B602:G602)</f>
        <v>0</v>
      </c>
      <c r="P602">
        <v>0</v>
      </c>
      <c r="R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S602">
        <f>IF(Metadata!C602="",FALSE,TRUE)</f>
        <v>0</v>
      </c>
      <c r="T602">
        <f>IF(Metadata!D602="",FALSE,TRUE)</f>
        <v>0</v>
      </c>
      <c r="U602">
        <f>IF(Metadata!E602="",FALSE,TRUE)</f>
        <v>0</v>
      </c>
      <c r="V602">
        <f>AND(IF(Metadata!F602="",FALSE,TRUE),exact(Metadata!F602,"rat gut metagenome"))</f>
        <v>0</v>
      </c>
      <c r="W602">
        <f>AND(IF(Metadata!G602="",FALSE,TRUE),exact(Metadata!G602,"1436733"))</f>
        <v>0</v>
      </c>
    </row>
    <row r="603" spans="1:23">
      <c r="A603" s="4">
        <f>IF(B603=" "," ",HYPERLINK(CONCATENATE("#metadata!",ADDRESS(INDEX($M$2:$M$1001,MATCH(ROWS($K$2:K603),$K$2:$K$1001,0),0),1)),INDEX($P$2:$P$1001,MATCH(ROWS($K$2:K603),$K$2:$K$1001,0),0)))</f>
        <v>0</v>
      </c>
      <c r="B603" s="3">
        <f>IF(OR(INDEX($L$2:$L$1001,MATCH(ROWS($K$2:K603),$K$2:$K$1001,0),1)&gt;=100000,INDEX($R$1005:$W$1005,1,MATCH(COLUMNS($R$1006:R1006),$R$1006:$W$1006,0))&gt;=100000), " ",IF(INDEX($R$2:$W$1001,MATCH(ROWS($K$2:K603),$K$2:$K$1001,0),MATCH(COLUMNS($R$1006:R1006),$R$1006:$W$1006,0)), HYPERLINK("#",""), HYPERLINK(CONCATENATE("#Metadata!", ADDRESS(INDEX($M$2:$M$1001,MATCH(ROWS($K$2:K603),$K$2:$K$1001,0),0), INDEX($R$1004:$W$1004,1,MATCH(COLUMNS($R$1006:R1006),$R$1006:$W$1006,0)))),"Fix")))</f>
        <v>0</v>
      </c>
      <c r="C603" s="3">
        <f>IF(OR(INDEX($L$2:$L$1001,MATCH(ROWS($K$2:K603),$K$2:$K$1001,0),1)&gt;=100000,INDEX($R$1005:$W$1005,1,MATCH(COLUMNS($R$1006:S1006),$R$1006:$W$1006,0))&gt;=100000), " ",IF(INDEX($R$2:$W$1001,MATCH(ROWS($K$2:K603),$K$2:$K$1001,0),MATCH(COLUMNS($R$1006:S1006),$R$1006:$W$1006,0)), HYPERLINK("#",""), HYPERLINK(CONCATENATE("#Metadata!", ADDRESS(INDEX($M$2:$M$1001,MATCH(ROWS($K$2:K603),$K$2:$K$1001,0),0), INDEX($R$1004:$W$1004,1,MATCH(COLUMNS($R$1006:S1006),$R$1006:$W$1006,0)))),"Fix")))</f>
        <v>0</v>
      </c>
      <c r="D603" s="3">
        <f>IF(OR(INDEX($L$2:$L$1001,MATCH(ROWS($K$2:K603),$K$2:$K$1001,0),1)&gt;=100000,INDEX($R$1005:$W$1005,1,MATCH(COLUMNS($R$1006:T1006),$R$1006:$W$1006,0))&gt;=100000), " ",IF(INDEX($R$2:$W$1001,MATCH(ROWS($K$2:K603),$K$2:$K$1001,0),MATCH(COLUMNS($R$1006:T1006),$R$1006:$W$1006,0)), HYPERLINK("#",""), HYPERLINK(CONCATENATE("#Metadata!", ADDRESS(INDEX($M$2:$M$1001,MATCH(ROWS($K$2:K603),$K$2:$K$1001,0),0), INDEX($R$1004:$W$1004,1,MATCH(COLUMNS($R$1006:T1006),$R$1006:$W$1006,0)))),"Fix")))</f>
        <v>0</v>
      </c>
      <c r="E603" s="3">
        <f>IF(OR(INDEX($L$2:$L$1001,MATCH(ROWS($K$2:K603),$K$2:$K$1001,0),1)&gt;=100000,INDEX($R$1005:$W$1005,1,MATCH(COLUMNS($R$1006:U1006),$R$1006:$W$1006,0))&gt;=100000), " ",IF(INDEX($R$2:$W$1001,MATCH(ROWS($K$2:K603),$K$2:$K$1001,0),MATCH(COLUMNS($R$1006:U1006),$R$1006:$W$1006,0)), HYPERLINK("#",""), HYPERLINK(CONCATENATE("#Metadata!", ADDRESS(INDEX($M$2:$M$1001,MATCH(ROWS($K$2:K603),$K$2:$K$1001,0),0), INDEX($R$1004:$W$1004,1,MATCH(COLUMNS($R$1006:U1006),$R$1006:$W$1006,0)))),"Fix")))</f>
        <v>0</v>
      </c>
      <c r="F603" s="3">
        <f>IF(OR(INDEX($L$2:$L$1001,MATCH(ROWS($K$2:K603),$K$2:$K$1001,0),1)&gt;=100000,INDEX($R$1005:$W$1005,1,MATCH(COLUMNS($R$1006:V1006),$R$1006:$W$1006,0))&gt;=100000), " ",IF(INDEX($R$2:$W$1001,MATCH(ROWS($K$2:K603),$K$2:$K$1001,0),MATCH(COLUMNS($R$1006:V1006),$R$1006:$W$1006,0)), HYPERLINK("#",""), HYPERLINK(CONCATENATE("#Metadata!", ADDRESS(INDEX($M$2:$M$1001,MATCH(ROWS($K$2:K603),$K$2:$K$1001,0),0), INDEX($R$1004:$W$1004,1,MATCH(COLUMNS($R$1006:V1006),$R$1006:$W$1006,0)))),"Fix")))</f>
        <v>0</v>
      </c>
      <c r="G603" s="3">
        <f>IF(OR(INDEX($L$2:$L$1001,MATCH(ROWS($K$2:K603),$K$2:$K$1001,0),1)&gt;=100000,INDEX($R$1005:$W$1005,1,MATCH(COLUMNS($R$1006:W1006),$R$1006:$W$1006,0))&gt;=100000), " ",IF(INDEX($R$2:$W$1001,MATCH(ROWS($K$2:K603),$K$2:$K$1001,0),MATCH(COLUMNS($R$1006:W1006),$R$1006:$W$1006,0)), HYPERLINK("#",""), HYPERLINK(CONCATENATE("#Metadata!", ADDRESS(INDEX($M$2:$M$1001,MATCH(ROWS($K$2:K603),$K$2:$K$1001,0),0), INDEX($R$1004:$W$1004,1,MATCH(COLUMNS($R$1006:W1006),$R$1006:$W$1006,0)))),"Fix")))</f>
        <v>0</v>
      </c>
      <c r="K603">
        <v>0</v>
      </c>
      <c r="L603">
        <v>0</v>
      </c>
      <c r="M603">
        <v>0</v>
      </c>
      <c r="N603">
        <f>IF(O603,TRUE,AND(R603:W603))</f>
        <v>0</v>
      </c>
      <c r="O603">
        <f>COUNTBLANK(Metadata!B603:G603)=COLUMNS(Metadata!B603:G603)</f>
        <v>0</v>
      </c>
      <c r="P603">
        <v>0</v>
      </c>
      <c r="R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S603">
        <f>IF(Metadata!C603="",FALSE,TRUE)</f>
        <v>0</v>
      </c>
      <c r="T603">
        <f>IF(Metadata!D603="",FALSE,TRUE)</f>
        <v>0</v>
      </c>
      <c r="U603">
        <f>IF(Metadata!E603="",FALSE,TRUE)</f>
        <v>0</v>
      </c>
      <c r="V603">
        <f>AND(IF(Metadata!F603="",FALSE,TRUE),exact(Metadata!F603,"rat gut metagenome"))</f>
        <v>0</v>
      </c>
      <c r="W603">
        <f>AND(IF(Metadata!G603="",FALSE,TRUE),exact(Metadata!G603,"1436733"))</f>
        <v>0</v>
      </c>
    </row>
    <row r="604" spans="1:23">
      <c r="A604" s="4">
        <f>IF(B604=" "," ",HYPERLINK(CONCATENATE("#metadata!",ADDRESS(INDEX($M$2:$M$1001,MATCH(ROWS($K$2:K604),$K$2:$K$1001,0),0),1)),INDEX($P$2:$P$1001,MATCH(ROWS($K$2:K604),$K$2:$K$1001,0),0)))</f>
        <v>0</v>
      </c>
      <c r="B604" s="3">
        <f>IF(OR(INDEX($L$2:$L$1001,MATCH(ROWS($K$2:K604),$K$2:$K$1001,0),1)&gt;=100000,INDEX($R$1005:$W$1005,1,MATCH(COLUMNS($R$1006:R1006),$R$1006:$W$1006,0))&gt;=100000), " ",IF(INDEX($R$2:$W$1001,MATCH(ROWS($K$2:K604),$K$2:$K$1001,0),MATCH(COLUMNS($R$1006:R1006),$R$1006:$W$1006,0)), HYPERLINK("#",""), HYPERLINK(CONCATENATE("#Metadata!", ADDRESS(INDEX($M$2:$M$1001,MATCH(ROWS($K$2:K604),$K$2:$K$1001,0),0), INDEX($R$1004:$W$1004,1,MATCH(COLUMNS($R$1006:R1006),$R$1006:$W$1006,0)))),"Fix")))</f>
        <v>0</v>
      </c>
      <c r="C604" s="3">
        <f>IF(OR(INDEX($L$2:$L$1001,MATCH(ROWS($K$2:K604),$K$2:$K$1001,0),1)&gt;=100000,INDEX($R$1005:$W$1005,1,MATCH(COLUMNS($R$1006:S1006),$R$1006:$W$1006,0))&gt;=100000), " ",IF(INDEX($R$2:$W$1001,MATCH(ROWS($K$2:K604),$K$2:$K$1001,0),MATCH(COLUMNS($R$1006:S1006),$R$1006:$W$1006,0)), HYPERLINK("#",""), HYPERLINK(CONCATENATE("#Metadata!", ADDRESS(INDEX($M$2:$M$1001,MATCH(ROWS($K$2:K604),$K$2:$K$1001,0),0), INDEX($R$1004:$W$1004,1,MATCH(COLUMNS($R$1006:S1006),$R$1006:$W$1006,0)))),"Fix")))</f>
        <v>0</v>
      </c>
      <c r="D604" s="3">
        <f>IF(OR(INDEX($L$2:$L$1001,MATCH(ROWS($K$2:K604),$K$2:$K$1001,0),1)&gt;=100000,INDEX($R$1005:$W$1005,1,MATCH(COLUMNS($R$1006:T1006),$R$1006:$W$1006,0))&gt;=100000), " ",IF(INDEX($R$2:$W$1001,MATCH(ROWS($K$2:K604),$K$2:$K$1001,0),MATCH(COLUMNS($R$1006:T1006),$R$1006:$W$1006,0)), HYPERLINK("#",""), HYPERLINK(CONCATENATE("#Metadata!", ADDRESS(INDEX($M$2:$M$1001,MATCH(ROWS($K$2:K604),$K$2:$K$1001,0),0), INDEX($R$1004:$W$1004,1,MATCH(COLUMNS($R$1006:T1006),$R$1006:$W$1006,0)))),"Fix")))</f>
        <v>0</v>
      </c>
      <c r="E604" s="3">
        <f>IF(OR(INDEX($L$2:$L$1001,MATCH(ROWS($K$2:K604),$K$2:$K$1001,0),1)&gt;=100000,INDEX($R$1005:$W$1005,1,MATCH(COLUMNS($R$1006:U1006),$R$1006:$W$1006,0))&gt;=100000), " ",IF(INDEX($R$2:$W$1001,MATCH(ROWS($K$2:K604),$K$2:$K$1001,0),MATCH(COLUMNS($R$1006:U1006),$R$1006:$W$1006,0)), HYPERLINK("#",""), HYPERLINK(CONCATENATE("#Metadata!", ADDRESS(INDEX($M$2:$M$1001,MATCH(ROWS($K$2:K604),$K$2:$K$1001,0),0), INDEX($R$1004:$W$1004,1,MATCH(COLUMNS($R$1006:U1006),$R$1006:$W$1006,0)))),"Fix")))</f>
        <v>0</v>
      </c>
      <c r="F604" s="3">
        <f>IF(OR(INDEX($L$2:$L$1001,MATCH(ROWS($K$2:K604),$K$2:$K$1001,0),1)&gt;=100000,INDEX($R$1005:$W$1005,1,MATCH(COLUMNS($R$1006:V1006),$R$1006:$W$1006,0))&gt;=100000), " ",IF(INDEX($R$2:$W$1001,MATCH(ROWS($K$2:K604),$K$2:$K$1001,0),MATCH(COLUMNS($R$1006:V1006),$R$1006:$W$1006,0)), HYPERLINK("#",""), HYPERLINK(CONCATENATE("#Metadata!", ADDRESS(INDEX($M$2:$M$1001,MATCH(ROWS($K$2:K604),$K$2:$K$1001,0),0), INDEX($R$1004:$W$1004,1,MATCH(COLUMNS($R$1006:V1006),$R$1006:$W$1006,0)))),"Fix")))</f>
        <v>0</v>
      </c>
      <c r="G604" s="3">
        <f>IF(OR(INDEX($L$2:$L$1001,MATCH(ROWS($K$2:K604),$K$2:$K$1001,0),1)&gt;=100000,INDEX($R$1005:$W$1005,1,MATCH(COLUMNS($R$1006:W1006),$R$1006:$W$1006,0))&gt;=100000), " ",IF(INDEX($R$2:$W$1001,MATCH(ROWS($K$2:K604),$K$2:$K$1001,0),MATCH(COLUMNS($R$1006:W1006),$R$1006:$W$1006,0)), HYPERLINK("#",""), HYPERLINK(CONCATENATE("#Metadata!", ADDRESS(INDEX($M$2:$M$1001,MATCH(ROWS($K$2:K604),$K$2:$K$1001,0),0), INDEX($R$1004:$W$1004,1,MATCH(COLUMNS($R$1006:W1006),$R$1006:$W$1006,0)))),"Fix")))</f>
        <v>0</v>
      </c>
      <c r="K604">
        <v>0</v>
      </c>
      <c r="L604">
        <v>0</v>
      </c>
      <c r="M604">
        <v>0</v>
      </c>
      <c r="N604">
        <f>IF(O604,TRUE,AND(R604:W604))</f>
        <v>0</v>
      </c>
      <c r="O604">
        <f>COUNTBLANK(Metadata!B604:G604)=COLUMNS(Metadata!B604:G604)</f>
        <v>0</v>
      </c>
      <c r="P604">
        <v>0</v>
      </c>
      <c r="R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S604">
        <f>IF(Metadata!C604="",FALSE,TRUE)</f>
        <v>0</v>
      </c>
      <c r="T604">
        <f>IF(Metadata!D604="",FALSE,TRUE)</f>
        <v>0</v>
      </c>
      <c r="U604">
        <f>IF(Metadata!E604="",FALSE,TRUE)</f>
        <v>0</v>
      </c>
      <c r="V604">
        <f>AND(IF(Metadata!F604="",FALSE,TRUE),exact(Metadata!F604,"rat gut metagenome"))</f>
        <v>0</v>
      </c>
      <c r="W604">
        <f>AND(IF(Metadata!G604="",FALSE,TRUE),exact(Metadata!G604,"1436733"))</f>
        <v>0</v>
      </c>
    </row>
    <row r="605" spans="1:23">
      <c r="A605" s="4">
        <f>IF(B605=" "," ",HYPERLINK(CONCATENATE("#metadata!",ADDRESS(INDEX($M$2:$M$1001,MATCH(ROWS($K$2:K605),$K$2:$K$1001,0),0),1)),INDEX($P$2:$P$1001,MATCH(ROWS($K$2:K605),$K$2:$K$1001,0),0)))</f>
        <v>0</v>
      </c>
      <c r="B605" s="3">
        <f>IF(OR(INDEX($L$2:$L$1001,MATCH(ROWS($K$2:K605),$K$2:$K$1001,0),1)&gt;=100000,INDEX($R$1005:$W$1005,1,MATCH(COLUMNS($R$1006:R1006),$R$1006:$W$1006,0))&gt;=100000), " ",IF(INDEX($R$2:$W$1001,MATCH(ROWS($K$2:K605),$K$2:$K$1001,0),MATCH(COLUMNS($R$1006:R1006),$R$1006:$W$1006,0)), HYPERLINK("#",""), HYPERLINK(CONCATENATE("#Metadata!", ADDRESS(INDEX($M$2:$M$1001,MATCH(ROWS($K$2:K605),$K$2:$K$1001,0),0), INDEX($R$1004:$W$1004,1,MATCH(COLUMNS($R$1006:R1006),$R$1006:$W$1006,0)))),"Fix")))</f>
        <v>0</v>
      </c>
      <c r="C605" s="3">
        <f>IF(OR(INDEX($L$2:$L$1001,MATCH(ROWS($K$2:K605),$K$2:$K$1001,0),1)&gt;=100000,INDEX($R$1005:$W$1005,1,MATCH(COLUMNS($R$1006:S1006),$R$1006:$W$1006,0))&gt;=100000), " ",IF(INDEX($R$2:$W$1001,MATCH(ROWS($K$2:K605),$K$2:$K$1001,0),MATCH(COLUMNS($R$1006:S1006),$R$1006:$W$1006,0)), HYPERLINK("#",""), HYPERLINK(CONCATENATE("#Metadata!", ADDRESS(INDEX($M$2:$M$1001,MATCH(ROWS($K$2:K605),$K$2:$K$1001,0),0), INDEX($R$1004:$W$1004,1,MATCH(COLUMNS($R$1006:S1006),$R$1006:$W$1006,0)))),"Fix")))</f>
        <v>0</v>
      </c>
      <c r="D605" s="3">
        <f>IF(OR(INDEX($L$2:$L$1001,MATCH(ROWS($K$2:K605),$K$2:$K$1001,0),1)&gt;=100000,INDEX($R$1005:$W$1005,1,MATCH(COLUMNS($R$1006:T1006),$R$1006:$W$1006,0))&gt;=100000), " ",IF(INDEX($R$2:$W$1001,MATCH(ROWS($K$2:K605),$K$2:$K$1001,0),MATCH(COLUMNS($R$1006:T1006),$R$1006:$W$1006,0)), HYPERLINK("#",""), HYPERLINK(CONCATENATE("#Metadata!", ADDRESS(INDEX($M$2:$M$1001,MATCH(ROWS($K$2:K605),$K$2:$K$1001,0),0), INDEX($R$1004:$W$1004,1,MATCH(COLUMNS($R$1006:T1006),$R$1006:$W$1006,0)))),"Fix")))</f>
        <v>0</v>
      </c>
      <c r="E605" s="3">
        <f>IF(OR(INDEX($L$2:$L$1001,MATCH(ROWS($K$2:K605),$K$2:$K$1001,0),1)&gt;=100000,INDEX($R$1005:$W$1005,1,MATCH(COLUMNS($R$1006:U1006),$R$1006:$W$1006,0))&gt;=100000), " ",IF(INDEX($R$2:$W$1001,MATCH(ROWS($K$2:K605),$K$2:$K$1001,0),MATCH(COLUMNS($R$1006:U1006),$R$1006:$W$1006,0)), HYPERLINK("#",""), HYPERLINK(CONCATENATE("#Metadata!", ADDRESS(INDEX($M$2:$M$1001,MATCH(ROWS($K$2:K605),$K$2:$K$1001,0),0), INDEX($R$1004:$W$1004,1,MATCH(COLUMNS($R$1006:U1006),$R$1006:$W$1006,0)))),"Fix")))</f>
        <v>0</v>
      </c>
      <c r="F605" s="3">
        <f>IF(OR(INDEX($L$2:$L$1001,MATCH(ROWS($K$2:K605),$K$2:$K$1001,0),1)&gt;=100000,INDEX($R$1005:$W$1005,1,MATCH(COLUMNS($R$1006:V1006),$R$1006:$W$1006,0))&gt;=100000), " ",IF(INDEX($R$2:$W$1001,MATCH(ROWS($K$2:K605),$K$2:$K$1001,0),MATCH(COLUMNS($R$1006:V1006),$R$1006:$W$1006,0)), HYPERLINK("#",""), HYPERLINK(CONCATENATE("#Metadata!", ADDRESS(INDEX($M$2:$M$1001,MATCH(ROWS($K$2:K605),$K$2:$K$1001,0),0), INDEX($R$1004:$W$1004,1,MATCH(COLUMNS($R$1006:V1006),$R$1006:$W$1006,0)))),"Fix")))</f>
        <v>0</v>
      </c>
      <c r="G605" s="3">
        <f>IF(OR(INDEX($L$2:$L$1001,MATCH(ROWS($K$2:K605),$K$2:$K$1001,0),1)&gt;=100000,INDEX($R$1005:$W$1005,1,MATCH(COLUMNS($R$1006:W1006),$R$1006:$W$1006,0))&gt;=100000), " ",IF(INDEX($R$2:$W$1001,MATCH(ROWS($K$2:K605),$K$2:$K$1001,0),MATCH(COLUMNS($R$1006:W1006),$R$1006:$W$1006,0)), HYPERLINK("#",""), HYPERLINK(CONCATENATE("#Metadata!", ADDRESS(INDEX($M$2:$M$1001,MATCH(ROWS($K$2:K605),$K$2:$K$1001,0),0), INDEX($R$1004:$W$1004,1,MATCH(COLUMNS($R$1006:W1006),$R$1006:$W$1006,0)))),"Fix")))</f>
        <v>0</v>
      </c>
      <c r="K605">
        <v>0</v>
      </c>
      <c r="L605">
        <v>0</v>
      </c>
      <c r="M605">
        <v>0</v>
      </c>
      <c r="N605">
        <f>IF(O605,TRUE,AND(R605:W605))</f>
        <v>0</v>
      </c>
      <c r="O605">
        <f>COUNTBLANK(Metadata!B605:G605)=COLUMNS(Metadata!B605:G605)</f>
        <v>0</v>
      </c>
      <c r="P605">
        <v>0</v>
      </c>
      <c r="R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S605">
        <f>IF(Metadata!C605="",FALSE,TRUE)</f>
        <v>0</v>
      </c>
      <c r="T605">
        <f>IF(Metadata!D605="",FALSE,TRUE)</f>
        <v>0</v>
      </c>
      <c r="U605">
        <f>IF(Metadata!E605="",FALSE,TRUE)</f>
        <v>0</v>
      </c>
      <c r="V605">
        <f>AND(IF(Metadata!F605="",FALSE,TRUE),exact(Metadata!F605,"rat gut metagenome"))</f>
        <v>0</v>
      </c>
      <c r="W605">
        <f>AND(IF(Metadata!G605="",FALSE,TRUE),exact(Metadata!G605,"1436733"))</f>
        <v>0</v>
      </c>
    </row>
    <row r="606" spans="1:23">
      <c r="A606" s="4">
        <f>IF(B606=" "," ",HYPERLINK(CONCATENATE("#metadata!",ADDRESS(INDEX($M$2:$M$1001,MATCH(ROWS($K$2:K606),$K$2:$K$1001,0),0),1)),INDEX($P$2:$P$1001,MATCH(ROWS($K$2:K606),$K$2:$K$1001,0),0)))</f>
        <v>0</v>
      </c>
      <c r="B606" s="3">
        <f>IF(OR(INDEX($L$2:$L$1001,MATCH(ROWS($K$2:K606),$K$2:$K$1001,0),1)&gt;=100000,INDEX($R$1005:$W$1005,1,MATCH(COLUMNS($R$1006:R1006),$R$1006:$W$1006,0))&gt;=100000), " ",IF(INDEX($R$2:$W$1001,MATCH(ROWS($K$2:K606),$K$2:$K$1001,0),MATCH(COLUMNS($R$1006:R1006),$R$1006:$W$1006,0)), HYPERLINK("#",""), HYPERLINK(CONCATENATE("#Metadata!", ADDRESS(INDEX($M$2:$M$1001,MATCH(ROWS($K$2:K606),$K$2:$K$1001,0),0), INDEX($R$1004:$W$1004,1,MATCH(COLUMNS($R$1006:R1006),$R$1006:$W$1006,0)))),"Fix")))</f>
        <v>0</v>
      </c>
      <c r="C606" s="3">
        <f>IF(OR(INDEX($L$2:$L$1001,MATCH(ROWS($K$2:K606),$K$2:$K$1001,0),1)&gt;=100000,INDEX($R$1005:$W$1005,1,MATCH(COLUMNS($R$1006:S1006),$R$1006:$W$1006,0))&gt;=100000), " ",IF(INDEX($R$2:$W$1001,MATCH(ROWS($K$2:K606),$K$2:$K$1001,0),MATCH(COLUMNS($R$1006:S1006),$R$1006:$W$1006,0)), HYPERLINK("#",""), HYPERLINK(CONCATENATE("#Metadata!", ADDRESS(INDEX($M$2:$M$1001,MATCH(ROWS($K$2:K606),$K$2:$K$1001,0),0), INDEX($R$1004:$W$1004,1,MATCH(COLUMNS($R$1006:S1006),$R$1006:$W$1006,0)))),"Fix")))</f>
        <v>0</v>
      </c>
      <c r="D606" s="3">
        <f>IF(OR(INDEX($L$2:$L$1001,MATCH(ROWS($K$2:K606),$K$2:$K$1001,0),1)&gt;=100000,INDEX($R$1005:$W$1005,1,MATCH(COLUMNS($R$1006:T1006),$R$1006:$W$1006,0))&gt;=100000), " ",IF(INDEX($R$2:$W$1001,MATCH(ROWS($K$2:K606),$K$2:$K$1001,0),MATCH(COLUMNS($R$1006:T1006),$R$1006:$W$1006,0)), HYPERLINK("#",""), HYPERLINK(CONCATENATE("#Metadata!", ADDRESS(INDEX($M$2:$M$1001,MATCH(ROWS($K$2:K606),$K$2:$K$1001,0),0), INDEX($R$1004:$W$1004,1,MATCH(COLUMNS($R$1006:T1006),$R$1006:$W$1006,0)))),"Fix")))</f>
        <v>0</v>
      </c>
      <c r="E606" s="3">
        <f>IF(OR(INDEX($L$2:$L$1001,MATCH(ROWS($K$2:K606),$K$2:$K$1001,0),1)&gt;=100000,INDEX($R$1005:$W$1005,1,MATCH(COLUMNS($R$1006:U1006),$R$1006:$W$1006,0))&gt;=100000), " ",IF(INDEX($R$2:$W$1001,MATCH(ROWS($K$2:K606),$K$2:$K$1001,0),MATCH(COLUMNS($R$1006:U1006),$R$1006:$W$1006,0)), HYPERLINK("#",""), HYPERLINK(CONCATENATE("#Metadata!", ADDRESS(INDEX($M$2:$M$1001,MATCH(ROWS($K$2:K606),$K$2:$K$1001,0),0), INDEX($R$1004:$W$1004,1,MATCH(COLUMNS($R$1006:U1006),$R$1006:$W$1006,0)))),"Fix")))</f>
        <v>0</v>
      </c>
      <c r="F606" s="3">
        <f>IF(OR(INDEX($L$2:$L$1001,MATCH(ROWS($K$2:K606),$K$2:$K$1001,0),1)&gt;=100000,INDEX($R$1005:$W$1005,1,MATCH(COLUMNS($R$1006:V1006),$R$1006:$W$1006,0))&gt;=100000), " ",IF(INDEX($R$2:$W$1001,MATCH(ROWS($K$2:K606),$K$2:$K$1001,0),MATCH(COLUMNS($R$1006:V1006),$R$1006:$W$1006,0)), HYPERLINK("#",""), HYPERLINK(CONCATENATE("#Metadata!", ADDRESS(INDEX($M$2:$M$1001,MATCH(ROWS($K$2:K606),$K$2:$K$1001,0),0), INDEX($R$1004:$W$1004,1,MATCH(COLUMNS($R$1006:V1006),$R$1006:$W$1006,0)))),"Fix")))</f>
        <v>0</v>
      </c>
      <c r="G606" s="3">
        <f>IF(OR(INDEX($L$2:$L$1001,MATCH(ROWS($K$2:K606),$K$2:$K$1001,0),1)&gt;=100000,INDEX($R$1005:$W$1005,1,MATCH(COLUMNS($R$1006:W1006),$R$1006:$W$1006,0))&gt;=100000), " ",IF(INDEX($R$2:$W$1001,MATCH(ROWS($K$2:K606),$K$2:$K$1001,0),MATCH(COLUMNS($R$1006:W1006),$R$1006:$W$1006,0)), HYPERLINK("#",""), HYPERLINK(CONCATENATE("#Metadata!", ADDRESS(INDEX($M$2:$M$1001,MATCH(ROWS($K$2:K606),$K$2:$K$1001,0),0), INDEX($R$1004:$W$1004,1,MATCH(COLUMNS($R$1006:W1006),$R$1006:$W$1006,0)))),"Fix")))</f>
        <v>0</v>
      </c>
      <c r="K606">
        <v>0</v>
      </c>
      <c r="L606">
        <v>0</v>
      </c>
      <c r="M606">
        <v>0</v>
      </c>
      <c r="N606">
        <f>IF(O606,TRUE,AND(R606:W606))</f>
        <v>0</v>
      </c>
      <c r="O606">
        <f>COUNTBLANK(Metadata!B606:G606)=COLUMNS(Metadata!B606:G606)</f>
        <v>0</v>
      </c>
      <c r="P606">
        <v>0</v>
      </c>
      <c r="R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S606">
        <f>IF(Metadata!C606="",FALSE,TRUE)</f>
        <v>0</v>
      </c>
      <c r="T606">
        <f>IF(Metadata!D606="",FALSE,TRUE)</f>
        <v>0</v>
      </c>
      <c r="U606">
        <f>IF(Metadata!E606="",FALSE,TRUE)</f>
        <v>0</v>
      </c>
      <c r="V606">
        <f>AND(IF(Metadata!F606="",FALSE,TRUE),exact(Metadata!F606,"rat gut metagenome"))</f>
        <v>0</v>
      </c>
      <c r="W606">
        <f>AND(IF(Metadata!G606="",FALSE,TRUE),exact(Metadata!G606,"1436733"))</f>
        <v>0</v>
      </c>
    </row>
    <row r="607" spans="1:23">
      <c r="A607" s="4">
        <f>IF(B607=" "," ",HYPERLINK(CONCATENATE("#metadata!",ADDRESS(INDEX($M$2:$M$1001,MATCH(ROWS($K$2:K607),$K$2:$K$1001,0),0),1)),INDEX($P$2:$P$1001,MATCH(ROWS($K$2:K607),$K$2:$K$1001,0),0)))</f>
        <v>0</v>
      </c>
      <c r="B607" s="3">
        <f>IF(OR(INDEX($L$2:$L$1001,MATCH(ROWS($K$2:K607),$K$2:$K$1001,0),1)&gt;=100000,INDEX($R$1005:$W$1005,1,MATCH(COLUMNS($R$1006:R1006),$R$1006:$W$1006,0))&gt;=100000), " ",IF(INDEX($R$2:$W$1001,MATCH(ROWS($K$2:K607),$K$2:$K$1001,0),MATCH(COLUMNS($R$1006:R1006),$R$1006:$W$1006,0)), HYPERLINK("#",""), HYPERLINK(CONCATENATE("#Metadata!", ADDRESS(INDEX($M$2:$M$1001,MATCH(ROWS($K$2:K607),$K$2:$K$1001,0),0), INDEX($R$1004:$W$1004,1,MATCH(COLUMNS($R$1006:R1006),$R$1006:$W$1006,0)))),"Fix")))</f>
        <v>0</v>
      </c>
      <c r="C607" s="3">
        <f>IF(OR(INDEX($L$2:$L$1001,MATCH(ROWS($K$2:K607),$K$2:$K$1001,0),1)&gt;=100000,INDEX($R$1005:$W$1005,1,MATCH(COLUMNS($R$1006:S1006),$R$1006:$W$1006,0))&gt;=100000), " ",IF(INDEX($R$2:$W$1001,MATCH(ROWS($K$2:K607),$K$2:$K$1001,0),MATCH(COLUMNS($R$1006:S1006),$R$1006:$W$1006,0)), HYPERLINK("#",""), HYPERLINK(CONCATENATE("#Metadata!", ADDRESS(INDEX($M$2:$M$1001,MATCH(ROWS($K$2:K607),$K$2:$K$1001,0),0), INDEX($R$1004:$W$1004,1,MATCH(COLUMNS($R$1006:S1006),$R$1006:$W$1006,0)))),"Fix")))</f>
        <v>0</v>
      </c>
      <c r="D607" s="3">
        <f>IF(OR(INDEX($L$2:$L$1001,MATCH(ROWS($K$2:K607),$K$2:$K$1001,0),1)&gt;=100000,INDEX($R$1005:$W$1005,1,MATCH(COLUMNS($R$1006:T1006),$R$1006:$W$1006,0))&gt;=100000), " ",IF(INDEX($R$2:$W$1001,MATCH(ROWS($K$2:K607),$K$2:$K$1001,0),MATCH(COLUMNS($R$1006:T1006),$R$1006:$W$1006,0)), HYPERLINK("#",""), HYPERLINK(CONCATENATE("#Metadata!", ADDRESS(INDEX($M$2:$M$1001,MATCH(ROWS($K$2:K607),$K$2:$K$1001,0),0), INDEX($R$1004:$W$1004,1,MATCH(COLUMNS($R$1006:T1006),$R$1006:$W$1006,0)))),"Fix")))</f>
        <v>0</v>
      </c>
      <c r="E607" s="3">
        <f>IF(OR(INDEX($L$2:$L$1001,MATCH(ROWS($K$2:K607),$K$2:$K$1001,0),1)&gt;=100000,INDEX($R$1005:$W$1005,1,MATCH(COLUMNS($R$1006:U1006),$R$1006:$W$1006,0))&gt;=100000), " ",IF(INDEX($R$2:$W$1001,MATCH(ROWS($K$2:K607),$K$2:$K$1001,0),MATCH(COLUMNS($R$1006:U1006),$R$1006:$W$1006,0)), HYPERLINK("#",""), HYPERLINK(CONCATENATE("#Metadata!", ADDRESS(INDEX($M$2:$M$1001,MATCH(ROWS($K$2:K607),$K$2:$K$1001,0),0), INDEX($R$1004:$W$1004,1,MATCH(COLUMNS($R$1006:U1006),$R$1006:$W$1006,0)))),"Fix")))</f>
        <v>0</v>
      </c>
      <c r="F607" s="3">
        <f>IF(OR(INDEX($L$2:$L$1001,MATCH(ROWS($K$2:K607),$K$2:$K$1001,0),1)&gt;=100000,INDEX($R$1005:$W$1005,1,MATCH(COLUMNS($R$1006:V1006),$R$1006:$W$1006,0))&gt;=100000), " ",IF(INDEX($R$2:$W$1001,MATCH(ROWS($K$2:K607),$K$2:$K$1001,0),MATCH(COLUMNS($R$1006:V1006),$R$1006:$W$1006,0)), HYPERLINK("#",""), HYPERLINK(CONCATENATE("#Metadata!", ADDRESS(INDEX($M$2:$M$1001,MATCH(ROWS($K$2:K607),$K$2:$K$1001,0),0), INDEX($R$1004:$W$1004,1,MATCH(COLUMNS($R$1006:V1006),$R$1006:$W$1006,0)))),"Fix")))</f>
        <v>0</v>
      </c>
      <c r="G607" s="3">
        <f>IF(OR(INDEX($L$2:$L$1001,MATCH(ROWS($K$2:K607),$K$2:$K$1001,0),1)&gt;=100000,INDEX($R$1005:$W$1005,1,MATCH(COLUMNS($R$1006:W1006),$R$1006:$W$1006,0))&gt;=100000), " ",IF(INDEX($R$2:$W$1001,MATCH(ROWS($K$2:K607),$K$2:$K$1001,0),MATCH(COLUMNS($R$1006:W1006),$R$1006:$W$1006,0)), HYPERLINK("#",""), HYPERLINK(CONCATENATE("#Metadata!", ADDRESS(INDEX($M$2:$M$1001,MATCH(ROWS($K$2:K607),$K$2:$K$1001,0),0), INDEX($R$1004:$W$1004,1,MATCH(COLUMNS($R$1006:W1006),$R$1006:$W$1006,0)))),"Fix")))</f>
        <v>0</v>
      </c>
      <c r="K607">
        <v>0</v>
      </c>
      <c r="L607">
        <v>0</v>
      </c>
      <c r="M607">
        <v>0</v>
      </c>
      <c r="N607">
        <f>IF(O607,TRUE,AND(R607:W607))</f>
        <v>0</v>
      </c>
      <c r="O607">
        <f>COUNTBLANK(Metadata!B607:G607)=COLUMNS(Metadata!B607:G607)</f>
        <v>0</v>
      </c>
      <c r="P607">
        <v>0</v>
      </c>
      <c r="R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S607">
        <f>IF(Metadata!C607="",FALSE,TRUE)</f>
        <v>0</v>
      </c>
      <c r="T607">
        <f>IF(Metadata!D607="",FALSE,TRUE)</f>
        <v>0</v>
      </c>
      <c r="U607">
        <f>IF(Metadata!E607="",FALSE,TRUE)</f>
        <v>0</v>
      </c>
      <c r="V607">
        <f>AND(IF(Metadata!F607="",FALSE,TRUE),exact(Metadata!F607,"rat gut metagenome"))</f>
        <v>0</v>
      </c>
      <c r="W607">
        <f>AND(IF(Metadata!G607="",FALSE,TRUE),exact(Metadata!G607,"1436733"))</f>
        <v>0</v>
      </c>
    </row>
    <row r="608" spans="1:23">
      <c r="A608" s="4">
        <f>IF(B608=" "," ",HYPERLINK(CONCATENATE("#metadata!",ADDRESS(INDEX($M$2:$M$1001,MATCH(ROWS($K$2:K608),$K$2:$K$1001,0),0),1)),INDEX($P$2:$P$1001,MATCH(ROWS($K$2:K608),$K$2:$K$1001,0),0)))</f>
        <v>0</v>
      </c>
      <c r="B608" s="3">
        <f>IF(OR(INDEX($L$2:$L$1001,MATCH(ROWS($K$2:K608),$K$2:$K$1001,0),1)&gt;=100000,INDEX($R$1005:$W$1005,1,MATCH(COLUMNS($R$1006:R1006),$R$1006:$W$1006,0))&gt;=100000), " ",IF(INDEX($R$2:$W$1001,MATCH(ROWS($K$2:K608),$K$2:$K$1001,0),MATCH(COLUMNS($R$1006:R1006),$R$1006:$W$1006,0)), HYPERLINK("#",""), HYPERLINK(CONCATENATE("#Metadata!", ADDRESS(INDEX($M$2:$M$1001,MATCH(ROWS($K$2:K608),$K$2:$K$1001,0),0), INDEX($R$1004:$W$1004,1,MATCH(COLUMNS($R$1006:R1006),$R$1006:$W$1006,0)))),"Fix")))</f>
        <v>0</v>
      </c>
      <c r="C608" s="3">
        <f>IF(OR(INDEX($L$2:$L$1001,MATCH(ROWS($K$2:K608),$K$2:$K$1001,0),1)&gt;=100000,INDEX($R$1005:$W$1005,1,MATCH(COLUMNS($R$1006:S1006),$R$1006:$W$1006,0))&gt;=100000), " ",IF(INDEX($R$2:$W$1001,MATCH(ROWS($K$2:K608),$K$2:$K$1001,0),MATCH(COLUMNS($R$1006:S1006),$R$1006:$W$1006,0)), HYPERLINK("#",""), HYPERLINK(CONCATENATE("#Metadata!", ADDRESS(INDEX($M$2:$M$1001,MATCH(ROWS($K$2:K608),$K$2:$K$1001,0),0), INDEX($R$1004:$W$1004,1,MATCH(COLUMNS($R$1006:S1006),$R$1006:$W$1006,0)))),"Fix")))</f>
        <v>0</v>
      </c>
      <c r="D608" s="3">
        <f>IF(OR(INDEX($L$2:$L$1001,MATCH(ROWS($K$2:K608),$K$2:$K$1001,0),1)&gt;=100000,INDEX($R$1005:$W$1005,1,MATCH(COLUMNS($R$1006:T1006),$R$1006:$W$1006,0))&gt;=100000), " ",IF(INDEX($R$2:$W$1001,MATCH(ROWS($K$2:K608),$K$2:$K$1001,0),MATCH(COLUMNS($R$1006:T1006),$R$1006:$W$1006,0)), HYPERLINK("#",""), HYPERLINK(CONCATENATE("#Metadata!", ADDRESS(INDEX($M$2:$M$1001,MATCH(ROWS($K$2:K608),$K$2:$K$1001,0),0), INDEX($R$1004:$W$1004,1,MATCH(COLUMNS($R$1006:T1006),$R$1006:$W$1006,0)))),"Fix")))</f>
        <v>0</v>
      </c>
      <c r="E608" s="3">
        <f>IF(OR(INDEX($L$2:$L$1001,MATCH(ROWS($K$2:K608),$K$2:$K$1001,0),1)&gt;=100000,INDEX($R$1005:$W$1005,1,MATCH(COLUMNS($R$1006:U1006),$R$1006:$W$1006,0))&gt;=100000), " ",IF(INDEX($R$2:$W$1001,MATCH(ROWS($K$2:K608),$K$2:$K$1001,0),MATCH(COLUMNS($R$1006:U1006),$R$1006:$W$1006,0)), HYPERLINK("#",""), HYPERLINK(CONCATENATE("#Metadata!", ADDRESS(INDEX($M$2:$M$1001,MATCH(ROWS($K$2:K608),$K$2:$K$1001,0),0), INDEX($R$1004:$W$1004,1,MATCH(COLUMNS($R$1006:U1006),$R$1006:$W$1006,0)))),"Fix")))</f>
        <v>0</v>
      </c>
      <c r="F608" s="3">
        <f>IF(OR(INDEX($L$2:$L$1001,MATCH(ROWS($K$2:K608),$K$2:$K$1001,0),1)&gt;=100000,INDEX($R$1005:$W$1005,1,MATCH(COLUMNS($R$1006:V1006),$R$1006:$W$1006,0))&gt;=100000), " ",IF(INDEX($R$2:$W$1001,MATCH(ROWS($K$2:K608),$K$2:$K$1001,0),MATCH(COLUMNS($R$1006:V1006),$R$1006:$W$1006,0)), HYPERLINK("#",""), HYPERLINK(CONCATENATE("#Metadata!", ADDRESS(INDEX($M$2:$M$1001,MATCH(ROWS($K$2:K608),$K$2:$K$1001,0),0), INDEX($R$1004:$W$1004,1,MATCH(COLUMNS($R$1006:V1006),$R$1006:$W$1006,0)))),"Fix")))</f>
        <v>0</v>
      </c>
      <c r="G608" s="3">
        <f>IF(OR(INDEX($L$2:$L$1001,MATCH(ROWS($K$2:K608),$K$2:$K$1001,0),1)&gt;=100000,INDEX($R$1005:$W$1005,1,MATCH(COLUMNS($R$1006:W1006),$R$1006:$W$1006,0))&gt;=100000), " ",IF(INDEX($R$2:$W$1001,MATCH(ROWS($K$2:K608),$K$2:$K$1001,0),MATCH(COLUMNS($R$1006:W1006),$R$1006:$W$1006,0)), HYPERLINK("#",""), HYPERLINK(CONCATENATE("#Metadata!", ADDRESS(INDEX($M$2:$M$1001,MATCH(ROWS($K$2:K608),$K$2:$K$1001,0),0), INDEX($R$1004:$W$1004,1,MATCH(COLUMNS($R$1006:W1006),$R$1006:$W$1006,0)))),"Fix")))</f>
        <v>0</v>
      </c>
      <c r="K608">
        <v>0</v>
      </c>
      <c r="L608">
        <v>0</v>
      </c>
      <c r="M608">
        <v>0</v>
      </c>
      <c r="N608">
        <f>IF(O608,TRUE,AND(R608:W608))</f>
        <v>0</v>
      </c>
      <c r="O608">
        <f>COUNTBLANK(Metadata!B608:G608)=COLUMNS(Metadata!B608:G608)</f>
        <v>0</v>
      </c>
      <c r="P608">
        <v>0</v>
      </c>
      <c r="R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S608">
        <f>IF(Metadata!C608="",FALSE,TRUE)</f>
        <v>0</v>
      </c>
      <c r="T608">
        <f>IF(Metadata!D608="",FALSE,TRUE)</f>
        <v>0</v>
      </c>
      <c r="U608">
        <f>IF(Metadata!E608="",FALSE,TRUE)</f>
        <v>0</v>
      </c>
      <c r="V608">
        <f>AND(IF(Metadata!F608="",FALSE,TRUE),exact(Metadata!F608,"rat gut metagenome"))</f>
        <v>0</v>
      </c>
      <c r="W608">
        <f>AND(IF(Metadata!G608="",FALSE,TRUE),exact(Metadata!G608,"1436733"))</f>
        <v>0</v>
      </c>
    </row>
    <row r="609" spans="1:23">
      <c r="A609" s="4">
        <f>IF(B609=" "," ",HYPERLINK(CONCATENATE("#metadata!",ADDRESS(INDEX($M$2:$M$1001,MATCH(ROWS($K$2:K609),$K$2:$K$1001,0),0),1)),INDEX($P$2:$P$1001,MATCH(ROWS($K$2:K609),$K$2:$K$1001,0),0)))</f>
        <v>0</v>
      </c>
      <c r="B609" s="3">
        <f>IF(OR(INDEX($L$2:$L$1001,MATCH(ROWS($K$2:K609),$K$2:$K$1001,0),1)&gt;=100000,INDEX($R$1005:$W$1005,1,MATCH(COLUMNS($R$1006:R1006),$R$1006:$W$1006,0))&gt;=100000), " ",IF(INDEX($R$2:$W$1001,MATCH(ROWS($K$2:K609),$K$2:$K$1001,0),MATCH(COLUMNS($R$1006:R1006),$R$1006:$W$1006,0)), HYPERLINK("#",""), HYPERLINK(CONCATENATE("#Metadata!", ADDRESS(INDEX($M$2:$M$1001,MATCH(ROWS($K$2:K609),$K$2:$K$1001,0),0), INDEX($R$1004:$W$1004,1,MATCH(COLUMNS($R$1006:R1006),$R$1006:$W$1006,0)))),"Fix")))</f>
        <v>0</v>
      </c>
      <c r="C609" s="3">
        <f>IF(OR(INDEX($L$2:$L$1001,MATCH(ROWS($K$2:K609),$K$2:$K$1001,0),1)&gt;=100000,INDEX($R$1005:$W$1005,1,MATCH(COLUMNS($R$1006:S1006),$R$1006:$W$1006,0))&gt;=100000), " ",IF(INDEX($R$2:$W$1001,MATCH(ROWS($K$2:K609),$K$2:$K$1001,0),MATCH(COLUMNS($R$1006:S1006),$R$1006:$W$1006,0)), HYPERLINK("#",""), HYPERLINK(CONCATENATE("#Metadata!", ADDRESS(INDEX($M$2:$M$1001,MATCH(ROWS($K$2:K609),$K$2:$K$1001,0),0), INDEX($R$1004:$W$1004,1,MATCH(COLUMNS($R$1006:S1006),$R$1006:$W$1006,0)))),"Fix")))</f>
        <v>0</v>
      </c>
      <c r="D609" s="3">
        <f>IF(OR(INDEX($L$2:$L$1001,MATCH(ROWS($K$2:K609),$K$2:$K$1001,0),1)&gt;=100000,INDEX($R$1005:$W$1005,1,MATCH(COLUMNS($R$1006:T1006),$R$1006:$W$1006,0))&gt;=100000), " ",IF(INDEX($R$2:$W$1001,MATCH(ROWS($K$2:K609),$K$2:$K$1001,0),MATCH(COLUMNS($R$1006:T1006),$R$1006:$W$1006,0)), HYPERLINK("#",""), HYPERLINK(CONCATENATE("#Metadata!", ADDRESS(INDEX($M$2:$M$1001,MATCH(ROWS($K$2:K609),$K$2:$K$1001,0),0), INDEX($R$1004:$W$1004,1,MATCH(COLUMNS($R$1006:T1006),$R$1006:$W$1006,0)))),"Fix")))</f>
        <v>0</v>
      </c>
      <c r="E609" s="3">
        <f>IF(OR(INDEX($L$2:$L$1001,MATCH(ROWS($K$2:K609),$K$2:$K$1001,0),1)&gt;=100000,INDEX($R$1005:$W$1005,1,MATCH(COLUMNS($R$1006:U1006),$R$1006:$W$1006,0))&gt;=100000), " ",IF(INDEX($R$2:$W$1001,MATCH(ROWS($K$2:K609),$K$2:$K$1001,0),MATCH(COLUMNS($R$1006:U1006),$R$1006:$W$1006,0)), HYPERLINK("#",""), HYPERLINK(CONCATENATE("#Metadata!", ADDRESS(INDEX($M$2:$M$1001,MATCH(ROWS($K$2:K609),$K$2:$K$1001,0),0), INDEX($R$1004:$W$1004,1,MATCH(COLUMNS($R$1006:U1006),$R$1006:$W$1006,0)))),"Fix")))</f>
        <v>0</v>
      </c>
      <c r="F609" s="3">
        <f>IF(OR(INDEX($L$2:$L$1001,MATCH(ROWS($K$2:K609),$K$2:$K$1001,0),1)&gt;=100000,INDEX($R$1005:$W$1005,1,MATCH(COLUMNS($R$1006:V1006),$R$1006:$W$1006,0))&gt;=100000), " ",IF(INDEX($R$2:$W$1001,MATCH(ROWS($K$2:K609),$K$2:$K$1001,0),MATCH(COLUMNS($R$1006:V1006),$R$1006:$W$1006,0)), HYPERLINK("#",""), HYPERLINK(CONCATENATE("#Metadata!", ADDRESS(INDEX($M$2:$M$1001,MATCH(ROWS($K$2:K609),$K$2:$K$1001,0),0), INDEX($R$1004:$W$1004,1,MATCH(COLUMNS($R$1006:V1006),$R$1006:$W$1006,0)))),"Fix")))</f>
        <v>0</v>
      </c>
      <c r="G609" s="3">
        <f>IF(OR(INDEX($L$2:$L$1001,MATCH(ROWS($K$2:K609),$K$2:$K$1001,0),1)&gt;=100000,INDEX($R$1005:$W$1005,1,MATCH(COLUMNS($R$1006:W1006),$R$1006:$W$1006,0))&gt;=100000), " ",IF(INDEX($R$2:$W$1001,MATCH(ROWS($K$2:K609),$K$2:$K$1001,0),MATCH(COLUMNS($R$1006:W1006),$R$1006:$W$1006,0)), HYPERLINK("#",""), HYPERLINK(CONCATENATE("#Metadata!", ADDRESS(INDEX($M$2:$M$1001,MATCH(ROWS($K$2:K609),$K$2:$K$1001,0),0), INDEX($R$1004:$W$1004,1,MATCH(COLUMNS($R$1006:W1006),$R$1006:$W$1006,0)))),"Fix")))</f>
        <v>0</v>
      </c>
      <c r="K609">
        <v>0</v>
      </c>
      <c r="L609">
        <v>0</v>
      </c>
      <c r="M609">
        <v>0</v>
      </c>
      <c r="N609">
        <f>IF(O609,TRUE,AND(R609:W609))</f>
        <v>0</v>
      </c>
      <c r="O609">
        <f>COUNTBLANK(Metadata!B609:G609)=COLUMNS(Metadata!B609:G609)</f>
        <v>0</v>
      </c>
      <c r="P609">
        <v>0</v>
      </c>
      <c r="R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S609">
        <f>IF(Metadata!C609="",FALSE,TRUE)</f>
        <v>0</v>
      </c>
      <c r="T609">
        <f>IF(Metadata!D609="",FALSE,TRUE)</f>
        <v>0</v>
      </c>
      <c r="U609">
        <f>IF(Metadata!E609="",FALSE,TRUE)</f>
        <v>0</v>
      </c>
      <c r="V609">
        <f>AND(IF(Metadata!F609="",FALSE,TRUE),exact(Metadata!F609,"rat gut metagenome"))</f>
        <v>0</v>
      </c>
      <c r="W609">
        <f>AND(IF(Metadata!G609="",FALSE,TRUE),exact(Metadata!G609,"1436733"))</f>
        <v>0</v>
      </c>
    </row>
    <row r="610" spans="1:23">
      <c r="A610" s="4">
        <f>IF(B610=" "," ",HYPERLINK(CONCATENATE("#metadata!",ADDRESS(INDEX($M$2:$M$1001,MATCH(ROWS($K$2:K610),$K$2:$K$1001,0),0),1)),INDEX($P$2:$P$1001,MATCH(ROWS($K$2:K610),$K$2:$K$1001,0),0)))</f>
        <v>0</v>
      </c>
      <c r="B610" s="3">
        <f>IF(OR(INDEX($L$2:$L$1001,MATCH(ROWS($K$2:K610),$K$2:$K$1001,0),1)&gt;=100000,INDEX($R$1005:$W$1005,1,MATCH(COLUMNS($R$1006:R1006),$R$1006:$W$1006,0))&gt;=100000), " ",IF(INDEX($R$2:$W$1001,MATCH(ROWS($K$2:K610),$K$2:$K$1001,0),MATCH(COLUMNS($R$1006:R1006),$R$1006:$W$1006,0)), HYPERLINK("#",""), HYPERLINK(CONCATENATE("#Metadata!", ADDRESS(INDEX($M$2:$M$1001,MATCH(ROWS($K$2:K610),$K$2:$K$1001,0),0), INDEX($R$1004:$W$1004,1,MATCH(COLUMNS($R$1006:R1006),$R$1006:$W$1006,0)))),"Fix")))</f>
        <v>0</v>
      </c>
      <c r="C610" s="3">
        <f>IF(OR(INDEX($L$2:$L$1001,MATCH(ROWS($K$2:K610),$K$2:$K$1001,0),1)&gt;=100000,INDEX($R$1005:$W$1005,1,MATCH(COLUMNS($R$1006:S1006),$R$1006:$W$1006,0))&gt;=100000), " ",IF(INDEX($R$2:$W$1001,MATCH(ROWS($K$2:K610),$K$2:$K$1001,0),MATCH(COLUMNS($R$1006:S1006),$R$1006:$W$1006,0)), HYPERLINK("#",""), HYPERLINK(CONCATENATE("#Metadata!", ADDRESS(INDEX($M$2:$M$1001,MATCH(ROWS($K$2:K610),$K$2:$K$1001,0),0), INDEX($R$1004:$W$1004,1,MATCH(COLUMNS($R$1006:S1006),$R$1006:$W$1006,0)))),"Fix")))</f>
        <v>0</v>
      </c>
      <c r="D610" s="3">
        <f>IF(OR(INDEX($L$2:$L$1001,MATCH(ROWS($K$2:K610),$K$2:$K$1001,0),1)&gt;=100000,INDEX($R$1005:$W$1005,1,MATCH(COLUMNS($R$1006:T1006),$R$1006:$W$1006,0))&gt;=100000), " ",IF(INDEX($R$2:$W$1001,MATCH(ROWS($K$2:K610),$K$2:$K$1001,0),MATCH(COLUMNS($R$1006:T1006),$R$1006:$W$1006,0)), HYPERLINK("#",""), HYPERLINK(CONCATENATE("#Metadata!", ADDRESS(INDEX($M$2:$M$1001,MATCH(ROWS($K$2:K610),$K$2:$K$1001,0),0), INDEX($R$1004:$W$1004,1,MATCH(COLUMNS($R$1006:T1006),$R$1006:$W$1006,0)))),"Fix")))</f>
        <v>0</v>
      </c>
      <c r="E610" s="3">
        <f>IF(OR(INDEX($L$2:$L$1001,MATCH(ROWS($K$2:K610),$K$2:$K$1001,0),1)&gt;=100000,INDEX($R$1005:$W$1005,1,MATCH(COLUMNS($R$1006:U1006),$R$1006:$W$1006,0))&gt;=100000), " ",IF(INDEX($R$2:$W$1001,MATCH(ROWS($K$2:K610),$K$2:$K$1001,0),MATCH(COLUMNS($R$1006:U1006),$R$1006:$W$1006,0)), HYPERLINK("#",""), HYPERLINK(CONCATENATE("#Metadata!", ADDRESS(INDEX($M$2:$M$1001,MATCH(ROWS($K$2:K610),$K$2:$K$1001,0),0), INDEX($R$1004:$W$1004,1,MATCH(COLUMNS($R$1006:U1006),$R$1006:$W$1006,0)))),"Fix")))</f>
        <v>0</v>
      </c>
      <c r="F610" s="3">
        <f>IF(OR(INDEX($L$2:$L$1001,MATCH(ROWS($K$2:K610),$K$2:$K$1001,0),1)&gt;=100000,INDEX($R$1005:$W$1005,1,MATCH(COLUMNS($R$1006:V1006),$R$1006:$W$1006,0))&gt;=100000), " ",IF(INDEX($R$2:$W$1001,MATCH(ROWS($K$2:K610),$K$2:$K$1001,0),MATCH(COLUMNS($R$1006:V1006),$R$1006:$W$1006,0)), HYPERLINK("#",""), HYPERLINK(CONCATENATE("#Metadata!", ADDRESS(INDEX($M$2:$M$1001,MATCH(ROWS($K$2:K610),$K$2:$K$1001,0),0), INDEX($R$1004:$W$1004,1,MATCH(COLUMNS($R$1006:V1006),$R$1006:$W$1006,0)))),"Fix")))</f>
        <v>0</v>
      </c>
      <c r="G610" s="3">
        <f>IF(OR(INDEX($L$2:$L$1001,MATCH(ROWS($K$2:K610),$K$2:$K$1001,0),1)&gt;=100000,INDEX($R$1005:$W$1005,1,MATCH(COLUMNS($R$1006:W1006),$R$1006:$W$1006,0))&gt;=100000), " ",IF(INDEX($R$2:$W$1001,MATCH(ROWS($K$2:K610),$K$2:$K$1001,0),MATCH(COLUMNS($R$1006:W1006),$R$1006:$W$1006,0)), HYPERLINK("#",""), HYPERLINK(CONCATENATE("#Metadata!", ADDRESS(INDEX($M$2:$M$1001,MATCH(ROWS($K$2:K610),$K$2:$K$1001,0),0), INDEX($R$1004:$W$1004,1,MATCH(COLUMNS($R$1006:W1006),$R$1006:$W$1006,0)))),"Fix")))</f>
        <v>0</v>
      </c>
      <c r="K610">
        <v>0</v>
      </c>
      <c r="L610">
        <v>0</v>
      </c>
      <c r="M610">
        <v>0</v>
      </c>
      <c r="N610">
        <f>IF(O610,TRUE,AND(R610:W610))</f>
        <v>0</v>
      </c>
      <c r="O610">
        <f>COUNTBLANK(Metadata!B610:G610)=COLUMNS(Metadata!B610:G610)</f>
        <v>0</v>
      </c>
      <c r="P610">
        <v>0</v>
      </c>
      <c r="R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S610">
        <f>IF(Metadata!C610="",FALSE,TRUE)</f>
        <v>0</v>
      </c>
      <c r="T610">
        <f>IF(Metadata!D610="",FALSE,TRUE)</f>
        <v>0</v>
      </c>
      <c r="U610">
        <f>IF(Metadata!E610="",FALSE,TRUE)</f>
        <v>0</v>
      </c>
      <c r="V610">
        <f>AND(IF(Metadata!F610="",FALSE,TRUE),exact(Metadata!F610,"rat gut metagenome"))</f>
        <v>0</v>
      </c>
      <c r="W610">
        <f>AND(IF(Metadata!G610="",FALSE,TRUE),exact(Metadata!G610,"1436733"))</f>
        <v>0</v>
      </c>
    </row>
    <row r="611" spans="1:23">
      <c r="A611" s="4">
        <f>IF(B611=" "," ",HYPERLINK(CONCATENATE("#metadata!",ADDRESS(INDEX($M$2:$M$1001,MATCH(ROWS($K$2:K611),$K$2:$K$1001,0),0),1)),INDEX($P$2:$P$1001,MATCH(ROWS($K$2:K611),$K$2:$K$1001,0),0)))</f>
        <v>0</v>
      </c>
      <c r="B611" s="3">
        <f>IF(OR(INDEX($L$2:$L$1001,MATCH(ROWS($K$2:K611),$K$2:$K$1001,0),1)&gt;=100000,INDEX($R$1005:$W$1005,1,MATCH(COLUMNS($R$1006:R1006),$R$1006:$W$1006,0))&gt;=100000), " ",IF(INDEX($R$2:$W$1001,MATCH(ROWS($K$2:K611),$K$2:$K$1001,0),MATCH(COLUMNS($R$1006:R1006),$R$1006:$W$1006,0)), HYPERLINK("#",""), HYPERLINK(CONCATENATE("#Metadata!", ADDRESS(INDEX($M$2:$M$1001,MATCH(ROWS($K$2:K611),$K$2:$K$1001,0),0), INDEX($R$1004:$W$1004,1,MATCH(COLUMNS($R$1006:R1006),$R$1006:$W$1006,0)))),"Fix")))</f>
        <v>0</v>
      </c>
      <c r="C611" s="3">
        <f>IF(OR(INDEX($L$2:$L$1001,MATCH(ROWS($K$2:K611),$K$2:$K$1001,0),1)&gt;=100000,INDEX($R$1005:$W$1005,1,MATCH(COLUMNS($R$1006:S1006),$R$1006:$W$1006,0))&gt;=100000), " ",IF(INDEX($R$2:$W$1001,MATCH(ROWS($K$2:K611),$K$2:$K$1001,0),MATCH(COLUMNS($R$1006:S1006),$R$1006:$W$1006,0)), HYPERLINK("#",""), HYPERLINK(CONCATENATE("#Metadata!", ADDRESS(INDEX($M$2:$M$1001,MATCH(ROWS($K$2:K611),$K$2:$K$1001,0),0), INDEX($R$1004:$W$1004,1,MATCH(COLUMNS($R$1006:S1006),$R$1006:$W$1006,0)))),"Fix")))</f>
        <v>0</v>
      </c>
      <c r="D611" s="3">
        <f>IF(OR(INDEX($L$2:$L$1001,MATCH(ROWS($K$2:K611),$K$2:$K$1001,0),1)&gt;=100000,INDEX($R$1005:$W$1005,1,MATCH(COLUMNS($R$1006:T1006),$R$1006:$W$1006,0))&gt;=100000), " ",IF(INDEX($R$2:$W$1001,MATCH(ROWS($K$2:K611),$K$2:$K$1001,0),MATCH(COLUMNS($R$1006:T1006),$R$1006:$W$1006,0)), HYPERLINK("#",""), HYPERLINK(CONCATENATE("#Metadata!", ADDRESS(INDEX($M$2:$M$1001,MATCH(ROWS($K$2:K611),$K$2:$K$1001,0),0), INDEX($R$1004:$W$1004,1,MATCH(COLUMNS($R$1006:T1006),$R$1006:$W$1006,0)))),"Fix")))</f>
        <v>0</v>
      </c>
      <c r="E611" s="3">
        <f>IF(OR(INDEX($L$2:$L$1001,MATCH(ROWS($K$2:K611),$K$2:$K$1001,0),1)&gt;=100000,INDEX($R$1005:$W$1005,1,MATCH(COLUMNS($R$1006:U1006),$R$1006:$W$1006,0))&gt;=100000), " ",IF(INDEX($R$2:$W$1001,MATCH(ROWS($K$2:K611),$K$2:$K$1001,0),MATCH(COLUMNS($R$1006:U1006),$R$1006:$W$1006,0)), HYPERLINK("#",""), HYPERLINK(CONCATENATE("#Metadata!", ADDRESS(INDEX($M$2:$M$1001,MATCH(ROWS($K$2:K611),$K$2:$K$1001,0),0), INDEX($R$1004:$W$1004,1,MATCH(COLUMNS($R$1006:U1006),$R$1006:$W$1006,0)))),"Fix")))</f>
        <v>0</v>
      </c>
      <c r="F611" s="3">
        <f>IF(OR(INDEX($L$2:$L$1001,MATCH(ROWS($K$2:K611),$K$2:$K$1001,0),1)&gt;=100000,INDEX($R$1005:$W$1005,1,MATCH(COLUMNS($R$1006:V1006),$R$1006:$W$1006,0))&gt;=100000), " ",IF(INDEX($R$2:$W$1001,MATCH(ROWS($K$2:K611),$K$2:$K$1001,0),MATCH(COLUMNS($R$1006:V1006),$R$1006:$W$1006,0)), HYPERLINK("#",""), HYPERLINK(CONCATENATE("#Metadata!", ADDRESS(INDEX($M$2:$M$1001,MATCH(ROWS($K$2:K611),$K$2:$K$1001,0),0), INDEX($R$1004:$W$1004,1,MATCH(COLUMNS($R$1006:V1006),$R$1006:$W$1006,0)))),"Fix")))</f>
        <v>0</v>
      </c>
      <c r="G611" s="3">
        <f>IF(OR(INDEX($L$2:$L$1001,MATCH(ROWS($K$2:K611),$K$2:$K$1001,0),1)&gt;=100000,INDEX($R$1005:$W$1005,1,MATCH(COLUMNS($R$1006:W1006),$R$1006:$W$1006,0))&gt;=100000), " ",IF(INDEX($R$2:$W$1001,MATCH(ROWS($K$2:K611),$K$2:$K$1001,0),MATCH(COLUMNS($R$1006:W1006),$R$1006:$W$1006,0)), HYPERLINK("#",""), HYPERLINK(CONCATENATE("#Metadata!", ADDRESS(INDEX($M$2:$M$1001,MATCH(ROWS($K$2:K611),$K$2:$K$1001,0),0), INDEX($R$1004:$W$1004,1,MATCH(COLUMNS($R$1006:W1006),$R$1006:$W$1006,0)))),"Fix")))</f>
        <v>0</v>
      </c>
      <c r="K611">
        <v>0</v>
      </c>
      <c r="L611">
        <v>0</v>
      </c>
      <c r="M611">
        <v>0</v>
      </c>
      <c r="N611">
        <f>IF(O611,TRUE,AND(R611:W611))</f>
        <v>0</v>
      </c>
      <c r="O611">
        <f>COUNTBLANK(Metadata!B611:G611)=COLUMNS(Metadata!B611:G611)</f>
        <v>0</v>
      </c>
      <c r="P611">
        <v>0</v>
      </c>
      <c r="R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S611">
        <f>IF(Metadata!C611="",FALSE,TRUE)</f>
        <v>0</v>
      </c>
      <c r="T611">
        <f>IF(Metadata!D611="",FALSE,TRUE)</f>
        <v>0</v>
      </c>
      <c r="U611">
        <f>IF(Metadata!E611="",FALSE,TRUE)</f>
        <v>0</v>
      </c>
      <c r="V611">
        <f>AND(IF(Metadata!F611="",FALSE,TRUE),exact(Metadata!F611,"rat gut metagenome"))</f>
        <v>0</v>
      </c>
      <c r="W611">
        <f>AND(IF(Metadata!G611="",FALSE,TRUE),exact(Metadata!G611,"1436733"))</f>
        <v>0</v>
      </c>
    </row>
    <row r="612" spans="1:23">
      <c r="A612" s="4">
        <f>IF(B612=" "," ",HYPERLINK(CONCATENATE("#metadata!",ADDRESS(INDEX($M$2:$M$1001,MATCH(ROWS($K$2:K612),$K$2:$K$1001,0),0),1)),INDEX($P$2:$P$1001,MATCH(ROWS($K$2:K612),$K$2:$K$1001,0),0)))</f>
        <v>0</v>
      </c>
      <c r="B612" s="3">
        <f>IF(OR(INDEX($L$2:$L$1001,MATCH(ROWS($K$2:K612),$K$2:$K$1001,0),1)&gt;=100000,INDEX($R$1005:$W$1005,1,MATCH(COLUMNS($R$1006:R1006),$R$1006:$W$1006,0))&gt;=100000), " ",IF(INDEX($R$2:$W$1001,MATCH(ROWS($K$2:K612),$K$2:$K$1001,0),MATCH(COLUMNS($R$1006:R1006),$R$1006:$W$1006,0)), HYPERLINK("#",""), HYPERLINK(CONCATENATE("#Metadata!", ADDRESS(INDEX($M$2:$M$1001,MATCH(ROWS($K$2:K612),$K$2:$K$1001,0),0), INDEX($R$1004:$W$1004,1,MATCH(COLUMNS($R$1006:R1006),$R$1006:$W$1006,0)))),"Fix")))</f>
        <v>0</v>
      </c>
      <c r="C612" s="3">
        <f>IF(OR(INDEX($L$2:$L$1001,MATCH(ROWS($K$2:K612),$K$2:$K$1001,0),1)&gt;=100000,INDEX($R$1005:$W$1005,1,MATCH(COLUMNS($R$1006:S1006),$R$1006:$W$1006,0))&gt;=100000), " ",IF(INDEX($R$2:$W$1001,MATCH(ROWS($K$2:K612),$K$2:$K$1001,0),MATCH(COLUMNS($R$1006:S1006),$R$1006:$W$1006,0)), HYPERLINK("#",""), HYPERLINK(CONCATENATE("#Metadata!", ADDRESS(INDEX($M$2:$M$1001,MATCH(ROWS($K$2:K612),$K$2:$K$1001,0),0), INDEX($R$1004:$W$1004,1,MATCH(COLUMNS($R$1006:S1006),$R$1006:$W$1006,0)))),"Fix")))</f>
        <v>0</v>
      </c>
      <c r="D612" s="3">
        <f>IF(OR(INDEX($L$2:$L$1001,MATCH(ROWS($K$2:K612),$K$2:$K$1001,0),1)&gt;=100000,INDEX($R$1005:$W$1005,1,MATCH(COLUMNS($R$1006:T1006),$R$1006:$W$1006,0))&gt;=100000), " ",IF(INDEX($R$2:$W$1001,MATCH(ROWS($K$2:K612),$K$2:$K$1001,0),MATCH(COLUMNS($R$1006:T1006),$R$1006:$W$1006,0)), HYPERLINK("#",""), HYPERLINK(CONCATENATE("#Metadata!", ADDRESS(INDEX($M$2:$M$1001,MATCH(ROWS($K$2:K612),$K$2:$K$1001,0),0), INDEX($R$1004:$W$1004,1,MATCH(COLUMNS($R$1006:T1006),$R$1006:$W$1006,0)))),"Fix")))</f>
        <v>0</v>
      </c>
      <c r="E612" s="3">
        <f>IF(OR(INDEX($L$2:$L$1001,MATCH(ROWS($K$2:K612),$K$2:$K$1001,0),1)&gt;=100000,INDEX($R$1005:$W$1005,1,MATCH(COLUMNS($R$1006:U1006),$R$1006:$W$1006,0))&gt;=100000), " ",IF(INDEX($R$2:$W$1001,MATCH(ROWS($K$2:K612),$K$2:$K$1001,0),MATCH(COLUMNS($R$1006:U1006),$R$1006:$W$1006,0)), HYPERLINK("#",""), HYPERLINK(CONCATENATE("#Metadata!", ADDRESS(INDEX($M$2:$M$1001,MATCH(ROWS($K$2:K612),$K$2:$K$1001,0),0), INDEX($R$1004:$W$1004,1,MATCH(COLUMNS($R$1006:U1006),$R$1006:$W$1006,0)))),"Fix")))</f>
        <v>0</v>
      </c>
      <c r="F612" s="3">
        <f>IF(OR(INDEX($L$2:$L$1001,MATCH(ROWS($K$2:K612),$K$2:$K$1001,0),1)&gt;=100000,INDEX($R$1005:$W$1005,1,MATCH(COLUMNS($R$1006:V1006),$R$1006:$W$1006,0))&gt;=100000), " ",IF(INDEX($R$2:$W$1001,MATCH(ROWS($K$2:K612),$K$2:$K$1001,0),MATCH(COLUMNS($R$1006:V1006),$R$1006:$W$1006,0)), HYPERLINK("#",""), HYPERLINK(CONCATENATE("#Metadata!", ADDRESS(INDEX($M$2:$M$1001,MATCH(ROWS($K$2:K612),$K$2:$K$1001,0),0), INDEX($R$1004:$W$1004,1,MATCH(COLUMNS($R$1006:V1006),$R$1006:$W$1006,0)))),"Fix")))</f>
        <v>0</v>
      </c>
      <c r="G612" s="3">
        <f>IF(OR(INDEX($L$2:$L$1001,MATCH(ROWS($K$2:K612),$K$2:$K$1001,0),1)&gt;=100000,INDEX($R$1005:$W$1005,1,MATCH(COLUMNS($R$1006:W1006),$R$1006:$W$1006,0))&gt;=100000), " ",IF(INDEX($R$2:$W$1001,MATCH(ROWS($K$2:K612),$K$2:$K$1001,0),MATCH(COLUMNS($R$1006:W1006),$R$1006:$W$1006,0)), HYPERLINK("#",""), HYPERLINK(CONCATENATE("#Metadata!", ADDRESS(INDEX($M$2:$M$1001,MATCH(ROWS($K$2:K612),$K$2:$K$1001,0),0), INDEX($R$1004:$W$1004,1,MATCH(COLUMNS($R$1006:W1006),$R$1006:$W$1006,0)))),"Fix")))</f>
        <v>0</v>
      </c>
      <c r="K612">
        <v>0</v>
      </c>
      <c r="L612">
        <v>0</v>
      </c>
      <c r="M612">
        <v>0</v>
      </c>
      <c r="N612">
        <f>IF(O612,TRUE,AND(R612:W612))</f>
        <v>0</v>
      </c>
      <c r="O612">
        <f>COUNTBLANK(Metadata!B612:G612)=COLUMNS(Metadata!B612:G612)</f>
        <v>0</v>
      </c>
      <c r="P612">
        <v>0</v>
      </c>
      <c r="R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S612">
        <f>IF(Metadata!C612="",FALSE,TRUE)</f>
        <v>0</v>
      </c>
      <c r="T612">
        <f>IF(Metadata!D612="",FALSE,TRUE)</f>
        <v>0</v>
      </c>
      <c r="U612">
        <f>IF(Metadata!E612="",FALSE,TRUE)</f>
        <v>0</v>
      </c>
      <c r="V612">
        <f>AND(IF(Metadata!F612="",FALSE,TRUE),exact(Metadata!F612,"rat gut metagenome"))</f>
        <v>0</v>
      </c>
      <c r="W612">
        <f>AND(IF(Metadata!G612="",FALSE,TRUE),exact(Metadata!G612,"1436733"))</f>
        <v>0</v>
      </c>
    </row>
    <row r="613" spans="1:23">
      <c r="A613" s="4">
        <f>IF(B613=" "," ",HYPERLINK(CONCATENATE("#metadata!",ADDRESS(INDEX($M$2:$M$1001,MATCH(ROWS($K$2:K613),$K$2:$K$1001,0),0),1)),INDEX($P$2:$P$1001,MATCH(ROWS($K$2:K613),$K$2:$K$1001,0),0)))</f>
        <v>0</v>
      </c>
      <c r="B613" s="3">
        <f>IF(OR(INDEX($L$2:$L$1001,MATCH(ROWS($K$2:K613),$K$2:$K$1001,0),1)&gt;=100000,INDEX($R$1005:$W$1005,1,MATCH(COLUMNS($R$1006:R1006),$R$1006:$W$1006,0))&gt;=100000), " ",IF(INDEX($R$2:$W$1001,MATCH(ROWS($K$2:K613),$K$2:$K$1001,0),MATCH(COLUMNS($R$1006:R1006),$R$1006:$W$1006,0)), HYPERLINK("#",""), HYPERLINK(CONCATENATE("#Metadata!", ADDRESS(INDEX($M$2:$M$1001,MATCH(ROWS($K$2:K613),$K$2:$K$1001,0),0), INDEX($R$1004:$W$1004,1,MATCH(COLUMNS($R$1006:R1006),$R$1006:$W$1006,0)))),"Fix")))</f>
        <v>0</v>
      </c>
      <c r="C613" s="3">
        <f>IF(OR(INDEX($L$2:$L$1001,MATCH(ROWS($K$2:K613),$K$2:$K$1001,0),1)&gt;=100000,INDEX($R$1005:$W$1005,1,MATCH(COLUMNS($R$1006:S1006),$R$1006:$W$1006,0))&gt;=100000), " ",IF(INDEX($R$2:$W$1001,MATCH(ROWS($K$2:K613),$K$2:$K$1001,0),MATCH(COLUMNS($R$1006:S1006),$R$1006:$W$1006,0)), HYPERLINK("#",""), HYPERLINK(CONCATENATE("#Metadata!", ADDRESS(INDEX($M$2:$M$1001,MATCH(ROWS($K$2:K613),$K$2:$K$1001,0),0), INDEX($R$1004:$W$1004,1,MATCH(COLUMNS($R$1006:S1006),$R$1006:$W$1006,0)))),"Fix")))</f>
        <v>0</v>
      </c>
      <c r="D613" s="3">
        <f>IF(OR(INDEX($L$2:$L$1001,MATCH(ROWS($K$2:K613),$K$2:$K$1001,0),1)&gt;=100000,INDEX($R$1005:$W$1005,1,MATCH(COLUMNS($R$1006:T1006),$R$1006:$W$1006,0))&gt;=100000), " ",IF(INDEX($R$2:$W$1001,MATCH(ROWS($K$2:K613),$K$2:$K$1001,0),MATCH(COLUMNS($R$1006:T1006),$R$1006:$W$1006,0)), HYPERLINK("#",""), HYPERLINK(CONCATENATE("#Metadata!", ADDRESS(INDEX($M$2:$M$1001,MATCH(ROWS($K$2:K613),$K$2:$K$1001,0),0), INDEX($R$1004:$W$1004,1,MATCH(COLUMNS($R$1006:T1006),$R$1006:$W$1006,0)))),"Fix")))</f>
        <v>0</v>
      </c>
      <c r="E613" s="3">
        <f>IF(OR(INDEX($L$2:$L$1001,MATCH(ROWS($K$2:K613),$K$2:$K$1001,0),1)&gt;=100000,INDEX($R$1005:$W$1005,1,MATCH(COLUMNS($R$1006:U1006),$R$1006:$W$1006,0))&gt;=100000), " ",IF(INDEX($R$2:$W$1001,MATCH(ROWS($K$2:K613),$K$2:$K$1001,0),MATCH(COLUMNS($R$1006:U1006),$R$1006:$W$1006,0)), HYPERLINK("#",""), HYPERLINK(CONCATENATE("#Metadata!", ADDRESS(INDEX($M$2:$M$1001,MATCH(ROWS($K$2:K613),$K$2:$K$1001,0),0), INDEX($R$1004:$W$1004,1,MATCH(COLUMNS($R$1006:U1006),$R$1006:$W$1006,0)))),"Fix")))</f>
        <v>0</v>
      </c>
      <c r="F613" s="3">
        <f>IF(OR(INDEX($L$2:$L$1001,MATCH(ROWS($K$2:K613),$K$2:$K$1001,0),1)&gt;=100000,INDEX($R$1005:$W$1005,1,MATCH(COLUMNS($R$1006:V1006),$R$1006:$W$1006,0))&gt;=100000), " ",IF(INDEX($R$2:$W$1001,MATCH(ROWS($K$2:K613),$K$2:$K$1001,0),MATCH(COLUMNS($R$1006:V1006),$R$1006:$W$1006,0)), HYPERLINK("#",""), HYPERLINK(CONCATENATE("#Metadata!", ADDRESS(INDEX($M$2:$M$1001,MATCH(ROWS($K$2:K613),$K$2:$K$1001,0),0), INDEX($R$1004:$W$1004,1,MATCH(COLUMNS($R$1006:V1006),$R$1006:$W$1006,0)))),"Fix")))</f>
        <v>0</v>
      </c>
      <c r="G613" s="3">
        <f>IF(OR(INDEX($L$2:$L$1001,MATCH(ROWS($K$2:K613),$K$2:$K$1001,0),1)&gt;=100000,INDEX($R$1005:$W$1005,1,MATCH(COLUMNS($R$1006:W1006),$R$1006:$W$1006,0))&gt;=100000), " ",IF(INDEX($R$2:$W$1001,MATCH(ROWS($K$2:K613),$K$2:$K$1001,0),MATCH(COLUMNS($R$1006:W1006),$R$1006:$W$1006,0)), HYPERLINK("#",""), HYPERLINK(CONCATENATE("#Metadata!", ADDRESS(INDEX($M$2:$M$1001,MATCH(ROWS($K$2:K613),$K$2:$K$1001,0),0), INDEX($R$1004:$W$1004,1,MATCH(COLUMNS($R$1006:W1006),$R$1006:$W$1006,0)))),"Fix")))</f>
        <v>0</v>
      </c>
      <c r="K613">
        <v>0</v>
      </c>
      <c r="L613">
        <v>0</v>
      </c>
      <c r="M613">
        <v>0</v>
      </c>
      <c r="N613">
        <f>IF(O613,TRUE,AND(R613:W613))</f>
        <v>0</v>
      </c>
      <c r="O613">
        <f>COUNTBLANK(Metadata!B613:G613)=COLUMNS(Metadata!B613:G613)</f>
        <v>0</v>
      </c>
      <c r="P613">
        <v>0</v>
      </c>
      <c r="R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S613">
        <f>IF(Metadata!C613="",FALSE,TRUE)</f>
        <v>0</v>
      </c>
      <c r="T613">
        <f>IF(Metadata!D613="",FALSE,TRUE)</f>
        <v>0</v>
      </c>
      <c r="U613">
        <f>IF(Metadata!E613="",FALSE,TRUE)</f>
        <v>0</v>
      </c>
      <c r="V613">
        <f>AND(IF(Metadata!F613="",FALSE,TRUE),exact(Metadata!F613,"rat gut metagenome"))</f>
        <v>0</v>
      </c>
      <c r="W613">
        <f>AND(IF(Metadata!G613="",FALSE,TRUE),exact(Metadata!G613,"1436733"))</f>
        <v>0</v>
      </c>
    </row>
    <row r="614" spans="1:23">
      <c r="A614" s="4">
        <f>IF(B614=" "," ",HYPERLINK(CONCATENATE("#metadata!",ADDRESS(INDEX($M$2:$M$1001,MATCH(ROWS($K$2:K614),$K$2:$K$1001,0),0),1)),INDEX($P$2:$P$1001,MATCH(ROWS($K$2:K614),$K$2:$K$1001,0),0)))</f>
        <v>0</v>
      </c>
      <c r="B614" s="3">
        <f>IF(OR(INDEX($L$2:$L$1001,MATCH(ROWS($K$2:K614),$K$2:$K$1001,0),1)&gt;=100000,INDEX($R$1005:$W$1005,1,MATCH(COLUMNS($R$1006:R1006),$R$1006:$W$1006,0))&gt;=100000), " ",IF(INDEX($R$2:$W$1001,MATCH(ROWS($K$2:K614),$K$2:$K$1001,0),MATCH(COLUMNS($R$1006:R1006),$R$1006:$W$1006,0)), HYPERLINK("#",""), HYPERLINK(CONCATENATE("#Metadata!", ADDRESS(INDEX($M$2:$M$1001,MATCH(ROWS($K$2:K614),$K$2:$K$1001,0),0), INDEX($R$1004:$W$1004,1,MATCH(COLUMNS($R$1006:R1006),$R$1006:$W$1006,0)))),"Fix")))</f>
        <v>0</v>
      </c>
      <c r="C614" s="3">
        <f>IF(OR(INDEX($L$2:$L$1001,MATCH(ROWS($K$2:K614),$K$2:$K$1001,0),1)&gt;=100000,INDEX($R$1005:$W$1005,1,MATCH(COLUMNS($R$1006:S1006),$R$1006:$W$1006,0))&gt;=100000), " ",IF(INDEX($R$2:$W$1001,MATCH(ROWS($K$2:K614),$K$2:$K$1001,0),MATCH(COLUMNS($R$1006:S1006),$R$1006:$W$1006,0)), HYPERLINK("#",""), HYPERLINK(CONCATENATE("#Metadata!", ADDRESS(INDEX($M$2:$M$1001,MATCH(ROWS($K$2:K614),$K$2:$K$1001,0),0), INDEX($R$1004:$W$1004,1,MATCH(COLUMNS($R$1006:S1006),$R$1006:$W$1006,0)))),"Fix")))</f>
        <v>0</v>
      </c>
      <c r="D614" s="3">
        <f>IF(OR(INDEX($L$2:$L$1001,MATCH(ROWS($K$2:K614),$K$2:$K$1001,0),1)&gt;=100000,INDEX($R$1005:$W$1005,1,MATCH(COLUMNS($R$1006:T1006),$R$1006:$W$1006,0))&gt;=100000), " ",IF(INDEX($R$2:$W$1001,MATCH(ROWS($K$2:K614),$K$2:$K$1001,0),MATCH(COLUMNS($R$1006:T1006),$R$1006:$W$1006,0)), HYPERLINK("#",""), HYPERLINK(CONCATENATE("#Metadata!", ADDRESS(INDEX($M$2:$M$1001,MATCH(ROWS($K$2:K614),$K$2:$K$1001,0),0), INDEX($R$1004:$W$1004,1,MATCH(COLUMNS($R$1006:T1006),$R$1006:$W$1006,0)))),"Fix")))</f>
        <v>0</v>
      </c>
      <c r="E614" s="3">
        <f>IF(OR(INDEX($L$2:$L$1001,MATCH(ROWS($K$2:K614),$K$2:$K$1001,0),1)&gt;=100000,INDEX($R$1005:$W$1005,1,MATCH(COLUMNS($R$1006:U1006),$R$1006:$W$1006,0))&gt;=100000), " ",IF(INDEX($R$2:$W$1001,MATCH(ROWS($K$2:K614),$K$2:$K$1001,0),MATCH(COLUMNS($R$1006:U1006),$R$1006:$W$1006,0)), HYPERLINK("#",""), HYPERLINK(CONCATENATE("#Metadata!", ADDRESS(INDEX($M$2:$M$1001,MATCH(ROWS($K$2:K614),$K$2:$K$1001,0),0), INDEX($R$1004:$W$1004,1,MATCH(COLUMNS($R$1006:U1006),$R$1006:$W$1006,0)))),"Fix")))</f>
        <v>0</v>
      </c>
      <c r="F614" s="3">
        <f>IF(OR(INDEX($L$2:$L$1001,MATCH(ROWS($K$2:K614),$K$2:$K$1001,0),1)&gt;=100000,INDEX($R$1005:$W$1005,1,MATCH(COLUMNS($R$1006:V1006),$R$1006:$W$1006,0))&gt;=100000), " ",IF(INDEX($R$2:$W$1001,MATCH(ROWS($K$2:K614),$K$2:$K$1001,0),MATCH(COLUMNS($R$1006:V1006),$R$1006:$W$1006,0)), HYPERLINK("#",""), HYPERLINK(CONCATENATE("#Metadata!", ADDRESS(INDEX($M$2:$M$1001,MATCH(ROWS($K$2:K614),$K$2:$K$1001,0),0), INDEX($R$1004:$W$1004,1,MATCH(COLUMNS($R$1006:V1006),$R$1006:$W$1006,0)))),"Fix")))</f>
        <v>0</v>
      </c>
      <c r="G614" s="3">
        <f>IF(OR(INDEX($L$2:$L$1001,MATCH(ROWS($K$2:K614),$K$2:$K$1001,0),1)&gt;=100000,INDEX($R$1005:$W$1005,1,MATCH(COLUMNS($R$1006:W1006),$R$1006:$W$1006,0))&gt;=100000), " ",IF(INDEX($R$2:$W$1001,MATCH(ROWS($K$2:K614),$K$2:$K$1001,0),MATCH(COLUMNS($R$1006:W1006),$R$1006:$W$1006,0)), HYPERLINK("#",""), HYPERLINK(CONCATENATE("#Metadata!", ADDRESS(INDEX($M$2:$M$1001,MATCH(ROWS($K$2:K614),$K$2:$K$1001,0),0), INDEX($R$1004:$W$1004,1,MATCH(COLUMNS($R$1006:W1006),$R$1006:$W$1006,0)))),"Fix")))</f>
        <v>0</v>
      </c>
      <c r="K614">
        <v>0</v>
      </c>
      <c r="L614">
        <v>0</v>
      </c>
      <c r="M614">
        <v>0</v>
      </c>
      <c r="N614">
        <f>IF(O614,TRUE,AND(R614:W614))</f>
        <v>0</v>
      </c>
      <c r="O614">
        <f>COUNTBLANK(Metadata!B614:G614)=COLUMNS(Metadata!B614:G614)</f>
        <v>0</v>
      </c>
      <c r="P614">
        <v>0</v>
      </c>
      <c r="R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S614">
        <f>IF(Metadata!C614="",FALSE,TRUE)</f>
        <v>0</v>
      </c>
      <c r="T614">
        <f>IF(Metadata!D614="",FALSE,TRUE)</f>
        <v>0</v>
      </c>
      <c r="U614">
        <f>IF(Metadata!E614="",FALSE,TRUE)</f>
        <v>0</v>
      </c>
      <c r="V614">
        <f>AND(IF(Metadata!F614="",FALSE,TRUE),exact(Metadata!F614,"rat gut metagenome"))</f>
        <v>0</v>
      </c>
      <c r="W614">
        <f>AND(IF(Metadata!G614="",FALSE,TRUE),exact(Metadata!G614,"1436733"))</f>
        <v>0</v>
      </c>
    </row>
    <row r="615" spans="1:23">
      <c r="A615" s="4">
        <f>IF(B615=" "," ",HYPERLINK(CONCATENATE("#metadata!",ADDRESS(INDEX($M$2:$M$1001,MATCH(ROWS($K$2:K615),$K$2:$K$1001,0),0),1)),INDEX($P$2:$P$1001,MATCH(ROWS($K$2:K615),$K$2:$K$1001,0),0)))</f>
        <v>0</v>
      </c>
      <c r="B615" s="3">
        <f>IF(OR(INDEX($L$2:$L$1001,MATCH(ROWS($K$2:K615),$K$2:$K$1001,0),1)&gt;=100000,INDEX($R$1005:$W$1005,1,MATCH(COLUMNS($R$1006:R1006),$R$1006:$W$1006,0))&gt;=100000), " ",IF(INDEX($R$2:$W$1001,MATCH(ROWS($K$2:K615),$K$2:$K$1001,0),MATCH(COLUMNS($R$1006:R1006),$R$1006:$W$1006,0)), HYPERLINK("#",""), HYPERLINK(CONCATENATE("#Metadata!", ADDRESS(INDEX($M$2:$M$1001,MATCH(ROWS($K$2:K615),$K$2:$K$1001,0),0), INDEX($R$1004:$W$1004,1,MATCH(COLUMNS($R$1006:R1006),$R$1006:$W$1006,0)))),"Fix")))</f>
        <v>0</v>
      </c>
      <c r="C615" s="3">
        <f>IF(OR(INDEX($L$2:$L$1001,MATCH(ROWS($K$2:K615),$K$2:$K$1001,0),1)&gt;=100000,INDEX($R$1005:$W$1005,1,MATCH(COLUMNS($R$1006:S1006),$R$1006:$W$1006,0))&gt;=100000), " ",IF(INDEX($R$2:$W$1001,MATCH(ROWS($K$2:K615),$K$2:$K$1001,0),MATCH(COLUMNS($R$1006:S1006),$R$1006:$W$1006,0)), HYPERLINK("#",""), HYPERLINK(CONCATENATE("#Metadata!", ADDRESS(INDEX($M$2:$M$1001,MATCH(ROWS($K$2:K615),$K$2:$K$1001,0),0), INDEX($R$1004:$W$1004,1,MATCH(COLUMNS($R$1006:S1006),$R$1006:$W$1006,0)))),"Fix")))</f>
        <v>0</v>
      </c>
      <c r="D615" s="3">
        <f>IF(OR(INDEX($L$2:$L$1001,MATCH(ROWS($K$2:K615),$K$2:$K$1001,0),1)&gt;=100000,INDEX($R$1005:$W$1005,1,MATCH(COLUMNS($R$1006:T1006),$R$1006:$W$1006,0))&gt;=100000), " ",IF(INDEX($R$2:$W$1001,MATCH(ROWS($K$2:K615),$K$2:$K$1001,0),MATCH(COLUMNS($R$1006:T1006),$R$1006:$W$1006,0)), HYPERLINK("#",""), HYPERLINK(CONCATENATE("#Metadata!", ADDRESS(INDEX($M$2:$M$1001,MATCH(ROWS($K$2:K615),$K$2:$K$1001,0),0), INDEX($R$1004:$W$1004,1,MATCH(COLUMNS($R$1006:T1006),$R$1006:$W$1006,0)))),"Fix")))</f>
        <v>0</v>
      </c>
      <c r="E615" s="3">
        <f>IF(OR(INDEX($L$2:$L$1001,MATCH(ROWS($K$2:K615),$K$2:$K$1001,0),1)&gt;=100000,INDEX($R$1005:$W$1005,1,MATCH(COLUMNS($R$1006:U1006),$R$1006:$W$1006,0))&gt;=100000), " ",IF(INDEX($R$2:$W$1001,MATCH(ROWS($K$2:K615),$K$2:$K$1001,0),MATCH(COLUMNS($R$1006:U1006),$R$1006:$W$1006,0)), HYPERLINK("#",""), HYPERLINK(CONCATENATE("#Metadata!", ADDRESS(INDEX($M$2:$M$1001,MATCH(ROWS($K$2:K615),$K$2:$K$1001,0),0), INDEX($R$1004:$W$1004,1,MATCH(COLUMNS($R$1006:U1006),$R$1006:$W$1006,0)))),"Fix")))</f>
        <v>0</v>
      </c>
      <c r="F615" s="3">
        <f>IF(OR(INDEX($L$2:$L$1001,MATCH(ROWS($K$2:K615),$K$2:$K$1001,0),1)&gt;=100000,INDEX($R$1005:$W$1005,1,MATCH(COLUMNS($R$1006:V1006),$R$1006:$W$1006,0))&gt;=100000), " ",IF(INDEX($R$2:$W$1001,MATCH(ROWS($K$2:K615),$K$2:$K$1001,0),MATCH(COLUMNS($R$1006:V1006),$R$1006:$W$1006,0)), HYPERLINK("#",""), HYPERLINK(CONCATENATE("#Metadata!", ADDRESS(INDEX($M$2:$M$1001,MATCH(ROWS($K$2:K615),$K$2:$K$1001,0),0), INDEX($R$1004:$W$1004,1,MATCH(COLUMNS($R$1006:V1006),$R$1006:$W$1006,0)))),"Fix")))</f>
        <v>0</v>
      </c>
      <c r="G615" s="3">
        <f>IF(OR(INDEX($L$2:$L$1001,MATCH(ROWS($K$2:K615),$K$2:$K$1001,0),1)&gt;=100000,INDEX($R$1005:$W$1005,1,MATCH(COLUMNS($R$1006:W1006),$R$1006:$W$1006,0))&gt;=100000), " ",IF(INDEX($R$2:$W$1001,MATCH(ROWS($K$2:K615),$K$2:$K$1001,0),MATCH(COLUMNS($R$1006:W1006),$R$1006:$W$1006,0)), HYPERLINK("#",""), HYPERLINK(CONCATENATE("#Metadata!", ADDRESS(INDEX($M$2:$M$1001,MATCH(ROWS($K$2:K615),$K$2:$K$1001,0),0), INDEX($R$1004:$W$1004,1,MATCH(COLUMNS($R$1006:W1006),$R$1006:$W$1006,0)))),"Fix")))</f>
        <v>0</v>
      </c>
      <c r="K615">
        <v>0</v>
      </c>
      <c r="L615">
        <v>0</v>
      </c>
      <c r="M615">
        <v>0</v>
      </c>
      <c r="N615">
        <f>IF(O615,TRUE,AND(R615:W615))</f>
        <v>0</v>
      </c>
      <c r="O615">
        <f>COUNTBLANK(Metadata!B615:G615)=COLUMNS(Metadata!B615:G615)</f>
        <v>0</v>
      </c>
      <c r="P615">
        <v>0</v>
      </c>
      <c r="R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S615">
        <f>IF(Metadata!C615="",FALSE,TRUE)</f>
        <v>0</v>
      </c>
      <c r="T615">
        <f>IF(Metadata!D615="",FALSE,TRUE)</f>
        <v>0</v>
      </c>
      <c r="U615">
        <f>IF(Metadata!E615="",FALSE,TRUE)</f>
        <v>0</v>
      </c>
      <c r="V615">
        <f>AND(IF(Metadata!F615="",FALSE,TRUE),exact(Metadata!F615,"rat gut metagenome"))</f>
        <v>0</v>
      </c>
      <c r="W615">
        <f>AND(IF(Metadata!G615="",FALSE,TRUE),exact(Metadata!G615,"1436733"))</f>
        <v>0</v>
      </c>
    </row>
    <row r="616" spans="1:23">
      <c r="A616" s="4">
        <f>IF(B616=" "," ",HYPERLINK(CONCATENATE("#metadata!",ADDRESS(INDEX($M$2:$M$1001,MATCH(ROWS($K$2:K616),$K$2:$K$1001,0),0),1)),INDEX($P$2:$P$1001,MATCH(ROWS($K$2:K616),$K$2:$K$1001,0),0)))</f>
        <v>0</v>
      </c>
      <c r="B616" s="3">
        <f>IF(OR(INDEX($L$2:$L$1001,MATCH(ROWS($K$2:K616),$K$2:$K$1001,0),1)&gt;=100000,INDEX($R$1005:$W$1005,1,MATCH(COLUMNS($R$1006:R1006),$R$1006:$W$1006,0))&gt;=100000), " ",IF(INDEX($R$2:$W$1001,MATCH(ROWS($K$2:K616),$K$2:$K$1001,0),MATCH(COLUMNS($R$1006:R1006),$R$1006:$W$1006,0)), HYPERLINK("#",""), HYPERLINK(CONCATENATE("#Metadata!", ADDRESS(INDEX($M$2:$M$1001,MATCH(ROWS($K$2:K616),$K$2:$K$1001,0),0), INDEX($R$1004:$W$1004,1,MATCH(COLUMNS($R$1006:R1006),$R$1006:$W$1006,0)))),"Fix")))</f>
        <v>0</v>
      </c>
      <c r="C616" s="3">
        <f>IF(OR(INDEX($L$2:$L$1001,MATCH(ROWS($K$2:K616),$K$2:$K$1001,0),1)&gt;=100000,INDEX($R$1005:$W$1005,1,MATCH(COLUMNS($R$1006:S1006),$R$1006:$W$1006,0))&gt;=100000), " ",IF(INDEX($R$2:$W$1001,MATCH(ROWS($K$2:K616),$K$2:$K$1001,0),MATCH(COLUMNS($R$1006:S1006),$R$1006:$W$1006,0)), HYPERLINK("#",""), HYPERLINK(CONCATENATE("#Metadata!", ADDRESS(INDEX($M$2:$M$1001,MATCH(ROWS($K$2:K616),$K$2:$K$1001,0),0), INDEX($R$1004:$W$1004,1,MATCH(COLUMNS($R$1006:S1006),$R$1006:$W$1006,0)))),"Fix")))</f>
        <v>0</v>
      </c>
      <c r="D616" s="3">
        <f>IF(OR(INDEX($L$2:$L$1001,MATCH(ROWS($K$2:K616),$K$2:$K$1001,0),1)&gt;=100000,INDEX($R$1005:$W$1005,1,MATCH(COLUMNS($R$1006:T1006),$R$1006:$W$1006,0))&gt;=100000), " ",IF(INDEX($R$2:$W$1001,MATCH(ROWS($K$2:K616),$K$2:$K$1001,0),MATCH(COLUMNS($R$1006:T1006),$R$1006:$W$1006,0)), HYPERLINK("#",""), HYPERLINK(CONCATENATE("#Metadata!", ADDRESS(INDEX($M$2:$M$1001,MATCH(ROWS($K$2:K616),$K$2:$K$1001,0),0), INDEX($R$1004:$W$1004,1,MATCH(COLUMNS($R$1006:T1006),$R$1006:$W$1006,0)))),"Fix")))</f>
        <v>0</v>
      </c>
      <c r="E616" s="3">
        <f>IF(OR(INDEX($L$2:$L$1001,MATCH(ROWS($K$2:K616),$K$2:$K$1001,0),1)&gt;=100000,INDEX($R$1005:$W$1005,1,MATCH(COLUMNS($R$1006:U1006),$R$1006:$W$1006,0))&gt;=100000), " ",IF(INDEX($R$2:$W$1001,MATCH(ROWS($K$2:K616),$K$2:$K$1001,0),MATCH(COLUMNS($R$1006:U1006),$R$1006:$W$1006,0)), HYPERLINK("#",""), HYPERLINK(CONCATENATE("#Metadata!", ADDRESS(INDEX($M$2:$M$1001,MATCH(ROWS($K$2:K616),$K$2:$K$1001,0),0), INDEX($R$1004:$W$1004,1,MATCH(COLUMNS($R$1006:U1006),$R$1006:$W$1006,0)))),"Fix")))</f>
        <v>0</v>
      </c>
      <c r="F616" s="3">
        <f>IF(OR(INDEX($L$2:$L$1001,MATCH(ROWS($K$2:K616),$K$2:$K$1001,0),1)&gt;=100000,INDEX($R$1005:$W$1005,1,MATCH(COLUMNS($R$1006:V1006),$R$1006:$W$1006,0))&gt;=100000), " ",IF(INDEX($R$2:$W$1001,MATCH(ROWS($K$2:K616),$K$2:$K$1001,0),MATCH(COLUMNS($R$1006:V1006),$R$1006:$W$1006,0)), HYPERLINK("#",""), HYPERLINK(CONCATENATE("#Metadata!", ADDRESS(INDEX($M$2:$M$1001,MATCH(ROWS($K$2:K616),$K$2:$K$1001,0),0), INDEX($R$1004:$W$1004,1,MATCH(COLUMNS($R$1006:V1006),$R$1006:$W$1006,0)))),"Fix")))</f>
        <v>0</v>
      </c>
      <c r="G616" s="3">
        <f>IF(OR(INDEX($L$2:$L$1001,MATCH(ROWS($K$2:K616),$K$2:$K$1001,0),1)&gt;=100000,INDEX($R$1005:$W$1005,1,MATCH(COLUMNS($R$1006:W1006),$R$1006:$W$1006,0))&gt;=100000), " ",IF(INDEX($R$2:$W$1001,MATCH(ROWS($K$2:K616),$K$2:$K$1001,0),MATCH(COLUMNS($R$1006:W1006),$R$1006:$W$1006,0)), HYPERLINK("#",""), HYPERLINK(CONCATENATE("#Metadata!", ADDRESS(INDEX($M$2:$M$1001,MATCH(ROWS($K$2:K616),$K$2:$K$1001,0),0), INDEX($R$1004:$W$1004,1,MATCH(COLUMNS($R$1006:W1006),$R$1006:$W$1006,0)))),"Fix")))</f>
        <v>0</v>
      </c>
      <c r="K616">
        <v>0</v>
      </c>
      <c r="L616">
        <v>0</v>
      </c>
      <c r="M616">
        <v>0</v>
      </c>
      <c r="N616">
        <f>IF(O616,TRUE,AND(R616:W616))</f>
        <v>0</v>
      </c>
      <c r="O616">
        <f>COUNTBLANK(Metadata!B616:G616)=COLUMNS(Metadata!B616:G616)</f>
        <v>0</v>
      </c>
      <c r="P616">
        <v>0</v>
      </c>
      <c r="R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S616">
        <f>IF(Metadata!C616="",FALSE,TRUE)</f>
        <v>0</v>
      </c>
      <c r="T616">
        <f>IF(Metadata!D616="",FALSE,TRUE)</f>
        <v>0</v>
      </c>
      <c r="U616">
        <f>IF(Metadata!E616="",FALSE,TRUE)</f>
        <v>0</v>
      </c>
      <c r="V616">
        <f>AND(IF(Metadata!F616="",FALSE,TRUE),exact(Metadata!F616,"rat gut metagenome"))</f>
        <v>0</v>
      </c>
      <c r="W616">
        <f>AND(IF(Metadata!G616="",FALSE,TRUE),exact(Metadata!G616,"1436733"))</f>
        <v>0</v>
      </c>
    </row>
    <row r="617" spans="1:23">
      <c r="A617" s="4">
        <f>IF(B617=" "," ",HYPERLINK(CONCATENATE("#metadata!",ADDRESS(INDEX($M$2:$M$1001,MATCH(ROWS($K$2:K617),$K$2:$K$1001,0),0),1)),INDEX($P$2:$P$1001,MATCH(ROWS($K$2:K617),$K$2:$K$1001,0),0)))</f>
        <v>0</v>
      </c>
      <c r="B617" s="3">
        <f>IF(OR(INDEX($L$2:$L$1001,MATCH(ROWS($K$2:K617),$K$2:$K$1001,0),1)&gt;=100000,INDEX($R$1005:$W$1005,1,MATCH(COLUMNS($R$1006:R1006),$R$1006:$W$1006,0))&gt;=100000), " ",IF(INDEX($R$2:$W$1001,MATCH(ROWS($K$2:K617),$K$2:$K$1001,0),MATCH(COLUMNS($R$1006:R1006),$R$1006:$W$1006,0)), HYPERLINK("#",""), HYPERLINK(CONCATENATE("#Metadata!", ADDRESS(INDEX($M$2:$M$1001,MATCH(ROWS($K$2:K617),$K$2:$K$1001,0),0), INDEX($R$1004:$W$1004,1,MATCH(COLUMNS($R$1006:R1006),$R$1006:$W$1006,0)))),"Fix")))</f>
        <v>0</v>
      </c>
      <c r="C617" s="3">
        <f>IF(OR(INDEX($L$2:$L$1001,MATCH(ROWS($K$2:K617),$K$2:$K$1001,0),1)&gt;=100000,INDEX($R$1005:$W$1005,1,MATCH(COLUMNS($R$1006:S1006),$R$1006:$W$1006,0))&gt;=100000), " ",IF(INDEX($R$2:$W$1001,MATCH(ROWS($K$2:K617),$K$2:$K$1001,0),MATCH(COLUMNS($R$1006:S1006),$R$1006:$W$1006,0)), HYPERLINK("#",""), HYPERLINK(CONCATENATE("#Metadata!", ADDRESS(INDEX($M$2:$M$1001,MATCH(ROWS($K$2:K617),$K$2:$K$1001,0),0), INDEX($R$1004:$W$1004,1,MATCH(COLUMNS($R$1006:S1006),$R$1006:$W$1006,0)))),"Fix")))</f>
        <v>0</v>
      </c>
      <c r="D617" s="3">
        <f>IF(OR(INDEX($L$2:$L$1001,MATCH(ROWS($K$2:K617),$K$2:$K$1001,0),1)&gt;=100000,INDEX($R$1005:$W$1005,1,MATCH(COLUMNS($R$1006:T1006),$R$1006:$W$1006,0))&gt;=100000), " ",IF(INDEX($R$2:$W$1001,MATCH(ROWS($K$2:K617),$K$2:$K$1001,0),MATCH(COLUMNS($R$1006:T1006),$R$1006:$W$1006,0)), HYPERLINK("#",""), HYPERLINK(CONCATENATE("#Metadata!", ADDRESS(INDEX($M$2:$M$1001,MATCH(ROWS($K$2:K617),$K$2:$K$1001,0),0), INDEX($R$1004:$W$1004,1,MATCH(COLUMNS($R$1006:T1006),$R$1006:$W$1006,0)))),"Fix")))</f>
        <v>0</v>
      </c>
      <c r="E617" s="3">
        <f>IF(OR(INDEX($L$2:$L$1001,MATCH(ROWS($K$2:K617),$K$2:$K$1001,0),1)&gt;=100000,INDEX($R$1005:$W$1005,1,MATCH(COLUMNS($R$1006:U1006),$R$1006:$W$1006,0))&gt;=100000), " ",IF(INDEX($R$2:$W$1001,MATCH(ROWS($K$2:K617),$K$2:$K$1001,0),MATCH(COLUMNS($R$1006:U1006),$R$1006:$W$1006,0)), HYPERLINK("#",""), HYPERLINK(CONCATENATE("#Metadata!", ADDRESS(INDEX($M$2:$M$1001,MATCH(ROWS($K$2:K617),$K$2:$K$1001,0),0), INDEX($R$1004:$W$1004,1,MATCH(COLUMNS($R$1006:U1006),$R$1006:$W$1006,0)))),"Fix")))</f>
        <v>0</v>
      </c>
      <c r="F617" s="3">
        <f>IF(OR(INDEX($L$2:$L$1001,MATCH(ROWS($K$2:K617),$K$2:$K$1001,0),1)&gt;=100000,INDEX($R$1005:$W$1005,1,MATCH(COLUMNS($R$1006:V1006),$R$1006:$W$1006,0))&gt;=100000), " ",IF(INDEX($R$2:$W$1001,MATCH(ROWS($K$2:K617),$K$2:$K$1001,0),MATCH(COLUMNS($R$1006:V1006),$R$1006:$W$1006,0)), HYPERLINK("#",""), HYPERLINK(CONCATENATE("#Metadata!", ADDRESS(INDEX($M$2:$M$1001,MATCH(ROWS($K$2:K617),$K$2:$K$1001,0),0), INDEX($R$1004:$W$1004,1,MATCH(COLUMNS($R$1006:V1006),$R$1006:$W$1006,0)))),"Fix")))</f>
        <v>0</v>
      </c>
      <c r="G617" s="3">
        <f>IF(OR(INDEX($L$2:$L$1001,MATCH(ROWS($K$2:K617),$K$2:$K$1001,0),1)&gt;=100000,INDEX($R$1005:$W$1005,1,MATCH(COLUMNS($R$1006:W1006),$R$1006:$W$1006,0))&gt;=100000), " ",IF(INDEX($R$2:$W$1001,MATCH(ROWS($K$2:K617),$K$2:$K$1001,0),MATCH(COLUMNS($R$1006:W1006),$R$1006:$W$1006,0)), HYPERLINK("#",""), HYPERLINK(CONCATENATE("#Metadata!", ADDRESS(INDEX($M$2:$M$1001,MATCH(ROWS($K$2:K617),$K$2:$K$1001,0),0), INDEX($R$1004:$W$1004,1,MATCH(COLUMNS($R$1006:W1006),$R$1006:$W$1006,0)))),"Fix")))</f>
        <v>0</v>
      </c>
      <c r="K617">
        <v>0</v>
      </c>
      <c r="L617">
        <v>0</v>
      </c>
      <c r="M617">
        <v>0</v>
      </c>
      <c r="N617">
        <f>IF(O617,TRUE,AND(R617:W617))</f>
        <v>0</v>
      </c>
      <c r="O617">
        <f>COUNTBLANK(Metadata!B617:G617)=COLUMNS(Metadata!B617:G617)</f>
        <v>0</v>
      </c>
      <c r="P617">
        <v>0</v>
      </c>
      <c r="R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S617">
        <f>IF(Metadata!C617="",FALSE,TRUE)</f>
        <v>0</v>
      </c>
      <c r="T617">
        <f>IF(Metadata!D617="",FALSE,TRUE)</f>
        <v>0</v>
      </c>
      <c r="U617">
        <f>IF(Metadata!E617="",FALSE,TRUE)</f>
        <v>0</v>
      </c>
      <c r="V617">
        <f>AND(IF(Metadata!F617="",FALSE,TRUE),exact(Metadata!F617,"rat gut metagenome"))</f>
        <v>0</v>
      </c>
      <c r="W617">
        <f>AND(IF(Metadata!G617="",FALSE,TRUE),exact(Metadata!G617,"1436733"))</f>
        <v>0</v>
      </c>
    </row>
    <row r="618" spans="1:23">
      <c r="A618" s="4">
        <f>IF(B618=" "," ",HYPERLINK(CONCATENATE("#metadata!",ADDRESS(INDEX($M$2:$M$1001,MATCH(ROWS($K$2:K618),$K$2:$K$1001,0),0),1)),INDEX($P$2:$P$1001,MATCH(ROWS($K$2:K618),$K$2:$K$1001,0),0)))</f>
        <v>0</v>
      </c>
      <c r="B618" s="3">
        <f>IF(OR(INDEX($L$2:$L$1001,MATCH(ROWS($K$2:K618),$K$2:$K$1001,0),1)&gt;=100000,INDEX($R$1005:$W$1005,1,MATCH(COLUMNS($R$1006:R1006),$R$1006:$W$1006,0))&gt;=100000), " ",IF(INDEX($R$2:$W$1001,MATCH(ROWS($K$2:K618),$K$2:$K$1001,0),MATCH(COLUMNS($R$1006:R1006),$R$1006:$W$1006,0)), HYPERLINK("#",""), HYPERLINK(CONCATENATE("#Metadata!", ADDRESS(INDEX($M$2:$M$1001,MATCH(ROWS($K$2:K618),$K$2:$K$1001,0),0), INDEX($R$1004:$W$1004,1,MATCH(COLUMNS($R$1006:R1006),$R$1006:$W$1006,0)))),"Fix")))</f>
        <v>0</v>
      </c>
      <c r="C618" s="3">
        <f>IF(OR(INDEX($L$2:$L$1001,MATCH(ROWS($K$2:K618),$K$2:$K$1001,0),1)&gt;=100000,INDEX($R$1005:$W$1005,1,MATCH(COLUMNS($R$1006:S1006),$R$1006:$W$1006,0))&gt;=100000), " ",IF(INDEX($R$2:$W$1001,MATCH(ROWS($K$2:K618),$K$2:$K$1001,0),MATCH(COLUMNS($R$1006:S1006),$R$1006:$W$1006,0)), HYPERLINK("#",""), HYPERLINK(CONCATENATE("#Metadata!", ADDRESS(INDEX($M$2:$M$1001,MATCH(ROWS($K$2:K618),$K$2:$K$1001,0),0), INDEX($R$1004:$W$1004,1,MATCH(COLUMNS($R$1006:S1006),$R$1006:$W$1006,0)))),"Fix")))</f>
        <v>0</v>
      </c>
      <c r="D618" s="3">
        <f>IF(OR(INDEX($L$2:$L$1001,MATCH(ROWS($K$2:K618),$K$2:$K$1001,0),1)&gt;=100000,INDEX($R$1005:$W$1005,1,MATCH(COLUMNS($R$1006:T1006),$R$1006:$W$1006,0))&gt;=100000), " ",IF(INDEX($R$2:$W$1001,MATCH(ROWS($K$2:K618),$K$2:$K$1001,0),MATCH(COLUMNS($R$1006:T1006),$R$1006:$W$1006,0)), HYPERLINK("#",""), HYPERLINK(CONCATENATE("#Metadata!", ADDRESS(INDEX($M$2:$M$1001,MATCH(ROWS($K$2:K618),$K$2:$K$1001,0),0), INDEX($R$1004:$W$1004,1,MATCH(COLUMNS($R$1006:T1006),$R$1006:$W$1006,0)))),"Fix")))</f>
        <v>0</v>
      </c>
      <c r="E618" s="3">
        <f>IF(OR(INDEX($L$2:$L$1001,MATCH(ROWS($K$2:K618),$K$2:$K$1001,0),1)&gt;=100000,INDEX($R$1005:$W$1005,1,MATCH(COLUMNS($R$1006:U1006),$R$1006:$W$1006,0))&gt;=100000), " ",IF(INDEX($R$2:$W$1001,MATCH(ROWS($K$2:K618),$K$2:$K$1001,0),MATCH(COLUMNS($R$1006:U1006),$R$1006:$W$1006,0)), HYPERLINK("#",""), HYPERLINK(CONCATENATE("#Metadata!", ADDRESS(INDEX($M$2:$M$1001,MATCH(ROWS($K$2:K618),$K$2:$K$1001,0),0), INDEX($R$1004:$W$1004,1,MATCH(COLUMNS($R$1006:U1006),$R$1006:$W$1006,0)))),"Fix")))</f>
        <v>0</v>
      </c>
      <c r="F618" s="3">
        <f>IF(OR(INDEX($L$2:$L$1001,MATCH(ROWS($K$2:K618),$K$2:$K$1001,0),1)&gt;=100000,INDEX($R$1005:$W$1005,1,MATCH(COLUMNS($R$1006:V1006),$R$1006:$W$1006,0))&gt;=100000), " ",IF(INDEX($R$2:$W$1001,MATCH(ROWS($K$2:K618),$K$2:$K$1001,0),MATCH(COLUMNS($R$1006:V1006),$R$1006:$W$1006,0)), HYPERLINK("#",""), HYPERLINK(CONCATENATE("#Metadata!", ADDRESS(INDEX($M$2:$M$1001,MATCH(ROWS($K$2:K618),$K$2:$K$1001,0),0), INDEX($R$1004:$W$1004,1,MATCH(COLUMNS($R$1006:V1006),$R$1006:$W$1006,0)))),"Fix")))</f>
        <v>0</v>
      </c>
      <c r="G618" s="3">
        <f>IF(OR(INDEX($L$2:$L$1001,MATCH(ROWS($K$2:K618),$K$2:$K$1001,0),1)&gt;=100000,INDEX($R$1005:$W$1005,1,MATCH(COLUMNS($R$1006:W1006),$R$1006:$W$1006,0))&gt;=100000), " ",IF(INDEX($R$2:$W$1001,MATCH(ROWS($K$2:K618),$K$2:$K$1001,0),MATCH(COLUMNS($R$1006:W1006),$R$1006:$W$1006,0)), HYPERLINK("#",""), HYPERLINK(CONCATENATE("#Metadata!", ADDRESS(INDEX($M$2:$M$1001,MATCH(ROWS($K$2:K618),$K$2:$K$1001,0),0), INDEX($R$1004:$W$1004,1,MATCH(COLUMNS($R$1006:W1006),$R$1006:$W$1006,0)))),"Fix")))</f>
        <v>0</v>
      </c>
      <c r="K618">
        <v>0</v>
      </c>
      <c r="L618">
        <v>0</v>
      </c>
      <c r="M618">
        <v>0</v>
      </c>
      <c r="N618">
        <f>IF(O618,TRUE,AND(R618:W618))</f>
        <v>0</v>
      </c>
      <c r="O618">
        <f>COUNTBLANK(Metadata!B618:G618)=COLUMNS(Metadata!B618:G618)</f>
        <v>0</v>
      </c>
      <c r="P618">
        <v>0</v>
      </c>
      <c r="R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S618">
        <f>IF(Metadata!C618="",FALSE,TRUE)</f>
        <v>0</v>
      </c>
      <c r="T618">
        <f>IF(Metadata!D618="",FALSE,TRUE)</f>
        <v>0</v>
      </c>
      <c r="U618">
        <f>IF(Metadata!E618="",FALSE,TRUE)</f>
        <v>0</v>
      </c>
      <c r="V618">
        <f>AND(IF(Metadata!F618="",FALSE,TRUE),exact(Metadata!F618,"rat gut metagenome"))</f>
        <v>0</v>
      </c>
      <c r="W618">
        <f>AND(IF(Metadata!G618="",FALSE,TRUE),exact(Metadata!G618,"1436733"))</f>
        <v>0</v>
      </c>
    </row>
    <row r="619" spans="1:23">
      <c r="A619" s="4">
        <f>IF(B619=" "," ",HYPERLINK(CONCATENATE("#metadata!",ADDRESS(INDEX($M$2:$M$1001,MATCH(ROWS($K$2:K619),$K$2:$K$1001,0),0),1)),INDEX($P$2:$P$1001,MATCH(ROWS($K$2:K619),$K$2:$K$1001,0),0)))</f>
        <v>0</v>
      </c>
      <c r="B619" s="3">
        <f>IF(OR(INDEX($L$2:$L$1001,MATCH(ROWS($K$2:K619),$K$2:$K$1001,0),1)&gt;=100000,INDEX($R$1005:$W$1005,1,MATCH(COLUMNS($R$1006:R1006),$R$1006:$W$1006,0))&gt;=100000), " ",IF(INDEX($R$2:$W$1001,MATCH(ROWS($K$2:K619),$K$2:$K$1001,0),MATCH(COLUMNS($R$1006:R1006),$R$1006:$W$1006,0)), HYPERLINK("#",""), HYPERLINK(CONCATENATE("#Metadata!", ADDRESS(INDEX($M$2:$M$1001,MATCH(ROWS($K$2:K619),$K$2:$K$1001,0),0), INDEX($R$1004:$W$1004,1,MATCH(COLUMNS($R$1006:R1006),$R$1006:$W$1006,0)))),"Fix")))</f>
        <v>0</v>
      </c>
      <c r="C619" s="3">
        <f>IF(OR(INDEX($L$2:$L$1001,MATCH(ROWS($K$2:K619),$K$2:$K$1001,0),1)&gt;=100000,INDEX($R$1005:$W$1005,1,MATCH(COLUMNS($R$1006:S1006),$R$1006:$W$1006,0))&gt;=100000), " ",IF(INDEX($R$2:$W$1001,MATCH(ROWS($K$2:K619),$K$2:$K$1001,0),MATCH(COLUMNS($R$1006:S1006),$R$1006:$W$1006,0)), HYPERLINK("#",""), HYPERLINK(CONCATENATE("#Metadata!", ADDRESS(INDEX($M$2:$M$1001,MATCH(ROWS($K$2:K619),$K$2:$K$1001,0),0), INDEX($R$1004:$W$1004,1,MATCH(COLUMNS($R$1006:S1006),$R$1006:$W$1006,0)))),"Fix")))</f>
        <v>0</v>
      </c>
      <c r="D619" s="3">
        <f>IF(OR(INDEX($L$2:$L$1001,MATCH(ROWS($K$2:K619),$K$2:$K$1001,0),1)&gt;=100000,INDEX($R$1005:$W$1005,1,MATCH(COLUMNS($R$1006:T1006),$R$1006:$W$1006,0))&gt;=100000), " ",IF(INDEX($R$2:$W$1001,MATCH(ROWS($K$2:K619),$K$2:$K$1001,0),MATCH(COLUMNS($R$1006:T1006),$R$1006:$W$1006,0)), HYPERLINK("#",""), HYPERLINK(CONCATENATE("#Metadata!", ADDRESS(INDEX($M$2:$M$1001,MATCH(ROWS($K$2:K619),$K$2:$K$1001,0),0), INDEX($R$1004:$W$1004,1,MATCH(COLUMNS($R$1006:T1006),$R$1006:$W$1006,0)))),"Fix")))</f>
        <v>0</v>
      </c>
      <c r="E619" s="3">
        <f>IF(OR(INDEX($L$2:$L$1001,MATCH(ROWS($K$2:K619),$K$2:$K$1001,0),1)&gt;=100000,INDEX($R$1005:$W$1005,1,MATCH(COLUMNS($R$1006:U1006),$R$1006:$W$1006,0))&gt;=100000), " ",IF(INDEX($R$2:$W$1001,MATCH(ROWS($K$2:K619),$K$2:$K$1001,0),MATCH(COLUMNS($R$1006:U1006),$R$1006:$W$1006,0)), HYPERLINK("#",""), HYPERLINK(CONCATENATE("#Metadata!", ADDRESS(INDEX($M$2:$M$1001,MATCH(ROWS($K$2:K619),$K$2:$K$1001,0),0), INDEX($R$1004:$W$1004,1,MATCH(COLUMNS($R$1006:U1006),$R$1006:$W$1006,0)))),"Fix")))</f>
        <v>0</v>
      </c>
      <c r="F619" s="3">
        <f>IF(OR(INDEX($L$2:$L$1001,MATCH(ROWS($K$2:K619),$K$2:$K$1001,0),1)&gt;=100000,INDEX($R$1005:$W$1005,1,MATCH(COLUMNS($R$1006:V1006),$R$1006:$W$1006,0))&gt;=100000), " ",IF(INDEX($R$2:$W$1001,MATCH(ROWS($K$2:K619),$K$2:$K$1001,0),MATCH(COLUMNS($R$1006:V1006),$R$1006:$W$1006,0)), HYPERLINK("#",""), HYPERLINK(CONCATENATE("#Metadata!", ADDRESS(INDEX($M$2:$M$1001,MATCH(ROWS($K$2:K619),$K$2:$K$1001,0),0), INDEX($R$1004:$W$1004,1,MATCH(COLUMNS($R$1006:V1006),$R$1006:$W$1006,0)))),"Fix")))</f>
        <v>0</v>
      </c>
      <c r="G619" s="3">
        <f>IF(OR(INDEX($L$2:$L$1001,MATCH(ROWS($K$2:K619),$K$2:$K$1001,0),1)&gt;=100000,INDEX($R$1005:$W$1005,1,MATCH(COLUMNS($R$1006:W1006),$R$1006:$W$1006,0))&gt;=100000), " ",IF(INDEX($R$2:$W$1001,MATCH(ROWS($K$2:K619),$K$2:$K$1001,0),MATCH(COLUMNS($R$1006:W1006),$R$1006:$W$1006,0)), HYPERLINK("#",""), HYPERLINK(CONCATENATE("#Metadata!", ADDRESS(INDEX($M$2:$M$1001,MATCH(ROWS($K$2:K619),$K$2:$K$1001,0),0), INDEX($R$1004:$W$1004,1,MATCH(COLUMNS($R$1006:W1006),$R$1006:$W$1006,0)))),"Fix")))</f>
        <v>0</v>
      </c>
      <c r="K619">
        <v>0</v>
      </c>
      <c r="L619">
        <v>0</v>
      </c>
      <c r="M619">
        <v>0</v>
      </c>
      <c r="N619">
        <f>IF(O619,TRUE,AND(R619:W619))</f>
        <v>0</v>
      </c>
      <c r="O619">
        <f>COUNTBLANK(Metadata!B619:G619)=COLUMNS(Metadata!B619:G619)</f>
        <v>0</v>
      </c>
      <c r="P619">
        <v>0</v>
      </c>
      <c r="R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S619">
        <f>IF(Metadata!C619="",FALSE,TRUE)</f>
        <v>0</v>
      </c>
      <c r="T619">
        <f>IF(Metadata!D619="",FALSE,TRUE)</f>
        <v>0</v>
      </c>
      <c r="U619">
        <f>IF(Metadata!E619="",FALSE,TRUE)</f>
        <v>0</v>
      </c>
      <c r="V619">
        <f>AND(IF(Metadata!F619="",FALSE,TRUE),exact(Metadata!F619,"rat gut metagenome"))</f>
        <v>0</v>
      </c>
      <c r="W619">
        <f>AND(IF(Metadata!G619="",FALSE,TRUE),exact(Metadata!G619,"1436733"))</f>
        <v>0</v>
      </c>
    </row>
    <row r="620" spans="1:23">
      <c r="A620" s="4">
        <f>IF(B620=" "," ",HYPERLINK(CONCATENATE("#metadata!",ADDRESS(INDEX($M$2:$M$1001,MATCH(ROWS($K$2:K620),$K$2:$K$1001,0),0),1)),INDEX($P$2:$P$1001,MATCH(ROWS($K$2:K620),$K$2:$K$1001,0),0)))</f>
        <v>0</v>
      </c>
      <c r="B620" s="3">
        <f>IF(OR(INDEX($L$2:$L$1001,MATCH(ROWS($K$2:K620),$K$2:$K$1001,0),1)&gt;=100000,INDEX($R$1005:$W$1005,1,MATCH(COLUMNS($R$1006:R1006),$R$1006:$W$1006,0))&gt;=100000), " ",IF(INDEX($R$2:$W$1001,MATCH(ROWS($K$2:K620),$K$2:$K$1001,0),MATCH(COLUMNS($R$1006:R1006),$R$1006:$W$1006,0)), HYPERLINK("#",""), HYPERLINK(CONCATENATE("#Metadata!", ADDRESS(INDEX($M$2:$M$1001,MATCH(ROWS($K$2:K620),$K$2:$K$1001,0),0), INDEX($R$1004:$W$1004,1,MATCH(COLUMNS($R$1006:R1006),$R$1006:$W$1006,0)))),"Fix")))</f>
        <v>0</v>
      </c>
      <c r="C620" s="3">
        <f>IF(OR(INDEX($L$2:$L$1001,MATCH(ROWS($K$2:K620),$K$2:$K$1001,0),1)&gt;=100000,INDEX($R$1005:$W$1005,1,MATCH(COLUMNS($R$1006:S1006),$R$1006:$W$1006,0))&gt;=100000), " ",IF(INDEX($R$2:$W$1001,MATCH(ROWS($K$2:K620),$K$2:$K$1001,0),MATCH(COLUMNS($R$1006:S1006),$R$1006:$W$1006,0)), HYPERLINK("#",""), HYPERLINK(CONCATENATE("#Metadata!", ADDRESS(INDEX($M$2:$M$1001,MATCH(ROWS($K$2:K620),$K$2:$K$1001,0),0), INDEX($R$1004:$W$1004,1,MATCH(COLUMNS($R$1006:S1006),$R$1006:$W$1006,0)))),"Fix")))</f>
        <v>0</v>
      </c>
      <c r="D620" s="3">
        <f>IF(OR(INDEX($L$2:$L$1001,MATCH(ROWS($K$2:K620),$K$2:$K$1001,0),1)&gt;=100000,INDEX($R$1005:$W$1005,1,MATCH(COLUMNS($R$1006:T1006),$R$1006:$W$1006,0))&gt;=100000), " ",IF(INDEX($R$2:$W$1001,MATCH(ROWS($K$2:K620),$K$2:$K$1001,0),MATCH(COLUMNS($R$1006:T1006),$R$1006:$W$1006,0)), HYPERLINK("#",""), HYPERLINK(CONCATENATE("#Metadata!", ADDRESS(INDEX($M$2:$M$1001,MATCH(ROWS($K$2:K620),$K$2:$K$1001,0),0), INDEX($R$1004:$W$1004,1,MATCH(COLUMNS($R$1006:T1006),$R$1006:$W$1006,0)))),"Fix")))</f>
        <v>0</v>
      </c>
      <c r="E620" s="3">
        <f>IF(OR(INDEX($L$2:$L$1001,MATCH(ROWS($K$2:K620),$K$2:$K$1001,0),1)&gt;=100000,INDEX($R$1005:$W$1005,1,MATCH(COLUMNS($R$1006:U1006),$R$1006:$W$1006,0))&gt;=100000), " ",IF(INDEX($R$2:$W$1001,MATCH(ROWS($K$2:K620),$K$2:$K$1001,0),MATCH(COLUMNS($R$1006:U1006),$R$1006:$W$1006,0)), HYPERLINK("#",""), HYPERLINK(CONCATENATE("#Metadata!", ADDRESS(INDEX($M$2:$M$1001,MATCH(ROWS($K$2:K620),$K$2:$K$1001,0),0), INDEX($R$1004:$W$1004,1,MATCH(COLUMNS($R$1006:U1006),$R$1006:$W$1006,0)))),"Fix")))</f>
        <v>0</v>
      </c>
      <c r="F620" s="3">
        <f>IF(OR(INDEX($L$2:$L$1001,MATCH(ROWS($K$2:K620),$K$2:$K$1001,0),1)&gt;=100000,INDEX($R$1005:$W$1005,1,MATCH(COLUMNS($R$1006:V1006),$R$1006:$W$1006,0))&gt;=100000), " ",IF(INDEX($R$2:$W$1001,MATCH(ROWS($K$2:K620),$K$2:$K$1001,0),MATCH(COLUMNS($R$1006:V1006),$R$1006:$W$1006,0)), HYPERLINK("#",""), HYPERLINK(CONCATENATE("#Metadata!", ADDRESS(INDEX($M$2:$M$1001,MATCH(ROWS($K$2:K620),$K$2:$K$1001,0),0), INDEX($R$1004:$W$1004,1,MATCH(COLUMNS($R$1006:V1006),$R$1006:$W$1006,0)))),"Fix")))</f>
        <v>0</v>
      </c>
      <c r="G620" s="3">
        <f>IF(OR(INDEX($L$2:$L$1001,MATCH(ROWS($K$2:K620),$K$2:$K$1001,0),1)&gt;=100000,INDEX($R$1005:$W$1005,1,MATCH(COLUMNS($R$1006:W1006),$R$1006:$W$1006,0))&gt;=100000), " ",IF(INDEX($R$2:$W$1001,MATCH(ROWS($K$2:K620),$K$2:$K$1001,0),MATCH(COLUMNS($R$1006:W1006),$R$1006:$W$1006,0)), HYPERLINK("#",""), HYPERLINK(CONCATENATE("#Metadata!", ADDRESS(INDEX($M$2:$M$1001,MATCH(ROWS($K$2:K620),$K$2:$K$1001,0),0), INDEX($R$1004:$W$1004,1,MATCH(COLUMNS($R$1006:W1006),$R$1006:$W$1006,0)))),"Fix")))</f>
        <v>0</v>
      </c>
      <c r="K620">
        <v>0</v>
      </c>
      <c r="L620">
        <v>0</v>
      </c>
      <c r="M620">
        <v>0</v>
      </c>
      <c r="N620">
        <f>IF(O620,TRUE,AND(R620:W620))</f>
        <v>0</v>
      </c>
      <c r="O620">
        <f>COUNTBLANK(Metadata!B620:G620)=COLUMNS(Metadata!B620:G620)</f>
        <v>0</v>
      </c>
      <c r="P620">
        <v>0</v>
      </c>
      <c r="R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S620">
        <f>IF(Metadata!C620="",FALSE,TRUE)</f>
        <v>0</v>
      </c>
      <c r="T620">
        <f>IF(Metadata!D620="",FALSE,TRUE)</f>
        <v>0</v>
      </c>
      <c r="U620">
        <f>IF(Metadata!E620="",FALSE,TRUE)</f>
        <v>0</v>
      </c>
      <c r="V620">
        <f>AND(IF(Metadata!F620="",FALSE,TRUE),exact(Metadata!F620,"rat gut metagenome"))</f>
        <v>0</v>
      </c>
      <c r="W620">
        <f>AND(IF(Metadata!G620="",FALSE,TRUE),exact(Metadata!G620,"1436733"))</f>
        <v>0</v>
      </c>
    </row>
    <row r="621" spans="1:23">
      <c r="A621" s="4">
        <f>IF(B621=" "," ",HYPERLINK(CONCATENATE("#metadata!",ADDRESS(INDEX($M$2:$M$1001,MATCH(ROWS($K$2:K621),$K$2:$K$1001,0),0),1)),INDEX($P$2:$P$1001,MATCH(ROWS($K$2:K621),$K$2:$K$1001,0),0)))</f>
        <v>0</v>
      </c>
      <c r="B621" s="3">
        <f>IF(OR(INDEX($L$2:$L$1001,MATCH(ROWS($K$2:K621),$K$2:$K$1001,0),1)&gt;=100000,INDEX($R$1005:$W$1005,1,MATCH(COLUMNS($R$1006:R1006),$R$1006:$W$1006,0))&gt;=100000), " ",IF(INDEX($R$2:$W$1001,MATCH(ROWS($K$2:K621),$K$2:$K$1001,0),MATCH(COLUMNS($R$1006:R1006),$R$1006:$W$1006,0)), HYPERLINK("#",""), HYPERLINK(CONCATENATE("#Metadata!", ADDRESS(INDEX($M$2:$M$1001,MATCH(ROWS($K$2:K621),$K$2:$K$1001,0),0), INDEX($R$1004:$W$1004,1,MATCH(COLUMNS($R$1006:R1006),$R$1006:$W$1006,0)))),"Fix")))</f>
        <v>0</v>
      </c>
      <c r="C621" s="3">
        <f>IF(OR(INDEX($L$2:$L$1001,MATCH(ROWS($K$2:K621),$K$2:$K$1001,0),1)&gt;=100000,INDEX($R$1005:$W$1005,1,MATCH(COLUMNS($R$1006:S1006),$R$1006:$W$1006,0))&gt;=100000), " ",IF(INDEX($R$2:$W$1001,MATCH(ROWS($K$2:K621),$K$2:$K$1001,0),MATCH(COLUMNS($R$1006:S1006),$R$1006:$W$1006,0)), HYPERLINK("#",""), HYPERLINK(CONCATENATE("#Metadata!", ADDRESS(INDEX($M$2:$M$1001,MATCH(ROWS($K$2:K621),$K$2:$K$1001,0),0), INDEX($R$1004:$W$1004,1,MATCH(COLUMNS($R$1006:S1006),$R$1006:$W$1006,0)))),"Fix")))</f>
        <v>0</v>
      </c>
      <c r="D621" s="3">
        <f>IF(OR(INDEX($L$2:$L$1001,MATCH(ROWS($K$2:K621),$K$2:$K$1001,0),1)&gt;=100000,INDEX($R$1005:$W$1005,1,MATCH(COLUMNS($R$1006:T1006),$R$1006:$W$1006,0))&gt;=100000), " ",IF(INDEX($R$2:$W$1001,MATCH(ROWS($K$2:K621),$K$2:$K$1001,0),MATCH(COLUMNS($R$1006:T1006),$R$1006:$W$1006,0)), HYPERLINK("#",""), HYPERLINK(CONCATENATE("#Metadata!", ADDRESS(INDEX($M$2:$M$1001,MATCH(ROWS($K$2:K621),$K$2:$K$1001,0),0), INDEX($R$1004:$W$1004,1,MATCH(COLUMNS($R$1006:T1006),$R$1006:$W$1006,0)))),"Fix")))</f>
        <v>0</v>
      </c>
      <c r="E621" s="3">
        <f>IF(OR(INDEX($L$2:$L$1001,MATCH(ROWS($K$2:K621),$K$2:$K$1001,0),1)&gt;=100000,INDEX($R$1005:$W$1005,1,MATCH(COLUMNS($R$1006:U1006),$R$1006:$W$1006,0))&gt;=100000), " ",IF(INDEX($R$2:$W$1001,MATCH(ROWS($K$2:K621),$K$2:$K$1001,0),MATCH(COLUMNS($R$1006:U1006),$R$1006:$W$1006,0)), HYPERLINK("#",""), HYPERLINK(CONCATENATE("#Metadata!", ADDRESS(INDEX($M$2:$M$1001,MATCH(ROWS($K$2:K621),$K$2:$K$1001,0),0), INDEX($R$1004:$W$1004,1,MATCH(COLUMNS($R$1006:U1006),$R$1006:$W$1006,0)))),"Fix")))</f>
        <v>0</v>
      </c>
      <c r="F621" s="3">
        <f>IF(OR(INDEX($L$2:$L$1001,MATCH(ROWS($K$2:K621),$K$2:$K$1001,0),1)&gt;=100000,INDEX($R$1005:$W$1005,1,MATCH(COLUMNS($R$1006:V1006),$R$1006:$W$1006,0))&gt;=100000), " ",IF(INDEX($R$2:$W$1001,MATCH(ROWS($K$2:K621),$K$2:$K$1001,0),MATCH(COLUMNS($R$1006:V1006),$R$1006:$W$1006,0)), HYPERLINK("#",""), HYPERLINK(CONCATENATE("#Metadata!", ADDRESS(INDEX($M$2:$M$1001,MATCH(ROWS($K$2:K621),$K$2:$K$1001,0),0), INDEX($R$1004:$W$1004,1,MATCH(COLUMNS($R$1006:V1006),$R$1006:$W$1006,0)))),"Fix")))</f>
        <v>0</v>
      </c>
      <c r="G621" s="3">
        <f>IF(OR(INDEX($L$2:$L$1001,MATCH(ROWS($K$2:K621),$K$2:$K$1001,0),1)&gt;=100000,INDEX($R$1005:$W$1005,1,MATCH(COLUMNS($R$1006:W1006),$R$1006:$W$1006,0))&gt;=100000), " ",IF(INDEX($R$2:$W$1001,MATCH(ROWS($K$2:K621),$K$2:$K$1001,0),MATCH(COLUMNS($R$1006:W1006),$R$1006:$W$1006,0)), HYPERLINK("#",""), HYPERLINK(CONCATENATE("#Metadata!", ADDRESS(INDEX($M$2:$M$1001,MATCH(ROWS($K$2:K621),$K$2:$K$1001,0),0), INDEX($R$1004:$W$1004,1,MATCH(COLUMNS($R$1006:W1006),$R$1006:$W$1006,0)))),"Fix")))</f>
        <v>0</v>
      </c>
      <c r="K621">
        <v>0</v>
      </c>
      <c r="L621">
        <v>0</v>
      </c>
      <c r="M621">
        <v>0</v>
      </c>
      <c r="N621">
        <f>IF(O621,TRUE,AND(R621:W621))</f>
        <v>0</v>
      </c>
      <c r="O621">
        <f>COUNTBLANK(Metadata!B621:G621)=COLUMNS(Metadata!B621:G621)</f>
        <v>0</v>
      </c>
      <c r="P621">
        <v>0</v>
      </c>
      <c r="R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S621">
        <f>IF(Metadata!C621="",FALSE,TRUE)</f>
        <v>0</v>
      </c>
      <c r="T621">
        <f>IF(Metadata!D621="",FALSE,TRUE)</f>
        <v>0</v>
      </c>
      <c r="U621">
        <f>IF(Metadata!E621="",FALSE,TRUE)</f>
        <v>0</v>
      </c>
      <c r="V621">
        <f>AND(IF(Metadata!F621="",FALSE,TRUE),exact(Metadata!F621,"rat gut metagenome"))</f>
        <v>0</v>
      </c>
      <c r="W621">
        <f>AND(IF(Metadata!G621="",FALSE,TRUE),exact(Metadata!G621,"1436733"))</f>
        <v>0</v>
      </c>
    </row>
    <row r="622" spans="1:23">
      <c r="A622" s="4">
        <f>IF(B622=" "," ",HYPERLINK(CONCATENATE("#metadata!",ADDRESS(INDEX($M$2:$M$1001,MATCH(ROWS($K$2:K622),$K$2:$K$1001,0),0),1)),INDEX($P$2:$P$1001,MATCH(ROWS($K$2:K622),$K$2:$K$1001,0),0)))</f>
        <v>0</v>
      </c>
      <c r="B622" s="3">
        <f>IF(OR(INDEX($L$2:$L$1001,MATCH(ROWS($K$2:K622),$K$2:$K$1001,0),1)&gt;=100000,INDEX($R$1005:$W$1005,1,MATCH(COLUMNS($R$1006:R1006),$R$1006:$W$1006,0))&gt;=100000), " ",IF(INDEX($R$2:$W$1001,MATCH(ROWS($K$2:K622),$K$2:$K$1001,0),MATCH(COLUMNS($R$1006:R1006),$R$1006:$W$1006,0)), HYPERLINK("#",""), HYPERLINK(CONCATENATE("#Metadata!", ADDRESS(INDEX($M$2:$M$1001,MATCH(ROWS($K$2:K622),$K$2:$K$1001,0),0), INDEX($R$1004:$W$1004,1,MATCH(COLUMNS($R$1006:R1006),$R$1006:$W$1006,0)))),"Fix")))</f>
        <v>0</v>
      </c>
      <c r="C622" s="3">
        <f>IF(OR(INDEX($L$2:$L$1001,MATCH(ROWS($K$2:K622),$K$2:$K$1001,0),1)&gt;=100000,INDEX($R$1005:$W$1005,1,MATCH(COLUMNS($R$1006:S1006),$R$1006:$W$1006,0))&gt;=100000), " ",IF(INDEX($R$2:$W$1001,MATCH(ROWS($K$2:K622),$K$2:$K$1001,0),MATCH(COLUMNS($R$1006:S1006),$R$1006:$W$1006,0)), HYPERLINK("#",""), HYPERLINK(CONCATENATE("#Metadata!", ADDRESS(INDEX($M$2:$M$1001,MATCH(ROWS($K$2:K622),$K$2:$K$1001,0),0), INDEX($R$1004:$W$1004,1,MATCH(COLUMNS($R$1006:S1006),$R$1006:$W$1006,0)))),"Fix")))</f>
        <v>0</v>
      </c>
      <c r="D622" s="3">
        <f>IF(OR(INDEX($L$2:$L$1001,MATCH(ROWS($K$2:K622),$K$2:$K$1001,0),1)&gt;=100000,INDEX($R$1005:$W$1005,1,MATCH(COLUMNS($R$1006:T1006),$R$1006:$W$1006,0))&gt;=100000), " ",IF(INDEX($R$2:$W$1001,MATCH(ROWS($K$2:K622),$K$2:$K$1001,0),MATCH(COLUMNS($R$1006:T1006),$R$1006:$W$1006,0)), HYPERLINK("#",""), HYPERLINK(CONCATENATE("#Metadata!", ADDRESS(INDEX($M$2:$M$1001,MATCH(ROWS($K$2:K622),$K$2:$K$1001,0),0), INDEX($R$1004:$W$1004,1,MATCH(COLUMNS($R$1006:T1006),$R$1006:$W$1006,0)))),"Fix")))</f>
        <v>0</v>
      </c>
      <c r="E622" s="3">
        <f>IF(OR(INDEX($L$2:$L$1001,MATCH(ROWS($K$2:K622),$K$2:$K$1001,0),1)&gt;=100000,INDEX($R$1005:$W$1005,1,MATCH(COLUMNS($R$1006:U1006),$R$1006:$W$1006,0))&gt;=100000), " ",IF(INDEX($R$2:$W$1001,MATCH(ROWS($K$2:K622),$K$2:$K$1001,0),MATCH(COLUMNS($R$1006:U1006),$R$1006:$W$1006,0)), HYPERLINK("#",""), HYPERLINK(CONCATENATE("#Metadata!", ADDRESS(INDEX($M$2:$M$1001,MATCH(ROWS($K$2:K622),$K$2:$K$1001,0),0), INDEX($R$1004:$W$1004,1,MATCH(COLUMNS($R$1006:U1006),$R$1006:$W$1006,0)))),"Fix")))</f>
        <v>0</v>
      </c>
      <c r="F622" s="3">
        <f>IF(OR(INDEX($L$2:$L$1001,MATCH(ROWS($K$2:K622),$K$2:$K$1001,0),1)&gt;=100000,INDEX($R$1005:$W$1005,1,MATCH(COLUMNS($R$1006:V1006),$R$1006:$W$1006,0))&gt;=100000), " ",IF(INDEX($R$2:$W$1001,MATCH(ROWS($K$2:K622),$K$2:$K$1001,0),MATCH(COLUMNS($R$1006:V1006),$R$1006:$W$1006,0)), HYPERLINK("#",""), HYPERLINK(CONCATENATE("#Metadata!", ADDRESS(INDEX($M$2:$M$1001,MATCH(ROWS($K$2:K622),$K$2:$K$1001,0),0), INDEX($R$1004:$W$1004,1,MATCH(COLUMNS($R$1006:V1006),$R$1006:$W$1006,0)))),"Fix")))</f>
        <v>0</v>
      </c>
      <c r="G622" s="3">
        <f>IF(OR(INDEX($L$2:$L$1001,MATCH(ROWS($K$2:K622),$K$2:$K$1001,0),1)&gt;=100000,INDEX($R$1005:$W$1005,1,MATCH(COLUMNS($R$1006:W1006),$R$1006:$W$1006,0))&gt;=100000), " ",IF(INDEX($R$2:$W$1001,MATCH(ROWS($K$2:K622),$K$2:$K$1001,0),MATCH(COLUMNS($R$1006:W1006),$R$1006:$W$1006,0)), HYPERLINK("#",""), HYPERLINK(CONCATENATE("#Metadata!", ADDRESS(INDEX($M$2:$M$1001,MATCH(ROWS($K$2:K622),$K$2:$K$1001,0),0), INDEX($R$1004:$W$1004,1,MATCH(COLUMNS($R$1006:W1006),$R$1006:$W$1006,0)))),"Fix")))</f>
        <v>0</v>
      </c>
      <c r="K622">
        <v>0</v>
      </c>
      <c r="L622">
        <v>0</v>
      </c>
      <c r="M622">
        <v>0</v>
      </c>
      <c r="N622">
        <f>IF(O622,TRUE,AND(R622:W622))</f>
        <v>0</v>
      </c>
      <c r="O622">
        <f>COUNTBLANK(Metadata!B622:G622)=COLUMNS(Metadata!B622:G622)</f>
        <v>0</v>
      </c>
      <c r="P622">
        <v>0</v>
      </c>
      <c r="R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S622">
        <f>IF(Metadata!C622="",FALSE,TRUE)</f>
        <v>0</v>
      </c>
      <c r="T622">
        <f>IF(Metadata!D622="",FALSE,TRUE)</f>
        <v>0</v>
      </c>
      <c r="U622">
        <f>IF(Metadata!E622="",FALSE,TRUE)</f>
        <v>0</v>
      </c>
      <c r="V622">
        <f>AND(IF(Metadata!F622="",FALSE,TRUE),exact(Metadata!F622,"rat gut metagenome"))</f>
        <v>0</v>
      </c>
      <c r="W622">
        <f>AND(IF(Metadata!G622="",FALSE,TRUE),exact(Metadata!G622,"1436733"))</f>
        <v>0</v>
      </c>
    </row>
    <row r="623" spans="1:23">
      <c r="A623" s="4">
        <f>IF(B623=" "," ",HYPERLINK(CONCATENATE("#metadata!",ADDRESS(INDEX($M$2:$M$1001,MATCH(ROWS($K$2:K623),$K$2:$K$1001,0),0),1)),INDEX($P$2:$P$1001,MATCH(ROWS($K$2:K623),$K$2:$K$1001,0),0)))</f>
        <v>0</v>
      </c>
      <c r="B623" s="3">
        <f>IF(OR(INDEX($L$2:$L$1001,MATCH(ROWS($K$2:K623),$K$2:$K$1001,0),1)&gt;=100000,INDEX($R$1005:$W$1005,1,MATCH(COLUMNS($R$1006:R1006),$R$1006:$W$1006,0))&gt;=100000), " ",IF(INDEX($R$2:$W$1001,MATCH(ROWS($K$2:K623),$K$2:$K$1001,0),MATCH(COLUMNS($R$1006:R1006),$R$1006:$W$1006,0)), HYPERLINK("#",""), HYPERLINK(CONCATENATE("#Metadata!", ADDRESS(INDEX($M$2:$M$1001,MATCH(ROWS($K$2:K623),$K$2:$K$1001,0),0), INDEX($R$1004:$W$1004,1,MATCH(COLUMNS($R$1006:R1006),$R$1006:$W$1006,0)))),"Fix")))</f>
        <v>0</v>
      </c>
      <c r="C623" s="3">
        <f>IF(OR(INDEX($L$2:$L$1001,MATCH(ROWS($K$2:K623),$K$2:$K$1001,0),1)&gt;=100000,INDEX($R$1005:$W$1005,1,MATCH(COLUMNS($R$1006:S1006),$R$1006:$W$1006,0))&gt;=100000), " ",IF(INDEX($R$2:$W$1001,MATCH(ROWS($K$2:K623),$K$2:$K$1001,0),MATCH(COLUMNS($R$1006:S1006),$R$1006:$W$1006,0)), HYPERLINK("#",""), HYPERLINK(CONCATENATE("#Metadata!", ADDRESS(INDEX($M$2:$M$1001,MATCH(ROWS($K$2:K623),$K$2:$K$1001,0),0), INDEX($R$1004:$W$1004,1,MATCH(COLUMNS($R$1006:S1006),$R$1006:$W$1006,0)))),"Fix")))</f>
        <v>0</v>
      </c>
      <c r="D623" s="3">
        <f>IF(OR(INDEX($L$2:$L$1001,MATCH(ROWS($K$2:K623),$K$2:$K$1001,0),1)&gt;=100000,INDEX($R$1005:$W$1005,1,MATCH(COLUMNS($R$1006:T1006),$R$1006:$W$1006,0))&gt;=100000), " ",IF(INDEX($R$2:$W$1001,MATCH(ROWS($K$2:K623),$K$2:$K$1001,0),MATCH(COLUMNS($R$1006:T1006),$R$1006:$W$1006,0)), HYPERLINK("#",""), HYPERLINK(CONCATENATE("#Metadata!", ADDRESS(INDEX($M$2:$M$1001,MATCH(ROWS($K$2:K623),$K$2:$K$1001,0),0), INDEX($R$1004:$W$1004,1,MATCH(COLUMNS($R$1006:T1006),$R$1006:$W$1006,0)))),"Fix")))</f>
        <v>0</v>
      </c>
      <c r="E623" s="3">
        <f>IF(OR(INDEX($L$2:$L$1001,MATCH(ROWS($K$2:K623),$K$2:$K$1001,0),1)&gt;=100000,INDEX($R$1005:$W$1005,1,MATCH(COLUMNS($R$1006:U1006),$R$1006:$W$1006,0))&gt;=100000), " ",IF(INDEX($R$2:$W$1001,MATCH(ROWS($K$2:K623),$K$2:$K$1001,0),MATCH(COLUMNS($R$1006:U1006),$R$1006:$W$1006,0)), HYPERLINK("#",""), HYPERLINK(CONCATENATE("#Metadata!", ADDRESS(INDEX($M$2:$M$1001,MATCH(ROWS($K$2:K623),$K$2:$K$1001,0),0), INDEX($R$1004:$W$1004,1,MATCH(COLUMNS($R$1006:U1006),$R$1006:$W$1006,0)))),"Fix")))</f>
        <v>0</v>
      </c>
      <c r="F623" s="3">
        <f>IF(OR(INDEX($L$2:$L$1001,MATCH(ROWS($K$2:K623),$K$2:$K$1001,0),1)&gt;=100000,INDEX($R$1005:$W$1005,1,MATCH(COLUMNS($R$1006:V1006),$R$1006:$W$1006,0))&gt;=100000), " ",IF(INDEX($R$2:$W$1001,MATCH(ROWS($K$2:K623),$K$2:$K$1001,0),MATCH(COLUMNS($R$1006:V1006),$R$1006:$W$1006,0)), HYPERLINK("#",""), HYPERLINK(CONCATENATE("#Metadata!", ADDRESS(INDEX($M$2:$M$1001,MATCH(ROWS($K$2:K623),$K$2:$K$1001,0),0), INDEX($R$1004:$W$1004,1,MATCH(COLUMNS($R$1006:V1006),$R$1006:$W$1006,0)))),"Fix")))</f>
        <v>0</v>
      </c>
      <c r="G623" s="3">
        <f>IF(OR(INDEX($L$2:$L$1001,MATCH(ROWS($K$2:K623),$K$2:$K$1001,0),1)&gt;=100000,INDEX($R$1005:$W$1005,1,MATCH(COLUMNS($R$1006:W1006),$R$1006:$W$1006,0))&gt;=100000), " ",IF(INDEX($R$2:$W$1001,MATCH(ROWS($K$2:K623),$K$2:$K$1001,0),MATCH(COLUMNS($R$1006:W1006),$R$1006:$W$1006,0)), HYPERLINK("#",""), HYPERLINK(CONCATENATE("#Metadata!", ADDRESS(INDEX($M$2:$M$1001,MATCH(ROWS($K$2:K623),$K$2:$K$1001,0),0), INDEX($R$1004:$W$1004,1,MATCH(COLUMNS($R$1006:W1006),$R$1006:$W$1006,0)))),"Fix")))</f>
        <v>0</v>
      </c>
      <c r="K623">
        <v>0</v>
      </c>
      <c r="L623">
        <v>0</v>
      </c>
      <c r="M623">
        <v>0</v>
      </c>
      <c r="N623">
        <f>IF(O623,TRUE,AND(R623:W623))</f>
        <v>0</v>
      </c>
      <c r="O623">
        <f>COUNTBLANK(Metadata!B623:G623)=COLUMNS(Metadata!B623:G623)</f>
        <v>0</v>
      </c>
      <c r="P623">
        <v>0</v>
      </c>
      <c r="R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S623">
        <f>IF(Metadata!C623="",FALSE,TRUE)</f>
        <v>0</v>
      </c>
      <c r="T623">
        <f>IF(Metadata!D623="",FALSE,TRUE)</f>
        <v>0</v>
      </c>
      <c r="U623">
        <f>IF(Metadata!E623="",FALSE,TRUE)</f>
        <v>0</v>
      </c>
      <c r="V623">
        <f>AND(IF(Metadata!F623="",FALSE,TRUE),exact(Metadata!F623,"rat gut metagenome"))</f>
        <v>0</v>
      </c>
      <c r="W623">
        <f>AND(IF(Metadata!G623="",FALSE,TRUE),exact(Metadata!G623,"1436733"))</f>
        <v>0</v>
      </c>
    </row>
    <row r="624" spans="1:23">
      <c r="A624" s="4">
        <f>IF(B624=" "," ",HYPERLINK(CONCATENATE("#metadata!",ADDRESS(INDEX($M$2:$M$1001,MATCH(ROWS($K$2:K624),$K$2:$K$1001,0),0),1)),INDEX($P$2:$P$1001,MATCH(ROWS($K$2:K624),$K$2:$K$1001,0),0)))</f>
        <v>0</v>
      </c>
      <c r="B624" s="3">
        <f>IF(OR(INDEX($L$2:$L$1001,MATCH(ROWS($K$2:K624),$K$2:$K$1001,0),1)&gt;=100000,INDEX($R$1005:$W$1005,1,MATCH(COLUMNS($R$1006:R1006),$R$1006:$W$1006,0))&gt;=100000), " ",IF(INDEX($R$2:$W$1001,MATCH(ROWS($K$2:K624),$K$2:$K$1001,0),MATCH(COLUMNS($R$1006:R1006),$R$1006:$W$1006,0)), HYPERLINK("#",""), HYPERLINK(CONCATENATE("#Metadata!", ADDRESS(INDEX($M$2:$M$1001,MATCH(ROWS($K$2:K624),$K$2:$K$1001,0),0), INDEX($R$1004:$W$1004,1,MATCH(COLUMNS($R$1006:R1006),$R$1006:$W$1006,0)))),"Fix")))</f>
        <v>0</v>
      </c>
      <c r="C624" s="3">
        <f>IF(OR(INDEX($L$2:$L$1001,MATCH(ROWS($K$2:K624),$K$2:$K$1001,0),1)&gt;=100000,INDEX($R$1005:$W$1005,1,MATCH(COLUMNS($R$1006:S1006),$R$1006:$W$1006,0))&gt;=100000), " ",IF(INDEX($R$2:$W$1001,MATCH(ROWS($K$2:K624),$K$2:$K$1001,0),MATCH(COLUMNS($R$1006:S1006),$R$1006:$W$1006,0)), HYPERLINK("#",""), HYPERLINK(CONCATENATE("#Metadata!", ADDRESS(INDEX($M$2:$M$1001,MATCH(ROWS($K$2:K624),$K$2:$K$1001,0),0), INDEX($R$1004:$W$1004,1,MATCH(COLUMNS($R$1006:S1006),$R$1006:$W$1006,0)))),"Fix")))</f>
        <v>0</v>
      </c>
      <c r="D624" s="3">
        <f>IF(OR(INDEX($L$2:$L$1001,MATCH(ROWS($K$2:K624),$K$2:$K$1001,0),1)&gt;=100000,INDEX($R$1005:$W$1005,1,MATCH(COLUMNS($R$1006:T1006),$R$1006:$W$1006,0))&gt;=100000), " ",IF(INDEX($R$2:$W$1001,MATCH(ROWS($K$2:K624),$K$2:$K$1001,0),MATCH(COLUMNS($R$1006:T1006),$R$1006:$W$1006,0)), HYPERLINK("#",""), HYPERLINK(CONCATENATE("#Metadata!", ADDRESS(INDEX($M$2:$M$1001,MATCH(ROWS($K$2:K624),$K$2:$K$1001,0),0), INDEX($R$1004:$W$1004,1,MATCH(COLUMNS($R$1006:T1006),$R$1006:$W$1006,0)))),"Fix")))</f>
        <v>0</v>
      </c>
      <c r="E624" s="3">
        <f>IF(OR(INDEX($L$2:$L$1001,MATCH(ROWS($K$2:K624),$K$2:$K$1001,0),1)&gt;=100000,INDEX($R$1005:$W$1005,1,MATCH(COLUMNS($R$1006:U1006),$R$1006:$W$1006,0))&gt;=100000), " ",IF(INDEX($R$2:$W$1001,MATCH(ROWS($K$2:K624),$K$2:$K$1001,0),MATCH(COLUMNS($R$1006:U1006),$R$1006:$W$1006,0)), HYPERLINK("#",""), HYPERLINK(CONCATENATE("#Metadata!", ADDRESS(INDEX($M$2:$M$1001,MATCH(ROWS($K$2:K624),$K$2:$K$1001,0),0), INDEX($R$1004:$W$1004,1,MATCH(COLUMNS($R$1006:U1006),$R$1006:$W$1006,0)))),"Fix")))</f>
        <v>0</v>
      </c>
      <c r="F624" s="3">
        <f>IF(OR(INDEX($L$2:$L$1001,MATCH(ROWS($K$2:K624),$K$2:$K$1001,0),1)&gt;=100000,INDEX($R$1005:$W$1005,1,MATCH(COLUMNS($R$1006:V1006),$R$1006:$W$1006,0))&gt;=100000), " ",IF(INDEX($R$2:$W$1001,MATCH(ROWS($K$2:K624),$K$2:$K$1001,0),MATCH(COLUMNS($R$1006:V1006),$R$1006:$W$1006,0)), HYPERLINK("#",""), HYPERLINK(CONCATENATE("#Metadata!", ADDRESS(INDEX($M$2:$M$1001,MATCH(ROWS($K$2:K624),$K$2:$K$1001,0),0), INDEX($R$1004:$W$1004,1,MATCH(COLUMNS($R$1006:V1006),$R$1006:$W$1006,0)))),"Fix")))</f>
        <v>0</v>
      </c>
      <c r="G624" s="3">
        <f>IF(OR(INDEX($L$2:$L$1001,MATCH(ROWS($K$2:K624),$K$2:$K$1001,0),1)&gt;=100000,INDEX($R$1005:$W$1005,1,MATCH(COLUMNS($R$1006:W1006),$R$1006:$W$1006,0))&gt;=100000), " ",IF(INDEX($R$2:$W$1001,MATCH(ROWS($K$2:K624),$K$2:$K$1001,0),MATCH(COLUMNS($R$1006:W1006),$R$1006:$W$1006,0)), HYPERLINK("#",""), HYPERLINK(CONCATENATE("#Metadata!", ADDRESS(INDEX($M$2:$M$1001,MATCH(ROWS($K$2:K624),$K$2:$K$1001,0),0), INDEX($R$1004:$W$1004,1,MATCH(COLUMNS($R$1006:W1006),$R$1006:$W$1006,0)))),"Fix")))</f>
        <v>0</v>
      </c>
      <c r="K624">
        <v>0</v>
      </c>
      <c r="L624">
        <v>0</v>
      </c>
      <c r="M624">
        <v>0</v>
      </c>
      <c r="N624">
        <f>IF(O624,TRUE,AND(R624:W624))</f>
        <v>0</v>
      </c>
      <c r="O624">
        <f>COUNTBLANK(Metadata!B624:G624)=COLUMNS(Metadata!B624:G624)</f>
        <v>0</v>
      </c>
      <c r="P624">
        <v>0</v>
      </c>
      <c r="R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S624">
        <f>IF(Metadata!C624="",FALSE,TRUE)</f>
        <v>0</v>
      </c>
      <c r="T624">
        <f>IF(Metadata!D624="",FALSE,TRUE)</f>
        <v>0</v>
      </c>
      <c r="U624">
        <f>IF(Metadata!E624="",FALSE,TRUE)</f>
        <v>0</v>
      </c>
      <c r="V624">
        <f>AND(IF(Metadata!F624="",FALSE,TRUE),exact(Metadata!F624,"rat gut metagenome"))</f>
        <v>0</v>
      </c>
      <c r="W624">
        <f>AND(IF(Metadata!G624="",FALSE,TRUE),exact(Metadata!G624,"1436733"))</f>
        <v>0</v>
      </c>
    </row>
    <row r="625" spans="1:23">
      <c r="A625" s="4">
        <f>IF(B625=" "," ",HYPERLINK(CONCATENATE("#metadata!",ADDRESS(INDEX($M$2:$M$1001,MATCH(ROWS($K$2:K625),$K$2:$K$1001,0),0),1)),INDEX($P$2:$P$1001,MATCH(ROWS($K$2:K625),$K$2:$K$1001,0),0)))</f>
        <v>0</v>
      </c>
      <c r="B625" s="3">
        <f>IF(OR(INDEX($L$2:$L$1001,MATCH(ROWS($K$2:K625),$K$2:$K$1001,0),1)&gt;=100000,INDEX($R$1005:$W$1005,1,MATCH(COLUMNS($R$1006:R1006),$R$1006:$W$1006,0))&gt;=100000), " ",IF(INDEX($R$2:$W$1001,MATCH(ROWS($K$2:K625),$K$2:$K$1001,0),MATCH(COLUMNS($R$1006:R1006),$R$1006:$W$1006,0)), HYPERLINK("#",""), HYPERLINK(CONCATENATE("#Metadata!", ADDRESS(INDEX($M$2:$M$1001,MATCH(ROWS($K$2:K625),$K$2:$K$1001,0),0), INDEX($R$1004:$W$1004,1,MATCH(COLUMNS($R$1006:R1006),$R$1006:$W$1006,0)))),"Fix")))</f>
        <v>0</v>
      </c>
      <c r="C625" s="3">
        <f>IF(OR(INDEX($L$2:$L$1001,MATCH(ROWS($K$2:K625),$K$2:$K$1001,0),1)&gt;=100000,INDEX($R$1005:$W$1005,1,MATCH(COLUMNS($R$1006:S1006),$R$1006:$W$1006,0))&gt;=100000), " ",IF(INDEX($R$2:$W$1001,MATCH(ROWS($K$2:K625),$K$2:$K$1001,0),MATCH(COLUMNS($R$1006:S1006),$R$1006:$W$1006,0)), HYPERLINK("#",""), HYPERLINK(CONCATENATE("#Metadata!", ADDRESS(INDEX($M$2:$M$1001,MATCH(ROWS($K$2:K625),$K$2:$K$1001,0),0), INDEX($R$1004:$W$1004,1,MATCH(COLUMNS($R$1006:S1006),$R$1006:$W$1006,0)))),"Fix")))</f>
        <v>0</v>
      </c>
      <c r="D625" s="3">
        <f>IF(OR(INDEX($L$2:$L$1001,MATCH(ROWS($K$2:K625),$K$2:$K$1001,0),1)&gt;=100000,INDEX($R$1005:$W$1005,1,MATCH(COLUMNS($R$1006:T1006),$R$1006:$W$1006,0))&gt;=100000), " ",IF(INDEX($R$2:$W$1001,MATCH(ROWS($K$2:K625),$K$2:$K$1001,0),MATCH(COLUMNS($R$1006:T1006),$R$1006:$W$1006,0)), HYPERLINK("#",""), HYPERLINK(CONCATENATE("#Metadata!", ADDRESS(INDEX($M$2:$M$1001,MATCH(ROWS($K$2:K625),$K$2:$K$1001,0),0), INDEX($R$1004:$W$1004,1,MATCH(COLUMNS($R$1006:T1006),$R$1006:$W$1006,0)))),"Fix")))</f>
        <v>0</v>
      </c>
      <c r="E625" s="3">
        <f>IF(OR(INDEX($L$2:$L$1001,MATCH(ROWS($K$2:K625),$K$2:$K$1001,0),1)&gt;=100000,INDEX($R$1005:$W$1005,1,MATCH(COLUMNS($R$1006:U1006),$R$1006:$W$1006,0))&gt;=100000), " ",IF(INDEX($R$2:$W$1001,MATCH(ROWS($K$2:K625),$K$2:$K$1001,0),MATCH(COLUMNS($R$1006:U1006),$R$1006:$W$1006,0)), HYPERLINK("#",""), HYPERLINK(CONCATENATE("#Metadata!", ADDRESS(INDEX($M$2:$M$1001,MATCH(ROWS($K$2:K625),$K$2:$K$1001,0),0), INDEX($R$1004:$W$1004,1,MATCH(COLUMNS($R$1006:U1006),$R$1006:$W$1006,0)))),"Fix")))</f>
        <v>0</v>
      </c>
      <c r="F625" s="3">
        <f>IF(OR(INDEX($L$2:$L$1001,MATCH(ROWS($K$2:K625),$K$2:$K$1001,0),1)&gt;=100000,INDEX($R$1005:$W$1005,1,MATCH(COLUMNS($R$1006:V1006),$R$1006:$W$1006,0))&gt;=100000), " ",IF(INDEX($R$2:$W$1001,MATCH(ROWS($K$2:K625),$K$2:$K$1001,0),MATCH(COLUMNS($R$1006:V1006),$R$1006:$W$1006,0)), HYPERLINK("#",""), HYPERLINK(CONCATENATE("#Metadata!", ADDRESS(INDEX($M$2:$M$1001,MATCH(ROWS($K$2:K625),$K$2:$K$1001,0),0), INDEX($R$1004:$W$1004,1,MATCH(COLUMNS($R$1006:V1006),$R$1006:$W$1006,0)))),"Fix")))</f>
        <v>0</v>
      </c>
      <c r="G625" s="3">
        <f>IF(OR(INDEX($L$2:$L$1001,MATCH(ROWS($K$2:K625),$K$2:$K$1001,0),1)&gt;=100000,INDEX($R$1005:$W$1005,1,MATCH(COLUMNS($R$1006:W1006),$R$1006:$W$1006,0))&gt;=100000), " ",IF(INDEX($R$2:$W$1001,MATCH(ROWS($K$2:K625),$K$2:$K$1001,0),MATCH(COLUMNS($R$1006:W1006),$R$1006:$W$1006,0)), HYPERLINK("#",""), HYPERLINK(CONCATENATE("#Metadata!", ADDRESS(INDEX($M$2:$M$1001,MATCH(ROWS($K$2:K625),$K$2:$K$1001,0),0), INDEX($R$1004:$W$1004,1,MATCH(COLUMNS($R$1006:W1006),$R$1006:$W$1006,0)))),"Fix")))</f>
        <v>0</v>
      </c>
      <c r="K625">
        <v>0</v>
      </c>
      <c r="L625">
        <v>0</v>
      </c>
      <c r="M625">
        <v>0</v>
      </c>
      <c r="N625">
        <f>IF(O625,TRUE,AND(R625:W625))</f>
        <v>0</v>
      </c>
      <c r="O625">
        <f>COUNTBLANK(Metadata!B625:G625)=COLUMNS(Metadata!B625:G625)</f>
        <v>0</v>
      </c>
      <c r="P625">
        <v>0</v>
      </c>
      <c r="R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S625">
        <f>IF(Metadata!C625="",FALSE,TRUE)</f>
        <v>0</v>
      </c>
      <c r="T625">
        <f>IF(Metadata!D625="",FALSE,TRUE)</f>
        <v>0</v>
      </c>
      <c r="U625">
        <f>IF(Metadata!E625="",FALSE,TRUE)</f>
        <v>0</v>
      </c>
      <c r="V625">
        <f>AND(IF(Metadata!F625="",FALSE,TRUE),exact(Metadata!F625,"rat gut metagenome"))</f>
        <v>0</v>
      </c>
      <c r="W625">
        <f>AND(IF(Metadata!G625="",FALSE,TRUE),exact(Metadata!G625,"1436733"))</f>
        <v>0</v>
      </c>
    </row>
    <row r="626" spans="1:23">
      <c r="A626" s="4">
        <f>IF(B626=" "," ",HYPERLINK(CONCATENATE("#metadata!",ADDRESS(INDEX($M$2:$M$1001,MATCH(ROWS($K$2:K626),$K$2:$K$1001,0),0),1)),INDEX($P$2:$P$1001,MATCH(ROWS($K$2:K626),$K$2:$K$1001,0),0)))</f>
        <v>0</v>
      </c>
      <c r="B626" s="3">
        <f>IF(OR(INDEX($L$2:$L$1001,MATCH(ROWS($K$2:K626),$K$2:$K$1001,0),1)&gt;=100000,INDEX($R$1005:$W$1005,1,MATCH(COLUMNS($R$1006:R1006),$R$1006:$W$1006,0))&gt;=100000), " ",IF(INDEX($R$2:$W$1001,MATCH(ROWS($K$2:K626),$K$2:$K$1001,0),MATCH(COLUMNS($R$1006:R1006),$R$1006:$W$1006,0)), HYPERLINK("#",""), HYPERLINK(CONCATENATE("#Metadata!", ADDRESS(INDEX($M$2:$M$1001,MATCH(ROWS($K$2:K626),$K$2:$K$1001,0),0), INDEX($R$1004:$W$1004,1,MATCH(COLUMNS($R$1006:R1006),$R$1006:$W$1006,0)))),"Fix")))</f>
        <v>0</v>
      </c>
      <c r="C626" s="3">
        <f>IF(OR(INDEX($L$2:$L$1001,MATCH(ROWS($K$2:K626),$K$2:$K$1001,0),1)&gt;=100000,INDEX($R$1005:$W$1005,1,MATCH(COLUMNS($R$1006:S1006),$R$1006:$W$1006,0))&gt;=100000), " ",IF(INDEX($R$2:$W$1001,MATCH(ROWS($K$2:K626),$K$2:$K$1001,0),MATCH(COLUMNS($R$1006:S1006),$R$1006:$W$1006,0)), HYPERLINK("#",""), HYPERLINK(CONCATENATE("#Metadata!", ADDRESS(INDEX($M$2:$M$1001,MATCH(ROWS($K$2:K626),$K$2:$K$1001,0),0), INDEX($R$1004:$W$1004,1,MATCH(COLUMNS($R$1006:S1006),$R$1006:$W$1006,0)))),"Fix")))</f>
        <v>0</v>
      </c>
      <c r="D626" s="3">
        <f>IF(OR(INDEX($L$2:$L$1001,MATCH(ROWS($K$2:K626),$K$2:$K$1001,0),1)&gt;=100000,INDEX($R$1005:$W$1005,1,MATCH(COLUMNS($R$1006:T1006),$R$1006:$W$1006,0))&gt;=100000), " ",IF(INDEX($R$2:$W$1001,MATCH(ROWS($K$2:K626),$K$2:$K$1001,0),MATCH(COLUMNS($R$1006:T1006),$R$1006:$W$1006,0)), HYPERLINK("#",""), HYPERLINK(CONCATENATE("#Metadata!", ADDRESS(INDEX($M$2:$M$1001,MATCH(ROWS($K$2:K626),$K$2:$K$1001,0),0), INDEX($R$1004:$W$1004,1,MATCH(COLUMNS($R$1006:T1006),$R$1006:$W$1006,0)))),"Fix")))</f>
        <v>0</v>
      </c>
      <c r="E626" s="3">
        <f>IF(OR(INDEX($L$2:$L$1001,MATCH(ROWS($K$2:K626),$K$2:$K$1001,0),1)&gt;=100000,INDEX($R$1005:$W$1005,1,MATCH(COLUMNS($R$1006:U1006),$R$1006:$W$1006,0))&gt;=100000), " ",IF(INDEX($R$2:$W$1001,MATCH(ROWS($K$2:K626),$K$2:$K$1001,0),MATCH(COLUMNS($R$1006:U1006),$R$1006:$W$1006,0)), HYPERLINK("#",""), HYPERLINK(CONCATENATE("#Metadata!", ADDRESS(INDEX($M$2:$M$1001,MATCH(ROWS($K$2:K626),$K$2:$K$1001,0),0), INDEX($R$1004:$W$1004,1,MATCH(COLUMNS($R$1006:U1006),$R$1006:$W$1006,0)))),"Fix")))</f>
        <v>0</v>
      </c>
      <c r="F626" s="3">
        <f>IF(OR(INDEX($L$2:$L$1001,MATCH(ROWS($K$2:K626),$K$2:$K$1001,0),1)&gt;=100000,INDEX($R$1005:$W$1005,1,MATCH(COLUMNS($R$1006:V1006),$R$1006:$W$1006,0))&gt;=100000), " ",IF(INDEX($R$2:$W$1001,MATCH(ROWS($K$2:K626),$K$2:$K$1001,0),MATCH(COLUMNS($R$1006:V1006),$R$1006:$W$1006,0)), HYPERLINK("#",""), HYPERLINK(CONCATENATE("#Metadata!", ADDRESS(INDEX($M$2:$M$1001,MATCH(ROWS($K$2:K626),$K$2:$K$1001,0),0), INDEX($R$1004:$W$1004,1,MATCH(COLUMNS($R$1006:V1006),$R$1006:$W$1006,0)))),"Fix")))</f>
        <v>0</v>
      </c>
      <c r="G626" s="3">
        <f>IF(OR(INDEX($L$2:$L$1001,MATCH(ROWS($K$2:K626),$K$2:$K$1001,0),1)&gt;=100000,INDEX($R$1005:$W$1005,1,MATCH(COLUMNS($R$1006:W1006),$R$1006:$W$1006,0))&gt;=100000), " ",IF(INDEX($R$2:$W$1001,MATCH(ROWS($K$2:K626),$K$2:$K$1001,0),MATCH(COLUMNS($R$1006:W1006),$R$1006:$W$1006,0)), HYPERLINK("#",""), HYPERLINK(CONCATENATE("#Metadata!", ADDRESS(INDEX($M$2:$M$1001,MATCH(ROWS($K$2:K626),$K$2:$K$1001,0),0), INDEX($R$1004:$W$1004,1,MATCH(COLUMNS($R$1006:W1006),$R$1006:$W$1006,0)))),"Fix")))</f>
        <v>0</v>
      </c>
      <c r="K626">
        <v>0</v>
      </c>
      <c r="L626">
        <v>0</v>
      </c>
      <c r="M626">
        <v>0</v>
      </c>
      <c r="N626">
        <f>IF(O626,TRUE,AND(R626:W626))</f>
        <v>0</v>
      </c>
      <c r="O626">
        <f>COUNTBLANK(Metadata!B626:G626)=COLUMNS(Metadata!B626:G626)</f>
        <v>0</v>
      </c>
      <c r="P626">
        <v>0</v>
      </c>
      <c r="R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S626">
        <f>IF(Metadata!C626="",FALSE,TRUE)</f>
        <v>0</v>
      </c>
      <c r="T626">
        <f>IF(Metadata!D626="",FALSE,TRUE)</f>
        <v>0</v>
      </c>
      <c r="U626">
        <f>IF(Metadata!E626="",FALSE,TRUE)</f>
        <v>0</v>
      </c>
      <c r="V626">
        <f>AND(IF(Metadata!F626="",FALSE,TRUE),exact(Metadata!F626,"rat gut metagenome"))</f>
        <v>0</v>
      </c>
      <c r="W626">
        <f>AND(IF(Metadata!G626="",FALSE,TRUE),exact(Metadata!G626,"1436733"))</f>
        <v>0</v>
      </c>
    </row>
    <row r="627" spans="1:23">
      <c r="A627" s="4">
        <f>IF(B627=" "," ",HYPERLINK(CONCATENATE("#metadata!",ADDRESS(INDEX($M$2:$M$1001,MATCH(ROWS($K$2:K627),$K$2:$K$1001,0),0),1)),INDEX($P$2:$P$1001,MATCH(ROWS($K$2:K627),$K$2:$K$1001,0),0)))</f>
        <v>0</v>
      </c>
      <c r="B627" s="3">
        <f>IF(OR(INDEX($L$2:$L$1001,MATCH(ROWS($K$2:K627),$K$2:$K$1001,0),1)&gt;=100000,INDEX($R$1005:$W$1005,1,MATCH(COLUMNS($R$1006:R1006),$R$1006:$W$1006,0))&gt;=100000), " ",IF(INDEX($R$2:$W$1001,MATCH(ROWS($K$2:K627),$K$2:$K$1001,0),MATCH(COLUMNS($R$1006:R1006),$R$1006:$W$1006,0)), HYPERLINK("#",""), HYPERLINK(CONCATENATE("#Metadata!", ADDRESS(INDEX($M$2:$M$1001,MATCH(ROWS($K$2:K627),$K$2:$K$1001,0),0), INDEX($R$1004:$W$1004,1,MATCH(COLUMNS($R$1006:R1006),$R$1006:$W$1006,0)))),"Fix")))</f>
        <v>0</v>
      </c>
      <c r="C627" s="3">
        <f>IF(OR(INDEX($L$2:$L$1001,MATCH(ROWS($K$2:K627),$K$2:$K$1001,0),1)&gt;=100000,INDEX($R$1005:$W$1005,1,MATCH(COLUMNS($R$1006:S1006),$R$1006:$W$1006,0))&gt;=100000), " ",IF(INDEX($R$2:$W$1001,MATCH(ROWS($K$2:K627),$K$2:$K$1001,0),MATCH(COLUMNS($R$1006:S1006),$R$1006:$W$1006,0)), HYPERLINK("#",""), HYPERLINK(CONCATENATE("#Metadata!", ADDRESS(INDEX($M$2:$M$1001,MATCH(ROWS($K$2:K627),$K$2:$K$1001,0),0), INDEX($R$1004:$W$1004,1,MATCH(COLUMNS($R$1006:S1006),$R$1006:$W$1006,0)))),"Fix")))</f>
        <v>0</v>
      </c>
      <c r="D627" s="3">
        <f>IF(OR(INDEX($L$2:$L$1001,MATCH(ROWS($K$2:K627),$K$2:$K$1001,0),1)&gt;=100000,INDEX($R$1005:$W$1005,1,MATCH(COLUMNS($R$1006:T1006),$R$1006:$W$1006,0))&gt;=100000), " ",IF(INDEX($R$2:$W$1001,MATCH(ROWS($K$2:K627),$K$2:$K$1001,0),MATCH(COLUMNS($R$1006:T1006),$R$1006:$W$1006,0)), HYPERLINK("#",""), HYPERLINK(CONCATENATE("#Metadata!", ADDRESS(INDEX($M$2:$M$1001,MATCH(ROWS($K$2:K627),$K$2:$K$1001,0),0), INDEX($R$1004:$W$1004,1,MATCH(COLUMNS($R$1006:T1006),$R$1006:$W$1006,0)))),"Fix")))</f>
        <v>0</v>
      </c>
      <c r="E627" s="3">
        <f>IF(OR(INDEX($L$2:$L$1001,MATCH(ROWS($K$2:K627),$K$2:$K$1001,0),1)&gt;=100000,INDEX($R$1005:$W$1005,1,MATCH(COLUMNS($R$1006:U1006),$R$1006:$W$1006,0))&gt;=100000), " ",IF(INDEX($R$2:$W$1001,MATCH(ROWS($K$2:K627),$K$2:$K$1001,0),MATCH(COLUMNS($R$1006:U1006),$R$1006:$W$1006,0)), HYPERLINK("#",""), HYPERLINK(CONCATENATE("#Metadata!", ADDRESS(INDEX($M$2:$M$1001,MATCH(ROWS($K$2:K627),$K$2:$K$1001,0),0), INDEX($R$1004:$W$1004,1,MATCH(COLUMNS($R$1006:U1006),$R$1006:$W$1006,0)))),"Fix")))</f>
        <v>0</v>
      </c>
      <c r="F627" s="3">
        <f>IF(OR(INDEX($L$2:$L$1001,MATCH(ROWS($K$2:K627),$K$2:$K$1001,0),1)&gt;=100000,INDEX($R$1005:$W$1005,1,MATCH(COLUMNS($R$1006:V1006),$R$1006:$W$1006,0))&gt;=100000), " ",IF(INDEX($R$2:$W$1001,MATCH(ROWS($K$2:K627),$K$2:$K$1001,0),MATCH(COLUMNS($R$1006:V1006),$R$1006:$W$1006,0)), HYPERLINK("#",""), HYPERLINK(CONCATENATE("#Metadata!", ADDRESS(INDEX($M$2:$M$1001,MATCH(ROWS($K$2:K627),$K$2:$K$1001,0),0), INDEX($R$1004:$W$1004,1,MATCH(COLUMNS($R$1006:V1006),$R$1006:$W$1006,0)))),"Fix")))</f>
        <v>0</v>
      </c>
      <c r="G627" s="3">
        <f>IF(OR(INDEX($L$2:$L$1001,MATCH(ROWS($K$2:K627),$K$2:$K$1001,0),1)&gt;=100000,INDEX($R$1005:$W$1005,1,MATCH(COLUMNS($R$1006:W1006),$R$1006:$W$1006,0))&gt;=100000), " ",IF(INDEX($R$2:$W$1001,MATCH(ROWS($K$2:K627),$K$2:$K$1001,0),MATCH(COLUMNS($R$1006:W1006),$R$1006:$W$1006,0)), HYPERLINK("#",""), HYPERLINK(CONCATENATE("#Metadata!", ADDRESS(INDEX($M$2:$M$1001,MATCH(ROWS($K$2:K627),$K$2:$K$1001,0),0), INDEX($R$1004:$W$1004,1,MATCH(COLUMNS($R$1006:W1006),$R$1006:$W$1006,0)))),"Fix")))</f>
        <v>0</v>
      </c>
      <c r="K627">
        <v>0</v>
      </c>
      <c r="L627">
        <v>0</v>
      </c>
      <c r="M627">
        <v>0</v>
      </c>
      <c r="N627">
        <f>IF(O627,TRUE,AND(R627:W627))</f>
        <v>0</v>
      </c>
      <c r="O627">
        <f>COUNTBLANK(Metadata!B627:G627)=COLUMNS(Metadata!B627:G627)</f>
        <v>0</v>
      </c>
      <c r="P627">
        <v>0</v>
      </c>
      <c r="R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S627">
        <f>IF(Metadata!C627="",FALSE,TRUE)</f>
        <v>0</v>
      </c>
      <c r="T627">
        <f>IF(Metadata!D627="",FALSE,TRUE)</f>
        <v>0</v>
      </c>
      <c r="U627">
        <f>IF(Metadata!E627="",FALSE,TRUE)</f>
        <v>0</v>
      </c>
      <c r="V627">
        <f>AND(IF(Metadata!F627="",FALSE,TRUE),exact(Metadata!F627,"rat gut metagenome"))</f>
        <v>0</v>
      </c>
      <c r="W627">
        <f>AND(IF(Metadata!G627="",FALSE,TRUE),exact(Metadata!G627,"1436733"))</f>
        <v>0</v>
      </c>
    </row>
    <row r="628" spans="1:23">
      <c r="A628" s="4">
        <f>IF(B628=" "," ",HYPERLINK(CONCATENATE("#metadata!",ADDRESS(INDEX($M$2:$M$1001,MATCH(ROWS($K$2:K628),$K$2:$K$1001,0),0),1)),INDEX($P$2:$P$1001,MATCH(ROWS($K$2:K628),$K$2:$K$1001,0),0)))</f>
        <v>0</v>
      </c>
      <c r="B628" s="3">
        <f>IF(OR(INDEX($L$2:$L$1001,MATCH(ROWS($K$2:K628),$K$2:$K$1001,0),1)&gt;=100000,INDEX($R$1005:$W$1005,1,MATCH(COLUMNS($R$1006:R1006),$R$1006:$W$1006,0))&gt;=100000), " ",IF(INDEX($R$2:$W$1001,MATCH(ROWS($K$2:K628),$K$2:$K$1001,0),MATCH(COLUMNS($R$1006:R1006),$R$1006:$W$1006,0)), HYPERLINK("#",""), HYPERLINK(CONCATENATE("#Metadata!", ADDRESS(INDEX($M$2:$M$1001,MATCH(ROWS($K$2:K628),$K$2:$K$1001,0),0), INDEX($R$1004:$W$1004,1,MATCH(COLUMNS($R$1006:R1006),$R$1006:$W$1006,0)))),"Fix")))</f>
        <v>0</v>
      </c>
      <c r="C628" s="3">
        <f>IF(OR(INDEX($L$2:$L$1001,MATCH(ROWS($K$2:K628),$K$2:$K$1001,0),1)&gt;=100000,INDEX($R$1005:$W$1005,1,MATCH(COLUMNS($R$1006:S1006),$R$1006:$W$1006,0))&gt;=100000), " ",IF(INDEX($R$2:$W$1001,MATCH(ROWS($K$2:K628),$K$2:$K$1001,0),MATCH(COLUMNS($R$1006:S1006),$R$1006:$W$1006,0)), HYPERLINK("#",""), HYPERLINK(CONCATENATE("#Metadata!", ADDRESS(INDEX($M$2:$M$1001,MATCH(ROWS($K$2:K628),$K$2:$K$1001,0),0), INDEX($R$1004:$W$1004,1,MATCH(COLUMNS($R$1006:S1006),$R$1006:$W$1006,0)))),"Fix")))</f>
        <v>0</v>
      </c>
      <c r="D628" s="3">
        <f>IF(OR(INDEX($L$2:$L$1001,MATCH(ROWS($K$2:K628),$K$2:$K$1001,0),1)&gt;=100000,INDEX($R$1005:$W$1005,1,MATCH(COLUMNS($R$1006:T1006),$R$1006:$W$1006,0))&gt;=100000), " ",IF(INDEX($R$2:$W$1001,MATCH(ROWS($K$2:K628),$K$2:$K$1001,0),MATCH(COLUMNS($R$1006:T1006),$R$1006:$W$1006,0)), HYPERLINK("#",""), HYPERLINK(CONCATENATE("#Metadata!", ADDRESS(INDEX($M$2:$M$1001,MATCH(ROWS($K$2:K628),$K$2:$K$1001,0),0), INDEX($R$1004:$W$1004,1,MATCH(COLUMNS($R$1006:T1006),$R$1006:$W$1006,0)))),"Fix")))</f>
        <v>0</v>
      </c>
      <c r="E628" s="3">
        <f>IF(OR(INDEX($L$2:$L$1001,MATCH(ROWS($K$2:K628),$K$2:$K$1001,0),1)&gt;=100000,INDEX($R$1005:$W$1005,1,MATCH(COLUMNS($R$1006:U1006),$R$1006:$W$1006,0))&gt;=100000), " ",IF(INDEX($R$2:$W$1001,MATCH(ROWS($K$2:K628),$K$2:$K$1001,0),MATCH(COLUMNS($R$1006:U1006),$R$1006:$W$1006,0)), HYPERLINK("#",""), HYPERLINK(CONCATENATE("#Metadata!", ADDRESS(INDEX($M$2:$M$1001,MATCH(ROWS($K$2:K628),$K$2:$K$1001,0),0), INDEX($R$1004:$W$1004,1,MATCH(COLUMNS($R$1006:U1006),$R$1006:$W$1006,0)))),"Fix")))</f>
        <v>0</v>
      </c>
      <c r="F628" s="3">
        <f>IF(OR(INDEX($L$2:$L$1001,MATCH(ROWS($K$2:K628),$K$2:$K$1001,0),1)&gt;=100000,INDEX($R$1005:$W$1005,1,MATCH(COLUMNS($R$1006:V1006),$R$1006:$W$1006,0))&gt;=100000), " ",IF(INDEX($R$2:$W$1001,MATCH(ROWS($K$2:K628),$K$2:$K$1001,0),MATCH(COLUMNS($R$1006:V1006),$R$1006:$W$1006,0)), HYPERLINK("#",""), HYPERLINK(CONCATENATE("#Metadata!", ADDRESS(INDEX($M$2:$M$1001,MATCH(ROWS($K$2:K628),$K$2:$K$1001,0),0), INDEX($R$1004:$W$1004,1,MATCH(COLUMNS($R$1006:V1006),$R$1006:$W$1006,0)))),"Fix")))</f>
        <v>0</v>
      </c>
      <c r="G628" s="3">
        <f>IF(OR(INDEX($L$2:$L$1001,MATCH(ROWS($K$2:K628),$K$2:$K$1001,0),1)&gt;=100000,INDEX($R$1005:$W$1005,1,MATCH(COLUMNS($R$1006:W1006),$R$1006:$W$1006,0))&gt;=100000), " ",IF(INDEX($R$2:$W$1001,MATCH(ROWS($K$2:K628),$K$2:$K$1001,0),MATCH(COLUMNS($R$1006:W1006),$R$1006:$W$1006,0)), HYPERLINK("#",""), HYPERLINK(CONCATENATE("#Metadata!", ADDRESS(INDEX($M$2:$M$1001,MATCH(ROWS($K$2:K628),$K$2:$K$1001,0),0), INDEX($R$1004:$W$1004,1,MATCH(COLUMNS($R$1006:W1006),$R$1006:$W$1006,0)))),"Fix")))</f>
        <v>0</v>
      </c>
      <c r="K628">
        <v>0</v>
      </c>
      <c r="L628">
        <v>0</v>
      </c>
      <c r="M628">
        <v>0</v>
      </c>
      <c r="N628">
        <f>IF(O628,TRUE,AND(R628:W628))</f>
        <v>0</v>
      </c>
      <c r="O628">
        <f>COUNTBLANK(Metadata!B628:G628)=COLUMNS(Metadata!B628:G628)</f>
        <v>0</v>
      </c>
      <c r="P628">
        <v>0</v>
      </c>
      <c r="R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S628">
        <f>IF(Metadata!C628="",FALSE,TRUE)</f>
        <v>0</v>
      </c>
      <c r="T628">
        <f>IF(Metadata!D628="",FALSE,TRUE)</f>
        <v>0</v>
      </c>
      <c r="U628">
        <f>IF(Metadata!E628="",FALSE,TRUE)</f>
        <v>0</v>
      </c>
      <c r="V628">
        <f>AND(IF(Metadata!F628="",FALSE,TRUE),exact(Metadata!F628,"rat gut metagenome"))</f>
        <v>0</v>
      </c>
      <c r="W628">
        <f>AND(IF(Metadata!G628="",FALSE,TRUE),exact(Metadata!G628,"1436733"))</f>
        <v>0</v>
      </c>
    </row>
    <row r="629" spans="1:23">
      <c r="A629" s="4">
        <f>IF(B629=" "," ",HYPERLINK(CONCATENATE("#metadata!",ADDRESS(INDEX($M$2:$M$1001,MATCH(ROWS($K$2:K629),$K$2:$K$1001,0),0),1)),INDEX($P$2:$P$1001,MATCH(ROWS($K$2:K629),$K$2:$K$1001,0),0)))</f>
        <v>0</v>
      </c>
      <c r="B629" s="3">
        <f>IF(OR(INDEX($L$2:$L$1001,MATCH(ROWS($K$2:K629),$K$2:$K$1001,0),1)&gt;=100000,INDEX($R$1005:$W$1005,1,MATCH(COLUMNS($R$1006:R1006),$R$1006:$W$1006,0))&gt;=100000), " ",IF(INDEX($R$2:$W$1001,MATCH(ROWS($K$2:K629),$K$2:$K$1001,0),MATCH(COLUMNS($R$1006:R1006),$R$1006:$W$1006,0)), HYPERLINK("#",""), HYPERLINK(CONCATENATE("#Metadata!", ADDRESS(INDEX($M$2:$M$1001,MATCH(ROWS($K$2:K629),$K$2:$K$1001,0),0), INDEX($R$1004:$W$1004,1,MATCH(COLUMNS($R$1006:R1006),$R$1006:$W$1006,0)))),"Fix")))</f>
        <v>0</v>
      </c>
      <c r="C629" s="3">
        <f>IF(OR(INDEX($L$2:$L$1001,MATCH(ROWS($K$2:K629),$K$2:$K$1001,0),1)&gt;=100000,INDEX($R$1005:$W$1005,1,MATCH(COLUMNS($R$1006:S1006),$R$1006:$W$1006,0))&gt;=100000), " ",IF(INDEX($R$2:$W$1001,MATCH(ROWS($K$2:K629),$K$2:$K$1001,0),MATCH(COLUMNS($R$1006:S1006),$R$1006:$W$1006,0)), HYPERLINK("#",""), HYPERLINK(CONCATENATE("#Metadata!", ADDRESS(INDEX($M$2:$M$1001,MATCH(ROWS($K$2:K629),$K$2:$K$1001,0),0), INDEX($R$1004:$W$1004,1,MATCH(COLUMNS($R$1006:S1006),$R$1006:$W$1006,0)))),"Fix")))</f>
        <v>0</v>
      </c>
      <c r="D629" s="3">
        <f>IF(OR(INDEX($L$2:$L$1001,MATCH(ROWS($K$2:K629),$K$2:$K$1001,0),1)&gt;=100000,INDEX($R$1005:$W$1005,1,MATCH(COLUMNS($R$1006:T1006),$R$1006:$W$1006,0))&gt;=100000), " ",IF(INDEX($R$2:$W$1001,MATCH(ROWS($K$2:K629),$K$2:$K$1001,0),MATCH(COLUMNS($R$1006:T1006),$R$1006:$W$1006,0)), HYPERLINK("#",""), HYPERLINK(CONCATENATE("#Metadata!", ADDRESS(INDEX($M$2:$M$1001,MATCH(ROWS($K$2:K629),$K$2:$K$1001,0),0), INDEX($R$1004:$W$1004,1,MATCH(COLUMNS($R$1006:T1006),$R$1006:$W$1006,0)))),"Fix")))</f>
        <v>0</v>
      </c>
      <c r="E629" s="3">
        <f>IF(OR(INDEX($L$2:$L$1001,MATCH(ROWS($K$2:K629),$K$2:$K$1001,0),1)&gt;=100000,INDEX($R$1005:$W$1005,1,MATCH(COLUMNS($R$1006:U1006),$R$1006:$W$1006,0))&gt;=100000), " ",IF(INDEX($R$2:$W$1001,MATCH(ROWS($K$2:K629),$K$2:$K$1001,0),MATCH(COLUMNS($R$1006:U1006),$R$1006:$W$1006,0)), HYPERLINK("#",""), HYPERLINK(CONCATENATE("#Metadata!", ADDRESS(INDEX($M$2:$M$1001,MATCH(ROWS($K$2:K629),$K$2:$K$1001,0),0), INDEX($R$1004:$W$1004,1,MATCH(COLUMNS($R$1006:U1006),$R$1006:$W$1006,0)))),"Fix")))</f>
        <v>0</v>
      </c>
      <c r="F629" s="3">
        <f>IF(OR(INDEX($L$2:$L$1001,MATCH(ROWS($K$2:K629),$K$2:$K$1001,0),1)&gt;=100000,INDEX($R$1005:$W$1005,1,MATCH(COLUMNS($R$1006:V1006),$R$1006:$W$1006,0))&gt;=100000), " ",IF(INDEX($R$2:$W$1001,MATCH(ROWS($K$2:K629),$K$2:$K$1001,0),MATCH(COLUMNS($R$1006:V1006),$R$1006:$W$1006,0)), HYPERLINK("#",""), HYPERLINK(CONCATENATE("#Metadata!", ADDRESS(INDEX($M$2:$M$1001,MATCH(ROWS($K$2:K629),$K$2:$K$1001,0),0), INDEX($R$1004:$W$1004,1,MATCH(COLUMNS($R$1006:V1006),$R$1006:$W$1006,0)))),"Fix")))</f>
        <v>0</v>
      </c>
      <c r="G629" s="3">
        <f>IF(OR(INDEX($L$2:$L$1001,MATCH(ROWS($K$2:K629),$K$2:$K$1001,0),1)&gt;=100000,INDEX($R$1005:$W$1005,1,MATCH(COLUMNS($R$1006:W1006),$R$1006:$W$1006,0))&gt;=100000), " ",IF(INDEX($R$2:$W$1001,MATCH(ROWS($K$2:K629),$K$2:$K$1001,0),MATCH(COLUMNS($R$1006:W1006),$R$1006:$W$1006,0)), HYPERLINK("#",""), HYPERLINK(CONCATENATE("#Metadata!", ADDRESS(INDEX($M$2:$M$1001,MATCH(ROWS($K$2:K629),$K$2:$K$1001,0),0), INDEX($R$1004:$W$1004,1,MATCH(COLUMNS($R$1006:W1006),$R$1006:$W$1006,0)))),"Fix")))</f>
        <v>0</v>
      </c>
      <c r="K629">
        <v>0</v>
      </c>
      <c r="L629">
        <v>0</v>
      </c>
      <c r="M629">
        <v>0</v>
      </c>
      <c r="N629">
        <f>IF(O629,TRUE,AND(R629:W629))</f>
        <v>0</v>
      </c>
      <c r="O629">
        <f>COUNTBLANK(Metadata!B629:G629)=COLUMNS(Metadata!B629:G629)</f>
        <v>0</v>
      </c>
      <c r="P629">
        <v>0</v>
      </c>
      <c r="R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S629">
        <f>IF(Metadata!C629="",FALSE,TRUE)</f>
        <v>0</v>
      </c>
      <c r="T629">
        <f>IF(Metadata!D629="",FALSE,TRUE)</f>
        <v>0</v>
      </c>
      <c r="U629">
        <f>IF(Metadata!E629="",FALSE,TRUE)</f>
        <v>0</v>
      </c>
      <c r="V629">
        <f>AND(IF(Metadata!F629="",FALSE,TRUE),exact(Metadata!F629,"rat gut metagenome"))</f>
        <v>0</v>
      </c>
      <c r="W629">
        <f>AND(IF(Metadata!G629="",FALSE,TRUE),exact(Metadata!G629,"1436733"))</f>
        <v>0</v>
      </c>
    </row>
    <row r="630" spans="1:23">
      <c r="A630" s="4">
        <f>IF(B630=" "," ",HYPERLINK(CONCATENATE("#metadata!",ADDRESS(INDEX($M$2:$M$1001,MATCH(ROWS($K$2:K630),$K$2:$K$1001,0),0),1)),INDEX($P$2:$P$1001,MATCH(ROWS($K$2:K630),$K$2:$K$1001,0),0)))</f>
        <v>0</v>
      </c>
      <c r="B630" s="3">
        <f>IF(OR(INDEX($L$2:$L$1001,MATCH(ROWS($K$2:K630),$K$2:$K$1001,0),1)&gt;=100000,INDEX($R$1005:$W$1005,1,MATCH(COLUMNS($R$1006:R1006),$R$1006:$W$1006,0))&gt;=100000), " ",IF(INDEX($R$2:$W$1001,MATCH(ROWS($K$2:K630),$K$2:$K$1001,0),MATCH(COLUMNS($R$1006:R1006),$R$1006:$W$1006,0)), HYPERLINK("#",""), HYPERLINK(CONCATENATE("#Metadata!", ADDRESS(INDEX($M$2:$M$1001,MATCH(ROWS($K$2:K630),$K$2:$K$1001,0),0), INDEX($R$1004:$W$1004,1,MATCH(COLUMNS($R$1006:R1006),$R$1006:$W$1006,0)))),"Fix")))</f>
        <v>0</v>
      </c>
      <c r="C630" s="3">
        <f>IF(OR(INDEX($L$2:$L$1001,MATCH(ROWS($K$2:K630),$K$2:$K$1001,0),1)&gt;=100000,INDEX($R$1005:$W$1005,1,MATCH(COLUMNS($R$1006:S1006),$R$1006:$W$1006,0))&gt;=100000), " ",IF(INDEX($R$2:$W$1001,MATCH(ROWS($K$2:K630),$K$2:$K$1001,0),MATCH(COLUMNS($R$1006:S1006),$R$1006:$W$1006,0)), HYPERLINK("#",""), HYPERLINK(CONCATENATE("#Metadata!", ADDRESS(INDEX($M$2:$M$1001,MATCH(ROWS($K$2:K630),$K$2:$K$1001,0),0), INDEX($R$1004:$W$1004,1,MATCH(COLUMNS($R$1006:S1006),$R$1006:$W$1006,0)))),"Fix")))</f>
        <v>0</v>
      </c>
      <c r="D630" s="3">
        <f>IF(OR(INDEX($L$2:$L$1001,MATCH(ROWS($K$2:K630),$K$2:$K$1001,0),1)&gt;=100000,INDEX($R$1005:$W$1005,1,MATCH(COLUMNS($R$1006:T1006),$R$1006:$W$1006,0))&gt;=100000), " ",IF(INDEX($R$2:$W$1001,MATCH(ROWS($K$2:K630),$K$2:$K$1001,0),MATCH(COLUMNS($R$1006:T1006),$R$1006:$W$1006,0)), HYPERLINK("#",""), HYPERLINK(CONCATENATE("#Metadata!", ADDRESS(INDEX($M$2:$M$1001,MATCH(ROWS($K$2:K630),$K$2:$K$1001,0),0), INDEX($R$1004:$W$1004,1,MATCH(COLUMNS($R$1006:T1006),$R$1006:$W$1006,0)))),"Fix")))</f>
        <v>0</v>
      </c>
      <c r="E630" s="3">
        <f>IF(OR(INDEX($L$2:$L$1001,MATCH(ROWS($K$2:K630),$K$2:$K$1001,0),1)&gt;=100000,INDEX($R$1005:$W$1005,1,MATCH(COLUMNS($R$1006:U1006),$R$1006:$W$1006,0))&gt;=100000), " ",IF(INDEX($R$2:$W$1001,MATCH(ROWS($K$2:K630),$K$2:$K$1001,0),MATCH(COLUMNS($R$1006:U1006),$R$1006:$W$1006,0)), HYPERLINK("#",""), HYPERLINK(CONCATENATE("#Metadata!", ADDRESS(INDEX($M$2:$M$1001,MATCH(ROWS($K$2:K630),$K$2:$K$1001,0),0), INDEX($R$1004:$W$1004,1,MATCH(COLUMNS($R$1006:U1006),$R$1006:$W$1006,0)))),"Fix")))</f>
        <v>0</v>
      </c>
      <c r="F630" s="3">
        <f>IF(OR(INDEX($L$2:$L$1001,MATCH(ROWS($K$2:K630),$K$2:$K$1001,0),1)&gt;=100000,INDEX($R$1005:$W$1005,1,MATCH(COLUMNS($R$1006:V1006),$R$1006:$W$1006,0))&gt;=100000), " ",IF(INDEX($R$2:$W$1001,MATCH(ROWS($K$2:K630),$K$2:$K$1001,0),MATCH(COLUMNS($R$1006:V1006),$R$1006:$W$1006,0)), HYPERLINK("#",""), HYPERLINK(CONCATENATE("#Metadata!", ADDRESS(INDEX($M$2:$M$1001,MATCH(ROWS($K$2:K630),$K$2:$K$1001,0),0), INDEX($R$1004:$W$1004,1,MATCH(COLUMNS($R$1006:V1006),$R$1006:$W$1006,0)))),"Fix")))</f>
        <v>0</v>
      </c>
      <c r="G630" s="3">
        <f>IF(OR(INDEX($L$2:$L$1001,MATCH(ROWS($K$2:K630),$K$2:$K$1001,0),1)&gt;=100000,INDEX($R$1005:$W$1005,1,MATCH(COLUMNS($R$1006:W1006),$R$1006:$W$1006,0))&gt;=100000), " ",IF(INDEX($R$2:$W$1001,MATCH(ROWS($K$2:K630),$K$2:$K$1001,0),MATCH(COLUMNS($R$1006:W1006),$R$1006:$W$1006,0)), HYPERLINK("#",""), HYPERLINK(CONCATENATE("#Metadata!", ADDRESS(INDEX($M$2:$M$1001,MATCH(ROWS($K$2:K630),$K$2:$K$1001,0),0), INDEX($R$1004:$W$1004,1,MATCH(COLUMNS($R$1006:W1006),$R$1006:$W$1006,0)))),"Fix")))</f>
        <v>0</v>
      </c>
      <c r="K630">
        <v>0</v>
      </c>
      <c r="L630">
        <v>0</v>
      </c>
      <c r="M630">
        <v>0</v>
      </c>
      <c r="N630">
        <f>IF(O630,TRUE,AND(R630:W630))</f>
        <v>0</v>
      </c>
      <c r="O630">
        <f>COUNTBLANK(Metadata!B630:G630)=COLUMNS(Metadata!B630:G630)</f>
        <v>0</v>
      </c>
      <c r="P630">
        <v>0</v>
      </c>
      <c r="R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S630">
        <f>IF(Metadata!C630="",FALSE,TRUE)</f>
        <v>0</v>
      </c>
      <c r="T630">
        <f>IF(Metadata!D630="",FALSE,TRUE)</f>
        <v>0</v>
      </c>
      <c r="U630">
        <f>IF(Metadata!E630="",FALSE,TRUE)</f>
        <v>0</v>
      </c>
      <c r="V630">
        <f>AND(IF(Metadata!F630="",FALSE,TRUE),exact(Metadata!F630,"rat gut metagenome"))</f>
        <v>0</v>
      </c>
      <c r="W630">
        <f>AND(IF(Metadata!G630="",FALSE,TRUE),exact(Metadata!G630,"1436733"))</f>
        <v>0</v>
      </c>
    </row>
    <row r="631" spans="1:23">
      <c r="A631" s="4">
        <f>IF(B631=" "," ",HYPERLINK(CONCATENATE("#metadata!",ADDRESS(INDEX($M$2:$M$1001,MATCH(ROWS($K$2:K631),$K$2:$K$1001,0),0),1)),INDEX($P$2:$P$1001,MATCH(ROWS($K$2:K631),$K$2:$K$1001,0),0)))</f>
        <v>0</v>
      </c>
      <c r="B631" s="3">
        <f>IF(OR(INDEX($L$2:$L$1001,MATCH(ROWS($K$2:K631),$K$2:$K$1001,0),1)&gt;=100000,INDEX($R$1005:$W$1005,1,MATCH(COLUMNS($R$1006:R1006),$R$1006:$W$1006,0))&gt;=100000), " ",IF(INDEX($R$2:$W$1001,MATCH(ROWS($K$2:K631),$K$2:$K$1001,0),MATCH(COLUMNS($R$1006:R1006),$R$1006:$W$1006,0)), HYPERLINK("#",""), HYPERLINK(CONCATENATE("#Metadata!", ADDRESS(INDEX($M$2:$M$1001,MATCH(ROWS($K$2:K631),$K$2:$K$1001,0),0), INDEX($R$1004:$W$1004,1,MATCH(COLUMNS($R$1006:R1006),$R$1006:$W$1006,0)))),"Fix")))</f>
        <v>0</v>
      </c>
      <c r="C631" s="3">
        <f>IF(OR(INDEX($L$2:$L$1001,MATCH(ROWS($K$2:K631),$K$2:$K$1001,0),1)&gt;=100000,INDEX($R$1005:$W$1005,1,MATCH(COLUMNS($R$1006:S1006),$R$1006:$W$1006,0))&gt;=100000), " ",IF(INDEX($R$2:$W$1001,MATCH(ROWS($K$2:K631),$K$2:$K$1001,0),MATCH(COLUMNS($R$1006:S1006),$R$1006:$W$1006,0)), HYPERLINK("#",""), HYPERLINK(CONCATENATE("#Metadata!", ADDRESS(INDEX($M$2:$M$1001,MATCH(ROWS($K$2:K631),$K$2:$K$1001,0),0), INDEX($R$1004:$W$1004,1,MATCH(COLUMNS($R$1006:S1006),$R$1006:$W$1006,0)))),"Fix")))</f>
        <v>0</v>
      </c>
      <c r="D631" s="3">
        <f>IF(OR(INDEX($L$2:$L$1001,MATCH(ROWS($K$2:K631),$K$2:$K$1001,0),1)&gt;=100000,INDEX($R$1005:$W$1005,1,MATCH(COLUMNS($R$1006:T1006),$R$1006:$W$1006,0))&gt;=100000), " ",IF(INDEX($R$2:$W$1001,MATCH(ROWS($K$2:K631),$K$2:$K$1001,0),MATCH(COLUMNS($R$1006:T1006),$R$1006:$W$1006,0)), HYPERLINK("#",""), HYPERLINK(CONCATENATE("#Metadata!", ADDRESS(INDEX($M$2:$M$1001,MATCH(ROWS($K$2:K631),$K$2:$K$1001,0),0), INDEX($R$1004:$W$1004,1,MATCH(COLUMNS($R$1006:T1006),$R$1006:$W$1006,0)))),"Fix")))</f>
        <v>0</v>
      </c>
      <c r="E631" s="3">
        <f>IF(OR(INDEX($L$2:$L$1001,MATCH(ROWS($K$2:K631),$K$2:$K$1001,0),1)&gt;=100000,INDEX($R$1005:$W$1005,1,MATCH(COLUMNS($R$1006:U1006),$R$1006:$W$1006,0))&gt;=100000), " ",IF(INDEX($R$2:$W$1001,MATCH(ROWS($K$2:K631),$K$2:$K$1001,0),MATCH(COLUMNS($R$1006:U1006),$R$1006:$W$1006,0)), HYPERLINK("#",""), HYPERLINK(CONCATENATE("#Metadata!", ADDRESS(INDEX($M$2:$M$1001,MATCH(ROWS($K$2:K631),$K$2:$K$1001,0),0), INDEX($R$1004:$W$1004,1,MATCH(COLUMNS($R$1006:U1006),$R$1006:$W$1006,0)))),"Fix")))</f>
        <v>0</v>
      </c>
      <c r="F631" s="3">
        <f>IF(OR(INDEX($L$2:$L$1001,MATCH(ROWS($K$2:K631),$K$2:$K$1001,0),1)&gt;=100000,INDEX($R$1005:$W$1005,1,MATCH(COLUMNS($R$1006:V1006),$R$1006:$W$1006,0))&gt;=100000), " ",IF(INDEX($R$2:$W$1001,MATCH(ROWS($K$2:K631),$K$2:$K$1001,0),MATCH(COLUMNS($R$1006:V1006),$R$1006:$W$1006,0)), HYPERLINK("#",""), HYPERLINK(CONCATENATE("#Metadata!", ADDRESS(INDEX($M$2:$M$1001,MATCH(ROWS($K$2:K631),$K$2:$K$1001,0),0), INDEX($R$1004:$W$1004,1,MATCH(COLUMNS($R$1006:V1006),$R$1006:$W$1006,0)))),"Fix")))</f>
        <v>0</v>
      </c>
      <c r="G631" s="3">
        <f>IF(OR(INDEX($L$2:$L$1001,MATCH(ROWS($K$2:K631),$K$2:$K$1001,0),1)&gt;=100000,INDEX($R$1005:$W$1005,1,MATCH(COLUMNS($R$1006:W1006),$R$1006:$W$1006,0))&gt;=100000), " ",IF(INDEX($R$2:$W$1001,MATCH(ROWS($K$2:K631),$K$2:$K$1001,0),MATCH(COLUMNS($R$1006:W1006),$R$1006:$W$1006,0)), HYPERLINK("#",""), HYPERLINK(CONCATENATE("#Metadata!", ADDRESS(INDEX($M$2:$M$1001,MATCH(ROWS($K$2:K631),$K$2:$K$1001,0),0), INDEX($R$1004:$W$1004,1,MATCH(COLUMNS($R$1006:W1006),$R$1006:$W$1006,0)))),"Fix")))</f>
        <v>0</v>
      </c>
      <c r="K631">
        <v>0</v>
      </c>
      <c r="L631">
        <v>0</v>
      </c>
      <c r="M631">
        <v>0</v>
      </c>
      <c r="N631">
        <f>IF(O631,TRUE,AND(R631:W631))</f>
        <v>0</v>
      </c>
      <c r="O631">
        <f>COUNTBLANK(Metadata!B631:G631)=COLUMNS(Metadata!B631:G631)</f>
        <v>0</v>
      </c>
      <c r="P631">
        <v>0</v>
      </c>
      <c r="R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S631">
        <f>IF(Metadata!C631="",FALSE,TRUE)</f>
        <v>0</v>
      </c>
      <c r="T631">
        <f>IF(Metadata!D631="",FALSE,TRUE)</f>
        <v>0</v>
      </c>
      <c r="U631">
        <f>IF(Metadata!E631="",FALSE,TRUE)</f>
        <v>0</v>
      </c>
      <c r="V631">
        <f>AND(IF(Metadata!F631="",FALSE,TRUE),exact(Metadata!F631,"rat gut metagenome"))</f>
        <v>0</v>
      </c>
      <c r="W631">
        <f>AND(IF(Metadata!G631="",FALSE,TRUE),exact(Metadata!G631,"1436733"))</f>
        <v>0</v>
      </c>
    </row>
    <row r="632" spans="1:23">
      <c r="A632" s="4">
        <f>IF(B632=" "," ",HYPERLINK(CONCATENATE("#metadata!",ADDRESS(INDEX($M$2:$M$1001,MATCH(ROWS($K$2:K632),$K$2:$K$1001,0),0),1)),INDEX($P$2:$P$1001,MATCH(ROWS($K$2:K632),$K$2:$K$1001,0),0)))</f>
        <v>0</v>
      </c>
      <c r="B632" s="3">
        <f>IF(OR(INDEX($L$2:$L$1001,MATCH(ROWS($K$2:K632),$K$2:$K$1001,0),1)&gt;=100000,INDEX($R$1005:$W$1005,1,MATCH(COLUMNS($R$1006:R1006),$R$1006:$W$1006,0))&gt;=100000), " ",IF(INDEX($R$2:$W$1001,MATCH(ROWS($K$2:K632),$K$2:$K$1001,0),MATCH(COLUMNS($R$1006:R1006),$R$1006:$W$1006,0)), HYPERLINK("#",""), HYPERLINK(CONCATENATE("#Metadata!", ADDRESS(INDEX($M$2:$M$1001,MATCH(ROWS($K$2:K632),$K$2:$K$1001,0),0), INDEX($R$1004:$W$1004,1,MATCH(COLUMNS($R$1006:R1006),$R$1006:$W$1006,0)))),"Fix")))</f>
        <v>0</v>
      </c>
      <c r="C632" s="3">
        <f>IF(OR(INDEX($L$2:$L$1001,MATCH(ROWS($K$2:K632),$K$2:$K$1001,0),1)&gt;=100000,INDEX($R$1005:$W$1005,1,MATCH(COLUMNS($R$1006:S1006),$R$1006:$W$1006,0))&gt;=100000), " ",IF(INDEX($R$2:$W$1001,MATCH(ROWS($K$2:K632),$K$2:$K$1001,0),MATCH(COLUMNS($R$1006:S1006),$R$1006:$W$1006,0)), HYPERLINK("#",""), HYPERLINK(CONCATENATE("#Metadata!", ADDRESS(INDEX($M$2:$M$1001,MATCH(ROWS($K$2:K632),$K$2:$K$1001,0),0), INDEX($R$1004:$W$1004,1,MATCH(COLUMNS($R$1006:S1006),$R$1006:$W$1006,0)))),"Fix")))</f>
        <v>0</v>
      </c>
      <c r="D632" s="3">
        <f>IF(OR(INDEX($L$2:$L$1001,MATCH(ROWS($K$2:K632),$K$2:$K$1001,0),1)&gt;=100000,INDEX($R$1005:$W$1005,1,MATCH(COLUMNS($R$1006:T1006),$R$1006:$W$1006,0))&gt;=100000), " ",IF(INDEX($R$2:$W$1001,MATCH(ROWS($K$2:K632),$K$2:$K$1001,0),MATCH(COLUMNS($R$1006:T1006),$R$1006:$W$1006,0)), HYPERLINK("#",""), HYPERLINK(CONCATENATE("#Metadata!", ADDRESS(INDEX($M$2:$M$1001,MATCH(ROWS($K$2:K632),$K$2:$K$1001,0),0), INDEX($R$1004:$W$1004,1,MATCH(COLUMNS($R$1006:T1006),$R$1006:$W$1006,0)))),"Fix")))</f>
        <v>0</v>
      </c>
      <c r="E632" s="3">
        <f>IF(OR(INDEX($L$2:$L$1001,MATCH(ROWS($K$2:K632),$K$2:$K$1001,0),1)&gt;=100000,INDEX($R$1005:$W$1005,1,MATCH(COLUMNS($R$1006:U1006),$R$1006:$W$1006,0))&gt;=100000), " ",IF(INDEX($R$2:$W$1001,MATCH(ROWS($K$2:K632),$K$2:$K$1001,0),MATCH(COLUMNS($R$1006:U1006),$R$1006:$W$1006,0)), HYPERLINK("#",""), HYPERLINK(CONCATENATE("#Metadata!", ADDRESS(INDEX($M$2:$M$1001,MATCH(ROWS($K$2:K632),$K$2:$K$1001,0),0), INDEX($R$1004:$W$1004,1,MATCH(COLUMNS($R$1006:U1006),$R$1006:$W$1006,0)))),"Fix")))</f>
        <v>0</v>
      </c>
      <c r="F632" s="3">
        <f>IF(OR(INDEX($L$2:$L$1001,MATCH(ROWS($K$2:K632),$K$2:$K$1001,0),1)&gt;=100000,INDEX($R$1005:$W$1005,1,MATCH(COLUMNS($R$1006:V1006),$R$1006:$W$1006,0))&gt;=100000), " ",IF(INDEX($R$2:$W$1001,MATCH(ROWS($K$2:K632),$K$2:$K$1001,0),MATCH(COLUMNS($R$1006:V1006),$R$1006:$W$1006,0)), HYPERLINK("#",""), HYPERLINK(CONCATENATE("#Metadata!", ADDRESS(INDEX($M$2:$M$1001,MATCH(ROWS($K$2:K632),$K$2:$K$1001,0),0), INDEX($R$1004:$W$1004,1,MATCH(COLUMNS($R$1006:V1006),$R$1006:$W$1006,0)))),"Fix")))</f>
        <v>0</v>
      </c>
      <c r="G632" s="3">
        <f>IF(OR(INDEX($L$2:$L$1001,MATCH(ROWS($K$2:K632),$K$2:$K$1001,0),1)&gt;=100000,INDEX($R$1005:$W$1005,1,MATCH(COLUMNS($R$1006:W1006),$R$1006:$W$1006,0))&gt;=100000), " ",IF(INDEX($R$2:$W$1001,MATCH(ROWS($K$2:K632),$K$2:$K$1001,0),MATCH(COLUMNS($R$1006:W1006),$R$1006:$W$1006,0)), HYPERLINK("#",""), HYPERLINK(CONCATENATE("#Metadata!", ADDRESS(INDEX($M$2:$M$1001,MATCH(ROWS($K$2:K632),$K$2:$K$1001,0),0), INDEX($R$1004:$W$1004,1,MATCH(COLUMNS($R$1006:W1006),$R$1006:$W$1006,0)))),"Fix")))</f>
        <v>0</v>
      </c>
      <c r="K632">
        <v>0</v>
      </c>
      <c r="L632">
        <v>0</v>
      </c>
      <c r="M632">
        <v>0</v>
      </c>
      <c r="N632">
        <f>IF(O632,TRUE,AND(R632:W632))</f>
        <v>0</v>
      </c>
      <c r="O632">
        <f>COUNTBLANK(Metadata!B632:G632)=COLUMNS(Metadata!B632:G632)</f>
        <v>0</v>
      </c>
      <c r="P632">
        <v>0</v>
      </c>
      <c r="R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S632">
        <f>IF(Metadata!C632="",FALSE,TRUE)</f>
        <v>0</v>
      </c>
      <c r="T632">
        <f>IF(Metadata!D632="",FALSE,TRUE)</f>
        <v>0</v>
      </c>
      <c r="U632">
        <f>IF(Metadata!E632="",FALSE,TRUE)</f>
        <v>0</v>
      </c>
      <c r="V632">
        <f>AND(IF(Metadata!F632="",FALSE,TRUE),exact(Metadata!F632,"rat gut metagenome"))</f>
        <v>0</v>
      </c>
      <c r="W632">
        <f>AND(IF(Metadata!G632="",FALSE,TRUE),exact(Metadata!G632,"1436733"))</f>
        <v>0</v>
      </c>
    </row>
    <row r="633" spans="1:23">
      <c r="A633" s="4">
        <f>IF(B633=" "," ",HYPERLINK(CONCATENATE("#metadata!",ADDRESS(INDEX($M$2:$M$1001,MATCH(ROWS($K$2:K633),$K$2:$K$1001,0),0),1)),INDEX($P$2:$P$1001,MATCH(ROWS($K$2:K633),$K$2:$K$1001,0),0)))</f>
        <v>0</v>
      </c>
      <c r="B633" s="3">
        <f>IF(OR(INDEX($L$2:$L$1001,MATCH(ROWS($K$2:K633),$K$2:$K$1001,0),1)&gt;=100000,INDEX($R$1005:$W$1005,1,MATCH(COLUMNS($R$1006:R1006),$R$1006:$W$1006,0))&gt;=100000), " ",IF(INDEX($R$2:$W$1001,MATCH(ROWS($K$2:K633),$K$2:$K$1001,0),MATCH(COLUMNS($R$1006:R1006),$R$1006:$W$1006,0)), HYPERLINK("#",""), HYPERLINK(CONCATENATE("#Metadata!", ADDRESS(INDEX($M$2:$M$1001,MATCH(ROWS($K$2:K633),$K$2:$K$1001,0),0), INDEX($R$1004:$W$1004,1,MATCH(COLUMNS($R$1006:R1006),$R$1006:$W$1006,0)))),"Fix")))</f>
        <v>0</v>
      </c>
      <c r="C633" s="3">
        <f>IF(OR(INDEX($L$2:$L$1001,MATCH(ROWS($K$2:K633),$K$2:$K$1001,0),1)&gt;=100000,INDEX($R$1005:$W$1005,1,MATCH(COLUMNS($R$1006:S1006),$R$1006:$W$1006,0))&gt;=100000), " ",IF(INDEX($R$2:$W$1001,MATCH(ROWS($K$2:K633),$K$2:$K$1001,0),MATCH(COLUMNS($R$1006:S1006),$R$1006:$W$1006,0)), HYPERLINK("#",""), HYPERLINK(CONCATENATE("#Metadata!", ADDRESS(INDEX($M$2:$M$1001,MATCH(ROWS($K$2:K633),$K$2:$K$1001,0),0), INDEX($R$1004:$W$1004,1,MATCH(COLUMNS($R$1006:S1006),$R$1006:$W$1006,0)))),"Fix")))</f>
        <v>0</v>
      </c>
      <c r="D633" s="3">
        <f>IF(OR(INDEX($L$2:$L$1001,MATCH(ROWS($K$2:K633),$K$2:$K$1001,0),1)&gt;=100000,INDEX($R$1005:$W$1005,1,MATCH(COLUMNS($R$1006:T1006),$R$1006:$W$1006,0))&gt;=100000), " ",IF(INDEX($R$2:$W$1001,MATCH(ROWS($K$2:K633),$K$2:$K$1001,0),MATCH(COLUMNS($R$1006:T1006),$R$1006:$W$1006,0)), HYPERLINK("#",""), HYPERLINK(CONCATENATE("#Metadata!", ADDRESS(INDEX($M$2:$M$1001,MATCH(ROWS($K$2:K633),$K$2:$K$1001,0),0), INDEX($R$1004:$W$1004,1,MATCH(COLUMNS($R$1006:T1006),$R$1006:$W$1006,0)))),"Fix")))</f>
        <v>0</v>
      </c>
      <c r="E633" s="3">
        <f>IF(OR(INDEX($L$2:$L$1001,MATCH(ROWS($K$2:K633),$K$2:$K$1001,0),1)&gt;=100000,INDEX($R$1005:$W$1005,1,MATCH(COLUMNS($R$1006:U1006),$R$1006:$W$1006,0))&gt;=100000), " ",IF(INDEX($R$2:$W$1001,MATCH(ROWS($K$2:K633),$K$2:$K$1001,0),MATCH(COLUMNS($R$1006:U1006),$R$1006:$W$1006,0)), HYPERLINK("#",""), HYPERLINK(CONCATENATE("#Metadata!", ADDRESS(INDEX($M$2:$M$1001,MATCH(ROWS($K$2:K633),$K$2:$K$1001,0),0), INDEX($R$1004:$W$1004,1,MATCH(COLUMNS($R$1006:U1006),$R$1006:$W$1006,0)))),"Fix")))</f>
        <v>0</v>
      </c>
      <c r="F633" s="3">
        <f>IF(OR(INDEX($L$2:$L$1001,MATCH(ROWS($K$2:K633),$K$2:$K$1001,0),1)&gt;=100000,INDEX($R$1005:$W$1005,1,MATCH(COLUMNS($R$1006:V1006),$R$1006:$W$1006,0))&gt;=100000), " ",IF(INDEX($R$2:$W$1001,MATCH(ROWS($K$2:K633),$K$2:$K$1001,0),MATCH(COLUMNS($R$1006:V1006),$R$1006:$W$1006,0)), HYPERLINK("#",""), HYPERLINK(CONCATENATE("#Metadata!", ADDRESS(INDEX($M$2:$M$1001,MATCH(ROWS($K$2:K633),$K$2:$K$1001,0),0), INDEX($R$1004:$W$1004,1,MATCH(COLUMNS($R$1006:V1006),$R$1006:$W$1006,0)))),"Fix")))</f>
        <v>0</v>
      </c>
      <c r="G633" s="3">
        <f>IF(OR(INDEX($L$2:$L$1001,MATCH(ROWS($K$2:K633),$K$2:$K$1001,0),1)&gt;=100000,INDEX($R$1005:$W$1005,1,MATCH(COLUMNS($R$1006:W1006),$R$1006:$W$1006,0))&gt;=100000), " ",IF(INDEX($R$2:$W$1001,MATCH(ROWS($K$2:K633),$K$2:$K$1001,0),MATCH(COLUMNS($R$1006:W1006),$R$1006:$W$1006,0)), HYPERLINK("#",""), HYPERLINK(CONCATENATE("#Metadata!", ADDRESS(INDEX($M$2:$M$1001,MATCH(ROWS($K$2:K633),$K$2:$K$1001,0),0), INDEX($R$1004:$W$1004,1,MATCH(COLUMNS($R$1006:W1006),$R$1006:$W$1006,0)))),"Fix")))</f>
        <v>0</v>
      </c>
      <c r="K633">
        <v>0</v>
      </c>
      <c r="L633">
        <v>0</v>
      </c>
      <c r="M633">
        <v>0</v>
      </c>
      <c r="N633">
        <f>IF(O633,TRUE,AND(R633:W633))</f>
        <v>0</v>
      </c>
      <c r="O633">
        <f>COUNTBLANK(Metadata!B633:G633)=COLUMNS(Metadata!B633:G633)</f>
        <v>0</v>
      </c>
      <c r="P633">
        <v>0</v>
      </c>
      <c r="R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S633">
        <f>IF(Metadata!C633="",FALSE,TRUE)</f>
        <v>0</v>
      </c>
      <c r="T633">
        <f>IF(Metadata!D633="",FALSE,TRUE)</f>
        <v>0</v>
      </c>
      <c r="U633">
        <f>IF(Metadata!E633="",FALSE,TRUE)</f>
        <v>0</v>
      </c>
      <c r="V633">
        <f>AND(IF(Metadata!F633="",FALSE,TRUE),exact(Metadata!F633,"rat gut metagenome"))</f>
        <v>0</v>
      </c>
      <c r="W633">
        <f>AND(IF(Metadata!G633="",FALSE,TRUE),exact(Metadata!G633,"1436733"))</f>
        <v>0</v>
      </c>
    </row>
    <row r="634" spans="1:23">
      <c r="A634" s="4">
        <f>IF(B634=" "," ",HYPERLINK(CONCATENATE("#metadata!",ADDRESS(INDEX($M$2:$M$1001,MATCH(ROWS($K$2:K634),$K$2:$K$1001,0),0),1)),INDEX($P$2:$P$1001,MATCH(ROWS($K$2:K634),$K$2:$K$1001,0),0)))</f>
        <v>0</v>
      </c>
      <c r="B634" s="3">
        <f>IF(OR(INDEX($L$2:$L$1001,MATCH(ROWS($K$2:K634),$K$2:$K$1001,0),1)&gt;=100000,INDEX($R$1005:$W$1005,1,MATCH(COLUMNS($R$1006:R1006),$R$1006:$W$1006,0))&gt;=100000), " ",IF(INDEX($R$2:$W$1001,MATCH(ROWS($K$2:K634),$K$2:$K$1001,0),MATCH(COLUMNS($R$1006:R1006),$R$1006:$W$1006,0)), HYPERLINK("#",""), HYPERLINK(CONCATENATE("#Metadata!", ADDRESS(INDEX($M$2:$M$1001,MATCH(ROWS($K$2:K634),$K$2:$K$1001,0),0), INDEX($R$1004:$W$1004,1,MATCH(COLUMNS($R$1006:R1006),$R$1006:$W$1006,0)))),"Fix")))</f>
        <v>0</v>
      </c>
      <c r="C634" s="3">
        <f>IF(OR(INDEX($L$2:$L$1001,MATCH(ROWS($K$2:K634),$K$2:$K$1001,0),1)&gt;=100000,INDEX($R$1005:$W$1005,1,MATCH(COLUMNS($R$1006:S1006),$R$1006:$W$1006,0))&gt;=100000), " ",IF(INDEX($R$2:$W$1001,MATCH(ROWS($K$2:K634),$K$2:$K$1001,0),MATCH(COLUMNS($R$1006:S1006),$R$1006:$W$1006,0)), HYPERLINK("#",""), HYPERLINK(CONCATENATE("#Metadata!", ADDRESS(INDEX($M$2:$M$1001,MATCH(ROWS($K$2:K634),$K$2:$K$1001,0),0), INDEX($R$1004:$W$1004,1,MATCH(COLUMNS($R$1006:S1006),$R$1006:$W$1006,0)))),"Fix")))</f>
        <v>0</v>
      </c>
      <c r="D634" s="3">
        <f>IF(OR(INDEX($L$2:$L$1001,MATCH(ROWS($K$2:K634),$K$2:$K$1001,0),1)&gt;=100000,INDEX($R$1005:$W$1005,1,MATCH(COLUMNS($R$1006:T1006),$R$1006:$W$1006,0))&gt;=100000), " ",IF(INDEX($R$2:$W$1001,MATCH(ROWS($K$2:K634),$K$2:$K$1001,0),MATCH(COLUMNS($R$1006:T1006),$R$1006:$W$1006,0)), HYPERLINK("#",""), HYPERLINK(CONCATENATE("#Metadata!", ADDRESS(INDEX($M$2:$M$1001,MATCH(ROWS($K$2:K634),$K$2:$K$1001,0),0), INDEX($R$1004:$W$1004,1,MATCH(COLUMNS($R$1006:T1006),$R$1006:$W$1006,0)))),"Fix")))</f>
        <v>0</v>
      </c>
      <c r="E634" s="3">
        <f>IF(OR(INDEX($L$2:$L$1001,MATCH(ROWS($K$2:K634),$K$2:$K$1001,0),1)&gt;=100000,INDEX($R$1005:$W$1005,1,MATCH(COLUMNS($R$1006:U1006),$R$1006:$W$1006,0))&gt;=100000), " ",IF(INDEX($R$2:$W$1001,MATCH(ROWS($K$2:K634),$K$2:$K$1001,0),MATCH(COLUMNS($R$1006:U1006),$R$1006:$W$1006,0)), HYPERLINK("#",""), HYPERLINK(CONCATENATE("#Metadata!", ADDRESS(INDEX($M$2:$M$1001,MATCH(ROWS($K$2:K634),$K$2:$K$1001,0),0), INDEX($R$1004:$W$1004,1,MATCH(COLUMNS($R$1006:U1006),$R$1006:$W$1006,0)))),"Fix")))</f>
        <v>0</v>
      </c>
      <c r="F634" s="3">
        <f>IF(OR(INDEX($L$2:$L$1001,MATCH(ROWS($K$2:K634),$K$2:$K$1001,0),1)&gt;=100000,INDEX($R$1005:$W$1005,1,MATCH(COLUMNS($R$1006:V1006),$R$1006:$W$1006,0))&gt;=100000), " ",IF(INDEX($R$2:$W$1001,MATCH(ROWS($K$2:K634),$K$2:$K$1001,0),MATCH(COLUMNS($R$1006:V1006),$R$1006:$W$1006,0)), HYPERLINK("#",""), HYPERLINK(CONCATENATE("#Metadata!", ADDRESS(INDEX($M$2:$M$1001,MATCH(ROWS($K$2:K634),$K$2:$K$1001,0),0), INDEX($R$1004:$W$1004,1,MATCH(COLUMNS($R$1006:V1006),$R$1006:$W$1006,0)))),"Fix")))</f>
        <v>0</v>
      </c>
      <c r="G634" s="3">
        <f>IF(OR(INDEX($L$2:$L$1001,MATCH(ROWS($K$2:K634),$K$2:$K$1001,0),1)&gt;=100000,INDEX($R$1005:$W$1005,1,MATCH(COLUMNS($R$1006:W1006),$R$1006:$W$1006,0))&gt;=100000), " ",IF(INDEX($R$2:$W$1001,MATCH(ROWS($K$2:K634),$K$2:$K$1001,0),MATCH(COLUMNS($R$1006:W1006),$R$1006:$W$1006,0)), HYPERLINK("#",""), HYPERLINK(CONCATENATE("#Metadata!", ADDRESS(INDEX($M$2:$M$1001,MATCH(ROWS($K$2:K634),$K$2:$K$1001,0),0), INDEX($R$1004:$W$1004,1,MATCH(COLUMNS($R$1006:W1006),$R$1006:$W$1006,0)))),"Fix")))</f>
        <v>0</v>
      </c>
      <c r="K634">
        <v>0</v>
      </c>
      <c r="L634">
        <v>0</v>
      </c>
      <c r="M634">
        <v>0</v>
      </c>
      <c r="N634">
        <f>IF(O634,TRUE,AND(R634:W634))</f>
        <v>0</v>
      </c>
      <c r="O634">
        <f>COUNTBLANK(Metadata!B634:G634)=COLUMNS(Metadata!B634:G634)</f>
        <v>0</v>
      </c>
      <c r="P634">
        <v>0</v>
      </c>
      <c r="R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S634">
        <f>IF(Metadata!C634="",FALSE,TRUE)</f>
        <v>0</v>
      </c>
      <c r="T634">
        <f>IF(Metadata!D634="",FALSE,TRUE)</f>
        <v>0</v>
      </c>
      <c r="U634">
        <f>IF(Metadata!E634="",FALSE,TRUE)</f>
        <v>0</v>
      </c>
      <c r="V634">
        <f>AND(IF(Metadata!F634="",FALSE,TRUE),exact(Metadata!F634,"rat gut metagenome"))</f>
        <v>0</v>
      </c>
      <c r="W634">
        <f>AND(IF(Metadata!G634="",FALSE,TRUE),exact(Metadata!G634,"1436733"))</f>
        <v>0</v>
      </c>
    </row>
    <row r="635" spans="1:23">
      <c r="A635" s="4">
        <f>IF(B635=" "," ",HYPERLINK(CONCATENATE("#metadata!",ADDRESS(INDEX($M$2:$M$1001,MATCH(ROWS($K$2:K635),$K$2:$K$1001,0),0),1)),INDEX($P$2:$P$1001,MATCH(ROWS($K$2:K635),$K$2:$K$1001,0),0)))</f>
        <v>0</v>
      </c>
      <c r="B635" s="3">
        <f>IF(OR(INDEX($L$2:$L$1001,MATCH(ROWS($K$2:K635),$K$2:$K$1001,0),1)&gt;=100000,INDEX($R$1005:$W$1005,1,MATCH(COLUMNS($R$1006:R1006),$R$1006:$W$1006,0))&gt;=100000), " ",IF(INDEX($R$2:$W$1001,MATCH(ROWS($K$2:K635),$K$2:$K$1001,0),MATCH(COLUMNS($R$1006:R1006),$R$1006:$W$1006,0)), HYPERLINK("#",""), HYPERLINK(CONCATENATE("#Metadata!", ADDRESS(INDEX($M$2:$M$1001,MATCH(ROWS($K$2:K635),$K$2:$K$1001,0),0), INDEX($R$1004:$W$1004,1,MATCH(COLUMNS($R$1006:R1006),$R$1006:$W$1006,0)))),"Fix")))</f>
        <v>0</v>
      </c>
      <c r="C635" s="3">
        <f>IF(OR(INDEX($L$2:$L$1001,MATCH(ROWS($K$2:K635),$K$2:$K$1001,0),1)&gt;=100000,INDEX($R$1005:$W$1005,1,MATCH(COLUMNS($R$1006:S1006),$R$1006:$W$1006,0))&gt;=100000), " ",IF(INDEX($R$2:$W$1001,MATCH(ROWS($K$2:K635),$K$2:$K$1001,0),MATCH(COLUMNS($R$1006:S1006),$R$1006:$W$1006,0)), HYPERLINK("#",""), HYPERLINK(CONCATENATE("#Metadata!", ADDRESS(INDEX($M$2:$M$1001,MATCH(ROWS($K$2:K635),$K$2:$K$1001,0),0), INDEX($R$1004:$W$1004,1,MATCH(COLUMNS($R$1006:S1006),$R$1006:$W$1006,0)))),"Fix")))</f>
        <v>0</v>
      </c>
      <c r="D635" s="3">
        <f>IF(OR(INDEX($L$2:$L$1001,MATCH(ROWS($K$2:K635),$K$2:$K$1001,0),1)&gt;=100000,INDEX($R$1005:$W$1005,1,MATCH(COLUMNS($R$1006:T1006),$R$1006:$W$1006,0))&gt;=100000), " ",IF(INDEX($R$2:$W$1001,MATCH(ROWS($K$2:K635),$K$2:$K$1001,0),MATCH(COLUMNS($R$1006:T1006),$R$1006:$W$1006,0)), HYPERLINK("#",""), HYPERLINK(CONCATENATE("#Metadata!", ADDRESS(INDEX($M$2:$M$1001,MATCH(ROWS($K$2:K635),$K$2:$K$1001,0),0), INDEX($R$1004:$W$1004,1,MATCH(COLUMNS($R$1006:T1006),$R$1006:$W$1006,0)))),"Fix")))</f>
        <v>0</v>
      </c>
      <c r="E635" s="3">
        <f>IF(OR(INDEX($L$2:$L$1001,MATCH(ROWS($K$2:K635),$K$2:$K$1001,0),1)&gt;=100000,INDEX($R$1005:$W$1005,1,MATCH(COLUMNS($R$1006:U1006),$R$1006:$W$1006,0))&gt;=100000), " ",IF(INDEX($R$2:$W$1001,MATCH(ROWS($K$2:K635),$K$2:$K$1001,0),MATCH(COLUMNS($R$1006:U1006),$R$1006:$W$1006,0)), HYPERLINK("#",""), HYPERLINK(CONCATENATE("#Metadata!", ADDRESS(INDEX($M$2:$M$1001,MATCH(ROWS($K$2:K635),$K$2:$K$1001,0),0), INDEX($R$1004:$W$1004,1,MATCH(COLUMNS($R$1006:U1006),$R$1006:$W$1006,0)))),"Fix")))</f>
        <v>0</v>
      </c>
      <c r="F635" s="3">
        <f>IF(OR(INDEX($L$2:$L$1001,MATCH(ROWS($K$2:K635),$K$2:$K$1001,0),1)&gt;=100000,INDEX($R$1005:$W$1005,1,MATCH(COLUMNS($R$1006:V1006),$R$1006:$W$1006,0))&gt;=100000), " ",IF(INDEX($R$2:$W$1001,MATCH(ROWS($K$2:K635),$K$2:$K$1001,0),MATCH(COLUMNS($R$1006:V1006),$R$1006:$W$1006,0)), HYPERLINK("#",""), HYPERLINK(CONCATENATE("#Metadata!", ADDRESS(INDEX($M$2:$M$1001,MATCH(ROWS($K$2:K635),$K$2:$K$1001,0),0), INDEX($R$1004:$W$1004,1,MATCH(COLUMNS($R$1006:V1006),$R$1006:$W$1006,0)))),"Fix")))</f>
        <v>0</v>
      </c>
      <c r="G635" s="3">
        <f>IF(OR(INDEX($L$2:$L$1001,MATCH(ROWS($K$2:K635),$K$2:$K$1001,0),1)&gt;=100000,INDEX($R$1005:$W$1005,1,MATCH(COLUMNS($R$1006:W1006),$R$1006:$W$1006,0))&gt;=100000), " ",IF(INDEX($R$2:$W$1001,MATCH(ROWS($K$2:K635),$K$2:$K$1001,0),MATCH(COLUMNS($R$1006:W1006),$R$1006:$W$1006,0)), HYPERLINK("#",""), HYPERLINK(CONCATENATE("#Metadata!", ADDRESS(INDEX($M$2:$M$1001,MATCH(ROWS($K$2:K635),$K$2:$K$1001,0),0), INDEX($R$1004:$W$1004,1,MATCH(COLUMNS($R$1006:W1006),$R$1006:$W$1006,0)))),"Fix")))</f>
        <v>0</v>
      </c>
      <c r="K635">
        <v>0</v>
      </c>
      <c r="L635">
        <v>0</v>
      </c>
      <c r="M635">
        <v>0</v>
      </c>
      <c r="N635">
        <f>IF(O635,TRUE,AND(R635:W635))</f>
        <v>0</v>
      </c>
      <c r="O635">
        <f>COUNTBLANK(Metadata!B635:G635)=COLUMNS(Metadata!B635:G635)</f>
        <v>0</v>
      </c>
      <c r="P635">
        <v>0</v>
      </c>
      <c r="R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S635">
        <f>IF(Metadata!C635="",FALSE,TRUE)</f>
        <v>0</v>
      </c>
      <c r="T635">
        <f>IF(Metadata!D635="",FALSE,TRUE)</f>
        <v>0</v>
      </c>
      <c r="U635">
        <f>IF(Metadata!E635="",FALSE,TRUE)</f>
        <v>0</v>
      </c>
      <c r="V635">
        <f>AND(IF(Metadata!F635="",FALSE,TRUE),exact(Metadata!F635,"rat gut metagenome"))</f>
        <v>0</v>
      </c>
      <c r="W635">
        <f>AND(IF(Metadata!G635="",FALSE,TRUE),exact(Metadata!G635,"1436733"))</f>
        <v>0</v>
      </c>
    </row>
    <row r="636" spans="1:23">
      <c r="A636" s="4">
        <f>IF(B636=" "," ",HYPERLINK(CONCATENATE("#metadata!",ADDRESS(INDEX($M$2:$M$1001,MATCH(ROWS($K$2:K636),$K$2:$K$1001,0),0),1)),INDEX($P$2:$P$1001,MATCH(ROWS($K$2:K636),$K$2:$K$1001,0),0)))</f>
        <v>0</v>
      </c>
      <c r="B636" s="3">
        <f>IF(OR(INDEX($L$2:$L$1001,MATCH(ROWS($K$2:K636),$K$2:$K$1001,0),1)&gt;=100000,INDEX($R$1005:$W$1005,1,MATCH(COLUMNS($R$1006:R1006),$R$1006:$W$1006,0))&gt;=100000), " ",IF(INDEX($R$2:$W$1001,MATCH(ROWS($K$2:K636),$K$2:$K$1001,0),MATCH(COLUMNS($R$1006:R1006),$R$1006:$W$1006,0)), HYPERLINK("#",""), HYPERLINK(CONCATENATE("#Metadata!", ADDRESS(INDEX($M$2:$M$1001,MATCH(ROWS($K$2:K636),$K$2:$K$1001,0),0), INDEX($R$1004:$W$1004,1,MATCH(COLUMNS($R$1006:R1006),$R$1006:$W$1006,0)))),"Fix")))</f>
        <v>0</v>
      </c>
      <c r="C636" s="3">
        <f>IF(OR(INDEX($L$2:$L$1001,MATCH(ROWS($K$2:K636),$K$2:$K$1001,0),1)&gt;=100000,INDEX($R$1005:$W$1005,1,MATCH(COLUMNS($R$1006:S1006),$R$1006:$W$1006,0))&gt;=100000), " ",IF(INDEX($R$2:$W$1001,MATCH(ROWS($K$2:K636),$K$2:$K$1001,0),MATCH(COLUMNS($R$1006:S1006),$R$1006:$W$1006,0)), HYPERLINK("#",""), HYPERLINK(CONCATENATE("#Metadata!", ADDRESS(INDEX($M$2:$M$1001,MATCH(ROWS($K$2:K636),$K$2:$K$1001,0),0), INDEX($R$1004:$W$1004,1,MATCH(COLUMNS($R$1006:S1006),$R$1006:$W$1006,0)))),"Fix")))</f>
        <v>0</v>
      </c>
      <c r="D636" s="3">
        <f>IF(OR(INDEX($L$2:$L$1001,MATCH(ROWS($K$2:K636),$K$2:$K$1001,0),1)&gt;=100000,INDEX($R$1005:$W$1005,1,MATCH(COLUMNS($R$1006:T1006),$R$1006:$W$1006,0))&gt;=100000), " ",IF(INDEX($R$2:$W$1001,MATCH(ROWS($K$2:K636),$K$2:$K$1001,0),MATCH(COLUMNS($R$1006:T1006),$R$1006:$W$1006,0)), HYPERLINK("#",""), HYPERLINK(CONCATENATE("#Metadata!", ADDRESS(INDEX($M$2:$M$1001,MATCH(ROWS($K$2:K636),$K$2:$K$1001,0),0), INDEX($R$1004:$W$1004,1,MATCH(COLUMNS($R$1006:T1006),$R$1006:$W$1006,0)))),"Fix")))</f>
        <v>0</v>
      </c>
      <c r="E636" s="3">
        <f>IF(OR(INDEX($L$2:$L$1001,MATCH(ROWS($K$2:K636),$K$2:$K$1001,0),1)&gt;=100000,INDEX($R$1005:$W$1005,1,MATCH(COLUMNS($R$1006:U1006),$R$1006:$W$1006,0))&gt;=100000), " ",IF(INDEX($R$2:$W$1001,MATCH(ROWS($K$2:K636),$K$2:$K$1001,0),MATCH(COLUMNS($R$1006:U1006),$R$1006:$W$1006,0)), HYPERLINK("#",""), HYPERLINK(CONCATENATE("#Metadata!", ADDRESS(INDEX($M$2:$M$1001,MATCH(ROWS($K$2:K636),$K$2:$K$1001,0),0), INDEX($R$1004:$W$1004,1,MATCH(COLUMNS($R$1006:U1006),$R$1006:$W$1006,0)))),"Fix")))</f>
        <v>0</v>
      </c>
      <c r="F636" s="3">
        <f>IF(OR(INDEX($L$2:$L$1001,MATCH(ROWS($K$2:K636),$K$2:$K$1001,0),1)&gt;=100000,INDEX($R$1005:$W$1005,1,MATCH(COLUMNS($R$1006:V1006),$R$1006:$W$1006,0))&gt;=100000), " ",IF(INDEX($R$2:$W$1001,MATCH(ROWS($K$2:K636),$K$2:$K$1001,0),MATCH(COLUMNS($R$1006:V1006),$R$1006:$W$1006,0)), HYPERLINK("#",""), HYPERLINK(CONCATENATE("#Metadata!", ADDRESS(INDEX($M$2:$M$1001,MATCH(ROWS($K$2:K636),$K$2:$K$1001,0),0), INDEX($R$1004:$W$1004,1,MATCH(COLUMNS($R$1006:V1006),$R$1006:$W$1006,0)))),"Fix")))</f>
        <v>0</v>
      </c>
      <c r="G636" s="3">
        <f>IF(OR(INDEX($L$2:$L$1001,MATCH(ROWS($K$2:K636),$K$2:$K$1001,0),1)&gt;=100000,INDEX($R$1005:$W$1005,1,MATCH(COLUMNS($R$1006:W1006),$R$1006:$W$1006,0))&gt;=100000), " ",IF(INDEX($R$2:$W$1001,MATCH(ROWS($K$2:K636),$K$2:$K$1001,0),MATCH(COLUMNS($R$1006:W1006),$R$1006:$W$1006,0)), HYPERLINK("#",""), HYPERLINK(CONCATENATE("#Metadata!", ADDRESS(INDEX($M$2:$M$1001,MATCH(ROWS($K$2:K636),$K$2:$K$1001,0),0), INDEX($R$1004:$W$1004,1,MATCH(COLUMNS($R$1006:W1006),$R$1006:$W$1006,0)))),"Fix")))</f>
        <v>0</v>
      </c>
      <c r="K636">
        <v>0</v>
      </c>
      <c r="L636">
        <v>0</v>
      </c>
      <c r="M636">
        <v>0</v>
      </c>
      <c r="N636">
        <f>IF(O636,TRUE,AND(R636:W636))</f>
        <v>0</v>
      </c>
      <c r="O636">
        <f>COUNTBLANK(Metadata!B636:G636)=COLUMNS(Metadata!B636:G636)</f>
        <v>0</v>
      </c>
      <c r="P636">
        <v>0</v>
      </c>
      <c r="R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S636">
        <f>IF(Metadata!C636="",FALSE,TRUE)</f>
        <v>0</v>
      </c>
      <c r="T636">
        <f>IF(Metadata!D636="",FALSE,TRUE)</f>
        <v>0</v>
      </c>
      <c r="U636">
        <f>IF(Metadata!E636="",FALSE,TRUE)</f>
        <v>0</v>
      </c>
      <c r="V636">
        <f>AND(IF(Metadata!F636="",FALSE,TRUE),exact(Metadata!F636,"rat gut metagenome"))</f>
        <v>0</v>
      </c>
      <c r="W636">
        <f>AND(IF(Metadata!G636="",FALSE,TRUE),exact(Metadata!G636,"1436733"))</f>
        <v>0</v>
      </c>
    </row>
    <row r="637" spans="1:23">
      <c r="A637" s="4">
        <f>IF(B637=" "," ",HYPERLINK(CONCATENATE("#metadata!",ADDRESS(INDEX($M$2:$M$1001,MATCH(ROWS($K$2:K637),$K$2:$K$1001,0),0),1)),INDEX($P$2:$P$1001,MATCH(ROWS($K$2:K637),$K$2:$K$1001,0),0)))</f>
        <v>0</v>
      </c>
      <c r="B637" s="3">
        <f>IF(OR(INDEX($L$2:$L$1001,MATCH(ROWS($K$2:K637),$K$2:$K$1001,0),1)&gt;=100000,INDEX($R$1005:$W$1005,1,MATCH(COLUMNS($R$1006:R1006),$R$1006:$W$1006,0))&gt;=100000), " ",IF(INDEX($R$2:$W$1001,MATCH(ROWS($K$2:K637),$K$2:$K$1001,0),MATCH(COLUMNS($R$1006:R1006),$R$1006:$W$1006,0)), HYPERLINK("#",""), HYPERLINK(CONCATENATE("#Metadata!", ADDRESS(INDEX($M$2:$M$1001,MATCH(ROWS($K$2:K637),$K$2:$K$1001,0),0), INDEX($R$1004:$W$1004,1,MATCH(COLUMNS($R$1006:R1006),$R$1006:$W$1006,0)))),"Fix")))</f>
        <v>0</v>
      </c>
      <c r="C637" s="3">
        <f>IF(OR(INDEX($L$2:$L$1001,MATCH(ROWS($K$2:K637),$K$2:$K$1001,0),1)&gt;=100000,INDEX($R$1005:$W$1005,1,MATCH(COLUMNS($R$1006:S1006),$R$1006:$W$1006,0))&gt;=100000), " ",IF(INDEX($R$2:$W$1001,MATCH(ROWS($K$2:K637),$K$2:$K$1001,0),MATCH(COLUMNS($R$1006:S1006),$R$1006:$W$1006,0)), HYPERLINK("#",""), HYPERLINK(CONCATENATE("#Metadata!", ADDRESS(INDEX($M$2:$M$1001,MATCH(ROWS($K$2:K637),$K$2:$K$1001,0),0), INDEX($R$1004:$W$1004,1,MATCH(COLUMNS($R$1006:S1006),$R$1006:$W$1006,0)))),"Fix")))</f>
        <v>0</v>
      </c>
      <c r="D637" s="3">
        <f>IF(OR(INDEX($L$2:$L$1001,MATCH(ROWS($K$2:K637),$K$2:$K$1001,0),1)&gt;=100000,INDEX($R$1005:$W$1005,1,MATCH(COLUMNS($R$1006:T1006),$R$1006:$W$1006,0))&gt;=100000), " ",IF(INDEX($R$2:$W$1001,MATCH(ROWS($K$2:K637),$K$2:$K$1001,0),MATCH(COLUMNS($R$1006:T1006),$R$1006:$W$1006,0)), HYPERLINK("#",""), HYPERLINK(CONCATENATE("#Metadata!", ADDRESS(INDEX($M$2:$M$1001,MATCH(ROWS($K$2:K637),$K$2:$K$1001,0),0), INDEX($R$1004:$W$1004,1,MATCH(COLUMNS($R$1006:T1006),$R$1006:$W$1006,0)))),"Fix")))</f>
        <v>0</v>
      </c>
      <c r="E637" s="3">
        <f>IF(OR(INDEX($L$2:$L$1001,MATCH(ROWS($K$2:K637),$K$2:$K$1001,0),1)&gt;=100000,INDEX($R$1005:$W$1005,1,MATCH(COLUMNS($R$1006:U1006),$R$1006:$W$1006,0))&gt;=100000), " ",IF(INDEX($R$2:$W$1001,MATCH(ROWS($K$2:K637),$K$2:$K$1001,0),MATCH(COLUMNS($R$1006:U1006),$R$1006:$W$1006,0)), HYPERLINK("#",""), HYPERLINK(CONCATENATE("#Metadata!", ADDRESS(INDEX($M$2:$M$1001,MATCH(ROWS($K$2:K637),$K$2:$K$1001,0),0), INDEX($R$1004:$W$1004,1,MATCH(COLUMNS($R$1006:U1006),$R$1006:$W$1006,0)))),"Fix")))</f>
        <v>0</v>
      </c>
      <c r="F637" s="3">
        <f>IF(OR(INDEX($L$2:$L$1001,MATCH(ROWS($K$2:K637),$K$2:$K$1001,0),1)&gt;=100000,INDEX($R$1005:$W$1005,1,MATCH(COLUMNS($R$1006:V1006),$R$1006:$W$1006,0))&gt;=100000), " ",IF(INDEX($R$2:$W$1001,MATCH(ROWS($K$2:K637),$K$2:$K$1001,0),MATCH(COLUMNS($R$1006:V1006),$R$1006:$W$1006,0)), HYPERLINK("#",""), HYPERLINK(CONCATENATE("#Metadata!", ADDRESS(INDEX($M$2:$M$1001,MATCH(ROWS($K$2:K637),$K$2:$K$1001,0),0), INDEX($R$1004:$W$1004,1,MATCH(COLUMNS($R$1006:V1006),$R$1006:$W$1006,0)))),"Fix")))</f>
        <v>0</v>
      </c>
      <c r="G637" s="3">
        <f>IF(OR(INDEX($L$2:$L$1001,MATCH(ROWS($K$2:K637),$K$2:$K$1001,0),1)&gt;=100000,INDEX($R$1005:$W$1005,1,MATCH(COLUMNS($R$1006:W1006),$R$1006:$W$1006,0))&gt;=100000), " ",IF(INDEX($R$2:$W$1001,MATCH(ROWS($K$2:K637),$K$2:$K$1001,0),MATCH(COLUMNS($R$1006:W1006),$R$1006:$W$1006,0)), HYPERLINK("#",""), HYPERLINK(CONCATENATE("#Metadata!", ADDRESS(INDEX($M$2:$M$1001,MATCH(ROWS($K$2:K637),$K$2:$K$1001,0),0), INDEX($R$1004:$W$1004,1,MATCH(COLUMNS($R$1006:W1006),$R$1006:$W$1006,0)))),"Fix")))</f>
        <v>0</v>
      </c>
      <c r="K637">
        <v>0</v>
      </c>
      <c r="L637">
        <v>0</v>
      </c>
      <c r="M637">
        <v>0</v>
      </c>
      <c r="N637">
        <f>IF(O637,TRUE,AND(R637:W637))</f>
        <v>0</v>
      </c>
      <c r="O637">
        <f>COUNTBLANK(Metadata!B637:G637)=COLUMNS(Metadata!B637:G637)</f>
        <v>0</v>
      </c>
      <c r="P637">
        <v>0</v>
      </c>
      <c r="R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S637">
        <f>IF(Metadata!C637="",FALSE,TRUE)</f>
        <v>0</v>
      </c>
      <c r="T637">
        <f>IF(Metadata!D637="",FALSE,TRUE)</f>
        <v>0</v>
      </c>
      <c r="U637">
        <f>IF(Metadata!E637="",FALSE,TRUE)</f>
        <v>0</v>
      </c>
      <c r="V637">
        <f>AND(IF(Metadata!F637="",FALSE,TRUE),exact(Metadata!F637,"rat gut metagenome"))</f>
        <v>0</v>
      </c>
      <c r="W637">
        <f>AND(IF(Metadata!G637="",FALSE,TRUE),exact(Metadata!G637,"1436733"))</f>
        <v>0</v>
      </c>
    </row>
    <row r="638" spans="1:23">
      <c r="A638" s="4">
        <f>IF(B638=" "," ",HYPERLINK(CONCATENATE("#metadata!",ADDRESS(INDEX($M$2:$M$1001,MATCH(ROWS($K$2:K638),$K$2:$K$1001,0),0),1)),INDEX($P$2:$P$1001,MATCH(ROWS($K$2:K638),$K$2:$K$1001,0),0)))</f>
        <v>0</v>
      </c>
      <c r="B638" s="3">
        <f>IF(OR(INDEX($L$2:$L$1001,MATCH(ROWS($K$2:K638),$K$2:$K$1001,0),1)&gt;=100000,INDEX($R$1005:$W$1005,1,MATCH(COLUMNS($R$1006:R1006),$R$1006:$W$1006,0))&gt;=100000), " ",IF(INDEX($R$2:$W$1001,MATCH(ROWS($K$2:K638),$K$2:$K$1001,0),MATCH(COLUMNS($R$1006:R1006),$R$1006:$W$1006,0)), HYPERLINK("#",""), HYPERLINK(CONCATENATE("#Metadata!", ADDRESS(INDEX($M$2:$M$1001,MATCH(ROWS($K$2:K638),$K$2:$K$1001,0),0), INDEX($R$1004:$W$1004,1,MATCH(COLUMNS($R$1006:R1006),$R$1006:$W$1006,0)))),"Fix")))</f>
        <v>0</v>
      </c>
      <c r="C638" s="3">
        <f>IF(OR(INDEX($L$2:$L$1001,MATCH(ROWS($K$2:K638),$K$2:$K$1001,0),1)&gt;=100000,INDEX($R$1005:$W$1005,1,MATCH(COLUMNS($R$1006:S1006),$R$1006:$W$1006,0))&gt;=100000), " ",IF(INDEX($R$2:$W$1001,MATCH(ROWS($K$2:K638),$K$2:$K$1001,0),MATCH(COLUMNS($R$1006:S1006),$R$1006:$W$1006,0)), HYPERLINK("#",""), HYPERLINK(CONCATENATE("#Metadata!", ADDRESS(INDEX($M$2:$M$1001,MATCH(ROWS($K$2:K638),$K$2:$K$1001,0),0), INDEX($R$1004:$W$1004,1,MATCH(COLUMNS($R$1006:S1006),$R$1006:$W$1006,0)))),"Fix")))</f>
        <v>0</v>
      </c>
      <c r="D638" s="3">
        <f>IF(OR(INDEX($L$2:$L$1001,MATCH(ROWS($K$2:K638),$K$2:$K$1001,0),1)&gt;=100000,INDEX($R$1005:$W$1005,1,MATCH(COLUMNS($R$1006:T1006),$R$1006:$W$1006,0))&gt;=100000), " ",IF(INDEX($R$2:$W$1001,MATCH(ROWS($K$2:K638),$K$2:$K$1001,0),MATCH(COLUMNS($R$1006:T1006),$R$1006:$W$1006,0)), HYPERLINK("#",""), HYPERLINK(CONCATENATE("#Metadata!", ADDRESS(INDEX($M$2:$M$1001,MATCH(ROWS($K$2:K638),$K$2:$K$1001,0),0), INDEX($R$1004:$W$1004,1,MATCH(COLUMNS($R$1006:T1006),$R$1006:$W$1006,0)))),"Fix")))</f>
        <v>0</v>
      </c>
      <c r="E638" s="3">
        <f>IF(OR(INDEX($L$2:$L$1001,MATCH(ROWS($K$2:K638),$K$2:$K$1001,0),1)&gt;=100000,INDEX($R$1005:$W$1005,1,MATCH(COLUMNS($R$1006:U1006),$R$1006:$W$1006,0))&gt;=100000), " ",IF(INDEX($R$2:$W$1001,MATCH(ROWS($K$2:K638),$K$2:$K$1001,0),MATCH(COLUMNS($R$1006:U1006),$R$1006:$W$1006,0)), HYPERLINK("#",""), HYPERLINK(CONCATENATE("#Metadata!", ADDRESS(INDEX($M$2:$M$1001,MATCH(ROWS($K$2:K638),$K$2:$K$1001,0),0), INDEX($R$1004:$W$1004,1,MATCH(COLUMNS($R$1006:U1006),$R$1006:$W$1006,0)))),"Fix")))</f>
        <v>0</v>
      </c>
      <c r="F638" s="3">
        <f>IF(OR(INDEX($L$2:$L$1001,MATCH(ROWS($K$2:K638),$K$2:$K$1001,0),1)&gt;=100000,INDEX($R$1005:$W$1005,1,MATCH(COLUMNS($R$1006:V1006),$R$1006:$W$1006,0))&gt;=100000), " ",IF(INDEX($R$2:$W$1001,MATCH(ROWS($K$2:K638),$K$2:$K$1001,0),MATCH(COLUMNS($R$1006:V1006),$R$1006:$W$1006,0)), HYPERLINK("#",""), HYPERLINK(CONCATENATE("#Metadata!", ADDRESS(INDEX($M$2:$M$1001,MATCH(ROWS($K$2:K638),$K$2:$K$1001,0),0), INDEX($R$1004:$W$1004,1,MATCH(COLUMNS($R$1006:V1006),$R$1006:$W$1006,0)))),"Fix")))</f>
        <v>0</v>
      </c>
      <c r="G638" s="3">
        <f>IF(OR(INDEX($L$2:$L$1001,MATCH(ROWS($K$2:K638),$K$2:$K$1001,0),1)&gt;=100000,INDEX($R$1005:$W$1005,1,MATCH(COLUMNS($R$1006:W1006),$R$1006:$W$1006,0))&gt;=100000), " ",IF(INDEX($R$2:$W$1001,MATCH(ROWS($K$2:K638),$K$2:$K$1001,0),MATCH(COLUMNS($R$1006:W1006),$R$1006:$W$1006,0)), HYPERLINK("#",""), HYPERLINK(CONCATENATE("#Metadata!", ADDRESS(INDEX($M$2:$M$1001,MATCH(ROWS($K$2:K638),$K$2:$K$1001,0),0), INDEX($R$1004:$W$1004,1,MATCH(COLUMNS($R$1006:W1006),$R$1006:$W$1006,0)))),"Fix")))</f>
        <v>0</v>
      </c>
      <c r="K638">
        <v>0</v>
      </c>
      <c r="L638">
        <v>0</v>
      </c>
      <c r="M638">
        <v>0</v>
      </c>
      <c r="N638">
        <f>IF(O638,TRUE,AND(R638:W638))</f>
        <v>0</v>
      </c>
      <c r="O638">
        <f>COUNTBLANK(Metadata!B638:G638)=COLUMNS(Metadata!B638:G638)</f>
        <v>0</v>
      </c>
      <c r="P638">
        <v>0</v>
      </c>
      <c r="R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S638">
        <f>IF(Metadata!C638="",FALSE,TRUE)</f>
        <v>0</v>
      </c>
      <c r="T638">
        <f>IF(Metadata!D638="",FALSE,TRUE)</f>
        <v>0</v>
      </c>
      <c r="U638">
        <f>IF(Metadata!E638="",FALSE,TRUE)</f>
        <v>0</v>
      </c>
      <c r="V638">
        <f>AND(IF(Metadata!F638="",FALSE,TRUE),exact(Metadata!F638,"rat gut metagenome"))</f>
        <v>0</v>
      </c>
      <c r="W638">
        <f>AND(IF(Metadata!G638="",FALSE,TRUE),exact(Metadata!G638,"1436733"))</f>
        <v>0</v>
      </c>
    </row>
    <row r="639" spans="1:23">
      <c r="A639" s="4">
        <f>IF(B639=" "," ",HYPERLINK(CONCATENATE("#metadata!",ADDRESS(INDEX($M$2:$M$1001,MATCH(ROWS($K$2:K639),$K$2:$K$1001,0),0),1)),INDEX($P$2:$P$1001,MATCH(ROWS($K$2:K639),$K$2:$K$1001,0),0)))</f>
        <v>0</v>
      </c>
      <c r="B639" s="3">
        <f>IF(OR(INDEX($L$2:$L$1001,MATCH(ROWS($K$2:K639),$K$2:$K$1001,0),1)&gt;=100000,INDEX($R$1005:$W$1005,1,MATCH(COLUMNS($R$1006:R1006),$R$1006:$W$1006,0))&gt;=100000), " ",IF(INDEX($R$2:$W$1001,MATCH(ROWS($K$2:K639),$K$2:$K$1001,0),MATCH(COLUMNS($R$1006:R1006),$R$1006:$W$1006,0)), HYPERLINK("#",""), HYPERLINK(CONCATENATE("#Metadata!", ADDRESS(INDEX($M$2:$M$1001,MATCH(ROWS($K$2:K639),$K$2:$K$1001,0),0), INDEX($R$1004:$W$1004,1,MATCH(COLUMNS($R$1006:R1006),$R$1006:$W$1006,0)))),"Fix")))</f>
        <v>0</v>
      </c>
      <c r="C639" s="3">
        <f>IF(OR(INDEX($L$2:$L$1001,MATCH(ROWS($K$2:K639),$K$2:$K$1001,0),1)&gt;=100000,INDEX($R$1005:$W$1005,1,MATCH(COLUMNS($R$1006:S1006),$R$1006:$W$1006,0))&gt;=100000), " ",IF(INDEX($R$2:$W$1001,MATCH(ROWS($K$2:K639),$K$2:$K$1001,0),MATCH(COLUMNS($R$1006:S1006),$R$1006:$W$1006,0)), HYPERLINK("#",""), HYPERLINK(CONCATENATE("#Metadata!", ADDRESS(INDEX($M$2:$M$1001,MATCH(ROWS($K$2:K639),$K$2:$K$1001,0),0), INDEX($R$1004:$W$1004,1,MATCH(COLUMNS($R$1006:S1006),$R$1006:$W$1006,0)))),"Fix")))</f>
        <v>0</v>
      </c>
      <c r="D639" s="3">
        <f>IF(OR(INDEX($L$2:$L$1001,MATCH(ROWS($K$2:K639),$K$2:$K$1001,0),1)&gt;=100000,INDEX($R$1005:$W$1005,1,MATCH(COLUMNS($R$1006:T1006),$R$1006:$W$1006,0))&gt;=100000), " ",IF(INDEX($R$2:$W$1001,MATCH(ROWS($K$2:K639),$K$2:$K$1001,0),MATCH(COLUMNS($R$1006:T1006),$R$1006:$W$1006,0)), HYPERLINK("#",""), HYPERLINK(CONCATENATE("#Metadata!", ADDRESS(INDEX($M$2:$M$1001,MATCH(ROWS($K$2:K639),$K$2:$K$1001,0),0), INDEX($R$1004:$W$1004,1,MATCH(COLUMNS($R$1006:T1006),$R$1006:$W$1006,0)))),"Fix")))</f>
        <v>0</v>
      </c>
      <c r="E639" s="3">
        <f>IF(OR(INDEX($L$2:$L$1001,MATCH(ROWS($K$2:K639),$K$2:$K$1001,0),1)&gt;=100000,INDEX($R$1005:$W$1005,1,MATCH(COLUMNS($R$1006:U1006),$R$1006:$W$1006,0))&gt;=100000), " ",IF(INDEX($R$2:$W$1001,MATCH(ROWS($K$2:K639),$K$2:$K$1001,0),MATCH(COLUMNS($R$1006:U1006),$R$1006:$W$1006,0)), HYPERLINK("#",""), HYPERLINK(CONCATENATE("#Metadata!", ADDRESS(INDEX($M$2:$M$1001,MATCH(ROWS($K$2:K639),$K$2:$K$1001,0),0), INDEX($R$1004:$W$1004,1,MATCH(COLUMNS($R$1006:U1006),$R$1006:$W$1006,0)))),"Fix")))</f>
        <v>0</v>
      </c>
      <c r="F639" s="3">
        <f>IF(OR(INDEX($L$2:$L$1001,MATCH(ROWS($K$2:K639),$K$2:$K$1001,0),1)&gt;=100000,INDEX($R$1005:$W$1005,1,MATCH(COLUMNS($R$1006:V1006),$R$1006:$W$1006,0))&gt;=100000), " ",IF(INDEX($R$2:$W$1001,MATCH(ROWS($K$2:K639),$K$2:$K$1001,0),MATCH(COLUMNS($R$1006:V1006),$R$1006:$W$1006,0)), HYPERLINK("#",""), HYPERLINK(CONCATENATE("#Metadata!", ADDRESS(INDEX($M$2:$M$1001,MATCH(ROWS($K$2:K639),$K$2:$K$1001,0),0), INDEX($R$1004:$W$1004,1,MATCH(COLUMNS($R$1006:V1006),$R$1006:$W$1006,0)))),"Fix")))</f>
        <v>0</v>
      </c>
      <c r="G639" s="3">
        <f>IF(OR(INDEX($L$2:$L$1001,MATCH(ROWS($K$2:K639),$K$2:$K$1001,0),1)&gt;=100000,INDEX($R$1005:$W$1005,1,MATCH(COLUMNS($R$1006:W1006),$R$1006:$W$1006,0))&gt;=100000), " ",IF(INDEX($R$2:$W$1001,MATCH(ROWS($K$2:K639),$K$2:$K$1001,0),MATCH(COLUMNS($R$1006:W1006),$R$1006:$W$1006,0)), HYPERLINK("#",""), HYPERLINK(CONCATENATE("#Metadata!", ADDRESS(INDEX($M$2:$M$1001,MATCH(ROWS($K$2:K639),$K$2:$K$1001,0),0), INDEX($R$1004:$W$1004,1,MATCH(COLUMNS($R$1006:W1006),$R$1006:$W$1006,0)))),"Fix")))</f>
        <v>0</v>
      </c>
      <c r="K639">
        <v>0</v>
      </c>
      <c r="L639">
        <v>0</v>
      </c>
      <c r="M639">
        <v>0</v>
      </c>
      <c r="N639">
        <f>IF(O639,TRUE,AND(R639:W639))</f>
        <v>0</v>
      </c>
      <c r="O639">
        <f>COUNTBLANK(Metadata!B639:G639)=COLUMNS(Metadata!B639:G639)</f>
        <v>0</v>
      </c>
      <c r="P639">
        <v>0</v>
      </c>
      <c r="R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S639">
        <f>IF(Metadata!C639="",FALSE,TRUE)</f>
        <v>0</v>
      </c>
      <c r="T639">
        <f>IF(Metadata!D639="",FALSE,TRUE)</f>
        <v>0</v>
      </c>
      <c r="U639">
        <f>IF(Metadata!E639="",FALSE,TRUE)</f>
        <v>0</v>
      </c>
      <c r="V639">
        <f>AND(IF(Metadata!F639="",FALSE,TRUE),exact(Metadata!F639,"rat gut metagenome"))</f>
        <v>0</v>
      </c>
      <c r="W639">
        <f>AND(IF(Metadata!G639="",FALSE,TRUE),exact(Metadata!G639,"1436733"))</f>
        <v>0</v>
      </c>
    </row>
    <row r="640" spans="1:23">
      <c r="A640" s="4">
        <f>IF(B640=" "," ",HYPERLINK(CONCATENATE("#metadata!",ADDRESS(INDEX($M$2:$M$1001,MATCH(ROWS($K$2:K640),$K$2:$K$1001,0),0),1)),INDEX($P$2:$P$1001,MATCH(ROWS($K$2:K640),$K$2:$K$1001,0),0)))</f>
        <v>0</v>
      </c>
      <c r="B640" s="3">
        <f>IF(OR(INDEX($L$2:$L$1001,MATCH(ROWS($K$2:K640),$K$2:$K$1001,0),1)&gt;=100000,INDEX($R$1005:$W$1005,1,MATCH(COLUMNS($R$1006:R1006),$R$1006:$W$1006,0))&gt;=100000), " ",IF(INDEX($R$2:$W$1001,MATCH(ROWS($K$2:K640),$K$2:$K$1001,0),MATCH(COLUMNS($R$1006:R1006),$R$1006:$W$1006,0)), HYPERLINK("#",""), HYPERLINK(CONCATENATE("#Metadata!", ADDRESS(INDEX($M$2:$M$1001,MATCH(ROWS($K$2:K640),$K$2:$K$1001,0),0), INDEX($R$1004:$W$1004,1,MATCH(COLUMNS($R$1006:R1006),$R$1006:$W$1006,0)))),"Fix")))</f>
        <v>0</v>
      </c>
      <c r="C640" s="3">
        <f>IF(OR(INDEX($L$2:$L$1001,MATCH(ROWS($K$2:K640),$K$2:$K$1001,0),1)&gt;=100000,INDEX($R$1005:$W$1005,1,MATCH(COLUMNS($R$1006:S1006),$R$1006:$W$1006,0))&gt;=100000), " ",IF(INDEX($R$2:$W$1001,MATCH(ROWS($K$2:K640),$K$2:$K$1001,0),MATCH(COLUMNS($R$1006:S1006),$R$1006:$W$1006,0)), HYPERLINK("#",""), HYPERLINK(CONCATENATE("#Metadata!", ADDRESS(INDEX($M$2:$M$1001,MATCH(ROWS($K$2:K640),$K$2:$K$1001,0),0), INDEX($R$1004:$W$1004,1,MATCH(COLUMNS($R$1006:S1006),$R$1006:$W$1006,0)))),"Fix")))</f>
        <v>0</v>
      </c>
      <c r="D640" s="3">
        <f>IF(OR(INDEX($L$2:$L$1001,MATCH(ROWS($K$2:K640),$K$2:$K$1001,0),1)&gt;=100000,INDEX($R$1005:$W$1005,1,MATCH(COLUMNS($R$1006:T1006),$R$1006:$W$1006,0))&gt;=100000), " ",IF(INDEX($R$2:$W$1001,MATCH(ROWS($K$2:K640),$K$2:$K$1001,0),MATCH(COLUMNS($R$1006:T1006),$R$1006:$W$1006,0)), HYPERLINK("#",""), HYPERLINK(CONCATENATE("#Metadata!", ADDRESS(INDEX($M$2:$M$1001,MATCH(ROWS($K$2:K640),$K$2:$K$1001,0),0), INDEX($R$1004:$W$1004,1,MATCH(COLUMNS($R$1006:T1006),$R$1006:$W$1006,0)))),"Fix")))</f>
        <v>0</v>
      </c>
      <c r="E640" s="3">
        <f>IF(OR(INDEX($L$2:$L$1001,MATCH(ROWS($K$2:K640),$K$2:$K$1001,0),1)&gt;=100000,INDEX($R$1005:$W$1005,1,MATCH(COLUMNS($R$1006:U1006),$R$1006:$W$1006,0))&gt;=100000), " ",IF(INDEX($R$2:$W$1001,MATCH(ROWS($K$2:K640),$K$2:$K$1001,0),MATCH(COLUMNS($R$1006:U1006),$R$1006:$W$1006,0)), HYPERLINK("#",""), HYPERLINK(CONCATENATE("#Metadata!", ADDRESS(INDEX($M$2:$M$1001,MATCH(ROWS($K$2:K640),$K$2:$K$1001,0),0), INDEX($R$1004:$W$1004,1,MATCH(COLUMNS($R$1006:U1006),$R$1006:$W$1006,0)))),"Fix")))</f>
        <v>0</v>
      </c>
      <c r="F640" s="3">
        <f>IF(OR(INDEX($L$2:$L$1001,MATCH(ROWS($K$2:K640),$K$2:$K$1001,0),1)&gt;=100000,INDEX($R$1005:$W$1005,1,MATCH(COLUMNS($R$1006:V1006),$R$1006:$W$1006,0))&gt;=100000), " ",IF(INDEX($R$2:$W$1001,MATCH(ROWS($K$2:K640),$K$2:$K$1001,0),MATCH(COLUMNS($R$1006:V1006),$R$1006:$W$1006,0)), HYPERLINK("#",""), HYPERLINK(CONCATENATE("#Metadata!", ADDRESS(INDEX($M$2:$M$1001,MATCH(ROWS($K$2:K640),$K$2:$K$1001,0),0), INDEX($R$1004:$W$1004,1,MATCH(COLUMNS($R$1006:V1006),$R$1006:$W$1006,0)))),"Fix")))</f>
        <v>0</v>
      </c>
      <c r="G640" s="3">
        <f>IF(OR(INDEX($L$2:$L$1001,MATCH(ROWS($K$2:K640),$K$2:$K$1001,0),1)&gt;=100000,INDEX($R$1005:$W$1005,1,MATCH(COLUMNS($R$1006:W1006),$R$1006:$W$1006,0))&gt;=100000), " ",IF(INDEX($R$2:$W$1001,MATCH(ROWS($K$2:K640),$K$2:$K$1001,0),MATCH(COLUMNS($R$1006:W1006),$R$1006:$W$1006,0)), HYPERLINK("#",""), HYPERLINK(CONCATENATE("#Metadata!", ADDRESS(INDEX($M$2:$M$1001,MATCH(ROWS($K$2:K640),$K$2:$K$1001,0),0), INDEX($R$1004:$W$1004,1,MATCH(COLUMNS($R$1006:W1006),$R$1006:$W$1006,0)))),"Fix")))</f>
        <v>0</v>
      </c>
      <c r="K640">
        <v>0</v>
      </c>
      <c r="L640">
        <v>0</v>
      </c>
      <c r="M640">
        <v>0</v>
      </c>
      <c r="N640">
        <f>IF(O640,TRUE,AND(R640:W640))</f>
        <v>0</v>
      </c>
      <c r="O640">
        <f>COUNTBLANK(Metadata!B640:G640)=COLUMNS(Metadata!B640:G640)</f>
        <v>0</v>
      </c>
      <c r="P640">
        <v>0</v>
      </c>
      <c r="R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S640">
        <f>IF(Metadata!C640="",FALSE,TRUE)</f>
        <v>0</v>
      </c>
      <c r="T640">
        <f>IF(Metadata!D640="",FALSE,TRUE)</f>
        <v>0</v>
      </c>
      <c r="U640">
        <f>IF(Metadata!E640="",FALSE,TRUE)</f>
        <v>0</v>
      </c>
      <c r="V640">
        <f>AND(IF(Metadata!F640="",FALSE,TRUE),exact(Metadata!F640,"rat gut metagenome"))</f>
        <v>0</v>
      </c>
      <c r="W640">
        <f>AND(IF(Metadata!G640="",FALSE,TRUE),exact(Metadata!G640,"1436733"))</f>
        <v>0</v>
      </c>
    </row>
    <row r="641" spans="1:23">
      <c r="A641" s="4">
        <f>IF(B641=" "," ",HYPERLINK(CONCATENATE("#metadata!",ADDRESS(INDEX($M$2:$M$1001,MATCH(ROWS($K$2:K641),$K$2:$K$1001,0),0),1)),INDEX($P$2:$P$1001,MATCH(ROWS($K$2:K641),$K$2:$K$1001,0),0)))</f>
        <v>0</v>
      </c>
      <c r="B641" s="3">
        <f>IF(OR(INDEX($L$2:$L$1001,MATCH(ROWS($K$2:K641),$K$2:$K$1001,0),1)&gt;=100000,INDEX($R$1005:$W$1005,1,MATCH(COLUMNS($R$1006:R1006),$R$1006:$W$1006,0))&gt;=100000), " ",IF(INDEX($R$2:$W$1001,MATCH(ROWS($K$2:K641),$K$2:$K$1001,0),MATCH(COLUMNS($R$1006:R1006),$R$1006:$W$1006,0)), HYPERLINK("#",""), HYPERLINK(CONCATENATE("#Metadata!", ADDRESS(INDEX($M$2:$M$1001,MATCH(ROWS($K$2:K641),$K$2:$K$1001,0),0), INDEX($R$1004:$W$1004,1,MATCH(COLUMNS($R$1006:R1006),$R$1006:$W$1006,0)))),"Fix")))</f>
        <v>0</v>
      </c>
      <c r="C641" s="3">
        <f>IF(OR(INDEX($L$2:$L$1001,MATCH(ROWS($K$2:K641),$K$2:$K$1001,0),1)&gt;=100000,INDEX($R$1005:$W$1005,1,MATCH(COLUMNS($R$1006:S1006),$R$1006:$W$1006,0))&gt;=100000), " ",IF(INDEX($R$2:$W$1001,MATCH(ROWS($K$2:K641),$K$2:$K$1001,0),MATCH(COLUMNS($R$1006:S1006),$R$1006:$W$1006,0)), HYPERLINK("#",""), HYPERLINK(CONCATENATE("#Metadata!", ADDRESS(INDEX($M$2:$M$1001,MATCH(ROWS($K$2:K641),$K$2:$K$1001,0),0), INDEX($R$1004:$W$1004,1,MATCH(COLUMNS($R$1006:S1006),$R$1006:$W$1006,0)))),"Fix")))</f>
        <v>0</v>
      </c>
      <c r="D641" s="3">
        <f>IF(OR(INDEX($L$2:$L$1001,MATCH(ROWS($K$2:K641),$K$2:$K$1001,0),1)&gt;=100000,INDEX($R$1005:$W$1005,1,MATCH(COLUMNS($R$1006:T1006),$R$1006:$W$1006,0))&gt;=100000), " ",IF(INDEX($R$2:$W$1001,MATCH(ROWS($K$2:K641),$K$2:$K$1001,0),MATCH(COLUMNS($R$1006:T1006),$R$1006:$W$1006,0)), HYPERLINK("#",""), HYPERLINK(CONCATENATE("#Metadata!", ADDRESS(INDEX($M$2:$M$1001,MATCH(ROWS($K$2:K641),$K$2:$K$1001,0),0), INDEX($R$1004:$W$1004,1,MATCH(COLUMNS($R$1006:T1006),$R$1006:$W$1006,0)))),"Fix")))</f>
        <v>0</v>
      </c>
      <c r="E641" s="3">
        <f>IF(OR(INDEX($L$2:$L$1001,MATCH(ROWS($K$2:K641),$K$2:$K$1001,0),1)&gt;=100000,INDEX($R$1005:$W$1005,1,MATCH(COLUMNS($R$1006:U1006),$R$1006:$W$1006,0))&gt;=100000), " ",IF(INDEX($R$2:$W$1001,MATCH(ROWS($K$2:K641),$K$2:$K$1001,0),MATCH(COLUMNS($R$1006:U1006),$R$1006:$W$1006,0)), HYPERLINK("#",""), HYPERLINK(CONCATENATE("#Metadata!", ADDRESS(INDEX($M$2:$M$1001,MATCH(ROWS($K$2:K641),$K$2:$K$1001,0),0), INDEX($R$1004:$W$1004,1,MATCH(COLUMNS($R$1006:U1006),$R$1006:$W$1006,0)))),"Fix")))</f>
        <v>0</v>
      </c>
      <c r="F641" s="3">
        <f>IF(OR(INDEX($L$2:$L$1001,MATCH(ROWS($K$2:K641),$K$2:$K$1001,0),1)&gt;=100000,INDEX($R$1005:$W$1005,1,MATCH(COLUMNS($R$1006:V1006),$R$1006:$W$1006,0))&gt;=100000), " ",IF(INDEX($R$2:$W$1001,MATCH(ROWS($K$2:K641),$K$2:$K$1001,0),MATCH(COLUMNS($R$1006:V1006),$R$1006:$W$1006,0)), HYPERLINK("#",""), HYPERLINK(CONCATENATE("#Metadata!", ADDRESS(INDEX($M$2:$M$1001,MATCH(ROWS($K$2:K641),$K$2:$K$1001,0),0), INDEX($R$1004:$W$1004,1,MATCH(COLUMNS($R$1006:V1006),$R$1006:$W$1006,0)))),"Fix")))</f>
        <v>0</v>
      </c>
      <c r="G641" s="3">
        <f>IF(OR(INDEX($L$2:$L$1001,MATCH(ROWS($K$2:K641),$K$2:$K$1001,0),1)&gt;=100000,INDEX($R$1005:$W$1005,1,MATCH(COLUMNS($R$1006:W1006),$R$1006:$W$1006,0))&gt;=100000), " ",IF(INDEX($R$2:$W$1001,MATCH(ROWS($K$2:K641),$K$2:$K$1001,0),MATCH(COLUMNS($R$1006:W1006),$R$1006:$W$1006,0)), HYPERLINK("#",""), HYPERLINK(CONCATENATE("#Metadata!", ADDRESS(INDEX($M$2:$M$1001,MATCH(ROWS($K$2:K641),$K$2:$K$1001,0),0), INDEX($R$1004:$W$1004,1,MATCH(COLUMNS($R$1006:W1006),$R$1006:$W$1006,0)))),"Fix")))</f>
        <v>0</v>
      </c>
      <c r="K641">
        <v>0</v>
      </c>
      <c r="L641">
        <v>0</v>
      </c>
      <c r="M641">
        <v>0</v>
      </c>
      <c r="N641">
        <f>IF(O641,TRUE,AND(R641:W641))</f>
        <v>0</v>
      </c>
      <c r="O641">
        <f>COUNTBLANK(Metadata!B641:G641)=COLUMNS(Metadata!B641:G641)</f>
        <v>0</v>
      </c>
      <c r="P641">
        <v>0</v>
      </c>
      <c r="R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S641">
        <f>IF(Metadata!C641="",FALSE,TRUE)</f>
        <v>0</v>
      </c>
      <c r="T641">
        <f>IF(Metadata!D641="",FALSE,TRUE)</f>
        <v>0</v>
      </c>
      <c r="U641">
        <f>IF(Metadata!E641="",FALSE,TRUE)</f>
        <v>0</v>
      </c>
      <c r="V641">
        <f>AND(IF(Metadata!F641="",FALSE,TRUE),exact(Metadata!F641,"rat gut metagenome"))</f>
        <v>0</v>
      </c>
      <c r="W641">
        <f>AND(IF(Metadata!G641="",FALSE,TRUE),exact(Metadata!G641,"1436733"))</f>
        <v>0</v>
      </c>
    </row>
    <row r="642" spans="1:23">
      <c r="A642" s="4">
        <f>IF(B642=" "," ",HYPERLINK(CONCATENATE("#metadata!",ADDRESS(INDEX($M$2:$M$1001,MATCH(ROWS($K$2:K642),$K$2:$K$1001,0),0),1)),INDEX($P$2:$P$1001,MATCH(ROWS($K$2:K642),$K$2:$K$1001,0),0)))</f>
        <v>0</v>
      </c>
      <c r="B642" s="3">
        <f>IF(OR(INDEX($L$2:$L$1001,MATCH(ROWS($K$2:K642),$K$2:$K$1001,0),1)&gt;=100000,INDEX($R$1005:$W$1005,1,MATCH(COLUMNS($R$1006:R1006),$R$1006:$W$1006,0))&gt;=100000), " ",IF(INDEX($R$2:$W$1001,MATCH(ROWS($K$2:K642),$K$2:$K$1001,0),MATCH(COLUMNS($R$1006:R1006),$R$1006:$W$1006,0)), HYPERLINK("#",""), HYPERLINK(CONCATENATE("#Metadata!", ADDRESS(INDEX($M$2:$M$1001,MATCH(ROWS($K$2:K642),$K$2:$K$1001,0),0), INDEX($R$1004:$W$1004,1,MATCH(COLUMNS($R$1006:R1006),$R$1006:$W$1006,0)))),"Fix")))</f>
        <v>0</v>
      </c>
      <c r="C642" s="3">
        <f>IF(OR(INDEX($L$2:$L$1001,MATCH(ROWS($K$2:K642),$K$2:$K$1001,0),1)&gt;=100000,INDEX($R$1005:$W$1005,1,MATCH(COLUMNS($R$1006:S1006),$R$1006:$W$1006,0))&gt;=100000), " ",IF(INDEX($R$2:$W$1001,MATCH(ROWS($K$2:K642),$K$2:$K$1001,0),MATCH(COLUMNS($R$1006:S1006),$R$1006:$W$1006,0)), HYPERLINK("#",""), HYPERLINK(CONCATENATE("#Metadata!", ADDRESS(INDEX($M$2:$M$1001,MATCH(ROWS($K$2:K642),$K$2:$K$1001,0),0), INDEX($R$1004:$W$1004,1,MATCH(COLUMNS($R$1006:S1006),$R$1006:$W$1006,0)))),"Fix")))</f>
        <v>0</v>
      </c>
      <c r="D642" s="3">
        <f>IF(OR(INDEX($L$2:$L$1001,MATCH(ROWS($K$2:K642),$K$2:$K$1001,0),1)&gt;=100000,INDEX($R$1005:$W$1005,1,MATCH(COLUMNS($R$1006:T1006),$R$1006:$W$1006,0))&gt;=100000), " ",IF(INDEX($R$2:$W$1001,MATCH(ROWS($K$2:K642),$K$2:$K$1001,0),MATCH(COLUMNS($R$1006:T1006),$R$1006:$W$1006,0)), HYPERLINK("#",""), HYPERLINK(CONCATENATE("#Metadata!", ADDRESS(INDEX($M$2:$M$1001,MATCH(ROWS($K$2:K642),$K$2:$K$1001,0),0), INDEX($R$1004:$W$1004,1,MATCH(COLUMNS($R$1006:T1006),$R$1006:$W$1006,0)))),"Fix")))</f>
        <v>0</v>
      </c>
      <c r="E642" s="3">
        <f>IF(OR(INDEX($L$2:$L$1001,MATCH(ROWS($K$2:K642),$K$2:$K$1001,0),1)&gt;=100000,INDEX($R$1005:$W$1005,1,MATCH(COLUMNS($R$1006:U1006),$R$1006:$W$1006,0))&gt;=100000), " ",IF(INDEX($R$2:$W$1001,MATCH(ROWS($K$2:K642),$K$2:$K$1001,0),MATCH(COLUMNS($R$1006:U1006),$R$1006:$W$1006,0)), HYPERLINK("#",""), HYPERLINK(CONCATENATE("#Metadata!", ADDRESS(INDEX($M$2:$M$1001,MATCH(ROWS($K$2:K642),$K$2:$K$1001,0),0), INDEX($R$1004:$W$1004,1,MATCH(COLUMNS($R$1006:U1006),$R$1006:$W$1006,0)))),"Fix")))</f>
        <v>0</v>
      </c>
      <c r="F642" s="3">
        <f>IF(OR(INDEX($L$2:$L$1001,MATCH(ROWS($K$2:K642),$K$2:$K$1001,0),1)&gt;=100000,INDEX($R$1005:$W$1005,1,MATCH(COLUMNS($R$1006:V1006),$R$1006:$W$1006,0))&gt;=100000), " ",IF(INDEX($R$2:$W$1001,MATCH(ROWS($K$2:K642),$K$2:$K$1001,0),MATCH(COLUMNS($R$1006:V1006),$R$1006:$W$1006,0)), HYPERLINK("#",""), HYPERLINK(CONCATENATE("#Metadata!", ADDRESS(INDEX($M$2:$M$1001,MATCH(ROWS($K$2:K642),$K$2:$K$1001,0),0), INDEX($R$1004:$W$1004,1,MATCH(COLUMNS($R$1006:V1006),$R$1006:$W$1006,0)))),"Fix")))</f>
        <v>0</v>
      </c>
      <c r="G642" s="3">
        <f>IF(OR(INDEX($L$2:$L$1001,MATCH(ROWS($K$2:K642),$K$2:$K$1001,0),1)&gt;=100000,INDEX($R$1005:$W$1005,1,MATCH(COLUMNS($R$1006:W1006),$R$1006:$W$1006,0))&gt;=100000), " ",IF(INDEX($R$2:$W$1001,MATCH(ROWS($K$2:K642),$K$2:$K$1001,0),MATCH(COLUMNS($R$1006:W1006),$R$1006:$W$1006,0)), HYPERLINK("#",""), HYPERLINK(CONCATENATE("#Metadata!", ADDRESS(INDEX($M$2:$M$1001,MATCH(ROWS($K$2:K642),$K$2:$K$1001,0),0), INDEX($R$1004:$W$1004,1,MATCH(COLUMNS($R$1006:W1006),$R$1006:$W$1006,0)))),"Fix")))</f>
        <v>0</v>
      </c>
      <c r="K642">
        <v>0</v>
      </c>
      <c r="L642">
        <v>0</v>
      </c>
      <c r="M642">
        <v>0</v>
      </c>
      <c r="N642">
        <f>IF(O642,TRUE,AND(R642:W642))</f>
        <v>0</v>
      </c>
      <c r="O642">
        <f>COUNTBLANK(Metadata!B642:G642)=COLUMNS(Metadata!B642:G642)</f>
        <v>0</v>
      </c>
      <c r="P642">
        <v>0</v>
      </c>
      <c r="R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S642">
        <f>IF(Metadata!C642="",FALSE,TRUE)</f>
        <v>0</v>
      </c>
      <c r="T642">
        <f>IF(Metadata!D642="",FALSE,TRUE)</f>
        <v>0</v>
      </c>
      <c r="U642">
        <f>IF(Metadata!E642="",FALSE,TRUE)</f>
        <v>0</v>
      </c>
      <c r="V642">
        <f>AND(IF(Metadata!F642="",FALSE,TRUE),exact(Metadata!F642,"rat gut metagenome"))</f>
        <v>0</v>
      </c>
      <c r="W642">
        <f>AND(IF(Metadata!G642="",FALSE,TRUE),exact(Metadata!G642,"1436733"))</f>
        <v>0</v>
      </c>
    </row>
    <row r="643" spans="1:23">
      <c r="A643" s="4">
        <f>IF(B643=" "," ",HYPERLINK(CONCATENATE("#metadata!",ADDRESS(INDEX($M$2:$M$1001,MATCH(ROWS($K$2:K643),$K$2:$K$1001,0),0),1)),INDEX($P$2:$P$1001,MATCH(ROWS($K$2:K643),$K$2:$K$1001,0),0)))</f>
        <v>0</v>
      </c>
      <c r="B643" s="3">
        <f>IF(OR(INDEX($L$2:$L$1001,MATCH(ROWS($K$2:K643),$K$2:$K$1001,0),1)&gt;=100000,INDEX($R$1005:$W$1005,1,MATCH(COLUMNS($R$1006:R1006),$R$1006:$W$1006,0))&gt;=100000), " ",IF(INDEX($R$2:$W$1001,MATCH(ROWS($K$2:K643),$K$2:$K$1001,0),MATCH(COLUMNS($R$1006:R1006),$R$1006:$W$1006,0)), HYPERLINK("#",""), HYPERLINK(CONCATENATE("#Metadata!", ADDRESS(INDEX($M$2:$M$1001,MATCH(ROWS($K$2:K643),$K$2:$K$1001,0),0), INDEX($R$1004:$W$1004,1,MATCH(COLUMNS($R$1006:R1006),$R$1006:$W$1006,0)))),"Fix")))</f>
        <v>0</v>
      </c>
      <c r="C643" s="3">
        <f>IF(OR(INDEX($L$2:$L$1001,MATCH(ROWS($K$2:K643),$K$2:$K$1001,0),1)&gt;=100000,INDEX($R$1005:$W$1005,1,MATCH(COLUMNS($R$1006:S1006),$R$1006:$W$1006,0))&gt;=100000), " ",IF(INDEX($R$2:$W$1001,MATCH(ROWS($K$2:K643),$K$2:$K$1001,0),MATCH(COLUMNS($R$1006:S1006),$R$1006:$W$1006,0)), HYPERLINK("#",""), HYPERLINK(CONCATENATE("#Metadata!", ADDRESS(INDEX($M$2:$M$1001,MATCH(ROWS($K$2:K643),$K$2:$K$1001,0),0), INDEX($R$1004:$W$1004,1,MATCH(COLUMNS($R$1006:S1006),$R$1006:$W$1006,0)))),"Fix")))</f>
        <v>0</v>
      </c>
      <c r="D643" s="3">
        <f>IF(OR(INDEX($L$2:$L$1001,MATCH(ROWS($K$2:K643),$K$2:$K$1001,0),1)&gt;=100000,INDEX($R$1005:$W$1005,1,MATCH(COLUMNS($R$1006:T1006),$R$1006:$W$1006,0))&gt;=100000), " ",IF(INDEX($R$2:$W$1001,MATCH(ROWS($K$2:K643),$K$2:$K$1001,0),MATCH(COLUMNS($R$1006:T1006),$R$1006:$W$1006,0)), HYPERLINK("#",""), HYPERLINK(CONCATENATE("#Metadata!", ADDRESS(INDEX($M$2:$M$1001,MATCH(ROWS($K$2:K643),$K$2:$K$1001,0),0), INDEX($R$1004:$W$1004,1,MATCH(COLUMNS($R$1006:T1006),$R$1006:$W$1006,0)))),"Fix")))</f>
        <v>0</v>
      </c>
      <c r="E643" s="3">
        <f>IF(OR(INDEX($L$2:$L$1001,MATCH(ROWS($K$2:K643),$K$2:$K$1001,0),1)&gt;=100000,INDEX($R$1005:$W$1005,1,MATCH(COLUMNS($R$1006:U1006),$R$1006:$W$1006,0))&gt;=100000), " ",IF(INDEX($R$2:$W$1001,MATCH(ROWS($K$2:K643),$K$2:$K$1001,0),MATCH(COLUMNS($R$1006:U1006),$R$1006:$W$1006,0)), HYPERLINK("#",""), HYPERLINK(CONCATENATE("#Metadata!", ADDRESS(INDEX($M$2:$M$1001,MATCH(ROWS($K$2:K643),$K$2:$K$1001,0),0), INDEX($R$1004:$W$1004,1,MATCH(COLUMNS($R$1006:U1006),$R$1006:$W$1006,0)))),"Fix")))</f>
        <v>0</v>
      </c>
      <c r="F643" s="3">
        <f>IF(OR(INDEX($L$2:$L$1001,MATCH(ROWS($K$2:K643),$K$2:$K$1001,0),1)&gt;=100000,INDEX($R$1005:$W$1005,1,MATCH(COLUMNS($R$1006:V1006),$R$1006:$W$1006,0))&gt;=100000), " ",IF(INDEX($R$2:$W$1001,MATCH(ROWS($K$2:K643),$K$2:$K$1001,0),MATCH(COLUMNS($R$1006:V1006),$R$1006:$W$1006,0)), HYPERLINK("#",""), HYPERLINK(CONCATENATE("#Metadata!", ADDRESS(INDEX($M$2:$M$1001,MATCH(ROWS($K$2:K643),$K$2:$K$1001,0),0), INDEX($R$1004:$W$1004,1,MATCH(COLUMNS($R$1006:V1006),$R$1006:$W$1006,0)))),"Fix")))</f>
        <v>0</v>
      </c>
      <c r="G643" s="3">
        <f>IF(OR(INDEX($L$2:$L$1001,MATCH(ROWS($K$2:K643),$K$2:$K$1001,0),1)&gt;=100000,INDEX($R$1005:$W$1005,1,MATCH(COLUMNS($R$1006:W1006),$R$1006:$W$1006,0))&gt;=100000), " ",IF(INDEX($R$2:$W$1001,MATCH(ROWS($K$2:K643),$K$2:$K$1001,0),MATCH(COLUMNS($R$1006:W1006),$R$1006:$W$1006,0)), HYPERLINK("#",""), HYPERLINK(CONCATENATE("#Metadata!", ADDRESS(INDEX($M$2:$M$1001,MATCH(ROWS($K$2:K643),$K$2:$K$1001,0),0), INDEX($R$1004:$W$1004,1,MATCH(COLUMNS($R$1006:W1006),$R$1006:$W$1006,0)))),"Fix")))</f>
        <v>0</v>
      </c>
      <c r="K643">
        <v>0</v>
      </c>
      <c r="L643">
        <v>0</v>
      </c>
      <c r="M643">
        <v>0</v>
      </c>
      <c r="N643">
        <f>IF(O643,TRUE,AND(R643:W643))</f>
        <v>0</v>
      </c>
      <c r="O643">
        <f>COUNTBLANK(Metadata!B643:G643)=COLUMNS(Metadata!B643:G643)</f>
        <v>0</v>
      </c>
      <c r="P643">
        <v>0</v>
      </c>
      <c r="R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S643">
        <f>IF(Metadata!C643="",FALSE,TRUE)</f>
        <v>0</v>
      </c>
      <c r="T643">
        <f>IF(Metadata!D643="",FALSE,TRUE)</f>
        <v>0</v>
      </c>
      <c r="U643">
        <f>IF(Metadata!E643="",FALSE,TRUE)</f>
        <v>0</v>
      </c>
      <c r="V643">
        <f>AND(IF(Metadata!F643="",FALSE,TRUE),exact(Metadata!F643,"rat gut metagenome"))</f>
        <v>0</v>
      </c>
      <c r="W643">
        <f>AND(IF(Metadata!G643="",FALSE,TRUE),exact(Metadata!G643,"1436733"))</f>
        <v>0</v>
      </c>
    </row>
    <row r="644" spans="1:23">
      <c r="A644" s="4">
        <f>IF(B644=" "," ",HYPERLINK(CONCATENATE("#metadata!",ADDRESS(INDEX($M$2:$M$1001,MATCH(ROWS($K$2:K644),$K$2:$K$1001,0),0),1)),INDEX($P$2:$P$1001,MATCH(ROWS($K$2:K644),$K$2:$K$1001,0),0)))</f>
        <v>0</v>
      </c>
      <c r="B644" s="3">
        <f>IF(OR(INDEX($L$2:$L$1001,MATCH(ROWS($K$2:K644),$K$2:$K$1001,0),1)&gt;=100000,INDEX($R$1005:$W$1005,1,MATCH(COLUMNS($R$1006:R1006),$R$1006:$W$1006,0))&gt;=100000), " ",IF(INDEX($R$2:$W$1001,MATCH(ROWS($K$2:K644),$K$2:$K$1001,0),MATCH(COLUMNS($R$1006:R1006),$R$1006:$W$1006,0)), HYPERLINK("#",""), HYPERLINK(CONCATENATE("#Metadata!", ADDRESS(INDEX($M$2:$M$1001,MATCH(ROWS($K$2:K644),$K$2:$K$1001,0),0), INDEX($R$1004:$W$1004,1,MATCH(COLUMNS($R$1006:R1006),$R$1006:$W$1006,0)))),"Fix")))</f>
        <v>0</v>
      </c>
      <c r="C644" s="3">
        <f>IF(OR(INDEX($L$2:$L$1001,MATCH(ROWS($K$2:K644),$K$2:$K$1001,0),1)&gt;=100000,INDEX($R$1005:$W$1005,1,MATCH(COLUMNS($R$1006:S1006),$R$1006:$W$1006,0))&gt;=100000), " ",IF(INDEX($R$2:$W$1001,MATCH(ROWS($K$2:K644),$K$2:$K$1001,0),MATCH(COLUMNS($R$1006:S1006),$R$1006:$W$1006,0)), HYPERLINK("#",""), HYPERLINK(CONCATENATE("#Metadata!", ADDRESS(INDEX($M$2:$M$1001,MATCH(ROWS($K$2:K644),$K$2:$K$1001,0),0), INDEX($R$1004:$W$1004,1,MATCH(COLUMNS($R$1006:S1006),$R$1006:$W$1006,0)))),"Fix")))</f>
        <v>0</v>
      </c>
      <c r="D644" s="3">
        <f>IF(OR(INDEX($L$2:$L$1001,MATCH(ROWS($K$2:K644),$K$2:$K$1001,0),1)&gt;=100000,INDEX($R$1005:$W$1005,1,MATCH(COLUMNS($R$1006:T1006),$R$1006:$W$1006,0))&gt;=100000), " ",IF(INDEX($R$2:$W$1001,MATCH(ROWS($K$2:K644),$K$2:$K$1001,0),MATCH(COLUMNS($R$1006:T1006),$R$1006:$W$1006,0)), HYPERLINK("#",""), HYPERLINK(CONCATENATE("#Metadata!", ADDRESS(INDEX($M$2:$M$1001,MATCH(ROWS($K$2:K644),$K$2:$K$1001,0),0), INDEX($R$1004:$W$1004,1,MATCH(COLUMNS($R$1006:T1006),$R$1006:$W$1006,0)))),"Fix")))</f>
        <v>0</v>
      </c>
      <c r="E644" s="3">
        <f>IF(OR(INDEX($L$2:$L$1001,MATCH(ROWS($K$2:K644),$K$2:$K$1001,0),1)&gt;=100000,INDEX($R$1005:$W$1005,1,MATCH(COLUMNS($R$1006:U1006),$R$1006:$W$1006,0))&gt;=100000), " ",IF(INDEX($R$2:$W$1001,MATCH(ROWS($K$2:K644),$K$2:$K$1001,0),MATCH(COLUMNS($R$1006:U1006),$R$1006:$W$1006,0)), HYPERLINK("#",""), HYPERLINK(CONCATENATE("#Metadata!", ADDRESS(INDEX($M$2:$M$1001,MATCH(ROWS($K$2:K644),$K$2:$K$1001,0),0), INDEX($R$1004:$W$1004,1,MATCH(COLUMNS($R$1006:U1006),$R$1006:$W$1006,0)))),"Fix")))</f>
        <v>0</v>
      </c>
      <c r="F644" s="3">
        <f>IF(OR(INDEX($L$2:$L$1001,MATCH(ROWS($K$2:K644),$K$2:$K$1001,0),1)&gt;=100000,INDEX($R$1005:$W$1005,1,MATCH(COLUMNS($R$1006:V1006),$R$1006:$W$1006,0))&gt;=100000), " ",IF(INDEX($R$2:$W$1001,MATCH(ROWS($K$2:K644),$K$2:$K$1001,0),MATCH(COLUMNS($R$1006:V1006),$R$1006:$W$1006,0)), HYPERLINK("#",""), HYPERLINK(CONCATENATE("#Metadata!", ADDRESS(INDEX($M$2:$M$1001,MATCH(ROWS($K$2:K644),$K$2:$K$1001,0),0), INDEX($R$1004:$W$1004,1,MATCH(COLUMNS($R$1006:V1006),$R$1006:$W$1006,0)))),"Fix")))</f>
        <v>0</v>
      </c>
      <c r="G644" s="3">
        <f>IF(OR(INDEX($L$2:$L$1001,MATCH(ROWS($K$2:K644),$K$2:$K$1001,0),1)&gt;=100000,INDEX($R$1005:$W$1005,1,MATCH(COLUMNS($R$1006:W1006),$R$1006:$W$1006,0))&gt;=100000), " ",IF(INDEX($R$2:$W$1001,MATCH(ROWS($K$2:K644),$K$2:$K$1001,0),MATCH(COLUMNS($R$1006:W1006),$R$1006:$W$1006,0)), HYPERLINK("#",""), HYPERLINK(CONCATENATE("#Metadata!", ADDRESS(INDEX($M$2:$M$1001,MATCH(ROWS($K$2:K644),$K$2:$K$1001,0),0), INDEX($R$1004:$W$1004,1,MATCH(COLUMNS($R$1006:W1006),$R$1006:$W$1006,0)))),"Fix")))</f>
        <v>0</v>
      </c>
      <c r="K644">
        <v>0</v>
      </c>
      <c r="L644">
        <v>0</v>
      </c>
      <c r="M644">
        <v>0</v>
      </c>
      <c r="N644">
        <f>IF(O644,TRUE,AND(R644:W644))</f>
        <v>0</v>
      </c>
      <c r="O644">
        <f>COUNTBLANK(Metadata!B644:G644)=COLUMNS(Metadata!B644:G644)</f>
        <v>0</v>
      </c>
      <c r="P644">
        <v>0</v>
      </c>
      <c r="R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S644">
        <f>IF(Metadata!C644="",FALSE,TRUE)</f>
        <v>0</v>
      </c>
      <c r="T644">
        <f>IF(Metadata!D644="",FALSE,TRUE)</f>
        <v>0</v>
      </c>
      <c r="U644">
        <f>IF(Metadata!E644="",FALSE,TRUE)</f>
        <v>0</v>
      </c>
      <c r="V644">
        <f>AND(IF(Metadata!F644="",FALSE,TRUE),exact(Metadata!F644,"rat gut metagenome"))</f>
        <v>0</v>
      </c>
      <c r="W644">
        <f>AND(IF(Metadata!G644="",FALSE,TRUE),exact(Metadata!G644,"1436733"))</f>
        <v>0</v>
      </c>
    </row>
    <row r="645" spans="1:23">
      <c r="A645" s="4">
        <f>IF(B645=" "," ",HYPERLINK(CONCATENATE("#metadata!",ADDRESS(INDEX($M$2:$M$1001,MATCH(ROWS($K$2:K645),$K$2:$K$1001,0),0),1)),INDEX($P$2:$P$1001,MATCH(ROWS($K$2:K645),$K$2:$K$1001,0),0)))</f>
        <v>0</v>
      </c>
      <c r="B645" s="3">
        <f>IF(OR(INDEX($L$2:$L$1001,MATCH(ROWS($K$2:K645),$K$2:$K$1001,0),1)&gt;=100000,INDEX($R$1005:$W$1005,1,MATCH(COLUMNS($R$1006:R1006),$R$1006:$W$1006,0))&gt;=100000), " ",IF(INDEX($R$2:$W$1001,MATCH(ROWS($K$2:K645),$K$2:$K$1001,0),MATCH(COLUMNS($R$1006:R1006),$R$1006:$W$1006,0)), HYPERLINK("#",""), HYPERLINK(CONCATENATE("#Metadata!", ADDRESS(INDEX($M$2:$M$1001,MATCH(ROWS($K$2:K645),$K$2:$K$1001,0),0), INDEX($R$1004:$W$1004,1,MATCH(COLUMNS($R$1006:R1006),$R$1006:$W$1006,0)))),"Fix")))</f>
        <v>0</v>
      </c>
      <c r="C645" s="3">
        <f>IF(OR(INDEX($L$2:$L$1001,MATCH(ROWS($K$2:K645),$K$2:$K$1001,0),1)&gt;=100000,INDEX($R$1005:$W$1005,1,MATCH(COLUMNS($R$1006:S1006),$R$1006:$W$1006,0))&gt;=100000), " ",IF(INDEX($R$2:$W$1001,MATCH(ROWS($K$2:K645),$K$2:$K$1001,0),MATCH(COLUMNS($R$1006:S1006),$R$1006:$W$1006,0)), HYPERLINK("#",""), HYPERLINK(CONCATENATE("#Metadata!", ADDRESS(INDEX($M$2:$M$1001,MATCH(ROWS($K$2:K645),$K$2:$K$1001,0),0), INDEX($R$1004:$W$1004,1,MATCH(COLUMNS($R$1006:S1006),$R$1006:$W$1006,0)))),"Fix")))</f>
        <v>0</v>
      </c>
      <c r="D645" s="3">
        <f>IF(OR(INDEX($L$2:$L$1001,MATCH(ROWS($K$2:K645),$K$2:$K$1001,0),1)&gt;=100000,INDEX($R$1005:$W$1005,1,MATCH(COLUMNS($R$1006:T1006),$R$1006:$W$1006,0))&gt;=100000), " ",IF(INDEX($R$2:$W$1001,MATCH(ROWS($K$2:K645),$K$2:$K$1001,0),MATCH(COLUMNS($R$1006:T1006),$R$1006:$W$1006,0)), HYPERLINK("#",""), HYPERLINK(CONCATENATE("#Metadata!", ADDRESS(INDEX($M$2:$M$1001,MATCH(ROWS($K$2:K645),$K$2:$K$1001,0),0), INDEX($R$1004:$W$1004,1,MATCH(COLUMNS($R$1006:T1006),$R$1006:$W$1006,0)))),"Fix")))</f>
        <v>0</v>
      </c>
      <c r="E645" s="3">
        <f>IF(OR(INDEX($L$2:$L$1001,MATCH(ROWS($K$2:K645),$K$2:$K$1001,0),1)&gt;=100000,INDEX($R$1005:$W$1005,1,MATCH(COLUMNS($R$1006:U1006),$R$1006:$W$1006,0))&gt;=100000), " ",IF(INDEX($R$2:$W$1001,MATCH(ROWS($K$2:K645),$K$2:$K$1001,0),MATCH(COLUMNS($R$1006:U1006),$R$1006:$W$1006,0)), HYPERLINK("#",""), HYPERLINK(CONCATENATE("#Metadata!", ADDRESS(INDEX($M$2:$M$1001,MATCH(ROWS($K$2:K645),$K$2:$K$1001,0),0), INDEX($R$1004:$W$1004,1,MATCH(COLUMNS($R$1006:U1006),$R$1006:$W$1006,0)))),"Fix")))</f>
        <v>0</v>
      </c>
      <c r="F645" s="3">
        <f>IF(OR(INDEX($L$2:$L$1001,MATCH(ROWS($K$2:K645),$K$2:$K$1001,0),1)&gt;=100000,INDEX($R$1005:$W$1005,1,MATCH(COLUMNS($R$1006:V1006),$R$1006:$W$1006,0))&gt;=100000), " ",IF(INDEX($R$2:$W$1001,MATCH(ROWS($K$2:K645),$K$2:$K$1001,0),MATCH(COLUMNS($R$1006:V1006),$R$1006:$W$1006,0)), HYPERLINK("#",""), HYPERLINK(CONCATENATE("#Metadata!", ADDRESS(INDEX($M$2:$M$1001,MATCH(ROWS($K$2:K645),$K$2:$K$1001,0),0), INDEX($R$1004:$W$1004,1,MATCH(COLUMNS($R$1006:V1006),$R$1006:$W$1006,0)))),"Fix")))</f>
        <v>0</v>
      </c>
      <c r="G645" s="3">
        <f>IF(OR(INDEX($L$2:$L$1001,MATCH(ROWS($K$2:K645),$K$2:$K$1001,0),1)&gt;=100000,INDEX($R$1005:$W$1005,1,MATCH(COLUMNS($R$1006:W1006),$R$1006:$W$1006,0))&gt;=100000), " ",IF(INDEX($R$2:$W$1001,MATCH(ROWS($K$2:K645),$K$2:$K$1001,0),MATCH(COLUMNS($R$1006:W1006),$R$1006:$W$1006,0)), HYPERLINK("#",""), HYPERLINK(CONCATENATE("#Metadata!", ADDRESS(INDEX($M$2:$M$1001,MATCH(ROWS($K$2:K645),$K$2:$K$1001,0),0), INDEX($R$1004:$W$1004,1,MATCH(COLUMNS($R$1006:W1006),$R$1006:$W$1006,0)))),"Fix")))</f>
        <v>0</v>
      </c>
      <c r="K645">
        <v>0</v>
      </c>
      <c r="L645">
        <v>0</v>
      </c>
      <c r="M645">
        <v>0</v>
      </c>
      <c r="N645">
        <f>IF(O645,TRUE,AND(R645:W645))</f>
        <v>0</v>
      </c>
      <c r="O645">
        <f>COUNTBLANK(Metadata!B645:G645)=COLUMNS(Metadata!B645:G645)</f>
        <v>0</v>
      </c>
      <c r="P645">
        <v>0</v>
      </c>
      <c r="R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S645">
        <f>IF(Metadata!C645="",FALSE,TRUE)</f>
        <v>0</v>
      </c>
      <c r="T645">
        <f>IF(Metadata!D645="",FALSE,TRUE)</f>
        <v>0</v>
      </c>
      <c r="U645">
        <f>IF(Metadata!E645="",FALSE,TRUE)</f>
        <v>0</v>
      </c>
      <c r="V645">
        <f>AND(IF(Metadata!F645="",FALSE,TRUE),exact(Metadata!F645,"rat gut metagenome"))</f>
        <v>0</v>
      </c>
      <c r="W645">
        <f>AND(IF(Metadata!G645="",FALSE,TRUE),exact(Metadata!G645,"1436733"))</f>
        <v>0</v>
      </c>
    </row>
    <row r="646" spans="1:23">
      <c r="A646" s="4">
        <f>IF(B646=" "," ",HYPERLINK(CONCATENATE("#metadata!",ADDRESS(INDEX($M$2:$M$1001,MATCH(ROWS($K$2:K646),$K$2:$K$1001,0),0),1)),INDEX($P$2:$P$1001,MATCH(ROWS($K$2:K646),$K$2:$K$1001,0),0)))</f>
        <v>0</v>
      </c>
      <c r="B646" s="3">
        <f>IF(OR(INDEX($L$2:$L$1001,MATCH(ROWS($K$2:K646),$K$2:$K$1001,0),1)&gt;=100000,INDEX($R$1005:$W$1005,1,MATCH(COLUMNS($R$1006:R1006),$R$1006:$W$1006,0))&gt;=100000), " ",IF(INDEX($R$2:$W$1001,MATCH(ROWS($K$2:K646),$K$2:$K$1001,0),MATCH(COLUMNS($R$1006:R1006),$R$1006:$W$1006,0)), HYPERLINK("#",""), HYPERLINK(CONCATENATE("#Metadata!", ADDRESS(INDEX($M$2:$M$1001,MATCH(ROWS($K$2:K646),$K$2:$K$1001,0),0), INDEX($R$1004:$W$1004,1,MATCH(COLUMNS($R$1006:R1006),$R$1006:$W$1006,0)))),"Fix")))</f>
        <v>0</v>
      </c>
      <c r="C646" s="3">
        <f>IF(OR(INDEX($L$2:$L$1001,MATCH(ROWS($K$2:K646),$K$2:$K$1001,0),1)&gt;=100000,INDEX($R$1005:$W$1005,1,MATCH(COLUMNS($R$1006:S1006),$R$1006:$W$1006,0))&gt;=100000), " ",IF(INDEX($R$2:$W$1001,MATCH(ROWS($K$2:K646),$K$2:$K$1001,0),MATCH(COLUMNS($R$1006:S1006),$R$1006:$W$1006,0)), HYPERLINK("#",""), HYPERLINK(CONCATENATE("#Metadata!", ADDRESS(INDEX($M$2:$M$1001,MATCH(ROWS($K$2:K646),$K$2:$K$1001,0),0), INDEX($R$1004:$W$1004,1,MATCH(COLUMNS($R$1006:S1006),$R$1006:$W$1006,0)))),"Fix")))</f>
        <v>0</v>
      </c>
      <c r="D646" s="3">
        <f>IF(OR(INDEX($L$2:$L$1001,MATCH(ROWS($K$2:K646),$K$2:$K$1001,0),1)&gt;=100000,INDEX($R$1005:$W$1005,1,MATCH(COLUMNS($R$1006:T1006),$R$1006:$W$1006,0))&gt;=100000), " ",IF(INDEX($R$2:$W$1001,MATCH(ROWS($K$2:K646),$K$2:$K$1001,0),MATCH(COLUMNS($R$1006:T1006),$R$1006:$W$1006,0)), HYPERLINK("#",""), HYPERLINK(CONCATENATE("#Metadata!", ADDRESS(INDEX($M$2:$M$1001,MATCH(ROWS($K$2:K646),$K$2:$K$1001,0),0), INDEX($R$1004:$W$1004,1,MATCH(COLUMNS($R$1006:T1006),$R$1006:$W$1006,0)))),"Fix")))</f>
        <v>0</v>
      </c>
      <c r="E646" s="3">
        <f>IF(OR(INDEX($L$2:$L$1001,MATCH(ROWS($K$2:K646),$K$2:$K$1001,0),1)&gt;=100000,INDEX($R$1005:$W$1005,1,MATCH(COLUMNS($R$1006:U1006),$R$1006:$W$1006,0))&gt;=100000), " ",IF(INDEX($R$2:$W$1001,MATCH(ROWS($K$2:K646),$K$2:$K$1001,0),MATCH(COLUMNS($R$1006:U1006),$R$1006:$W$1006,0)), HYPERLINK("#",""), HYPERLINK(CONCATENATE("#Metadata!", ADDRESS(INDEX($M$2:$M$1001,MATCH(ROWS($K$2:K646),$K$2:$K$1001,0),0), INDEX($R$1004:$W$1004,1,MATCH(COLUMNS($R$1006:U1006),$R$1006:$W$1006,0)))),"Fix")))</f>
        <v>0</v>
      </c>
      <c r="F646" s="3">
        <f>IF(OR(INDEX($L$2:$L$1001,MATCH(ROWS($K$2:K646),$K$2:$K$1001,0),1)&gt;=100000,INDEX($R$1005:$W$1005,1,MATCH(COLUMNS($R$1006:V1006),$R$1006:$W$1006,0))&gt;=100000), " ",IF(INDEX($R$2:$W$1001,MATCH(ROWS($K$2:K646),$K$2:$K$1001,0),MATCH(COLUMNS($R$1006:V1006),$R$1006:$W$1006,0)), HYPERLINK("#",""), HYPERLINK(CONCATENATE("#Metadata!", ADDRESS(INDEX($M$2:$M$1001,MATCH(ROWS($K$2:K646),$K$2:$K$1001,0),0), INDEX($R$1004:$W$1004,1,MATCH(COLUMNS($R$1006:V1006),$R$1006:$W$1006,0)))),"Fix")))</f>
        <v>0</v>
      </c>
      <c r="G646" s="3">
        <f>IF(OR(INDEX($L$2:$L$1001,MATCH(ROWS($K$2:K646),$K$2:$K$1001,0),1)&gt;=100000,INDEX($R$1005:$W$1005,1,MATCH(COLUMNS($R$1006:W1006),$R$1006:$W$1006,0))&gt;=100000), " ",IF(INDEX($R$2:$W$1001,MATCH(ROWS($K$2:K646),$K$2:$K$1001,0),MATCH(COLUMNS($R$1006:W1006),$R$1006:$W$1006,0)), HYPERLINK("#",""), HYPERLINK(CONCATENATE("#Metadata!", ADDRESS(INDEX($M$2:$M$1001,MATCH(ROWS($K$2:K646),$K$2:$K$1001,0),0), INDEX($R$1004:$W$1004,1,MATCH(COLUMNS($R$1006:W1006),$R$1006:$W$1006,0)))),"Fix")))</f>
        <v>0</v>
      </c>
      <c r="K646">
        <v>0</v>
      </c>
      <c r="L646">
        <v>0</v>
      </c>
      <c r="M646">
        <v>0</v>
      </c>
      <c r="N646">
        <f>IF(O646,TRUE,AND(R646:W646))</f>
        <v>0</v>
      </c>
      <c r="O646">
        <f>COUNTBLANK(Metadata!B646:G646)=COLUMNS(Metadata!B646:G646)</f>
        <v>0</v>
      </c>
      <c r="P646">
        <v>0</v>
      </c>
      <c r="R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S646">
        <f>IF(Metadata!C646="",FALSE,TRUE)</f>
        <v>0</v>
      </c>
      <c r="T646">
        <f>IF(Metadata!D646="",FALSE,TRUE)</f>
        <v>0</v>
      </c>
      <c r="U646">
        <f>IF(Metadata!E646="",FALSE,TRUE)</f>
        <v>0</v>
      </c>
      <c r="V646">
        <f>AND(IF(Metadata!F646="",FALSE,TRUE),exact(Metadata!F646,"rat gut metagenome"))</f>
        <v>0</v>
      </c>
      <c r="W646">
        <f>AND(IF(Metadata!G646="",FALSE,TRUE),exact(Metadata!G646,"1436733"))</f>
        <v>0</v>
      </c>
    </row>
    <row r="647" spans="1:23">
      <c r="A647" s="4">
        <f>IF(B647=" "," ",HYPERLINK(CONCATENATE("#metadata!",ADDRESS(INDEX($M$2:$M$1001,MATCH(ROWS($K$2:K647),$K$2:$K$1001,0),0),1)),INDEX($P$2:$P$1001,MATCH(ROWS($K$2:K647),$K$2:$K$1001,0),0)))</f>
        <v>0</v>
      </c>
      <c r="B647" s="3">
        <f>IF(OR(INDEX($L$2:$L$1001,MATCH(ROWS($K$2:K647),$K$2:$K$1001,0),1)&gt;=100000,INDEX($R$1005:$W$1005,1,MATCH(COLUMNS($R$1006:R1006),$R$1006:$W$1006,0))&gt;=100000), " ",IF(INDEX($R$2:$W$1001,MATCH(ROWS($K$2:K647),$K$2:$K$1001,0),MATCH(COLUMNS($R$1006:R1006),$R$1006:$W$1006,0)), HYPERLINK("#",""), HYPERLINK(CONCATENATE("#Metadata!", ADDRESS(INDEX($M$2:$M$1001,MATCH(ROWS($K$2:K647),$K$2:$K$1001,0),0), INDEX($R$1004:$W$1004,1,MATCH(COLUMNS($R$1006:R1006),$R$1006:$W$1006,0)))),"Fix")))</f>
        <v>0</v>
      </c>
      <c r="C647" s="3">
        <f>IF(OR(INDEX($L$2:$L$1001,MATCH(ROWS($K$2:K647),$K$2:$K$1001,0),1)&gt;=100000,INDEX($R$1005:$W$1005,1,MATCH(COLUMNS($R$1006:S1006),$R$1006:$W$1006,0))&gt;=100000), " ",IF(INDEX($R$2:$W$1001,MATCH(ROWS($K$2:K647),$K$2:$K$1001,0),MATCH(COLUMNS($R$1006:S1006),$R$1006:$W$1006,0)), HYPERLINK("#",""), HYPERLINK(CONCATENATE("#Metadata!", ADDRESS(INDEX($M$2:$M$1001,MATCH(ROWS($K$2:K647),$K$2:$K$1001,0),0), INDEX($R$1004:$W$1004,1,MATCH(COLUMNS($R$1006:S1006),$R$1006:$W$1006,0)))),"Fix")))</f>
        <v>0</v>
      </c>
      <c r="D647" s="3">
        <f>IF(OR(INDEX($L$2:$L$1001,MATCH(ROWS($K$2:K647),$K$2:$K$1001,0),1)&gt;=100000,INDEX($R$1005:$W$1005,1,MATCH(COLUMNS($R$1006:T1006),$R$1006:$W$1006,0))&gt;=100000), " ",IF(INDEX($R$2:$W$1001,MATCH(ROWS($K$2:K647),$K$2:$K$1001,0),MATCH(COLUMNS($R$1006:T1006),$R$1006:$W$1006,0)), HYPERLINK("#",""), HYPERLINK(CONCATENATE("#Metadata!", ADDRESS(INDEX($M$2:$M$1001,MATCH(ROWS($K$2:K647),$K$2:$K$1001,0),0), INDEX($R$1004:$W$1004,1,MATCH(COLUMNS($R$1006:T1006),$R$1006:$W$1006,0)))),"Fix")))</f>
        <v>0</v>
      </c>
      <c r="E647" s="3">
        <f>IF(OR(INDEX($L$2:$L$1001,MATCH(ROWS($K$2:K647),$K$2:$K$1001,0),1)&gt;=100000,INDEX($R$1005:$W$1005,1,MATCH(COLUMNS($R$1006:U1006),$R$1006:$W$1006,0))&gt;=100000), " ",IF(INDEX($R$2:$W$1001,MATCH(ROWS($K$2:K647),$K$2:$K$1001,0),MATCH(COLUMNS($R$1006:U1006),$R$1006:$W$1006,0)), HYPERLINK("#",""), HYPERLINK(CONCATENATE("#Metadata!", ADDRESS(INDEX($M$2:$M$1001,MATCH(ROWS($K$2:K647),$K$2:$K$1001,0),0), INDEX($R$1004:$W$1004,1,MATCH(COLUMNS($R$1006:U1006),$R$1006:$W$1006,0)))),"Fix")))</f>
        <v>0</v>
      </c>
      <c r="F647" s="3">
        <f>IF(OR(INDEX($L$2:$L$1001,MATCH(ROWS($K$2:K647),$K$2:$K$1001,0),1)&gt;=100000,INDEX($R$1005:$W$1005,1,MATCH(COLUMNS($R$1006:V1006),$R$1006:$W$1006,0))&gt;=100000), " ",IF(INDEX($R$2:$W$1001,MATCH(ROWS($K$2:K647),$K$2:$K$1001,0),MATCH(COLUMNS($R$1006:V1006),$R$1006:$W$1006,0)), HYPERLINK("#",""), HYPERLINK(CONCATENATE("#Metadata!", ADDRESS(INDEX($M$2:$M$1001,MATCH(ROWS($K$2:K647),$K$2:$K$1001,0),0), INDEX($R$1004:$W$1004,1,MATCH(COLUMNS($R$1006:V1006),$R$1006:$W$1006,0)))),"Fix")))</f>
        <v>0</v>
      </c>
      <c r="G647" s="3">
        <f>IF(OR(INDEX($L$2:$L$1001,MATCH(ROWS($K$2:K647),$K$2:$K$1001,0),1)&gt;=100000,INDEX($R$1005:$W$1005,1,MATCH(COLUMNS($R$1006:W1006),$R$1006:$W$1006,0))&gt;=100000), " ",IF(INDEX($R$2:$W$1001,MATCH(ROWS($K$2:K647),$K$2:$K$1001,0),MATCH(COLUMNS($R$1006:W1006),$R$1006:$W$1006,0)), HYPERLINK("#",""), HYPERLINK(CONCATENATE("#Metadata!", ADDRESS(INDEX($M$2:$M$1001,MATCH(ROWS($K$2:K647),$K$2:$K$1001,0),0), INDEX($R$1004:$W$1004,1,MATCH(COLUMNS($R$1006:W1006),$R$1006:$W$1006,0)))),"Fix")))</f>
        <v>0</v>
      </c>
      <c r="K647">
        <v>0</v>
      </c>
      <c r="L647">
        <v>0</v>
      </c>
      <c r="M647">
        <v>0</v>
      </c>
      <c r="N647">
        <f>IF(O647,TRUE,AND(R647:W647))</f>
        <v>0</v>
      </c>
      <c r="O647">
        <f>COUNTBLANK(Metadata!B647:G647)=COLUMNS(Metadata!B647:G647)</f>
        <v>0</v>
      </c>
      <c r="P647">
        <v>0</v>
      </c>
      <c r="R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S647">
        <f>IF(Metadata!C647="",FALSE,TRUE)</f>
        <v>0</v>
      </c>
      <c r="T647">
        <f>IF(Metadata!D647="",FALSE,TRUE)</f>
        <v>0</v>
      </c>
      <c r="U647">
        <f>IF(Metadata!E647="",FALSE,TRUE)</f>
        <v>0</v>
      </c>
      <c r="V647">
        <f>AND(IF(Metadata!F647="",FALSE,TRUE),exact(Metadata!F647,"rat gut metagenome"))</f>
        <v>0</v>
      </c>
      <c r="W647">
        <f>AND(IF(Metadata!G647="",FALSE,TRUE),exact(Metadata!G647,"1436733"))</f>
        <v>0</v>
      </c>
    </row>
    <row r="648" spans="1:23">
      <c r="A648" s="4">
        <f>IF(B648=" "," ",HYPERLINK(CONCATENATE("#metadata!",ADDRESS(INDEX($M$2:$M$1001,MATCH(ROWS($K$2:K648),$K$2:$K$1001,0),0),1)),INDEX($P$2:$P$1001,MATCH(ROWS($K$2:K648),$K$2:$K$1001,0),0)))</f>
        <v>0</v>
      </c>
      <c r="B648" s="3">
        <f>IF(OR(INDEX($L$2:$L$1001,MATCH(ROWS($K$2:K648),$K$2:$K$1001,0),1)&gt;=100000,INDEX($R$1005:$W$1005,1,MATCH(COLUMNS($R$1006:R1006),$R$1006:$W$1006,0))&gt;=100000), " ",IF(INDEX($R$2:$W$1001,MATCH(ROWS($K$2:K648),$K$2:$K$1001,0),MATCH(COLUMNS($R$1006:R1006),$R$1006:$W$1006,0)), HYPERLINK("#",""), HYPERLINK(CONCATENATE("#Metadata!", ADDRESS(INDEX($M$2:$M$1001,MATCH(ROWS($K$2:K648),$K$2:$K$1001,0),0), INDEX($R$1004:$W$1004,1,MATCH(COLUMNS($R$1006:R1006),$R$1006:$W$1006,0)))),"Fix")))</f>
        <v>0</v>
      </c>
      <c r="C648" s="3">
        <f>IF(OR(INDEX($L$2:$L$1001,MATCH(ROWS($K$2:K648),$K$2:$K$1001,0),1)&gt;=100000,INDEX($R$1005:$W$1005,1,MATCH(COLUMNS($R$1006:S1006),$R$1006:$W$1006,0))&gt;=100000), " ",IF(INDEX($R$2:$W$1001,MATCH(ROWS($K$2:K648),$K$2:$K$1001,0),MATCH(COLUMNS($R$1006:S1006),$R$1006:$W$1006,0)), HYPERLINK("#",""), HYPERLINK(CONCATENATE("#Metadata!", ADDRESS(INDEX($M$2:$M$1001,MATCH(ROWS($K$2:K648),$K$2:$K$1001,0),0), INDEX($R$1004:$W$1004,1,MATCH(COLUMNS($R$1006:S1006),$R$1006:$W$1006,0)))),"Fix")))</f>
        <v>0</v>
      </c>
      <c r="D648" s="3">
        <f>IF(OR(INDEX($L$2:$L$1001,MATCH(ROWS($K$2:K648),$K$2:$K$1001,0),1)&gt;=100000,INDEX($R$1005:$W$1005,1,MATCH(COLUMNS($R$1006:T1006),$R$1006:$W$1006,0))&gt;=100000), " ",IF(INDEX($R$2:$W$1001,MATCH(ROWS($K$2:K648),$K$2:$K$1001,0),MATCH(COLUMNS($R$1006:T1006),$R$1006:$W$1006,0)), HYPERLINK("#",""), HYPERLINK(CONCATENATE("#Metadata!", ADDRESS(INDEX($M$2:$M$1001,MATCH(ROWS($K$2:K648),$K$2:$K$1001,0),0), INDEX($R$1004:$W$1004,1,MATCH(COLUMNS($R$1006:T1006),$R$1006:$W$1006,0)))),"Fix")))</f>
        <v>0</v>
      </c>
      <c r="E648" s="3">
        <f>IF(OR(INDEX($L$2:$L$1001,MATCH(ROWS($K$2:K648),$K$2:$K$1001,0),1)&gt;=100000,INDEX($R$1005:$W$1005,1,MATCH(COLUMNS($R$1006:U1006),$R$1006:$W$1006,0))&gt;=100000), " ",IF(INDEX($R$2:$W$1001,MATCH(ROWS($K$2:K648),$K$2:$K$1001,0),MATCH(COLUMNS($R$1006:U1006),$R$1006:$W$1006,0)), HYPERLINK("#",""), HYPERLINK(CONCATENATE("#Metadata!", ADDRESS(INDEX($M$2:$M$1001,MATCH(ROWS($K$2:K648),$K$2:$K$1001,0),0), INDEX($R$1004:$W$1004,1,MATCH(COLUMNS($R$1006:U1006),$R$1006:$W$1006,0)))),"Fix")))</f>
        <v>0</v>
      </c>
      <c r="F648" s="3">
        <f>IF(OR(INDEX($L$2:$L$1001,MATCH(ROWS($K$2:K648),$K$2:$K$1001,0),1)&gt;=100000,INDEX($R$1005:$W$1005,1,MATCH(COLUMNS($R$1006:V1006),$R$1006:$W$1006,0))&gt;=100000), " ",IF(INDEX($R$2:$W$1001,MATCH(ROWS($K$2:K648),$K$2:$K$1001,0),MATCH(COLUMNS($R$1006:V1006),$R$1006:$W$1006,0)), HYPERLINK("#",""), HYPERLINK(CONCATENATE("#Metadata!", ADDRESS(INDEX($M$2:$M$1001,MATCH(ROWS($K$2:K648),$K$2:$K$1001,0),0), INDEX($R$1004:$W$1004,1,MATCH(COLUMNS($R$1006:V1006),$R$1006:$W$1006,0)))),"Fix")))</f>
        <v>0</v>
      </c>
      <c r="G648" s="3">
        <f>IF(OR(INDEX($L$2:$L$1001,MATCH(ROWS($K$2:K648),$K$2:$K$1001,0),1)&gt;=100000,INDEX($R$1005:$W$1005,1,MATCH(COLUMNS($R$1006:W1006),$R$1006:$W$1006,0))&gt;=100000), " ",IF(INDEX($R$2:$W$1001,MATCH(ROWS($K$2:K648),$K$2:$K$1001,0),MATCH(COLUMNS($R$1006:W1006),$R$1006:$W$1006,0)), HYPERLINK("#",""), HYPERLINK(CONCATENATE("#Metadata!", ADDRESS(INDEX($M$2:$M$1001,MATCH(ROWS($K$2:K648),$K$2:$K$1001,0),0), INDEX($R$1004:$W$1004,1,MATCH(COLUMNS($R$1006:W1006),$R$1006:$W$1006,0)))),"Fix")))</f>
        <v>0</v>
      </c>
      <c r="K648">
        <v>0</v>
      </c>
      <c r="L648">
        <v>0</v>
      </c>
      <c r="M648">
        <v>0</v>
      </c>
      <c r="N648">
        <f>IF(O648,TRUE,AND(R648:W648))</f>
        <v>0</v>
      </c>
      <c r="O648">
        <f>COUNTBLANK(Metadata!B648:G648)=COLUMNS(Metadata!B648:G648)</f>
        <v>0</v>
      </c>
      <c r="P648">
        <v>0</v>
      </c>
      <c r="R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S648">
        <f>IF(Metadata!C648="",FALSE,TRUE)</f>
        <v>0</v>
      </c>
      <c r="T648">
        <f>IF(Metadata!D648="",FALSE,TRUE)</f>
        <v>0</v>
      </c>
      <c r="U648">
        <f>IF(Metadata!E648="",FALSE,TRUE)</f>
        <v>0</v>
      </c>
      <c r="V648">
        <f>AND(IF(Metadata!F648="",FALSE,TRUE),exact(Metadata!F648,"rat gut metagenome"))</f>
        <v>0</v>
      </c>
      <c r="W648">
        <f>AND(IF(Metadata!G648="",FALSE,TRUE),exact(Metadata!G648,"1436733"))</f>
        <v>0</v>
      </c>
    </row>
    <row r="649" spans="1:23">
      <c r="A649" s="4">
        <f>IF(B649=" "," ",HYPERLINK(CONCATENATE("#metadata!",ADDRESS(INDEX($M$2:$M$1001,MATCH(ROWS($K$2:K649),$K$2:$K$1001,0),0),1)),INDEX($P$2:$P$1001,MATCH(ROWS($K$2:K649),$K$2:$K$1001,0),0)))</f>
        <v>0</v>
      </c>
      <c r="B649" s="3">
        <f>IF(OR(INDEX($L$2:$L$1001,MATCH(ROWS($K$2:K649),$K$2:$K$1001,0),1)&gt;=100000,INDEX($R$1005:$W$1005,1,MATCH(COLUMNS($R$1006:R1006),$R$1006:$W$1006,0))&gt;=100000), " ",IF(INDEX($R$2:$W$1001,MATCH(ROWS($K$2:K649),$K$2:$K$1001,0),MATCH(COLUMNS($R$1006:R1006),$R$1006:$W$1006,0)), HYPERLINK("#",""), HYPERLINK(CONCATENATE("#Metadata!", ADDRESS(INDEX($M$2:$M$1001,MATCH(ROWS($K$2:K649),$K$2:$K$1001,0),0), INDEX($R$1004:$W$1004,1,MATCH(COLUMNS($R$1006:R1006),$R$1006:$W$1006,0)))),"Fix")))</f>
        <v>0</v>
      </c>
      <c r="C649" s="3">
        <f>IF(OR(INDEX($L$2:$L$1001,MATCH(ROWS($K$2:K649),$K$2:$K$1001,0),1)&gt;=100000,INDEX($R$1005:$W$1005,1,MATCH(COLUMNS($R$1006:S1006),$R$1006:$W$1006,0))&gt;=100000), " ",IF(INDEX($R$2:$W$1001,MATCH(ROWS($K$2:K649),$K$2:$K$1001,0),MATCH(COLUMNS($R$1006:S1006),$R$1006:$W$1006,0)), HYPERLINK("#",""), HYPERLINK(CONCATENATE("#Metadata!", ADDRESS(INDEX($M$2:$M$1001,MATCH(ROWS($K$2:K649),$K$2:$K$1001,0),0), INDEX($R$1004:$W$1004,1,MATCH(COLUMNS($R$1006:S1006),$R$1006:$W$1006,0)))),"Fix")))</f>
        <v>0</v>
      </c>
      <c r="D649" s="3">
        <f>IF(OR(INDEX($L$2:$L$1001,MATCH(ROWS($K$2:K649),$K$2:$K$1001,0),1)&gt;=100000,INDEX($R$1005:$W$1005,1,MATCH(COLUMNS($R$1006:T1006),$R$1006:$W$1006,0))&gt;=100000), " ",IF(INDEX($R$2:$W$1001,MATCH(ROWS($K$2:K649),$K$2:$K$1001,0),MATCH(COLUMNS($R$1006:T1006),$R$1006:$W$1006,0)), HYPERLINK("#",""), HYPERLINK(CONCATENATE("#Metadata!", ADDRESS(INDEX($M$2:$M$1001,MATCH(ROWS($K$2:K649),$K$2:$K$1001,0),0), INDEX($R$1004:$W$1004,1,MATCH(COLUMNS($R$1006:T1006),$R$1006:$W$1006,0)))),"Fix")))</f>
        <v>0</v>
      </c>
      <c r="E649" s="3">
        <f>IF(OR(INDEX($L$2:$L$1001,MATCH(ROWS($K$2:K649),$K$2:$K$1001,0),1)&gt;=100000,INDEX($R$1005:$W$1005,1,MATCH(COLUMNS($R$1006:U1006),$R$1006:$W$1006,0))&gt;=100000), " ",IF(INDEX($R$2:$W$1001,MATCH(ROWS($K$2:K649),$K$2:$K$1001,0),MATCH(COLUMNS($R$1006:U1006),$R$1006:$W$1006,0)), HYPERLINK("#",""), HYPERLINK(CONCATENATE("#Metadata!", ADDRESS(INDEX($M$2:$M$1001,MATCH(ROWS($K$2:K649),$K$2:$K$1001,0),0), INDEX($R$1004:$W$1004,1,MATCH(COLUMNS($R$1006:U1006),$R$1006:$W$1006,0)))),"Fix")))</f>
        <v>0</v>
      </c>
      <c r="F649" s="3">
        <f>IF(OR(INDEX($L$2:$L$1001,MATCH(ROWS($K$2:K649),$K$2:$K$1001,0),1)&gt;=100000,INDEX($R$1005:$W$1005,1,MATCH(COLUMNS($R$1006:V1006),$R$1006:$W$1006,0))&gt;=100000), " ",IF(INDEX($R$2:$W$1001,MATCH(ROWS($K$2:K649),$K$2:$K$1001,0),MATCH(COLUMNS($R$1006:V1006),$R$1006:$W$1006,0)), HYPERLINK("#",""), HYPERLINK(CONCATENATE("#Metadata!", ADDRESS(INDEX($M$2:$M$1001,MATCH(ROWS($K$2:K649),$K$2:$K$1001,0),0), INDEX($R$1004:$W$1004,1,MATCH(COLUMNS($R$1006:V1006),$R$1006:$W$1006,0)))),"Fix")))</f>
        <v>0</v>
      </c>
      <c r="G649" s="3">
        <f>IF(OR(INDEX($L$2:$L$1001,MATCH(ROWS($K$2:K649),$K$2:$K$1001,0),1)&gt;=100000,INDEX($R$1005:$W$1005,1,MATCH(COLUMNS($R$1006:W1006),$R$1006:$W$1006,0))&gt;=100000), " ",IF(INDEX($R$2:$W$1001,MATCH(ROWS($K$2:K649),$K$2:$K$1001,0),MATCH(COLUMNS($R$1006:W1006),$R$1006:$W$1006,0)), HYPERLINK("#",""), HYPERLINK(CONCATENATE("#Metadata!", ADDRESS(INDEX($M$2:$M$1001,MATCH(ROWS($K$2:K649),$K$2:$K$1001,0),0), INDEX($R$1004:$W$1004,1,MATCH(COLUMNS($R$1006:W1006),$R$1006:$W$1006,0)))),"Fix")))</f>
        <v>0</v>
      </c>
      <c r="K649">
        <v>0</v>
      </c>
      <c r="L649">
        <v>0</v>
      </c>
      <c r="M649">
        <v>0</v>
      </c>
      <c r="N649">
        <f>IF(O649,TRUE,AND(R649:W649))</f>
        <v>0</v>
      </c>
      <c r="O649">
        <f>COUNTBLANK(Metadata!B649:G649)=COLUMNS(Metadata!B649:G649)</f>
        <v>0</v>
      </c>
      <c r="P649">
        <v>0</v>
      </c>
      <c r="R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S649">
        <f>IF(Metadata!C649="",FALSE,TRUE)</f>
        <v>0</v>
      </c>
      <c r="T649">
        <f>IF(Metadata!D649="",FALSE,TRUE)</f>
        <v>0</v>
      </c>
      <c r="U649">
        <f>IF(Metadata!E649="",FALSE,TRUE)</f>
        <v>0</v>
      </c>
      <c r="V649">
        <f>AND(IF(Metadata!F649="",FALSE,TRUE),exact(Metadata!F649,"rat gut metagenome"))</f>
        <v>0</v>
      </c>
      <c r="W649">
        <f>AND(IF(Metadata!G649="",FALSE,TRUE),exact(Metadata!G649,"1436733"))</f>
        <v>0</v>
      </c>
    </row>
    <row r="650" spans="1:23">
      <c r="A650" s="4">
        <f>IF(B650=" "," ",HYPERLINK(CONCATENATE("#metadata!",ADDRESS(INDEX($M$2:$M$1001,MATCH(ROWS($K$2:K650),$K$2:$K$1001,0),0),1)),INDEX($P$2:$P$1001,MATCH(ROWS($K$2:K650),$K$2:$K$1001,0),0)))</f>
        <v>0</v>
      </c>
      <c r="B650" s="3">
        <f>IF(OR(INDEX($L$2:$L$1001,MATCH(ROWS($K$2:K650),$K$2:$K$1001,0),1)&gt;=100000,INDEX($R$1005:$W$1005,1,MATCH(COLUMNS($R$1006:R1006),$R$1006:$W$1006,0))&gt;=100000), " ",IF(INDEX($R$2:$W$1001,MATCH(ROWS($K$2:K650),$K$2:$K$1001,0),MATCH(COLUMNS($R$1006:R1006),$R$1006:$W$1006,0)), HYPERLINK("#",""), HYPERLINK(CONCATENATE("#Metadata!", ADDRESS(INDEX($M$2:$M$1001,MATCH(ROWS($K$2:K650),$K$2:$K$1001,0),0), INDEX($R$1004:$W$1004,1,MATCH(COLUMNS($R$1006:R1006),$R$1006:$W$1006,0)))),"Fix")))</f>
        <v>0</v>
      </c>
      <c r="C650" s="3">
        <f>IF(OR(INDEX($L$2:$L$1001,MATCH(ROWS($K$2:K650),$K$2:$K$1001,0),1)&gt;=100000,INDEX($R$1005:$W$1005,1,MATCH(COLUMNS($R$1006:S1006),$R$1006:$W$1006,0))&gt;=100000), " ",IF(INDEX($R$2:$W$1001,MATCH(ROWS($K$2:K650),$K$2:$K$1001,0),MATCH(COLUMNS($R$1006:S1006),$R$1006:$W$1006,0)), HYPERLINK("#",""), HYPERLINK(CONCATENATE("#Metadata!", ADDRESS(INDEX($M$2:$M$1001,MATCH(ROWS($K$2:K650),$K$2:$K$1001,0),0), INDEX($R$1004:$W$1004,1,MATCH(COLUMNS($R$1006:S1006),$R$1006:$W$1006,0)))),"Fix")))</f>
        <v>0</v>
      </c>
      <c r="D650" s="3">
        <f>IF(OR(INDEX($L$2:$L$1001,MATCH(ROWS($K$2:K650),$K$2:$K$1001,0),1)&gt;=100000,INDEX($R$1005:$W$1005,1,MATCH(COLUMNS($R$1006:T1006),$R$1006:$W$1006,0))&gt;=100000), " ",IF(INDEX($R$2:$W$1001,MATCH(ROWS($K$2:K650),$K$2:$K$1001,0),MATCH(COLUMNS($R$1006:T1006),$R$1006:$W$1006,0)), HYPERLINK("#",""), HYPERLINK(CONCATENATE("#Metadata!", ADDRESS(INDEX($M$2:$M$1001,MATCH(ROWS($K$2:K650),$K$2:$K$1001,0),0), INDEX($R$1004:$W$1004,1,MATCH(COLUMNS($R$1006:T1006),$R$1006:$W$1006,0)))),"Fix")))</f>
        <v>0</v>
      </c>
      <c r="E650" s="3">
        <f>IF(OR(INDEX($L$2:$L$1001,MATCH(ROWS($K$2:K650),$K$2:$K$1001,0),1)&gt;=100000,INDEX($R$1005:$W$1005,1,MATCH(COLUMNS($R$1006:U1006),$R$1006:$W$1006,0))&gt;=100000), " ",IF(INDEX($R$2:$W$1001,MATCH(ROWS($K$2:K650),$K$2:$K$1001,0),MATCH(COLUMNS($R$1006:U1006),$R$1006:$W$1006,0)), HYPERLINK("#",""), HYPERLINK(CONCATENATE("#Metadata!", ADDRESS(INDEX($M$2:$M$1001,MATCH(ROWS($K$2:K650),$K$2:$K$1001,0),0), INDEX($R$1004:$W$1004,1,MATCH(COLUMNS($R$1006:U1006),$R$1006:$W$1006,0)))),"Fix")))</f>
        <v>0</v>
      </c>
      <c r="F650" s="3">
        <f>IF(OR(INDEX($L$2:$L$1001,MATCH(ROWS($K$2:K650),$K$2:$K$1001,0),1)&gt;=100000,INDEX($R$1005:$W$1005,1,MATCH(COLUMNS($R$1006:V1006),$R$1006:$W$1006,0))&gt;=100000), " ",IF(INDEX($R$2:$W$1001,MATCH(ROWS($K$2:K650),$K$2:$K$1001,0),MATCH(COLUMNS($R$1006:V1006),$R$1006:$W$1006,0)), HYPERLINK("#",""), HYPERLINK(CONCATENATE("#Metadata!", ADDRESS(INDEX($M$2:$M$1001,MATCH(ROWS($K$2:K650),$K$2:$K$1001,0),0), INDEX($R$1004:$W$1004,1,MATCH(COLUMNS($R$1006:V1006),$R$1006:$W$1006,0)))),"Fix")))</f>
        <v>0</v>
      </c>
      <c r="G650" s="3">
        <f>IF(OR(INDEX($L$2:$L$1001,MATCH(ROWS($K$2:K650),$K$2:$K$1001,0),1)&gt;=100000,INDEX($R$1005:$W$1005,1,MATCH(COLUMNS($R$1006:W1006),$R$1006:$W$1006,0))&gt;=100000), " ",IF(INDEX($R$2:$W$1001,MATCH(ROWS($K$2:K650),$K$2:$K$1001,0),MATCH(COLUMNS($R$1006:W1006),$R$1006:$W$1006,0)), HYPERLINK("#",""), HYPERLINK(CONCATENATE("#Metadata!", ADDRESS(INDEX($M$2:$M$1001,MATCH(ROWS($K$2:K650),$K$2:$K$1001,0),0), INDEX($R$1004:$W$1004,1,MATCH(COLUMNS($R$1006:W1006),$R$1006:$W$1006,0)))),"Fix")))</f>
        <v>0</v>
      </c>
      <c r="K650">
        <v>0</v>
      </c>
      <c r="L650">
        <v>0</v>
      </c>
      <c r="M650">
        <v>0</v>
      </c>
      <c r="N650">
        <f>IF(O650,TRUE,AND(R650:W650))</f>
        <v>0</v>
      </c>
      <c r="O650">
        <f>COUNTBLANK(Metadata!B650:G650)=COLUMNS(Metadata!B650:G650)</f>
        <v>0</v>
      </c>
      <c r="P650">
        <v>0</v>
      </c>
      <c r="R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S650">
        <f>IF(Metadata!C650="",FALSE,TRUE)</f>
        <v>0</v>
      </c>
      <c r="T650">
        <f>IF(Metadata!D650="",FALSE,TRUE)</f>
        <v>0</v>
      </c>
      <c r="U650">
        <f>IF(Metadata!E650="",FALSE,TRUE)</f>
        <v>0</v>
      </c>
      <c r="V650">
        <f>AND(IF(Metadata!F650="",FALSE,TRUE),exact(Metadata!F650,"rat gut metagenome"))</f>
        <v>0</v>
      </c>
      <c r="W650">
        <f>AND(IF(Metadata!G650="",FALSE,TRUE),exact(Metadata!G650,"1436733"))</f>
        <v>0</v>
      </c>
    </row>
    <row r="651" spans="1:23">
      <c r="A651" s="4">
        <f>IF(B651=" "," ",HYPERLINK(CONCATENATE("#metadata!",ADDRESS(INDEX($M$2:$M$1001,MATCH(ROWS($K$2:K651),$K$2:$K$1001,0),0),1)),INDEX($P$2:$P$1001,MATCH(ROWS($K$2:K651),$K$2:$K$1001,0),0)))</f>
        <v>0</v>
      </c>
      <c r="B651" s="3">
        <f>IF(OR(INDEX($L$2:$L$1001,MATCH(ROWS($K$2:K651),$K$2:$K$1001,0),1)&gt;=100000,INDEX($R$1005:$W$1005,1,MATCH(COLUMNS($R$1006:R1006),$R$1006:$W$1006,0))&gt;=100000), " ",IF(INDEX($R$2:$W$1001,MATCH(ROWS($K$2:K651),$K$2:$K$1001,0),MATCH(COLUMNS($R$1006:R1006),$R$1006:$W$1006,0)), HYPERLINK("#",""), HYPERLINK(CONCATENATE("#Metadata!", ADDRESS(INDEX($M$2:$M$1001,MATCH(ROWS($K$2:K651),$K$2:$K$1001,0),0), INDEX($R$1004:$W$1004,1,MATCH(COLUMNS($R$1006:R1006),$R$1006:$W$1006,0)))),"Fix")))</f>
        <v>0</v>
      </c>
      <c r="C651" s="3">
        <f>IF(OR(INDEX($L$2:$L$1001,MATCH(ROWS($K$2:K651),$K$2:$K$1001,0),1)&gt;=100000,INDEX($R$1005:$W$1005,1,MATCH(COLUMNS($R$1006:S1006),$R$1006:$W$1006,0))&gt;=100000), " ",IF(INDEX($R$2:$W$1001,MATCH(ROWS($K$2:K651),$K$2:$K$1001,0),MATCH(COLUMNS($R$1006:S1006),$R$1006:$W$1006,0)), HYPERLINK("#",""), HYPERLINK(CONCATENATE("#Metadata!", ADDRESS(INDEX($M$2:$M$1001,MATCH(ROWS($K$2:K651),$K$2:$K$1001,0),0), INDEX($R$1004:$W$1004,1,MATCH(COLUMNS($R$1006:S1006),$R$1006:$W$1006,0)))),"Fix")))</f>
        <v>0</v>
      </c>
      <c r="D651" s="3">
        <f>IF(OR(INDEX($L$2:$L$1001,MATCH(ROWS($K$2:K651),$K$2:$K$1001,0),1)&gt;=100000,INDEX($R$1005:$W$1005,1,MATCH(COLUMNS($R$1006:T1006),$R$1006:$W$1006,0))&gt;=100000), " ",IF(INDEX($R$2:$W$1001,MATCH(ROWS($K$2:K651),$K$2:$K$1001,0),MATCH(COLUMNS($R$1006:T1006),$R$1006:$W$1006,0)), HYPERLINK("#",""), HYPERLINK(CONCATENATE("#Metadata!", ADDRESS(INDEX($M$2:$M$1001,MATCH(ROWS($K$2:K651),$K$2:$K$1001,0),0), INDEX($R$1004:$W$1004,1,MATCH(COLUMNS($R$1006:T1006),$R$1006:$W$1006,0)))),"Fix")))</f>
        <v>0</v>
      </c>
      <c r="E651" s="3">
        <f>IF(OR(INDEX($L$2:$L$1001,MATCH(ROWS($K$2:K651),$K$2:$K$1001,0),1)&gt;=100000,INDEX($R$1005:$W$1005,1,MATCH(COLUMNS($R$1006:U1006),$R$1006:$W$1006,0))&gt;=100000), " ",IF(INDEX($R$2:$W$1001,MATCH(ROWS($K$2:K651),$K$2:$K$1001,0),MATCH(COLUMNS($R$1006:U1006),$R$1006:$W$1006,0)), HYPERLINK("#",""), HYPERLINK(CONCATENATE("#Metadata!", ADDRESS(INDEX($M$2:$M$1001,MATCH(ROWS($K$2:K651),$K$2:$K$1001,0),0), INDEX($R$1004:$W$1004,1,MATCH(COLUMNS($R$1006:U1006),$R$1006:$W$1006,0)))),"Fix")))</f>
        <v>0</v>
      </c>
      <c r="F651" s="3">
        <f>IF(OR(INDEX($L$2:$L$1001,MATCH(ROWS($K$2:K651),$K$2:$K$1001,0),1)&gt;=100000,INDEX($R$1005:$W$1005,1,MATCH(COLUMNS($R$1006:V1006),$R$1006:$W$1006,0))&gt;=100000), " ",IF(INDEX($R$2:$W$1001,MATCH(ROWS($K$2:K651),$K$2:$K$1001,0),MATCH(COLUMNS($R$1006:V1006),$R$1006:$W$1006,0)), HYPERLINK("#",""), HYPERLINK(CONCATENATE("#Metadata!", ADDRESS(INDEX($M$2:$M$1001,MATCH(ROWS($K$2:K651),$K$2:$K$1001,0),0), INDEX($R$1004:$W$1004,1,MATCH(COLUMNS($R$1006:V1006),$R$1006:$W$1006,0)))),"Fix")))</f>
        <v>0</v>
      </c>
      <c r="G651" s="3">
        <f>IF(OR(INDEX($L$2:$L$1001,MATCH(ROWS($K$2:K651),$K$2:$K$1001,0),1)&gt;=100000,INDEX($R$1005:$W$1005,1,MATCH(COLUMNS($R$1006:W1006),$R$1006:$W$1006,0))&gt;=100000), " ",IF(INDEX($R$2:$W$1001,MATCH(ROWS($K$2:K651),$K$2:$K$1001,0),MATCH(COLUMNS($R$1006:W1006),$R$1006:$W$1006,0)), HYPERLINK("#",""), HYPERLINK(CONCATENATE("#Metadata!", ADDRESS(INDEX($M$2:$M$1001,MATCH(ROWS($K$2:K651),$K$2:$K$1001,0),0), INDEX($R$1004:$W$1004,1,MATCH(COLUMNS($R$1006:W1006),$R$1006:$W$1006,0)))),"Fix")))</f>
        <v>0</v>
      </c>
      <c r="K651">
        <v>0</v>
      </c>
      <c r="L651">
        <v>0</v>
      </c>
      <c r="M651">
        <v>0</v>
      </c>
      <c r="N651">
        <f>IF(O651,TRUE,AND(R651:W651))</f>
        <v>0</v>
      </c>
      <c r="O651">
        <f>COUNTBLANK(Metadata!B651:G651)=COLUMNS(Metadata!B651:G651)</f>
        <v>0</v>
      </c>
      <c r="P651">
        <v>0</v>
      </c>
      <c r="R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S651">
        <f>IF(Metadata!C651="",FALSE,TRUE)</f>
        <v>0</v>
      </c>
      <c r="T651">
        <f>IF(Metadata!D651="",FALSE,TRUE)</f>
        <v>0</v>
      </c>
      <c r="U651">
        <f>IF(Metadata!E651="",FALSE,TRUE)</f>
        <v>0</v>
      </c>
      <c r="V651">
        <f>AND(IF(Metadata!F651="",FALSE,TRUE),exact(Metadata!F651,"rat gut metagenome"))</f>
        <v>0</v>
      </c>
      <c r="W651">
        <f>AND(IF(Metadata!G651="",FALSE,TRUE),exact(Metadata!G651,"1436733"))</f>
        <v>0</v>
      </c>
    </row>
    <row r="652" spans="1:23">
      <c r="A652" s="4">
        <f>IF(B652=" "," ",HYPERLINK(CONCATENATE("#metadata!",ADDRESS(INDEX($M$2:$M$1001,MATCH(ROWS($K$2:K652),$K$2:$K$1001,0),0),1)),INDEX($P$2:$P$1001,MATCH(ROWS($K$2:K652),$K$2:$K$1001,0),0)))</f>
        <v>0</v>
      </c>
      <c r="B652" s="3">
        <f>IF(OR(INDEX($L$2:$L$1001,MATCH(ROWS($K$2:K652),$K$2:$K$1001,0),1)&gt;=100000,INDEX($R$1005:$W$1005,1,MATCH(COLUMNS($R$1006:R1006),$R$1006:$W$1006,0))&gt;=100000), " ",IF(INDEX($R$2:$W$1001,MATCH(ROWS($K$2:K652),$K$2:$K$1001,0),MATCH(COLUMNS($R$1006:R1006),$R$1006:$W$1006,0)), HYPERLINK("#",""), HYPERLINK(CONCATENATE("#Metadata!", ADDRESS(INDEX($M$2:$M$1001,MATCH(ROWS($K$2:K652),$K$2:$K$1001,0),0), INDEX($R$1004:$W$1004,1,MATCH(COLUMNS($R$1006:R1006),$R$1006:$W$1006,0)))),"Fix")))</f>
        <v>0</v>
      </c>
      <c r="C652" s="3">
        <f>IF(OR(INDEX($L$2:$L$1001,MATCH(ROWS($K$2:K652),$K$2:$K$1001,0),1)&gt;=100000,INDEX($R$1005:$W$1005,1,MATCH(COLUMNS($R$1006:S1006),$R$1006:$W$1006,0))&gt;=100000), " ",IF(INDEX($R$2:$W$1001,MATCH(ROWS($K$2:K652),$K$2:$K$1001,0),MATCH(COLUMNS($R$1006:S1006),$R$1006:$W$1006,0)), HYPERLINK("#",""), HYPERLINK(CONCATENATE("#Metadata!", ADDRESS(INDEX($M$2:$M$1001,MATCH(ROWS($K$2:K652),$K$2:$K$1001,0),0), INDEX($R$1004:$W$1004,1,MATCH(COLUMNS($R$1006:S1006),$R$1006:$W$1006,0)))),"Fix")))</f>
        <v>0</v>
      </c>
      <c r="D652" s="3">
        <f>IF(OR(INDEX($L$2:$L$1001,MATCH(ROWS($K$2:K652),$K$2:$K$1001,0),1)&gt;=100000,INDEX($R$1005:$W$1005,1,MATCH(COLUMNS($R$1006:T1006),$R$1006:$W$1006,0))&gt;=100000), " ",IF(INDEX($R$2:$W$1001,MATCH(ROWS($K$2:K652),$K$2:$K$1001,0),MATCH(COLUMNS($R$1006:T1006),$R$1006:$W$1006,0)), HYPERLINK("#",""), HYPERLINK(CONCATENATE("#Metadata!", ADDRESS(INDEX($M$2:$M$1001,MATCH(ROWS($K$2:K652),$K$2:$K$1001,0),0), INDEX($R$1004:$W$1004,1,MATCH(COLUMNS($R$1006:T1006),$R$1006:$W$1006,0)))),"Fix")))</f>
        <v>0</v>
      </c>
      <c r="E652" s="3">
        <f>IF(OR(INDEX($L$2:$L$1001,MATCH(ROWS($K$2:K652),$K$2:$K$1001,0),1)&gt;=100000,INDEX($R$1005:$W$1005,1,MATCH(COLUMNS($R$1006:U1006),$R$1006:$W$1006,0))&gt;=100000), " ",IF(INDEX($R$2:$W$1001,MATCH(ROWS($K$2:K652),$K$2:$K$1001,0),MATCH(COLUMNS($R$1006:U1006),$R$1006:$W$1006,0)), HYPERLINK("#",""), HYPERLINK(CONCATENATE("#Metadata!", ADDRESS(INDEX($M$2:$M$1001,MATCH(ROWS($K$2:K652),$K$2:$K$1001,0),0), INDEX($R$1004:$W$1004,1,MATCH(COLUMNS($R$1006:U1006),$R$1006:$W$1006,0)))),"Fix")))</f>
        <v>0</v>
      </c>
      <c r="F652" s="3">
        <f>IF(OR(INDEX($L$2:$L$1001,MATCH(ROWS($K$2:K652),$K$2:$K$1001,0),1)&gt;=100000,INDEX($R$1005:$W$1005,1,MATCH(COLUMNS($R$1006:V1006),$R$1006:$W$1006,0))&gt;=100000), " ",IF(INDEX($R$2:$W$1001,MATCH(ROWS($K$2:K652),$K$2:$K$1001,0),MATCH(COLUMNS($R$1006:V1006),$R$1006:$W$1006,0)), HYPERLINK("#",""), HYPERLINK(CONCATENATE("#Metadata!", ADDRESS(INDEX($M$2:$M$1001,MATCH(ROWS($K$2:K652),$K$2:$K$1001,0),0), INDEX($R$1004:$W$1004,1,MATCH(COLUMNS($R$1006:V1006),$R$1006:$W$1006,0)))),"Fix")))</f>
        <v>0</v>
      </c>
      <c r="G652" s="3">
        <f>IF(OR(INDEX($L$2:$L$1001,MATCH(ROWS($K$2:K652),$K$2:$K$1001,0),1)&gt;=100000,INDEX($R$1005:$W$1005,1,MATCH(COLUMNS($R$1006:W1006),$R$1006:$W$1006,0))&gt;=100000), " ",IF(INDEX($R$2:$W$1001,MATCH(ROWS($K$2:K652),$K$2:$K$1001,0),MATCH(COLUMNS($R$1006:W1006),$R$1006:$W$1006,0)), HYPERLINK("#",""), HYPERLINK(CONCATENATE("#Metadata!", ADDRESS(INDEX($M$2:$M$1001,MATCH(ROWS($K$2:K652),$K$2:$K$1001,0),0), INDEX($R$1004:$W$1004,1,MATCH(COLUMNS($R$1006:W1006),$R$1006:$W$1006,0)))),"Fix")))</f>
        <v>0</v>
      </c>
      <c r="K652">
        <v>0</v>
      </c>
      <c r="L652">
        <v>0</v>
      </c>
      <c r="M652">
        <v>0</v>
      </c>
      <c r="N652">
        <f>IF(O652,TRUE,AND(R652:W652))</f>
        <v>0</v>
      </c>
      <c r="O652">
        <f>COUNTBLANK(Metadata!B652:G652)=COLUMNS(Metadata!B652:G652)</f>
        <v>0</v>
      </c>
      <c r="P652">
        <v>0</v>
      </c>
      <c r="R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S652">
        <f>IF(Metadata!C652="",FALSE,TRUE)</f>
        <v>0</v>
      </c>
      <c r="T652">
        <f>IF(Metadata!D652="",FALSE,TRUE)</f>
        <v>0</v>
      </c>
      <c r="U652">
        <f>IF(Metadata!E652="",FALSE,TRUE)</f>
        <v>0</v>
      </c>
      <c r="V652">
        <f>AND(IF(Metadata!F652="",FALSE,TRUE),exact(Metadata!F652,"rat gut metagenome"))</f>
        <v>0</v>
      </c>
      <c r="W652">
        <f>AND(IF(Metadata!G652="",FALSE,TRUE),exact(Metadata!G652,"1436733"))</f>
        <v>0</v>
      </c>
    </row>
    <row r="653" spans="1:23">
      <c r="A653" s="4">
        <f>IF(B653=" "," ",HYPERLINK(CONCATENATE("#metadata!",ADDRESS(INDEX($M$2:$M$1001,MATCH(ROWS($K$2:K653),$K$2:$K$1001,0),0),1)),INDEX($P$2:$P$1001,MATCH(ROWS($K$2:K653),$K$2:$K$1001,0),0)))</f>
        <v>0</v>
      </c>
      <c r="B653" s="3">
        <f>IF(OR(INDEX($L$2:$L$1001,MATCH(ROWS($K$2:K653),$K$2:$K$1001,0),1)&gt;=100000,INDEX($R$1005:$W$1005,1,MATCH(COLUMNS($R$1006:R1006),$R$1006:$W$1006,0))&gt;=100000), " ",IF(INDEX($R$2:$W$1001,MATCH(ROWS($K$2:K653),$K$2:$K$1001,0),MATCH(COLUMNS($R$1006:R1006),$R$1006:$W$1006,0)), HYPERLINK("#",""), HYPERLINK(CONCATENATE("#Metadata!", ADDRESS(INDEX($M$2:$M$1001,MATCH(ROWS($K$2:K653),$K$2:$K$1001,0),0), INDEX($R$1004:$W$1004,1,MATCH(COLUMNS($R$1006:R1006),$R$1006:$W$1006,0)))),"Fix")))</f>
        <v>0</v>
      </c>
      <c r="C653" s="3">
        <f>IF(OR(INDEX($L$2:$L$1001,MATCH(ROWS($K$2:K653),$K$2:$K$1001,0),1)&gt;=100000,INDEX($R$1005:$W$1005,1,MATCH(COLUMNS($R$1006:S1006),$R$1006:$W$1006,0))&gt;=100000), " ",IF(INDEX($R$2:$W$1001,MATCH(ROWS($K$2:K653),$K$2:$K$1001,0),MATCH(COLUMNS($R$1006:S1006),$R$1006:$W$1006,0)), HYPERLINK("#",""), HYPERLINK(CONCATENATE("#Metadata!", ADDRESS(INDEX($M$2:$M$1001,MATCH(ROWS($K$2:K653),$K$2:$K$1001,0),0), INDEX($R$1004:$W$1004,1,MATCH(COLUMNS($R$1006:S1006),$R$1006:$W$1006,0)))),"Fix")))</f>
        <v>0</v>
      </c>
      <c r="D653" s="3">
        <f>IF(OR(INDEX($L$2:$L$1001,MATCH(ROWS($K$2:K653),$K$2:$K$1001,0),1)&gt;=100000,INDEX($R$1005:$W$1005,1,MATCH(COLUMNS($R$1006:T1006),$R$1006:$W$1006,0))&gt;=100000), " ",IF(INDEX($R$2:$W$1001,MATCH(ROWS($K$2:K653),$K$2:$K$1001,0),MATCH(COLUMNS($R$1006:T1006),$R$1006:$W$1006,0)), HYPERLINK("#",""), HYPERLINK(CONCATENATE("#Metadata!", ADDRESS(INDEX($M$2:$M$1001,MATCH(ROWS($K$2:K653),$K$2:$K$1001,0),0), INDEX($R$1004:$W$1004,1,MATCH(COLUMNS($R$1006:T1006),$R$1006:$W$1006,0)))),"Fix")))</f>
        <v>0</v>
      </c>
      <c r="E653" s="3">
        <f>IF(OR(INDEX($L$2:$L$1001,MATCH(ROWS($K$2:K653),$K$2:$K$1001,0),1)&gt;=100000,INDEX($R$1005:$W$1005,1,MATCH(COLUMNS($R$1006:U1006),$R$1006:$W$1006,0))&gt;=100000), " ",IF(INDEX($R$2:$W$1001,MATCH(ROWS($K$2:K653),$K$2:$K$1001,0),MATCH(COLUMNS($R$1006:U1006),$R$1006:$W$1006,0)), HYPERLINK("#",""), HYPERLINK(CONCATENATE("#Metadata!", ADDRESS(INDEX($M$2:$M$1001,MATCH(ROWS($K$2:K653),$K$2:$K$1001,0),0), INDEX($R$1004:$W$1004,1,MATCH(COLUMNS($R$1006:U1006),$R$1006:$W$1006,0)))),"Fix")))</f>
        <v>0</v>
      </c>
      <c r="F653" s="3">
        <f>IF(OR(INDEX($L$2:$L$1001,MATCH(ROWS($K$2:K653),$K$2:$K$1001,0),1)&gt;=100000,INDEX($R$1005:$W$1005,1,MATCH(COLUMNS($R$1006:V1006),$R$1006:$W$1006,0))&gt;=100000), " ",IF(INDEX($R$2:$W$1001,MATCH(ROWS($K$2:K653),$K$2:$K$1001,0),MATCH(COLUMNS($R$1006:V1006),$R$1006:$W$1006,0)), HYPERLINK("#",""), HYPERLINK(CONCATENATE("#Metadata!", ADDRESS(INDEX($M$2:$M$1001,MATCH(ROWS($K$2:K653),$K$2:$K$1001,0),0), INDEX($R$1004:$W$1004,1,MATCH(COLUMNS($R$1006:V1006),$R$1006:$W$1006,0)))),"Fix")))</f>
        <v>0</v>
      </c>
      <c r="G653" s="3">
        <f>IF(OR(INDEX($L$2:$L$1001,MATCH(ROWS($K$2:K653),$K$2:$K$1001,0),1)&gt;=100000,INDEX($R$1005:$W$1005,1,MATCH(COLUMNS($R$1006:W1006),$R$1006:$W$1006,0))&gt;=100000), " ",IF(INDEX($R$2:$W$1001,MATCH(ROWS($K$2:K653),$K$2:$K$1001,0),MATCH(COLUMNS($R$1006:W1006),$R$1006:$W$1006,0)), HYPERLINK("#",""), HYPERLINK(CONCATENATE("#Metadata!", ADDRESS(INDEX($M$2:$M$1001,MATCH(ROWS($K$2:K653),$K$2:$K$1001,0),0), INDEX($R$1004:$W$1004,1,MATCH(COLUMNS($R$1006:W1006),$R$1006:$W$1006,0)))),"Fix")))</f>
        <v>0</v>
      </c>
      <c r="K653">
        <v>0</v>
      </c>
      <c r="L653">
        <v>0</v>
      </c>
      <c r="M653">
        <v>0</v>
      </c>
      <c r="N653">
        <f>IF(O653,TRUE,AND(R653:W653))</f>
        <v>0</v>
      </c>
      <c r="O653">
        <f>COUNTBLANK(Metadata!B653:G653)=COLUMNS(Metadata!B653:G653)</f>
        <v>0</v>
      </c>
      <c r="P653">
        <v>0</v>
      </c>
      <c r="R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S653">
        <f>IF(Metadata!C653="",FALSE,TRUE)</f>
        <v>0</v>
      </c>
      <c r="T653">
        <f>IF(Metadata!D653="",FALSE,TRUE)</f>
        <v>0</v>
      </c>
      <c r="U653">
        <f>IF(Metadata!E653="",FALSE,TRUE)</f>
        <v>0</v>
      </c>
      <c r="V653">
        <f>AND(IF(Metadata!F653="",FALSE,TRUE),exact(Metadata!F653,"rat gut metagenome"))</f>
        <v>0</v>
      </c>
      <c r="W653">
        <f>AND(IF(Metadata!G653="",FALSE,TRUE),exact(Metadata!G653,"1436733"))</f>
        <v>0</v>
      </c>
    </row>
    <row r="654" spans="1:23">
      <c r="A654" s="4">
        <f>IF(B654=" "," ",HYPERLINK(CONCATENATE("#metadata!",ADDRESS(INDEX($M$2:$M$1001,MATCH(ROWS($K$2:K654),$K$2:$K$1001,0),0),1)),INDEX($P$2:$P$1001,MATCH(ROWS($K$2:K654),$K$2:$K$1001,0),0)))</f>
        <v>0</v>
      </c>
      <c r="B654" s="3">
        <f>IF(OR(INDEX($L$2:$L$1001,MATCH(ROWS($K$2:K654),$K$2:$K$1001,0),1)&gt;=100000,INDEX($R$1005:$W$1005,1,MATCH(COLUMNS($R$1006:R1006),$R$1006:$W$1006,0))&gt;=100000), " ",IF(INDEX($R$2:$W$1001,MATCH(ROWS($K$2:K654),$K$2:$K$1001,0),MATCH(COLUMNS($R$1006:R1006),$R$1006:$W$1006,0)), HYPERLINK("#",""), HYPERLINK(CONCATENATE("#Metadata!", ADDRESS(INDEX($M$2:$M$1001,MATCH(ROWS($K$2:K654),$K$2:$K$1001,0),0), INDEX($R$1004:$W$1004,1,MATCH(COLUMNS($R$1006:R1006),$R$1006:$W$1006,0)))),"Fix")))</f>
        <v>0</v>
      </c>
      <c r="C654" s="3">
        <f>IF(OR(INDEX($L$2:$L$1001,MATCH(ROWS($K$2:K654),$K$2:$K$1001,0),1)&gt;=100000,INDEX($R$1005:$W$1005,1,MATCH(COLUMNS($R$1006:S1006),$R$1006:$W$1006,0))&gt;=100000), " ",IF(INDEX($R$2:$W$1001,MATCH(ROWS($K$2:K654),$K$2:$K$1001,0),MATCH(COLUMNS($R$1006:S1006),$R$1006:$W$1006,0)), HYPERLINK("#",""), HYPERLINK(CONCATENATE("#Metadata!", ADDRESS(INDEX($M$2:$M$1001,MATCH(ROWS($K$2:K654),$K$2:$K$1001,0),0), INDEX($R$1004:$W$1004,1,MATCH(COLUMNS($R$1006:S1006),$R$1006:$W$1006,0)))),"Fix")))</f>
        <v>0</v>
      </c>
      <c r="D654" s="3">
        <f>IF(OR(INDEX($L$2:$L$1001,MATCH(ROWS($K$2:K654),$K$2:$K$1001,0),1)&gt;=100000,INDEX($R$1005:$W$1005,1,MATCH(COLUMNS($R$1006:T1006),$R$1006:$W$1006,0))&gt;=100000), " ",IF(INDEX($R$2:$W$1001,MATCH(ROWS($K$2:K654),$K$2:$K$1001,0),MATCH(COLUMNS($R$1006:T1006),$R$1006:$W$1006,0)), HYPERLINK("#",""), HYPERLINK(CONCATENATE("#Metadata!", ADDRESS(INDEX($M$2:$M$1001,MATCH(ROWS($K$2:K654),$K$2:$K$1001,0),0), INDEX($R$1004:$W$1004,1,MATCH(COLUMNS($R$1006:T1006),$R$1006:$W$1006,0)))),"Fix")))</f>
        <v>0</v>
      </c>
      <c r="E654" s="3">
        <f>IF(OR(INDEX($L$2:$L$1001,MATCH(ROWS($K$2:K654),$K$2:$K$1001,0),1)&gt;=100000,INDEX($R$1005:$W$1005,1,MATCH(COLUMNS($R$1006:U1006),$R$1006:$W$1006,0))&gt;=100000), " ",IF(INDEX($R$2:$W$1001,MATCH(ROWS($K$2:K654),$K$2:$K$1001,0),MATCH(COLUMNS($R$1006:U1006),$R$1006:$W$1006,0)), HYPERLINK("#",""), HYPERLINK(CONCATENATE("#Metadata!", ADDRESS(INDEX($M$2:$M$1001,MATCH(ROWS($K$2:K654),$K$2:$K$1001,0),0), INDEX($R$1004:$W$1004,1,MATCH(COLUMNS($R$1006:U1006),$R$1006:$W$1006,0)))),"Fix")))</f>
        <v>0</v>
      </c>
      <c r="F654" s="3">
        <f>IF(OR(INDEX($L$2:$L$1001,MATCH(ROWS($K$2:K654),$K$2:$K$1001,0),1)&gt;=100000,INDEX($R$1005:$W$1005,1,MATCH(COLUMNS($R$1006:V1006),$R$1006:$W$1006,0))&gt;=100000), " ",IF(INDEX($R$2:$W$1001,MATCH(ROWS($K$2:K654),$K$2:$K$1001,0),MATCH(COLUMNS($R$1006:V1006),$R$1006:$W$1006,0)), HYPERLINK("#",""), HYPERLINK(CONCATENATE("#Metadata!", ADDRESS(INDEX($M$2:$M$1001,MATCH(ROWS($K$2:K654),$K$2:$K$1001,0),0), INDEX($R$1004:$W$1004,1,MATCH(COLUMNS($R$1006:V1006),$R$1006:$W$1006,0)))),"Fix")))</f>
        <v>0</v>
      </c>
      <c r="G654" s="3">
        <f>IF(OR(INDEX($L$2:$L$1001,MATCH(ROWS($K$2:K654),$K$2:$K$1001,0),1)&gt;=100000,INDEX($R$1005:$W$1005,1,MATCH(COLUMNS($R$1006:W1006),$R$1006:$W$1006,0))&gt;=100000), " ",IF(INDEX($R$2:$W$1001,MATCH(ROWS($K$2:K654),$K$2:$K$1001,0),MATCH(COLUMNS($R$1006:W1006),$R$1006:$W$1006,0)), HYPERLINK("#",""), HYPERLINK(CONCATENATE("#Metadata!", ADDRESS(INDEX($M$2:$M$1001,MATCH(ROWS($K$2:K654),$K$2:$K$1001,0),0), INDEX($R$1004:$W$1004,1,MATCH(COLUMNS($R$1006:W1006),$R$1006:$W$1006,0)))),"Fix")))</f>
        <v>0</v>
      </c>
      <c r="K654">
        <v>0</v>
      </c>
      <c r="L654">
        <v>0</v>
      </c>
      <c r="M654">
        <v>0</v>
      </c>
      <c r="N654">
        <f>IF(O654,TRUE,AND(R654:W654))</f>
        <v>0</v>
      </c>
      <c r="O654">
        <f>COUNTBLANK(Metadata!B654:G654)=COLUMNS(Metadata!B654:G654)</f>
        <v>0</v>
      </c>
      <c r="P654">
        <v>0</v>
      </c>
      <c r="R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S654">
        <f>IF(Metadata!C654="",FALSE,TRUE)</f>
        <v>0</v>
      </c>
      <c r="T654">
        <f>IF(Metadata!D654="",FALSE,TRUE)</f>
        <v>0</v>
      </c>
      <c r="U654">
        <f>IF(Metadata!E654="",FALSE,TRUE)</f>
        <v>0</v>
      </c>
      <c r="V654">
        <f>AND(IF(Metadata!F654="",FALSE,TRUE),exact(Metadata!F654,"rat gut metagenome"))</f>
        <v>0</v>
      </c>
      <c r="W654">
        <f>AND(IF(Metadata!G654="",FALSE,TRUE),exact(Metadata!G654,"1436733"))</f>
        <v>0</v>
      </c>
    </row>
    <row r="655" spans="1:23">
      <c r="A655" s="4">
        <f>IF(B655=" "," ",HYPERLINK(CONCATENATE("#metadata!",ADDRESS(INDEX($M$2:$M$1001,MATCH(ROWS($K$2:K655),$K$2:$K$1001,0),0),1)),INDEX($P$2:$P$1001,MATCH(ROWS($K$2:K655),$K$2:$K$1001,0),0)))</f>
        <v>0</v>
      </c>
      <c r="B655" s="3">
        <f>IF(OR(INDEX($L$2:$L$1001,MATCH(ROWS($K$2:K655),$K$2:$K$1001,0),1)&gt;=100000,INDEX($R$1005:$W$1005,1,MATCH(COLUMNS($R$1006:R1006),$R$1006:$W$1006,0))&gt;=100000), " ",IF(INDEX($R$2:$W$1001,MATCH(ROWS($K$2:K655),$K$2:$K$1001,0),MATCH(COLUMNS($R$1006:R1006),$R$1006:$W$1006,0)), HYPERLINK("#",""), HYPERLINK(CONCATENATE("#Metadata!", ADDRESS(INDEX($M$2:$M$1001,MATCH(ROWS($K$2:K655),$K$2:$K$1001,0),0), INDEX($R$1004:$W$1004,1,MATCH(COLUMNS($R$1006:R1006),$R$1006:$W$1006,0)))),"Fix")))</f>
        <v>0</v>
      </c>
      <c r="C655" s="3">
        <f>IF(OR(INDEX($L$2:$L$1001,MATCH(ROWS($K$2:K655),$K$2:$K$1001,0),1)&gt;=100000,INDEX($R$1005:$W$1005,1,MATCH(COLUMNS($R$1006:S1006),$R$1006:$W$1006,0))&gt;=100000), " ",IF(INDEX($R$2:$W$1001,MATCH(ROWS($K$2:K655),$K$2:$K$1001,0),MATCH(COLUMNS($R$1006:S1006),$R$1006:$W$1006,0)), HYPERLINK("#",""), HYPERLINK(CONCATENATE("#Metadata!", ADDRESS(INDEX($M$2:$M$1001,MATCH(ROWS($K$2:K655),$K$2:$K$1001,0),0), INDEX($R$1004:$W$1004,1,MATCH(COLUMNS($R$1006:S1006),$R$1006:$W$1006,0)))),"Fix")))</f>
        <v>0</v>
      </c>
      <c r="D655" s="3">
        <f>IF(OR(INDEX($L$2:$L$1001,MATCH(ROWS($K$2:K655),$K$2:$K$1001,0),1)&gt;=100000,INDEX($R$1005:$W$1005,1,MATCH(COLUMNS($R$1006:T1006),$R$1006:$W$1006,0))&gt;=100000), " ",IF(INDEX($R$2:$W$1001,MATCH(ROWS($K$2:K655),$K$2:$K$1001,0),MATCH(COLUMNS($R$1006:T1006),$R$1006:$W$1006,0)), HYPERLINK("#",""), HYPERLINK(CONCATENATE("#Metadata!", ADDRESS(INDEX($M$2:$M$1001,MATCH(ROWS($K$2:K655),$K$2:$K$1001,0),0), INDEX($R$1004:$W$1004,1,MATCH(COLUMNS($R$1006:T1006),$R$1006:$W$1006,0)))),"Fix")))</f>
        <v>0</v>
      </c>
      <c r="E655" s="3">
        <f>IF(OR(INDEX($L$2:$L$1001,MATCH(ROWS($K$2:K655),$K$2:$K$1001,0),1)&gt;=100000,INDEX($R$1005:$W$1005,1,MATCH(COLUMNS($R$1006:U1006),$R$1006:$W$1006,0))&gt;=100000), " ",IF(INDEX($R$2:$W$1001,MATCH(ROWS($K$2:K655),$K$2:$K$1001,0),MATCH(COLUMNS($R$1006:U1006),$R$1006:$W$1006,0)), HYPERLINK("#",""), HYPERLINK(CONCATENATE("#Metadata!", ADDRESS(INDEX($M$2:$M$1001,MATCH(ROWS($K$2:K655),$K$2:$K$1001,0),0), INDEX($R$1004:$W$1004,1,MATCH(COLUMNS($R$1006:U1006),$R$1006:$W$1006,0)))),"Fix")))</f>
        <v>0</v>
      </c>
      <c r="F655" s="3">
        <f>IF(OR(INDEX($L$2:$L$1001,MATCH(ROWS($K$2:K655),$K$2:$K$1001,0),1)&gt;=100000,INDEX($R$1005:$W$1005,1,MATCH(COLUMNS($R$1006:V1006),$R$1006:$W$1006,0))&gt;=100000), " ",IF(INDEX($R$2:$W$1001,MATCH(ROWS($K$2:K655),$K$2:$K$1001,0),MATCH(COLUMNS($R$1006:V1006),$R$1006:$W$1006,0)), HYPERLINK("#",""), HYPERLINK(CONCATENATE("#Metadata!", ADDRESS(INDEX($M$2:$M$1001,MATCH(ROWS($K$2:K655),$K$2:$K$1001,0),0), INDEX($R$1004:$W$1004,1,MATCH(COLUMNS($R$1006:V1006),$R$1006:$W$1006,0)))),"Fix")))</f>
        <v>0</v>
      </c>
      <c r="G655" s="3">
        <f>IF(OR(INDEX($L$2:$L$1001,MATCH(ROWS($K$2:K655),$K$2:$K$1001,0),1)&gt;=100000,INDEX($R$1005:$W$1005,1,MATCH(COLUMNS($R$1006:W1006),$R$1006:$W$1006,0))&gt;=100000), " ",IF(INDEX($R$2:$W$1001,MATCH(ROWS($K$2:K655),$K$2:$K$1001,0),MATCH(COLUMNS($R$1006:W1006),$R$1006:$W$1006,0)), HYPERLINK("#",""), HYPERLINK(CONCATENATE("#Metadata!", ADDRESS(INDEX($M$2:$M$1001,MATCH(ROWS($K$2:K655),$K$2:$K$1001,0),0), INDEX($R$1004:$W$1004,1,MATCH(COLUMNS($R$1006:W1006),$R$1006:$W$1006,0)))),"Fix")))</f>
        <v>0</v>
      </c>
      <c r="K655">
        <v>0</v>
      </c>
      <c r="L655">
        <v>0</v>
      </c>
      <c r="M655">
        <v>0</v>
      </c>
      <c r="N655">
        <f>IF(O655,TRUE,AND(R655:W655))</f>
        <v>0</v>
      </c>
      <c r="O655">
        <f>COUNTBLANK(Metadata!B655:G655)=COLUMNS(Metadata!B655:G655)</f>
        <v>0</v>
      </c>
      <c r="P655">
        <v>0</v>
      </c>
      <c r="R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S655">
        <f>IF(Metadata!C655="",FALSE,TRUE)</f>
        <v>0</v>
      </c>
      <c r="T655">
        <f>IF(Metadata!D655="",FALSE,TRUE)</f>
        <v>0</v>
      </c>
      <c r="U655">
        <f>IF(Metadata!E655="",FALSE,TRUE)</f>
        <v>0</v>
      </c>
      <c r="V655">
        <f>AND(IF(Metadata!F655="",FALSE,TRUE),exact(Metadata!F655,"rat gut metagenome"))</f>
        <v>0</v>
      </c>
      <c r="W655">
        <f>AND(IF(Metadata!G655="",FALSE,TRUE),exact(Metadata!G655,"1436733"))</f>
        <v>0</v>
      </c>
    </row>
    <row r="656" spans="1:23">
      <c r="A656" s="4">
        <f>IF(B656=" "," ",HYPERLINK(CONCATENATE("#metadata!",ADDRESS(INDEX($M$2:$M$1001,MATCH(ROWS($K$2:K656),$K$2:$K$1001,0),0),1)),INDEX($P$2:$P$1001,MATCH(ROWS($K$2:K656),$K$2:$K$1001,0),0)))</f>
        <v>0</v>
      </c>
      <c r="B656" s="3">
        <f>IF(OR(INDEX($L$2:$L$1001,MATCH(ROWS($K$2:K656),$K$2:$K$1001,0),1)&gt;=100000,INDEX($R$1005:$W$1005,1,MATCH(COLUMNS($R$1006:R1006),$R$1006:$W$1006,0))&gt;=100000), " ",IF(INDEX($R$2:$W$1001,MATCH(ROWS($K$2:K656),$K$2:$K$1001,0),MATCH(COLUMNS($R$1006:R1006),$R$1006:$W$1006,0)), HYPERLINK("#",""), HYPERLINK(CONCATENATE("#Metadata!", ADDRESS(INDEX($M$2:$M$1001,MATCH(ROWS($K$2:K656),$K$2:$K$1001,0),0), INDEX($R$1004:$W$1004,1,MATCH(COLUMNS($R$1006:R1006),$R$1006:$W$1006,0)))),"Fix")))</f>
        <v>0</v>
      </c>
      <c r="C656" s="3">
        <f>IF(OR(INDEX($L$2:$L$1001,MATCH(ROWS($K$2:K656),$K$2:$K$1001,0),1)&gt;=100000,INDEX($R$1005:$W$1005,1,MATCH(COLUMNS($R$1006:S1006),$R$1006:$W$1006,0))&gt;=100000), " ",IF(INDEX($R$2:$W$1001,MATCH(ROWS($K$2:K656),$K$2:$K$1001,0),MATCH(COLUMNS($R$1006:S1006),$R$1006:$W$1006,0)), HYPERLINK("#",""), HYPERLINK(CONCATENATE("#Metadata!", ADDRESS(INDEX($M$2:$M$1001,MATCH(ROWS($K$2:K656),$K$2:$K$1001,0),0), INDEX($R$1004:$W$1004,1,MATCH(COLUMNS($R$1006:S1006),$R$1006:$W$1006,0)))),"Fix")))</f>
        <v>0</v>
      </c>
      <c r="D656" s="3">
        <f>IF(OR(INDEX($L$2:$L$1001,MATCH(ROWS($K$2:K656),$K$2:$K$1001,0),1)&gt;=100000,INDEX($R$1005:$W$1005,1,MATCH(COLUMNS($R$1006:T1006),$R$1006:$W$1006,0))&gt;=100000), " ",IF(INDEX($R$2:$W$1001,MATCH(ROWS($K$2:K656),$K$2:$K$1001,0),MATCH(COLUMNS($R$1006:T1006),$R$1006:$W$1006,0)), HYPERLINK("#",""), HYPERLINK(CONCATENATE("#Metadata!", ADDRESS(INDEX($M$2:$M$1001,MATCH(ROWS($K$2:K656),$K$2:$K$1001,0),0), INDEX($R$1004:$W$1004,1,MATCH(COLUMNS($R$1006:T1006),$R$1006:$W$1006,0)))),"Fix")))</f>
        <v>0</v>
      </c>
      <c r="E656" s="3">
        <f>IF(OR(INDEX($L$2:$L$1001,MATCH(ROWS($K$2:K656),$K$2:$K$1001,0),1)&gt;=100000,INDEX($R$1005:$W$1005,1,MATCH(COLUMNS($R$1006:U1006),$R$1006:$W$1006,0))&gt;=100000), " ",IF(INDEX($R$2:$W$1001,MATCH(ROWS($K$2:K656),$K$2:$K$1001,0),MATCH(COLUMNS($R$1006:U1006),$R$1006:$W$1006,0)), HYPERLINK("#",""), HYPERLINK(CONCATENATE("#Metadata!", ADDRESS(INDEX($M$2:$M$1001,MATCH(ROWS($K$2:K656),$K$2:$K$1001,0),0), INDEX($R$1004:$W$1004,1,MATCH(COLUMNS($R$1006:U1006),$R$1006:$W$1006,0)))),"Fix")))</f>
        <v>0</v>
      </c>
      <c r="F656" s="3">
        <f>IF(OR(INDEX($L$2:$L$1001,MATCH(ROWS($K$2:K656),$K$2:$K$1001,0),1)&gt;=100000,INDEX($R$1005:$W$1005,1,MATCH(COLUMNS($R$1006:V1006),$R$1006:$W$1006,0))&gt;=100000), " ",IF(INDEX($R$2:$W$1001,MATCH(ROWS($K$2:K656),$K$2:$K$1001,0),MATCH(COLUMNS($R$1006:V1006),$R$1006:$W$1006,0)), HYPERLINK("#",""), HYPERLINK(CONCATENATE("#Metadata!", ADDRESS(INDEX($M$2:$M$1001,MATCH(ROWS($K$2:K656),$K$2:$K$1001,0),0), INDEX($R$1004:$W$1004,1,MATCH(COLUMNS($R$1006:V1006),$R$1006:$W$1006,0)))),"Fix")))</f>
        <v>0</v>
      </c>
      <c r="G656" s="3">
        <f>IF(OR(INDEX($L$2:$L$1001,MATCH(ROWS($K$2:K656),$K$2:$K$1001,0),1)&gt;=100000,INDEX($R$1005:$W$1005,1,MATCH(COLUMNS($R$1006:W1006),$R$1006:$W$1006,0))&gt;=100000), " ",IF(INDEX($R$2:$W$1001,MATCH(ROWS($K$2:K656),$K$2:$K$1001,0),MATCH(COLUMNS($R$1006:W1006),$R$1006:$W$1006,0)), HYPERLINK("#",""), HYPERLINK(CONCATENATE("#Metadata!", ADDRESS(INDEX($M$2:$M$1001,MATCH(ROWS($K$2:K656),$K$2:$K$1001,0),0), INDEX($R$1004:$W$1004,1,MATCH(COLUMNS($R$1006:W1006),$R$1006:$W$1006,0)))),"Fix")))</f>
        <v>0</v>
      </c>
      <c r="K656">
        <v>0</v>
      </c>
      <c r="L656">
        <v>0</v>
      </c>
      <c r="M656">
        <v>0</v>
      </c>
      <c r="N656">
        <f>IF(O656,TRUE,AND(R656:W656))</f>
        <v>0</v>
      </c>
      <c r="O656">
        <f>COUNTBLANK(Metadata!B656:G656)=COLUMNS(Metadata!B656:G656)</f>
        <v>0</v>
      </c>
      <c r="P656">
        <v>0</v>
      </c>
      <c r="R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S656">
        <f>IF(Metadata!C656="",FALSE,TRUE)</f>
        <v>0</v>
      </c>
      <c r="T656">
        <f>IF(Metadata!D656="",FALSE,TRUE)</f>
        <v>0</v>
      </c>
      <c r="U656">
        <f>IF(Metadata!E656="",FALSE,TRUE)</f>
        <v>0</v>
      </c>
      <c r="V656">
        <f>AND(IF(Metadata!F656="",FALSE,TRUE),exact(Metadata!F656,"rat gut metagenome"))</f>
        <v>0</v>
      </c>
      <c r="W656">
        <f>AND(IF(Metadata!G656="",FALSE,TRUE),exact(Metadata!G656,"1436733"))</f>
        <v>0</v>
      </c>
    </row>
    <row r="657" spans="1:23">
      <c r="A657" s="4">
        <f>IF(B657=" "," ",HYPERLINK(CONCATENATE("#metadata!",ADDRESS(INDEX($M$2:$M$1001,MATCH(ROWS($K$2:K657),$K$2:$K$1001,0),0),1)),INDEX($P$2:$P$1001,MATCH(ROWS($K$2:K657),$K$2:$K$1001,0),0)))</f>
        <v>0</v>
      </c>
      <c r="B657" s="3">
        <f>IF(OR(INDEX($L$2:$L$1001,MATCH(ROWS($K$2:K657),$K$2:$K$1001,0),1)&gt;=100000,INDEX($R$1005:$W$1005,1,MATCH(COLUMNS($R$1006:R1006),$R$1006:$W$1006,0))&gt;=100000), " ",IF(INDEX($R$2:$W$1001,MATCH(ROWS($K$2:K657),$K$2:$K$1001,0),MATCH(COLUMNS($R$1006:R1006),$R$1006:$W$1006,0)), HYPERLINK("#",""), HYPERLINK(CONCATENATE("#Metadata!", ADDRESS(INDEX($M$2:$M$1001,MATCH(ROWS($K$2:K657),$K$2:$K$1001,0),0), INDEX($R$1004:$W$1004,1,MATCH(COLUMNS($R$1006:R1006),$R$1006:$W$1006,0)))),"Fix")))</f>
        <v>0</v>
      </c>
      <c r="C657" s="3">
        <f>IF(OR(INDEX($L$2:$L$1001,MATCH(ROWS($K$2:K657),$K$2:$K$1001,0),1)&gt;=100000,INDEX($R$1005:$W$1005,1,MATCH(COLUMNS($R$1006:S1006),$R$1006:$W$1006,0))&gt;=100000), " ",IF(INDEX($R$2:$W$1001,MATCH(ROWS($K$2:K657),$K$2:$K$1001,0),MATCH(COLUMNS($R$1006:S1006),$R$1006:$W$1006,0)), HYPERLINK("#",""), HYPERLINK(CONCATENATE("#Metadata!", ADDRESS(INDEX($M$2:$M$1001,MATCH(ROWS($K$2:K657),$K$2:$K$1001,0),0), INDEX($R$1004:$W$1004,1,MATCH(COLUMNS($R$1006:S1006),$R$1006:$W$1006,0)))),"Fix")))</f>
        <v>0</v>
      </c>
      <c r="D657" s="3">
        <f>IF(OR(INDEX($L$2:$L$1001,MATCH(ROWS($K$2:K657),$K$2:$K$1001,0),1)&gt;=100000,INDEX($R$1005:$W$1005,1,MATCH(COLUMNS($R$1006:T1006),$R$1006:$W$1006,0))&gt;=100000), " ",IF(INDEX($R$2:$W$1001,MATCH(ROWS($K$2:K657),$K$2:$K$1001,0),MATCH(COLUMNS($R$1006:T1006),$R$1006:$W$1006,0)), HYPERLINK("#",""), HYPERLINK(CONCATENATE("#Metadata!", ADDRESS(INDEX($M$2:$M$1001,MATCH(ROWS($K$2:K657),$K$2:$K$1001,0),0), INDEX($R$1004:$W$1004,1,MATCH(COLUMNS($R$1006:T1006),$R$1006:$W$1006,0)))),"Fix")))</f>
        <v>0</v>
      </c>
      <c r="E657" s="3">
        <f>IF(OR(INDEX($L$2:$L$1001,MATCH(ROWS($K$2:K657),$K$2:$K$1001,0),1)&gt;=100000,INDEX($R$1005:$W$1005,1,MATCH(COLUMNS($R$1006:U1006),$R$1006:$W$1006,0))&gt;=100000), " ",IF(INDEX($R$2:$W$1001,MATCH(ROWS($K$2:K657),$K$2:$K$1001,0),MATCH(COLUMNS($R$1006:U1006),$R$1006:$W$1006,0)), HYPERLINK("#",""), HYPERLINK(CONCATENATE("#Metadata!", ADDRESS(INDEX($M$2:$M$1001,MATCH(ROWS($K$2:K657),$K$2:$K$1001,0),0), INDEX($R$1004:$W$1004,1,MATCH(COLUMNS($R$1006:U1006),$R$1006:$W$1006,0)))),"Fix")))</f>
        <v>0</v>
      </c>
      <c r="F657" s="3">
        <f>IF(OR(INDEX($L$2:$L$1001,MATCH(ROWS($K$2:K657),$K$2:$K$1001,0),1)&gt;=100000,INDEX($R$1005:$W$1005,1,MATCH(COLUMNS($R$1006:V1006),$R$1006:$W$1006,0))&gt;=100000), " ",IF(INDEX($R$2:$W$1001,MATCH(ROWS($K$2:K657),$K$2:$K$1001,0),MATCH(COLUMNS($R$1006:V1006),$R$1006:$W$1006,0)), HYPERLINK("#",""), HYPERLINK(CONCATENATE("#Metadata!", ADDRESS(INDEX($M$2:$M$1001,MATCH(ROWS($K$2:K657),$K$2:$K$1001,0),0), INDEX($R$1004:$W$1004,1,MATCH(COLUMNS($R$1006:V1006),$R$1006:$W$1006,0)))),"Fix")))</f>
        <v>0</v>
      </c>
      <c r="G657" s="3">
        <f>IF(OR(INDEX($L$2:$L$1001,MATCH(ROWS($K$2:K657),$K$2:$K$1001,0),1)&gt;=100000,INDEX($R$1005:$W$1005,1,MATCH(COLUMNS($R$1006:W1006),$R$1006:$W$1006,0))&gt;=100000), " ",IF(INDEX($R$2:$W$1001,MATCH(ROWS($K$2:K657),$K$2:$K$1001,0),MATCH(COLUMNS($R$1006:W1006),$R$1006:$W$1006,0)), HYPERLINK("#",""), HYPERLINK(CONCATENATE("#Metadata!", ADDRESS(INDEX($M$2:$M$1001,MATCH(ROWS($K$2:K657),$K$2:$K$1001,0),0), INDEX($R$1004:$W$1004,1,MATCH(COLUMNS($R$1006:W1006),$R$1006:$W$1006,0)))),"Fix")))</f>
        <v>0</v>
      </c>
      <c r="K657">
        <v>0</v>
      </c>
      <c r="L657">
        <v>0</v>
      </c>
      <c r="M657">
        <v>0</v>
      </c>
      <c r="N657">
        <f>IF(O657,TRUE,AND(R657:W657))</f>
        <v>0</v>
      </c>
      <c r="O657">
        <f>COUNTBLANK(Metadata!B657:G657)=COLUMNS(Metadata!B657:G657)</f>
        <v>0</v>
      </c>
      <c r="P657">
        <v>0</v>
      </c>
      <c r="R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S657">
        <f>IF(Metadata!C657="",FALSE,TRUE)</f>
        <v>0</v>
      </c>
      <c r="T657">
        <f>IF(Metadata!D657="",FALSE,TRUE)</f>
        <v>0</v>
      </c>
      <c r="U657">
        <f>IF(Metadata!E657="",FALSE,TRUE)</f>
        <v>0</v>
      </c>
      <c r="V657">
        <f>AND(IF(Metadata!F657="",FALSE,TRUE),exact(Metadata!F657,"rat gut metagenome"))</f>
        <v>0</v>
      </c>
      <c r="W657">
        <f>AND(IF(Metadata!G657="",FALSE,TRUE),exact(Metadata!G657,"1436733"))</f>
        <v>0</v>
      </c>
    </row>
    <row r="658" spans="1:23">
      <c r="A658" s="4">
        <f>IF(B658=" "," ",HYPERLINK(CONCATENATE("#metadata!",ADDRESS(INDEX($M$2:$M$1001,MATCH(ROWS($K$2:K658),$K$2:$K$1001,0),0),1)),INDEX($P$2:$P$1001,MATCH(ROWS($K$2:K658),$K$2:$K$1001,0),0)))</f>
        <v>0</v>
      </c>
      <c r="B658" s="3">
        <f>IF(OR(INDEX($L$2:$L$1001,MATCH(ROWS($K$2:K658),$K$2:$K$1001,0),1)&gt;=100000,INDEX($R$1005:$W$1005,1,MATCH(COLUMNS($R$1006:R1006),$R$1006:$W$1006,0))&gt;=100000), " ",IF(INDEX($R$2:$W$1001,MATCH(ROWS($K$2:K658),$K$2:$K$1001,0),MATCH(COLUMNS($R$1006:R1006),$R$1006:$W$1006,0)), HYPERLINK("#",""), HYPERLINK(CONCATENATE("#Metadata!", ADDRESS(INDEX($M$2:$M$1001,MATCH(ROWS($K$2:K658),$K$2:$K$1001,0),0), INDEX($R$1004:$W$1004,1,MATCH(COLUMNS($R$1006:R1006),$R$1006:$W$1006,0)))),"Fix")))</f>
        <v>0</v>
      </c>
      <c r="C658" s="3">
        <f>IF(OR(INDEX($L$2:$L$1001,MATCH(ROWS($K$2:K658),$K$2:$K$1001,0),1)&gt;=100000,INDEX($R$1005:$W$1005,1,MATCH(COLUMNS($R$1006:S1006),$R$1006:$W$1006,0))&gt;=100000), " ",IF(INDEX($R$2:$W$1001,MATCH(ROWS($K$2:K658),$K$2:$K$1001,0),MATCH(COLUMNS($R$1006:S1006),$R$1006:$W$1006,0)), HYPERLINK("#",""), HYPERLINK(CONCATENATE("#Metadata!", ADDRESS(INDEX($M$2:$M$1001,MATCH(ROWS($K$2:K658),$K$2:$K$1001,0),0), INDEX($R$1004:$W$1004,1,MATCH(COLUMNS($R$1006:S1006),$R$1006:$W$1006,0)))),"Fix")))</f>
        <v>0</v>
      </c>
      <c r="D658" s="3">
        <f>IF(OR(INDEX($L$2:$L$1001,MATCH(ROWS($K$2:K658),$K$2:$K$1001,0),1)&gt;=100000,INDEX($R$1005:$W$1005,1,MATCH(COLUMNS($R$1006:T1006),$R$1006:$W$1006,0))&gt;=100000), " ",IF(INDEX($R$2:$W$1001,MATCH(ROWS($K$2:K658),$K$2:$K$1001,0),MATCH(COLUMNS($R$1006:T1006),$R$1006:$W$1006,0)), HYPERLINK("#",""), HYPERLINK(CONCATENATE("#Metadata!", ADDRESS(INDEX($M$2:$M$1001,MATCH(ROWS($K$2:K658),$K$2:$K$1001,0),0), INDEX($R$1004:$W$1004,1,MATCH(COLUMNS($R$1006:T1006),$R$1006:$W$1006,0)))),"Fix")))</f>
        <v>0</v>
      </c>
      <c r="E658" s="3">
        <f>IF(OR(INDEX($L$2:$L$1001,MATCH(ROWS($K$2:K658),$K$2:$K$1001,0),1)&gt;=100000,INDEX($R$1005:$W$1005,1,MATCH(COLUMNS($R$1006:U1006),$R$1006:$W$1006,0))&gt;=100000), " ",IF(INDEX($R$2:$W$1001,MATCH(ROWS($K$2:K658),$K$2:$K$1001,0),MATCH(COLUMNS($R$1006:U1006),$R$1006:$W$1006,0)), HYPERLINK("#",""), HYPERLINK(CONCATENATE("#Metadata!", ADDRESS(INDEX($M$2:$M$1001,MATCH(ROWS($K$2:K658),$K$2:$K$1001,0),0), INDEX($R$1004:$W$1004,1,MATCH(COLUMNS($R$1006:U1006),$R$1006:$W$1006,0)))),"Fix")))</f>
        <v>0</v>
      </c>
      <c r="F658" s="3">
        <f>IF(OR(INDEX($L$2:$L$1001,MATCH(ROWS($K$2:K658),$K$2:$K$1001,0),1)&gt;=100000,INDEX($R$1005:$W$1005,1,MATCH(COLUMNS($R$1006:V1006),$R$1006:$W$1006,0))&gt;=100000), " ",IF(INDEX($R$2:$W$1001,MATCH(ROWS($K$2:K658),$K$2:$K$1001,0),MATCH(COLUMNS($R$1006:V1006),$R$1006:$W$1006,0)), HYPERLINK("#",""), HYPERLINK(CONCATENATE("#Metadata!", ADDRESS(INDEX($M$2:$M$1001,MATCH(ROWS($K$2:K658),$K$2:$K$1001,0),0), INDEX($R$1004:$W$1004,1,MATCH(COLUMNS($R$1006:V1006),$R$1006:$W$1006,0)))),"Fix")))</f>
        <v>0</v>
      </c>
      <c r="G658" s="3">
        <f>IF(OR(INDEX($L$2:$L$1001,MATCH(ROWS($K$2:K658),$K$2:$K$1001,0),1)&gt;=100000,INDEX($R$1005:$W$1005,1,MATCH(COLUMNS($R$1006:W1006),$R$1006:$W$1006,0))&gt;=100000), " ",IF(INDEX($R$2:$W$1001,MATCH(ROWS($K$2:K658),$K$2:$K$1001,0),MATCH(COLUMNS($R$1006:W1006),$R$1006:$W$1006,0)), HYPERLINK("#",""), HYPERLINK(CONCATENATE("#Metadata!", ADDRESS(INDEX($M$2:$M$1001,MATCH(ROWS($K$2:K658),$K$2:$K$1001,0),0), INDEX($R$1004:$W$1004,1,MATCH(COLUMNS($R$1006:W1006),$R$1006:$W$1006,0)))),"Fix")))</f>
        <v>0</v>
      </c>
      <c r="K658">
        <v>0</v>
      </c>
      <c r="L658">
        <v>0</v>
      </c>
      <c r="M658">
        <v>0</v>
      </c>
      <c r="N658">
        <f>IF(O658,TRUE,AND(R658:W658))</f>
        <v>0</v>
      </c>
      <c r="O658">
        <f>COUNTBLANK(Metadata!B658:G658)=COLUMNS(Metadata!B658:G658)</f>
        <v>0</v>
      </c>
      <c r="P658">
        <v>0</v>
      </c>
      <c r="R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S658">
        <f>IF(Metadata!C658="",FALSE,TRUE)</f>
        <v>0</v>
      </c>
      <c r="T658">
        <f>IF(Metadata!D658="",FALSE,TRUE)</f>
        <v>0</v>
      </c>
      <c r="U658">
        <f>IF(Metadata!E658="",FALSE,TRUE)</f>
        <v>0</v>
      </c>
      <c r="V658">
        <f>AND(IF(Metadata!F658="",FALSE,TRUE),exact(Metadata!F658,"rat gut metagenome"))</f>
        <v>0</v>
      </c>
      <c r="W658">
        <f>AND(IF(Metadata!G658="",FALSE,TRUE),exact(Metadata!G658,"1436733"))</f>
        <v>0</v>
      </c>
    </row>
    <row r="659" spans="1:23">
      <c r="A659" s="4">
        <f>IF(B659=" "," ",HYPERLINK(CONCATENATE("#metadata!",ADDRESS(INDEX($M$2:$M$1001,MATCH(ROWS($K$2:K659),$K$2:$K$1001,0),0),1)),INDEX($P$2:$P$1001,MATCH(ROWS($K$2:K659),$K$2:$K$1001,0),0)))</f>
        <v>0</v>
      </c>
      <c r="B659" s="3">
        <f>IF(OR(INDEX($L$2:$L$1001,MATCH(ROWS($K$2:K659),$K$2:$K$1001,0),1)&gt;=100000,INDEX($R$1005:$W$1005,1,MATCH(COLUMNS($R$1006:R1006),$R$1006:$W$1006,0))&gt;=100000), " ",IF(INDEX($R$2:$W$1001,MATCH(ROWS($K$2:K659),$K$2:$K$1001,0),MATCH(COLUMNS($R$1006:R1006),$R$1006:$W$1006,0)), HYPERLINK("#",""), HYPERLINK(CONCATENATE("#Metadata!", ADDRESS(INDEX($M$2:$M$1001,MATCH(ROWS($K$2:K659),$K$2:$K$1001,0),0), INDEX($R$1004:$W$1004,1,MATCH(COLUMNS($R$1006:R1006),$R$1006:$W$1006,0)))),"Fix")))</f>
        <v>0</v>
      </c>
      <c r="C659" s="3">
        <f>IF(OR(INDEX($L$2:$L$1001,MATCH(ROWS($K$2:K659),$K$2:$K$1001,0),1)&gt;=100000,INDEX($R$1005:$W$1005,1,MATCH(COLUMNS($R$1006:S1006),$R$1006:$W$1006,0))&gt;=100000), " ",IF(INDEX($R$2:$W$1001,MATCH(ROWS($K$2:K659),$K$2:$K$1001,0),MATCH(COLUMNS($R$1006:S1006),$R$1006:$W$1006,0)), HYPERLINK("#",""), HYPERLINK(CONCATENATE("#Metadata!", ADDRESS(INDEX($M$2:$M$1001,MATCH(ROWS($K$2:K659),$K$2:$K$1001,0),0), INDEX($R$1004:$W$1004,1,MATCH(COLUMNS($R$1006:S1006),$R$1006:$W$1006,0)))),"Fix")))</f>
        <v>0</v>
      </c>
      <c r="D659" s="3">
        <f>IF(OR(INDEX($L$2:$L$1001,MATCH(ROWS($K$2:K659),$K$2:$K$1001,0),1)&gt;=100000,INDEX($R$1005:$W$1005,1,MATCH(COLUMNS($R$1006:T1006),$R$1006:$W$1006,0))&gt;=100000), " ",IF(INDEX($R$2:$W$1001,MATCH(ROWS($K$2:K659),$K$2:$K$1001,0),MATCH(COLUMNS($R$1006:T1006),$R$1006:$W$1006,0)), HYPERLINK("#",""), HYPERLINK(CONCATENATE("#Metadata!", ADDRESS(INDEX($M$2:$M$1001,MATCH(ROWS($K$2:K659),$K$2:$K$1001,0),0), INDEX($R$1004:$W$1004,1,MATCH(COLUMNS($R$1006:T1006),$R$1006:$W$1006,0)))),"Fix")))</f>
        <v>0</v>
      </c>
      <c r="E659" s="3">
        <f>IF(OR(INDEX($L$2:$L$1001,MATCH(ROWS($K$2:K659),$K$2:$K$1001,0),1)&gt;=100000,INDEX($R$1005:$W$1005,1,MATCH(COLUMNS($R$1006:U1006),$R$1006:$W$1006,0))&gt;=100000), " ",IF(INDEX($R$2:$W$1001,MATCH(ROWS($K$2:K659),$K$2:$K$1001,0),MATCH(COLUMNS($R$1006:U1006),$R$1006:$W$1006,0)), HYPERLINK("#",""), HYPERLINK(CONCATENATE("#Metadata!", ADDRESS(INDEX($M$2:$M$1001,MATCH(ROWS($K$2:K659),$K$2:$K$1001,0),0), INDEX($R$1004:$W$1004,1,MATCH(COLUMNS($R$1006:U1006),$R$1006:$W$1006,0)))),"Fix")))</f>
        <v>0</v>
      </c>
      <c r="F659" s="3">
        <f>IF(OR(INDEX($L$2:$L$1001,MATCH(ROWS($K$2:K659),$K$2:$K$1001,0),1)&gt;=100000,INDEX($R$1005:$W$1005,1,MATCH(COLUMNS($R$1006:V1006),$R$1006:$W$1006,0))&gt;=100000), " ",IF(INDEX($R$2:$W$1001,MATCH(ROWS($K$2:K659),$K$2:$K$1001,0),MATCH(COLUMNS($R$1006:V1006),$R$1006:$W$1006,0)), HYPERLINK("#",""), HYPERLINK(CONCATENATE("#Metadata!", ADDRESS(INDEX($M$2:$M$1001,MATCH(ROWS($K$2:K659),$K$2:$K$1001,0),0), INDEX($R$1004:$W$1004,1,MATCH(COLUMNS($R$1006:V1006),$R$1006:$W$1006,0)))),"Fix")))</f>
        <v>0</v>
      </c>
      <c r="G659" s="3">
        <f>IF(OR(INDEX($L$2:$L$1001,MATCH(ROWS($K$2:K659),$K$2:$K$1001,0),1)&gt;=100000,INDEX($R$1005:$W$1005,1,MATCH(COLUMNS($R$1006:W1006),$R$1006:$W$1006,0))&gt;=100000), " ",IF(INDEX($R$2:$W$1001,MATCH(ROWS($K$2:K659),$K$2:$K$1001,0),MATCH(COLUMNS($R$1006:W1006),$R$1006:$W$1006,0)), HYPERLINK("#",""), HYPERLINK(CONCATENATE("#Metadata!", ADDRESS(INDEX($M$2:$M$1001,MATCH(ROWS($K$2:K659),$K$2:$K$1001,0),0), INDEX($R$1004:$W$1004,1,MATCH(COLUMNS($R$1006:W1006),$R$1006:$W$1006,0)))),"Fix")))</f>
        <v>0</v>
      </c>
      <c r="K659">
        <v>0</v>
      </c>
      <c r="L659">
        <v>0</v>
      </c>
      <c r="M659">
        <v>0</v>
      </c>
      <c r="N659">
        <f>IF(O659,TRUE,AND(R659:W659))</f>
        <v>0</v>
      </c>
      <c r="O659">
        <f>COUNTBLANK(Metadata!B659:G659)=COLUMNS(Metadata!B659:G659)</f>
        <v>0</v>
      </c>
      <c r="P659">
        <v>0</v>
      </c>
      <c r="R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S659">
        <f>IF(Metadata!C659="",FALSE,TRUE)</f>
        <v>0</v>
      </c>
      <c r="T659">
        <f>IF(Metadata!D659="",FALSE,TRUE)</f>
        <v>0</v>
      </c>
      <c r="U659">
        <f>IF(Metadata!E659="",FALSE,TRUE)</f>
        <v>0</v>
      </c>
      <c r="V659">
        <f>AND(IF(Metadata!F659="",FALSE,TRUE),exact(Metadata!F659,"rat gut metagenome"))</f>
        <v>0</v>
      </c>
      <c r="W659">
        <f>AND(IF(Metadata!G659="",FALSE,TRUE),exact(Metadata!G659,"1436733"))</f>
        <v>0</v>
      </c>
    </row>
    <row r="660" spans="1:23">
      <c r="A660" s="4">
        <f>IF(B660=" "," ",HYPERLINK(CONCATENATE("#metadata!",ADDRESS(INDEX($M$2:$M$1001,MATCH(ROWS($K$2:K660),$K$2:$K$1001,0),0),1)),INDEX($P$2:$P$1001,MATCH(ROWS($K$2:K660),$K$2:$K$1001,0),0)))</f>
        <v>0</v>
      </c>
      <c r="B660" s="3">
        <f>IF(OR(INDEX($L$2:$L$1001,MATCH(ROWS($K$2:K660),$K$2:$K$1001,0),1)&gt;=100000,INDEX($R$1005:$W$1005,1,MATCH(COLUMNS($R$1006:R1006),$R$1006:$W$1006,0))&gt;=100000), " ",IF(INDEX($R$2:$W$1001,MATCH(ROWS($K$2:K660),$K$2:$K$1001,0),MATCH(COLUMNS($R$1006:R1006),$R$1006:$W$1006,0)), HYPERLINK("#",""), HYPERLINK(CONCATENATE("#Metadata!", ADDRESS(INDEX($M$2:$M$1001,MATCH(ROWS($K$2:K660),$K$2:$K$1001,0),0), INDEX($R$1004:$W$1004,1,MATCH(COLUMNS($R$1006:R1006),$R$1006:$W$1006,0)))),"Fix")))</f>
        <v>0</v>
      </c>
      <c r="C660" s="3">
        <f>IF(OR(INDEX($L$2:$L$1001,MATCH(ROWS($K$2:K660),$K$2:$K$1001,0),1)&gt;=100000,INDEX($R$1005:$W$1005,1,MATCH(COLUMNS($R$1006:S1006),$R$1006:$W$1006,0))&gt;=100000), " ",IF(INDEX($R$2:$W$1001,MATCH(ROWS($K$2:K660),$K$2:$K$1001,0),MATCH(COLUMNS($R$1006:S1006),$R$1006:$W$1006,0)), HYPERLINK("#",""), HYPERLINK(CONCATENATE("#Metadata!", ADDRESS(INDEX($M$2:$M$1001,MATCH(ROWS($K$2:K660),$K$2:$K$1001,0),0), INDEX($R$1004:$W$1004,1,MATCH(COLUMNS($R$1006:S1006),$R$1006:$W$1006,0)))),"Fix")))</f>
        <v>0</v>
      </c>
      <c r="D660" s="3">
        <f>IF(OR(INDEX($L$2:$L$1001,MATCH(ROWS($K$2:K660),$K$2:$K$1001,0),1)&gt;=100000,INDEX($R$1005:$W$1005,1,MATCH(COLUMNS($R$1006:T1006),$R$1006:$W$1006,0))&gt;=100000), " ",IF(INDEX($R$2:$W$1001,MATCH(ROWS($K$2:K660),$K$2:$K$1001,0),MATCH(COLUMNS($R$1006:T1006),$R$1006:$W$1006,0)), HYPERLINK("#",""), HYPERLINK(CONCATENATE("#Metadata!", ADDRESS(INDEX($M$2:$M$1001,MATCH(ROWS($K$2:K660),$K$2:$K$1001,0),0), INDEX($R$1004:$W$1004,1,MATCH(COLUMNS($R$1006:T1006),$R$1006:$W$1006,0)))),"Fix")))</f>
        <v>0</v>
      </c>
      <c r="E660" s="3">
        <f>IF(OR(INDEX($L$2:$L$1001,MATCH(ROWS($K$2:K660),$K$2:$K$1001,0),1)&gt;=100000,INDEX($R$1005:$W$1005,1,MATCH(COLUMNS($R$1006:U1006),$R$1006:$W$1006,0))&gt;=100000), " ",IF(INDEX($R$2:$W$1001,MATCH(ROWS($K$2:K660),$K$2:$K$1001,0),MATCH(COLUMNS($R$1006:U1006),$R$1006:$W$1006,0)), HYPERLINK("#",""), HYPERLINK(CONCATENATE("#Metadata!", ADDRESS(INDEX($M$2:$M$1001,MATCH(ROWS($K$2:K660),$K$2:$K$1001,0),0), INDEX($R$1004:$W$1004,1,MATCH(COLUMNS($R$1006:U1006),$R$1006:$W$1006,0)))),"Fix")))</f>
        <v>0</v>
      </c>
      <c r="F660" s="3">
        <f>IF(OR(INDEX($L$2:$L$1001,MATCH(ROWS($K$2:K660),$K$2:$K$1001,0),1)&gt;=100000,INDEX($R$1005:$W$1005,1,MATCH(COLUMNS($R$1006:V1006),$R$1006:$W$1006,0))&gt;=100000), " ",IF(INDEX($R$2:$W$1001,MATCH(ROWS($K$2:K660),$K$2:$K$1001,0),MATCH(COLUMNS($R$1006:V1006),$R$1006:$W$1006,0)), HYPERLINK("#",""), HYPERLINK(CONCATENATE("#Metadata!", ADDRESS(INDEX($M$2:$M$1001,MATCH(ROWS($K$2:K660),$K$2:$K$1001,0),0), INDEX($R$1004:$W$1004,1,MATCH(COLUMNS($R$1006:V1006),$R$1006:$W$1006,0)))),"Fix")))</f>
        <v>0</v>
      </c>
      <c r="G660" s="3">
        <f>IF(OR(INDEX($L$2:$L$1001,MATCH(ROWS($K$2:K660),$K$2:$K$1001,0),1)&gt;=100000,INDEX($R$1005:$W$1005,1,MATCH(COLUMNS($R$1006:W1006),$R$1006:$W$1006,0))&gt;=100000), " ",IF(INDEX($R$2:$W$1001,MATCH(ROWS($K$2:K660),$K$2:$K$1001,0),MATCH(COLUMNS($R$1006:W1006),$R$1006:$W$1006,0)), HYPERLINK("#",""), HYPERLINK(CONCATENATE("#Metadata!", ADDRESS(INDEX($M$2:$M$1001,MATCH(ROWS($K$2:K660),$K$2:$K$1001,0),0), INDEX($R$1004:$W$1004,1,MATCH(COLUMNS($R$1006:W1006),$R$1006:$W$1006,0)))),"Fix")))</f>
        <v>0</v>
      </c>
      <c r="K660">
        <v>0</v>
      </c>
      <c r="L660">
        <v>0</v>
      </c>
      <c r="M660">
        <v>0</v>
      </c>
      <c r="N660">
        <f>IF(O660,TRUE,AND(R660:W660))</f>
        <v>0</v>
      </c>
      <c r="O660">
        <f>COUNTBLANK(Metadata!B660:G660)=COLUMNS(Metadata!B660:G660)</f>
        <v>0</v>
      </c>
      <c r="P660">
        <v>0</v>
      </c>
      <c r="R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S660">
        <f>IF(Metadata!C660="",FALSE,TRUE)</f>
        <v>0</v>
      </c>
      <c r="T660">
        <f>IF(Metadata!D660="",FALSE,TRUE)</f>
        <v>0</v>
      </c>
      <c r="U660">
        <f>IF(Metadata!E660="",FALSE,TRUE)</f>
        <v>0</v>
      </c>
      <c r="V660">
        <f>AND(IF(Metadata!F660="",FALSE,TRUE),exact(Metadata!F660,"rat gut metagenome"))</f>
        <v>0</v>
      </c>
      <c r="W660">
        <f>AND(IF(Metadata!G660="",FALSE,TRUE),exact(Metadata!G660,"1436733"))</f>
        <v>0</v>
      </c>
    </row>
    <row r="661" spans="1:23">
      <c r="A661" s="4">
        <f>IF(B661=" "," ",HYPERLINK(CONCATENATE("#metadata!",ADDRESS(INDEX($M$2:$M$1001,MATCH(ROWS($K$2:K661),$K$2:$K$1001,0),0),1)),INDEX($P$2:$P$1001,MATCH(ROWS($K$2:K661),$K$2:$K$1001,0),0)))</f>
        <v>0</v>
      </c>
      <c r="B661" s="3">
        <f>IF(OR(INDEX($L$2:$L$1001,MATCH(ROWS($K$2:K661),$K$2:$K$1001,0),1)&gt;=100000,INDEX($R$1005:$W$1005,1,MATCH(COLUMNS($R$1006:R1006),$R$1006:$W$1006,0))&gt;=100000), " ",IF(INDEX($R$2:$W$1001,MATCH(ROWS($K$2:K661),$K$2:$K$1001,0),MATCH(COLUMNS($R$1006:R1006),$R$1006:$W$1006,0)), HYPERLINK("#",""), HYPERLINK(CONCATENATE("#Metadata!", ADDRESS(INDEX($M$2:$M$1001,MATCH(ROWS($K$2:K661),$K$2:$K$1001,0),0), INDEX($R$1004:$W$1004,1,MATCH(COLUMNS($R$1006:R1006),$R$1006:$W$1006,0)))),"Fix")))</f>
        <v>0</v>
      </c>
      <c r="C661" s="3">
        <f>IF(OR(INDEX($L$2:$L$1001,MATCH(ROWS($K$2:K661),$K$2:$K$1001,0),1)&gt;=100000,INDEX($R$1005:$W$1005,1,MATCH(COLUMNS($R$1006:S1006),$R$1006:$W$1006,0))&gt;=100000), " ",IF(INDEX($R$2:$W$1001,MATCH(ROWS($K$2:K661),$K$2:$K$1001,0),MATCH(COLUMNS($R$1006:S1006),$R$1006:$W$1006,0)), HYPERLINK("#",""), HYPERLINK(CONCATENATE("#Metadata!", ADDRESS(INDEX($M$2:$M$1001,MATCH(ROWS($K$2:K661),$K$2:$K$1001,0),0), INDEX($R$1004:$W$1004,1,MATCH(COLUMNS($R$1006:S1006),$R$1006:$W$1006,0)))),"Fix")))</f>
        <v>0</v>
      </c>
      <c r="D661" s="3">
        <f>IF(OR(INDEX($L$2:$L$1001,MATCH(ROWS($K$2:K661),$K$2:$K$1001,0),1)&gt;=100000,INDEX($R$1005:$W$1005,1,MATCH(COLUMNS($R$1006:T1006),$R$1006:$W$1006,0))&gt;=100000), " ",IF(INDEX($R$2:$W$1001,MATCH(ROWS($K$2:K661),$K$2:$K$1001,0),MATCH(COLUMNS($R$1006:T1006),$R$1006:$W$1006,0)), HYPERLINK("#",""), HYPERLINK(CONCATENATE("#Metadata!", ADDRESS(INDEX($M$2:$M$1001,MATCH(ROWS($K$2:K661),$K$2:$K$1001,0),0), INDEX($R$1004:$W$1004,1,MATCH(COLUMNS($R$1006:T1006),$R$1006:$W$1006,0)))),"Fix")))</f>
        <v>0</v>
      </c>
      <c r="E661" s="3">
        <f>IF(OR(INDEX($L$2:$L$1001,MATCH(ROWS($K$2:K661),$K$2:$K$1001,0),1)&gt;=100000,INDEX($R$1005:$W$1005,1,MATCH(COLUMNS($R$1006:U1006),$R$1006:$W$1006,0))&gt;=100000), " ",IF(INDEX($R$2:$W$1001,MATCH(ROWS($K$2:K661),$K$2:$K$1001,0),MATCH(COLUMNS($R$1006:U1006),$R$1006:$W$1006,0)), HYPERLINK("#",""), HYPERLINK(CONCATENATE("#Metadata!", ADDRESS(INDEX($M$2:$M$1001,MATCH(ROWS($K$2:K661),$K$2:$K$1001,0),0), INDEX($R$1004:$W$1004,1,MATCH(COLUMNS($R$1006:U1006),$R$1006:$W$1006,0)))),"Fix")))</f>
        <v>0</v>
      </c>
      <c r="F661" s="3">
        <f>IF(OR(INDEX($L$2:$L$1001,MATCH(ROWS($K$2:K661),$K$2:$K$1001,0),1)&gt;=100000,INDEX($R$1005:$W$1005,1,MATCH(COLUMNS($R$1006:V1006),$R$1006:$W$1006,0))&gt;=100000), " ",IF(INDEX($R$2:$W$1001,MATCH(ROWS($K$2:K661),$K$2:$K$1001,0),MATCH(COLUMNS($R$1006:V1006),$R$1006:$W$1006,0)), HYPERLINK("#",""), HYPERLINK(CONCATENATE("#Metadata!", ADDRESS(INDEX($M$2:$M$1001,MATCH(ROWS($K$2:K661),$K$2:$K$1001,0),0), INDEX($R$1004:$W$1004,1,MATCH(COLUMNS($R$1006:V1006),$R$1006:$W$1006,0)))),"Fix")))</f>
        <v>0</v>
      </c>
      <c r="G661" s="3">
        <f>IF(OR(INDEX($L$2:$L$1001,MATCH(ROWS($K$2:K661),$K$2:$K$1001,0),1)&gt;=100000,INDEX($R$1005:$W$1005,1,MATCH(COLUMNS($R$1006:W1006),$R$1006:$W$1006,0))&gt;=100000), " ",IF(INDEX($R$2:$W$1001,MATCH(ROWS($K$2:K661),$K$2:$K$1001,0),MATCH(COLUMNS($R$1006:W1006),$R$1006:$W$1006,0)), HYPERLINK("#",""), HYPERLINK(CONCATENATE("#Metadata!", ADDRESS(INDEX($M$2:$M$1001,MATCH(ROWS($K$2:K661),$K$2:$K$1001,0),0), INDEX($R$1004:$W$1004,1,MATCH(COLUMNS($R$1006:W1006),$R$1006:$W$1006,0)))),"Fix")))</f>
        <v>0</v>
      </c>
      <c r="K661">
        <v>0</v>
      </c>
      <c r="L661">
        <v>0</v>
      </c>
      <c r="M661">
        <v>0</v>
      </c>
      <c r="N661">
        <f>IF(O661,TRUE,AND(R661:W661))</f>
        <v>0</v>
      </c>
      <c r="O661">
        <f>COUNTBLANK(Metadata!B661:G661)=COLUMNS(Metadata!B661:G661)</f>
        <v>0</v>
      </c>
      <c r="P661">
        <v>0</v>
      </c>
      <c r="R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S661">
        <f>IF(Metadata!C661="",FALSE,TRUE)</f>
        <v>0</v>
      </c>
      <c r="T661">
        <f>IF(Metadata!D661="",FALSE,TRUE)</f>
        <v>0</v>
      </c>
      <c r="U661">
        <f>IF(Metadata!E661="",FALSE,TRUE)</f>
        <v>0</v>
      </c>
      <c r="V661">
        <f>AND(IF(Metadata!F661="",FALSE,TRUE),exact(Metadata!F661,"rat gut metagenome"))</f>
        <v>0</v>
      </c>
      <c r="W661">
        <f>AND(IF(Metadata!G661="",FALSE,TRUE),exact(Metadata!G661,"1436733"))</f>
        <v>0</v>
      </c>
    </row>
    <row r="662" spans="1:23">
      <c r="A662" s="4">
        <f>IF(B662=" "," ",HYPERLINK(CONCATENATE("#metadata!",ADDRESS(INDEX($M$2:$M$1001,MATCH(ROWS($K$2:K662),$K$2:$K$1001,0),0),1)),INDEX($P$2:$P$1001,MATCH(ROWS($K$2:K662),$K$2:$K$1001,0),0)))</f>
        <v>0</v>
      </c>
      <c r="B662" s="3">
        <f>IF(OR(INDEX($L$2:$L$1001,MATCH(ROWS($K$2:K662),$K$2:$K$1001,0),1)&gt;=100000,INDEX($R$1005:$W$1005,1,MATCH(COLUMNS($R$1006:R1006),$R$1006:$W$1006,0))&gt;=100000), " ",IF(INDEX($R$2:$W$1001,MATCH(ROWS($K$2:K662),$K$2:$K$1001,0),MATCH(COLUMNS($R$1006:R1006),$R$1006:$W$1006,0)), HYPERLINK("#",""), HYPERLINK(CONCATENATE("#Metadata!", ADDRESS(INDEX($M$2:$M$1001,MATCH(ROWS($K$2:K662),$K$2:$K$1001,0),0), INDEX($R$1004:$W$1004,1,MATCH(COLUMNS($R$1006:R1006),$R$1006:$W$1006,0)))),"Fix")))</f>
        <v>0</v>
      </c>
      <c r="C662" s="3">
        <f>IF(OR(INDEX($L$2:$L$1001,MATCH(ROWS($K$2:K662),$K$2:$K$1001,0),1)&gt;=100000,INDEX($R$1005:$W$1005,1,MATCH(COLUMNS($R$1006:S1006),$R$1006:$W$1006,0))&gt;=100000), " ",IF(INDEX($R$2:$W$1001,MATCH(ROWS($K$2:K662),$K$2:$K$1001,0),MATCH(COLUMNS($R$1006:S1006),$R$1006:$W$1006,0)), HYPERLINK("#",""), HYPERLINK(CONCATENATE("#Metadata!", ADDRESS(INDEX($M$2:$M$1001,MATCH(ROWS($K$2:K662),$K$2:$K$1001,0),0), INDEX($R$1004:$W$1004,1,MATCH(COLUMNS($R$1006:S1006),$R$1006:$W$1006,0)))),"Fix")))</f>
        <v>0</v>
      </c>
      <c r="D662" s="3">
        <f>IF(OR(INDEX($L$2:$L$1001,MATCH(ROWS($K$2:K662),$K$2:$K$1001,0),1)&gt;=100000,INDEX($R$1005:$W$1005,1,MATCH(COLUMNS($R$1006:T1006),$R$1006:$W$1006,0))&gt;=100000), " ",IF(INDEX($R$2:$W$1001,MATCH(ROWS($K$2:K662),$K$2:$K$1001,0),MATCH(COLUMNS($R$1006:T1006),$R$1006:$W$1006,0)), HYPERLINK("#",""), HYPERLINK(CONCATENATE("#Metadata!", ADDRESS(INDEX($M$2:$M$1001,MATCH(ROWS($K$2:K662),$K$2:$K$1001,0),0), INDEX($R$1004:$W$1004,1,MATCH(COLUMNS($R$1006:T1006),$R$1006:$W$1006,0)))),"Fix")))</f>
        <v>0</v>
      </c>
      <c r="E662" s="3">
        <f>IF(OR(INDEX($L$2:$L$1001,MATCH(ROWS($K$2:K662),$K$2:$K$1001,0),1)&gt;=100000,INDEX($R$1005:$W$1005,1,MATCH(COLUMNS($R$1006:U1006),$R$1006:$W$1006,0))&gt;=100000), " ",IF(INDEX($R$2:$W$1001,MATCH(ROWS($K$2:K662),$K$2:$K$1001,0),MATCH(COLUMNS($R$1006:U1006),$R$1006:$W$1006,0)), HYPERLINK("#",""), HYPERLINK(CONCATENATE("#Metadata!", ADDRESS(INDEX($M$2:$M$1001,MATCH(ROWS($K$2:K662),$K$2:$K$1001,0),0), INDEX($R$1004:$W$1004,1,MATCH(COLUMNS($R$1006:U1006),$R$1006:$W$1006,0)))),"Fix")))</f>
        <v>0</v>
      </c>
      <c r="F662" s="3">
        <f>IF(OR(INDEX($L$2:$L$1001,MATCH(ROWS($K$2:K662),$K$2:$K$1001,0),1)&gt;=100000,INDEX($R$1005:$W$1005,1,MATCH(COLUMNS($R$1006:V1006),$R$1006:$W$1006,0))&gt;=100000), " ",IF(INDEX($R$2:$W$1001,MATCH(ROWS($K$2:K662),$K$2:$K$1001,0),MATCH(COLUMNS($R$1006:V1006),$R$1006:$W$1006,0)), HYPERLINK("#",""), HYPERLINK(CONCATENATE("#Metadata!", ADDRESS(INDEX($M$2:$M$1001,MATCH(ROWS($K$2:K662),$K$2:$K$1001,0),0), INDEX($R$1004:$W$1004,1,MATCH(COLUMNS($R$1006:V1006),$R$1006:$W$1006,0)))),"Fix")))</f>
        <v>0</v>
      </c>
      <c r="G662" s="3">
        <f>IF(OR(INDEX($L$2:$L$1001,MATCH(ROWS($K$2:K662),$K$2:$K$1001,0),1)&gt;=100000,INDEX($R$1005:$W$1005,1,MATCH(COLUMNS($R$1006:W1006),$R$1006:$W$1006,0))&gt;=100000), " ",IF(INDEX($R$2:$W$1001,MATCH(ROWS($K$2:K662),$K$2:$K$1001,0),MATCH(COLUMNS($R$1006:W1006),$R$1006:$W$1006,0)), HYPERLINK("#",""), HYPERLINK(CONCATENATE("#Metadata!", ADDRESS(INDEX($M$2:$M$1001,MATCH(ROWS($K$2:K662),$K$2:$K$1001,0),0), INDEX($R$1004:$W$1004,1,MATCH(COLUMNS($R$1006:W1006),$R$1006:$W$1006,0)))),"Fix")))</f>
        <v>0</v>
      </c>
      <c r="K662">
        <v>0</v>
      </c>
      <c r="L662">
        <v>0</v>
      </c>
      <c r="M662">
        <v>0</v>
      </c>
      <c r="N662">
        <f>IF(O662,TRUE,AND(R662:W662))</f>
        <v>0</v>
      </c>
      <c r="O662">
        <f>COUNTBLANK(Metadata!B662:G662)=COLUMNS(Metadata!B662:G662)</f>
        <v>0</v>
      </c>
      <c r="P662">
        <v>0</v>
      </c>
      <c r="R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S662">
        <f>IF(Metadata!C662="",FALSE,TRUE)</f>
        <v>0</v>
      </c>
      <c r="T662">
        <f>IF(Metadata!D662="",FALSE,TRUE)</f>
        <v>0</v>
      </c>
      <c r="U662">
        <f>IF(Metadata!E662="",FALSE,TRUE)</f>
        <v>0</v>
      </c>
      <c r="V662">
        <f>AND(IF(Metadata!F662="",FALSE,TRUE),exact(Metadata!F662,"rat gut metagenome"))</f>
        <v>0</v>
      </c>
      <c r="W662">
        <f>AND(IF(Metadata!G662="",FALSE,TRUE),exact(Metadata!G662,"1436733"))</f>
        <v>0</v>
      </c>
    </row>
    <row r="663" spans="1:23">
      <c r="A663" s="4">
        <f>IF(B663=" "," ",HYPERLINK(CONCATENATE("#metadata!",ADDRESS(INDEX($M$2:$M$1001,MATCH(ROWS($K$2:K663),$K$2:$K$1001,0),0),1)),INDEX($P$2:$P$1001,MATCH(ROWS($K$2:K663),$K$2:$K$1001,0),0)))</f>
        <v>0</v>
      </c>
      <c r="B663" s="3">
        <f>IF(OR(INDEX($L$2:$L$1001,MATCH(ROWS($K$2:K663),$K$2:$K$1001,0),1)&gt;=100000,INDEX($R$1005:$W$1005,1,MATCH(COLUMNS($R$1006:R1006),$R$1006:$W$1006,0))&gt;=100000), " ",IF(INDEX($R$2:$W$1001,MATCH(ROWS($K$2:K663),$K$2:$K$1001,0),MATCH(COLUMNS($R$1006:R1006),$R$1006:$W$1006,0)), HYPERLINK("#",""), HYPERLINK(CONCATENATE("#Metadata!", ADDRESS(INDEX($M$2:$M$1001,MATCH(ROWS($K$2:K663),$K$2:$K$1001,0),0), INDEX($R$1004:$W$1004,1,MATCH(COLUMNS($R$1006:R1006),$R$1006:$W$1006,0)))),"Fix")))</f>
        <v>0</v>
      </c>
      <c r="C663" s="3">
        <f>IF(OR(INDEX($L$2:$L$1001,MATCH(ROWS($K$2:K663),$K$2:$K$1001,0),1)&gt;=100000,INDEX($R$1005:$W$1005,1,MATCH(COLUMNS($R$1006:S1006),$R$1006:$W$1006,0))&gt;=100000), " ",IF(INDEX($R$2:$W$1001,MATCH(ROWS($K$2:K663),$K$2:$K$1001,0),MATCH(COLUMNS($R$1006:S1006),$R$1006:$W$1006,0)), HYPERLINK("#",""), HYPERLINK(CONCATENATE("#Metadata!", ADDRESS(INDEX($M$2:$M$1001,MATCH(ROWS($K$2:K663),$K$2:$K$1001,0),0), INDEX($R$1004:$W$1004,1,MATCH(COLUMNS($R$1006:S1006),$R$1006:$W$1006,0)))),"Fix")))</f>
        <v>0</v>
      </c>
      <c r="D663" s="3">
        <f>IF(OR(INDEX($L$2:$L$1001,MATCH(ROWS($K$2:K663),$K$2:$K$1001,0),1)&gt;=100000,INDEX($R$1005:$W$1005,1,MATCH(COLUMNS($R$1006:T1006),$R$1006:$W$1006,0))&gt;=100000), " ",IF(INDEX($R$2:$W$1001,MATCH(ROWS($K$2:K663),$K$2:$K$1001,0),MATCH(COLUMNS($R$1006:T1006),$R$1006:$W$1006,0)), HYPERLINK("#",""), HYPERLINK(CONCATENATE("#Metadata!", ADDRESS(INDEX($M$2:$M$1001,MATCH(ROWS($K$2:K663),$K$2:$K$1001,0),0), INDEX($R$1004:$W$1004,1,MATCH(COLUMNS($R$1006:T1006),$R$1006:$W$1006,0)))),"Fix")))</f>
        <v>0</v>
      </c>
      <c r="E663" s="3">
        <f>IF(OR(INDEX($L$2:$L$1001,MATCH(ROWS($K$2:K663),$K$2:$K$1001,0),1)&gt;=100000,INDEX($R$1005:$W$1005,1,MATCH(COLUMNS($R$1006:U1006),$R$1006:$W$1006,0))&gt;=100000), " ",IF(INDEX($R$2:$W$1001,MATCH(ROWS($K$2:K663),$K$2:$K$1001,0),MATCH(COLUMNS($R$1006:U1006),$R$1006:$W$1006,0)), HYPERLINK("#",""), HYPERLINK(CONCATENATE("#Metadata!", ADDRESS(INDEX($M$2:$M$1001,MATCH(ROWS($K$2:K663),$K$2:$K$1001,0),0), INDEX($R$1004:$W$1004,1,MATCH(COLUMNS($R$1006:U1006),$R$1006:$W$1006,0)))),"Fix")))</f>
        <v>0</v>
      </c>
      <c r="F663" s="3">
        <f>IF(OR(INDEX($L$2:$L$1001,MATCH(ROWS($K$2:K663),$K$2:$K$1001,0),1)&gt;=100000,INDEX($R$1005:$W$1005,1,MATCH(COLUMNS($R$1006:V1006),$R$1006:$W$1006,0))&gt;=100000), " ",IF(INDEX($R$2:$W$1001,MATCH(ROWS($K$2:K663),$K$2:$K$1001,0),MATCH(COLUMNS($R$1006:V1006),$R$1006:$W$1006,0)), HYPERLINK("#",""), HYPERLINK(CONCATENATE("#Metadata!", ADDRESS(INDEX($M$2:$M$1001,MATCH(ROWS($K$2:K663),$K$2:$K$1001,0),0), INDEX($R$1004:$W$1004,1,MATCH(COLUMNS($R$1006:V1006),$R$1006:$W$1006,0)))),"Fix")))</f>
        <v>0</v>
      </c>
      <c r="G663" s="3">
        <f>IF(OR(INDEX($L$2:$L$1001,MATCH(ROWS($K$2:K663),$K$2:$K$1001,0),1)&gt;=100000,INDEX($R$1005:$W$1005,1,MATCH(COLUMNS($R$1006:W1006),$R$1006:$W$1006,0))&gt;=100000), " ",IF(INDEX($R$2:$W$1001,MATCH(ROWS($K$2:K663),$K$2:$K$1001,0),MATCH(COLUMNS($R$1006:W1006),$R$1006:$W$1006,0)), HYPERLINK("#",""), HYPERLINK(CONCATENATE("#Metadata!", ADDRESS(INDEX($M$2:$M$1001,MATCH(ROWS($K$2:K663),$K$2:$K$1001,0),0), INDEX($R$1004:$W$1004,1,MATCH(COLUMNS($R$1006:W1006),$R$1006:$W$1006,0)))),"Fix")))</f>
        <v>0</v>
      </c>
      <c r="K663">
        <v>0</v>
      </c>
      <c r="L663">
        <v>0</v>
      </c>
      <c r="M663">
        <v>0</v>
      </c>
      <c r="N663">
        <f>IF(O663,TRUE,AND(R663:W663))</f>
        <v>0</v>
      </c>
      <c r="O663">
        <f>COUNTBLANK(Metadata!B663:G663)=COLUMNS(Metadata!B663:G663)</f>
        <v>0</v>
      </c>
      <c r="P663">
        <v>0</v>
      </c>
      <c r="R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S663">
        <f>IF(Metadata!C663="",FALSE,TRUE)</f>
        <v>0</v>
      </c>
      <c r="T663">
        <f>IF(Metadata!D663="",FALSE,TRUE)</f>
        <v>0</v>
      </c>
      <c r="U663">
        <f>IF(Metadata!E663="",FALSE,TRUE)</f>
        <v>0</v>
      </c>
      <c r="V663">
        <f>AND(IF(Metadata!F663="",FALSE,TRUE),exact(Metadata!F663,"rat gut metagenome"))</f>
        <v>0</v>
      </c>
      <c r="W663">
        <f>AND(IF(Metadata!G663="",FALSE,TRUE),exact(Metadata!G663,"1436733"))</f>
        <v>0</v>
      </c>
    </row>
    <row r="664" spans="1:23">
      <c r="A664" s="4">
        <f>IF(B664=" "," ",HYPERLINK(CONCATENATE("#metadata!",ADDRESS(INDEX($M$2:$M$1001,MATCH(ROWS($K$2:K664),$K$2:$K$1001,0),0),1)),INDEX($P$2:$P$1001,MATCH(ROWS($K$2:K664),$K$2:$K$1001,0),0)))</f>
        <v>0</v>
      </c>
      <c r="B664" s="3">
        <f>IF(OR(INDEX($L$2:$L$1001,MATCH(ROWS($K$2:K664),$K$2:$K$1001,0),1)&gt;=100000,INDEX($R$1005:$W$1005,1,MATCH(COLUMNS($R$1006:R1006),$R$1006:$W$1006,0))&gt;=100000), " ",IF(INDEX($R$2:$W$1001,MATCH(ROWS($K$2:K664),$K$2:$K$1001,0),MATCH(COLUMNS($R$1006:R1006),$R$1006:$W$1006,0)), HYPERLINK("#",""), HYPERLINK(CONCATENATE("#Metadata!", ADDRESS(INDEX($M$2:$M$1001,MATCH(ROWS($K$2:K664),$K$2:$K$1001,0),0), INDEX($R$1004:$W$1004,1,MATCH(COLUMNS($R$1006:R1006),$R$1006:$W$1006,0)))),"Fix")))</f>
        <v>0</v>
      </c>
      <c r="C664" s="3">
        <f>IF(OR(INDEX($L$2:$L$1001,MATCH(ROWS($K$2:K664),$K$2:$K$1001,0),1)&gt;=100000,INDEX($R$1005:$W$1005,1,MATCH(COLUMNS($R$1006:S1006),$R$1006:$W$1006,0))&gt;=100000), " ",IF(INDEX($R$2:$W$1001,MATCH(ROWS($K$2:K664),$K$2:$K$1001,0),MATCH(COLUMNS($R$1006:S1006),$R$1006:$W$1006,0)), HYPERLINK("#",""), HYPERLINK(CONCATENATE("#Metadata!", ADDRESS(INDEX($M$2:$M$1001,MATCH(ROWS($K$2:K664),$K$2:$K$1001,0),0), INDEX($R$1004:$W$1004,1,MATCH(COLUMNS($R$1006:S1006),$R$1006:$W$1006,0)))),"Fix")))</f>
        <v>0</v>
      </c>
      <c r="D664" s="3">
        <f>IF(OR(INDEX($L$2:$L$1001,MATCH(ROWS($K$2:K664),$K$2:$K$1001,0),1)&gt;=100000,INDEX($R$1005:$W$1005,1,MATCH(COLUMNS($R$1006:T1006),$R$1006:$W$1006,0))&gt;=100000), " ",IF(INDEX($R$2:$W$1001,MATCH(ROWS($K$2:K664),$K$2:$K$1001,0),MATCH(COLUMNS($R$1006:T1006),$R$1006:$W$1006,0)), HYPERLINK("#",""), HYPERLINK(CONCATENATE("#Metadata!", ADDRESS(INDEX($M$2:$M$1001,MATCH(ROWS($K$2:K664),$K$2:$K$1001,0),0), INDEX($R$1004:$W$1004,1,MATCH(COLUMNS($R$1006:T1006),$R$1006:$W$1006,0)))),"Fix")))</f>
        <v>0</v>
      </c>
      <c r="E664" s="3">
        <f>IF(OR(INDEX($L$2:$L$1001,MATCH(ROWS($K$2:K664),$K$2:$K$1001,0),1)&gt;=100000,INDEX($R$1005:$W$1005,1,MATCH(COLUMNS($R$1006:U1006),$R$1006:$W$1006,0))&gt;=100000), " ",IF(INDEX($R$2:$W$1001,MATCH(ROWS($K$2:K664),$K$2:$K$1001,0),MATCH(COLUMNS($R$1006:U1006),$R$1006:$W$1006,0)), HYPERLINK("#",""), HYPERLINK(CONCATENATE("#Metadata!", ADDRESS(INDEX($M$2:$M$1001,MATCH(ROWS($K$2:K664),$K$2:$K$1001,0),0), INDEX($R$1004:$W$1004,1,MATCH(COLUMNS($R$1006:U1006),$R$1006:$W$1006,0)))),"Fix")))</f>
        <v>0</v>
      </c>
      <c r="F664" s="3">
        <f>IF(OR(INDEX($L$2:$L$1001,MATCH(ROWS($K$2:K664),$K$2:$K$1001,0),1)&gt;=100000,INDEX($R$1005:$W$1005,1,MATCH(COLUMNS($R$1006:V1006),$R$1006:$W$1006,0))&gt;=100000), " ",IF(INDEX($R$2:$W$1001,MATCH(ROWS($K$2:K664),$K$2:$K$1001,0),MATCH(COLUMNS($R$1006:V1006),$R$1006:$W$1006,0)), HYPERLINK("#",""), HYPERLINK(CONCATENATE("#Metadata!", ADDRESS(INDEX($M$2:$M$1001,MATCH(ROWS($K$2:K664),$K$2:$K$1001,0),0), INDEX($R$1004:$W$1004,1,MATCH(COLUMNS($R$1006:V1006),$R$1006:$W$1006,0)))),"Fix")))</f>
        <v>0</v>
      </c>
      <c r="G664" s="3">
        <f>IF(OR(INDEX($L$2:$L$1001,MATCH(ROWS($K$2:K664),$K$2:$K$1001,0),1)&gt;=100000,INDEX($R$1005:$W$1005,1,MATCH(COLUMNS($R$1006:W1006),$R$1006:$W$1006,0))&gt;=100000), " ",IF(INDEX($R$2:$W$1001,MATCH(ROWS($K$2:K664),$K$2:$K$1001,0),MATCH(COLUMNS($R$1006:W1006),$R$1006:$W$1006,0)), HYPERLINK("#",""), HYPERLINK(CONCATENATE("#Metadata!", ADDRESS(INDEX($M$2:$M$1001,MATCH(ROWS($K$2:K664),$K$2:$K$1001,0),0), INDEX($R$1004:$W$1004,1,MATCH(COLUMNS($R$1006:W1006),$R$1006:$W$1006,0)))),"Fix")))</f>
        <v>0</v>
      </c>
      <c r="K664">
        <v>0</v>
      </c>
      <c r="L664">
        <v>0</v>
      </c>
      <c r="M664">
        <v>0</v>
      </c>
      <c r="N664">
        <f>IF(O664,TRUE,AND(R664:W664))</f>
        <v>0</v>
      </c>
      <c r="O664">
        <f>COUNTBLANK(Metadata!B664:G664)=COLUMNS(Metadata!B664:G664)</f>
        <v>0</v>
      </c>
      <c r="P664">
        <v>0</v>
      </c>
      <c r="R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S664">
        <f>IF(Metadata!C664="",FALSE,TRUE)</f>
        <v>0</v>
      </c>
      <c r="T664">
        <f>IF(Metadata!D664="",FALSE,TRUE)</f>
        <v>0</v>
      </c>
      <c r="U664">
        <f>IF(Metadata!E664="",FALSE,TRUE)</f>
        <v>0</v>
      </c>
      <c r="V664">
        <f>AND(IF(Metadata!F664="",FALSE,TRUE),exact(Metadata!F664,"rat gut metagenome"))</f>
        <v>0</v>
      </c>
      <c r="W664">
        <f>AND(IF(Metadata!G664="",FALSE,TRUE),exact(Metadata!G664,"1436733"))</f>
        <v>0</v>
      </c>
    </row>
    <row r="665" spans="1:23">
      <c r="A665" s="4">
        <f>IF(B665=" "," ",HYPERLINK(CONCATENATE("#metadata!",ADDRESS(INDEX($M$2:$M$1001,MATCH(ROWS($K$2:K665),$K$2:$K$1001,0),0),1)),INDEX($P$2:$P$1001,MATCH(ROWS($K$2:K665),$K$2:$K$1001,0),0)))</f>
        <v>0</v>
      </c>
      <c r="B665" s="3">
        <f>IF(OR(INDEX($L$2:$L$1001,MATCH(ROWS($K$2:K665),$K$2:$K$1001,0),1)&gt;=100000,INDEX($R$1005:$W$1005,1,MATCH(COLUMNS($R$1006:R1006),$R$1006:$W$1006,0))&gt;=100000), " ",IF(INDEX($R$2:$W$1001,MATCH(ROWS($K$2:K665),$K$2:$K$1001,0),MATCH(COLUMNS($R$1006:R1006),$R$1006:$W$1006,0)), HYPERLINK("#",""), HYPERLINK(CONCATENATE("#Metadata!", ADDRESS(INDEX($M$2:$M$1001,MATCH(ROWS($K$2:K665),$K$2:$K$1001,0),0), INDEX($R$1004:$W$1004,1,MATCH(COLUMNS($R$1006:R1006),$R$1006:$W$1006,0)))),"Fix")))</f>
        <v>0</v>
      </c>
      <c r="C665" s="3">
        <f>IF(OR(INDEX($L$2:$L$1001,MATCH(ROWS($K$2:K665),$K$2:$K$1001,0),1)&gt;=100000,INDEX($R$1005:$W$1005,1,MATCH(COLUMNS($R$1006:S1006),$R$1006:$W$1006,0))&gt;=100000), " ",IF(INDEX($R$2:$W$1001,MATCH(ROWS($K$2:K665),$K$2:$K$1001,0),MATCH(COLUMNS($R$1006:S1006),$R$1006:$W$1006,0)), HYPERLINK("#",""), HYPERLINK(CONCATENATE("#Metadata!", ADDRESS(INDEX($M$2:$M$1001,MATCH(ROWS($K$2:K665),$K$2:$K$1001,0),0), INDEX($R$1004:$W$1004,1,MATCH(COLUMNS($R$1006:S1006),$R$1006:$W$1006,0)))),"Fix")))</f>
        <v>0</v>
      </c>
      <c r="D665" s="3">
        <f>IF(OR(INDEX($L$2:$L$1001,MATCH(ROWS($K$2:K665),$K$2:$K$1001,0),1)&gt;=100000,INDEX($R$1005:$W$1005,1,MATCH(COLUMNS($R$1006:T1006),$R$1006:$W$1006,0))&gt;=100000), " ",IF(INDEX($R$2:$W$1001,MATCH(ROWS($K$2:K665),$K$2:$K$1001,0),MATCH(COLUMNS($R$1006:T1006),$R$1006:$W$1006,0)), HYPERLINK("#",""), HYPERLINK(CONCATENATE("#Metadata!", ADDRESS(INDEX($M$2:$M$1001,MATCH(ROWS($K$2:K665),$K$2:$K$1001,0),0), INDEX($R$1004:$W$1004,1,MATCH(COLUMNS($R$1006:T1006),$R$1006:$W$1006,0)))),"Fix")))</f>
        <v>0</v>
      </c>
      <c r="E665" s="3">
        <f>IF(OR(INDEX($L$2:$L$1001,MATCH(ROWS($K$2:K665),$K$2:$K$1001,0),1)&gt;=100000,INDEX($R$1005:$W$1005,1,MATCH(COLUMNS($R$1006:U1006),$R$1006:$W$1006,0))&gt;=100000), " ",IF(INDEX($R$2:$W$1001,MATCH(ROWS($K$2:K665),$K$2:$K$1001,0),MATCH(COLUMNS($R$1006:U1006),$R$1006:$W$1006,0)), HYPERLINK("#",""), HYPERLINK(CONCATENATE("#Metadata!", ADDRESS(INDEX($M$2:$M$1001,MATCH(ROWS($K$2:K665),$K$2:$K$1001,0),0), INDEX($R$1004:$W$1004,1,MATCH(COLUMNS($R$1006:U1006),$R$1006:$W$1006,0)))),"Fix")))</f>
        <v>0</v>
      </c>
      <c r="F665" s="3">
        <f>IF(OR(INDEX($L$2:$L$1001,MATCH(ROWS($K$2:K665),$K$2:$K$1001,0),1)&gt;=100000,INDEX($R$1005:$W$1005,1,MATCH(COLUMNS($R$1006:V1006),$R$1006:$W$1006,0))&gt;=100000), " ",IF(INDEX($R$2:$W$1001,MATCH(ROWS($K$2:K665),$K$2:$K$1001,0),MATCH(COLUMNS($R$1006:V1006),$R$1006:$W$1006,0)), HYPERLINK("#",""), HYPERLINK(CONCATENATE("#Metadata!", ADDRESS(INDEX($M$2:$M$1001,MATCH(ROWS($K$2:K665),$K$2:$K$1001,0),0), INDEX($R$1004:$W$1004,1,MATCH(COLUMNS($R$1006:V1006),$R$1006:$W$1006,0)))),"Fix")))</f>
        <v>0</v>
      </c>
      <c r="G665" s="3">
        <f>IF(OR(INDEX($L$2:$L$1001,MATCH(ROWS($K$2:K665),$K$2:$K$1001,0),1)&gt;=100000,INDEX($R$1005:$W$1005,1,MATCH(COLUMNS($R$1006:W1006),$R$1006:$W$1006,0))&gt;=100000), " ",IF(INDEX($R$2:$W$1001,MATCH(ROWS($K$2:K665),$K$2:$K$1001,0),MATCH(COLUMNS($R$1006:W1006),$R$1006:$W$1006,0)), HYPERLINK("#",""), HYPERLINK(CONCATENATE("#Metadata!", ADDRESS(INDEX($M$2:$M$1001,MATCH(ROWS($K$2:K665),$K$2:$K$1001,0),0), INDEX($R$1004:$W$1004,1,MATCH(COLUMNS($R$1006:W1006),$R$1006:$W$1006,0)))),"Fix")))</f>
        <v>0</v>
      </c>
      <c r="K665">
        <v>0</v>
      </c>
      <c r="L665">
        <v>0</v>
      </c>
      <c r="M665">
        <v>0</v>
      </c>
      <c r="N665">
        <f>IF(O665,TRUE,AND(R665:W665))</f>
        <v>0</v>
      </c>
      <c r="O665">
        <f>COUNTBLANK(Metadata!B665:G665)=COLUMNS(Metadata!B665:G665)</f>
        <v>0</v>
      </c>
      <c r="P665">
        <v>0</v>
      </c>
      <c r="R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S665">
        <f>IF(Metadata!C665="",FALSE,TRUE)</f>
        <v>0</v>
      </c>
      <c r="T665">
        <f>IF(Metadata!D665="",FALSE,TRUE)</f>
        <v>0</v>
      </c>
      <c r="U665">
        <f>IF(Metadata!E665="",FALSE,TRUE)</f>
        <v>0</v>
      </c>
      <c r="V665">
        <f>AND(IF(Metadata!F665="",FALSE,TRUE),exact(Metadata!F665,"rat gut metagenome"))</f>
        <v>0</v>
      </c>
      <c r="W665">
        <f>AND(IF(Metadata!G665="",FALSE,TRUE),exact(Metadata!G665,"1436733"))</f>
        <v>0</v>
      </c>
    </row>
    <row r="666" spans="1:23">
      <c r="A666" s="4">
        <f>IF(B666=" "," ",HYPERLINK(CONCATENATE("#metadata!",ADDRESS(INDEX($M$2:$M$1001,MATCH(ROWS($K$2:K666),$K$2:$K$1001,0),0),1)),INDEX($P$2:$P$1001,MATCH(ROWS($K$2:K666),$K$2:$K$1001,0),0)))</f>
        <v>0</v>
      </c>
      <c r="B666" s="3">
        <f>IF(OR(INDEX($L$2:$L$1001,MATCH(ROWS($K$2:K666),$K$2:$K$1001,0),1)&gt;=100000,INDEX($R$1005:$W$1005,1,MATCH(COLUMNS($R$1006:R1006),$R$1006:$W$1006,0))&gt;=100000), " ",IF(INDEX($R$2:$W$1001,MATCH(ROWS($K$2:K666),$K$2:$K$1001,0),MATCH(COLUMNS($R$1006:R1006),$R$1006:$W$1006,0)), HYPERLINK("#",""), HYPERLINK(CONCATENATE("#Metadata!", ADDRESS(INDEX($M$2:$M$1001,MATCH(ROWS($K$2:K666),$K$2:$K$1001,0),0), INDEX($R$1004:$W$1004,1,MATCH(COLUMNS($R$1006:R1006),$R$1006:$W$1006,0)))),"Fix")))</f>
        <v>0</v>
      </c>
      <c r="C666" s="3">
        <f>IF(OR(INDEX($L$2:$L$1001,MATCH(ROWS($K$2:K666),$K$2:$K$1001,0),1)&gt;=100000,INDEX($R$1005:$W$1005,1,MATCH(COLUMNS($R$1006:S1006),$R$1006:$W$1006,0))&gt;=100000), " ",IF(INDEX($R$2:$W$1001,MATCH(ROWS($K$2:K666),$K$2:$K$1001,0),MATCH(COLUMNS($R$1006:S1006),$R$1006:$W$1006,0)), HYPERLINK("#",""), HYPERLINK(CONCATENATE("#Metadata!", ADDRESS(INDEX($M$2:$M$1001,MATCH(ROWS($K$2:K666),$K$2:$K$1001,0),0), INDEX($R$1004:$W$1004,1,MATCH(COLUMNS($R$1006:S1006),$R$1006:$W$1006,0)))),"Fix")))</f>
        <v>0</v>
      </c>
      <c r="D666" s="3">
        <f>IF(OR(INDEX($L$2:$L$1001,MATCH(ROWS($K$2:K666),$K$2:$K$1001,0),1)&gt;=100000,INDEX($R$1005:$W$1005,1,MATCH(COLUMNS($R$1006:T1006),$R$1006:$W$1006,0))&gt;=100000), " ",IF(INDEX($R$2:$W$1001,MATCH(ROWS($K$2:K666),$K$2:$K$1001,0),MATCH(COLUMNS($R$1006:T1006),$R$1006:$W$1006,0)), HYPERLINK("#",""), HYPERLINK(CONCATENATE("#Metadata!", ADDRESS(INDEX($M$2:$M$1001,MATCH(ROWS($K$2:K666),$K$2:$K$1001,0),0), INDEX($R$1004:$W$1004,1,MATCH(COLUMNS($R$1006:T1006),$R$1006:$W$1006,0)))),"Fix")))</f>
        <v>0</v>
      </c>
      <c r="E666" s="3">
        <f>IF(OR(INDEX($L$2:$L$1001,MATCH(ROWS($K$2:K666),$K$2:$K$1001,0),1)&gt;=100000,INDEX($R$1005:$W$1005,1,MATCH(COLUMNS($R$1006:U1006),$R$1006:$W$1006,0))&gt;=100000), " ",IF(INDEX($R$2:$W$1001,MATCH(ROWS($K$2:K666),$K$2:$K$1001,0),MATCH(COLUMNS($R$1006:U1006),$R$1006:$W$1006,0)), HYPERLINK("#",""), HYPERLINK(CONCATENATE("#Metadata!", ADDRESS(INDEX($M$2:$M$1001,MATCH(ROWS($K$2:K666),$K$2:$K$1001,0),0), INDEX($R$1004:$W$1004,1,MATCH(COLUMNS($R$1006:U1006),$R$1006:$W$1006,0)))),"Fix")))</f>
        <v>0</v>
      </c>
      <c r="F666" s="3">
        <f>IF(OR(INDEX($L$2:$L$1001,MATCH(ROWS($K$2:K666),$K$2:$K$1001,0),1)&gt;=100000,INDEX($R$1005:$W$1005,1,MATCH(COLUMNS($R$1006:V1006),$R$1006:$W$1006,0))&gt;=100000), " ",IF(INDEX($R$2:$W$1001,MATCH(ROWS($K$2:K666),$K$2:$K$1001,0),MATCH(COLUMNS($R$1006:V1006),$R$1006:$W$1006,0)), HYPERLINK("#",""), HYPERLINK(CONCATENATE("#Metadata!", ADDRESS(INDEX($M$2:$M$1001,MATCH(ROWS($K$2:K666),$K$2:$K$1001,0),0), INDEX($R$1004:$W$1004,1,MATCH(COLUMNS($R$1006:V1006),$R$1006:$W$1006,0)))),"Fix")))</f>
        <v>0</v>
      </c>
      <c r="G666" s="3">
        <f>IF(OR(INDEX($L$2:$L$1001,MATCH(ROWS($K$2:K666),$K$2:$K$1001,0),1)&gt;=100000,INDEX($R$1005:$W$1005,1,MATCH(COLUMNS($R$1006:W1006),$R$1006:$W$1006,0))&gt;=100000), " ",IF(INDEX($R$2:$W$1001,MATCH(ROWS($K$2:K666),$K$2:$K$1001,0),MATCH(COLUMNS($R$1006:W1006),$R$1006:$W$1006,0)), HYPERLINK("#",""), HYPERLINK(CONCATENATE("#Metadata!", ADDRESS(INDEX($M$2:$M$1001,MATCH(ROWS($K$2:K666),$K$2:$K$1001,0),0), INDEX($R$1004:$W$1004,1,MATCH(COLUMNS($R$1006:W1006),$R$1006:$W$1006,0)))),"Fix")))</f>
        <v>0</v>
      </c>
      <c r="K666">
        <v>0</v>
      </c>
      <c r="L666">
        <v>0</v>
      </c>
      <c r="M666">
        <v>0</v>
      </c>
      <c r="N666">
        <f>IF(O666,TRUE,AND(R666:W666))</f>
        <v>0</v>
      </c>
      <c r="O666">
        <f>COUNTBLANK(Metadata!B666:G666)=COLUMNS(Metadata!B666:G666)</f>
        <v>0</v>
      </c>
      <c r="P666">
        <v>0</v>
      </c>
      <c r="R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S666">
        <f>IF(Metadata!C666="",FALSE,TRUE)</f>
        <v>0</v>
      </c>
      <c r="T666">
        <f>IF(Metadata!D666="",FALSE,TRUE)</f>
        <v>0</v>
      </c>
      <c r="U666">
        <f>IF(Metadata!E666="",FALSE,TRUE)</f>
        <v>0</v>
      </c>
      <c r="V666">
        <f>AND(IF(Metadata!F666="",FALSE,TRUE),exact(Metadata!F666,"rat gut metagenome"))</f>
        <v>0</v>
      </c>
      <c r="W666">
        <f>AND(IF(Metadata!G666="",FALSE,TRUE),exact(Metadata!G666,"1436733"))</f>
        <v>0</v>
      </c>
    </row>
    <row r="667" spans="1:23">
      <c r="A667" s="4">
        <f>IF(B667=" "," ",HYPERLINK(CONCATENATE("#metadata!",ADDRESS(INDEX($M$2:$M$1001,MATCH(ROWS($K$2:K667),$K$2:$K$1001,0),0),1)),INDEX($P$2:$P$1001,MATCH(ROWS($K$2:K667),$K$2:$K$1001,0),0)))</f>
        <v>0</v>
      </c>
      <c r="B667" s="3">
        <f>IF(OR(INDEX($L$2:$L$1001,MATCH(ROWS($K$2:K667),$K$2:$K$1001,0),1)&gt;=100000,INDEX($R$1005:$W$1005,1,MATCH(COLUMNS($R$1006:R1006),$R$1006:$W$1006,0))&gt;=100000), " ",IF(INDEX($R$2:$W$1001,MATCH(ROWS($K$2:K667),$K$2:$K$1001,0),MATCH(COLUMNS($R$1006:R1006),$R$1006:$W$1006,0)), HYPERLINK("#",""), HYPERLINK(CONCATENATE("#Metadata!", ADDRESS(INDEX($M$2:$M$1001,MATCH(ROWS($K$2:K667),$K$2:$K$1001,0),0), INDEX($R$1004:$W$1004,1,MATCH(COLUMNS($R$1006:R1006),$R$1006:$W$1006,0)))),"Fix")))</f>
        <v>0</v>
      </c>
      <c r="C667" s="3">
        <f>IF(OR(INDEX($L$2:$L$1001,MATCH(ROWS($K$2:K667),$K$2:$K$1001,0),1)&gt;=100000,INDEX($R$1005:$W$1005,1,MATCH(COLUMNS($R$1006:S1006),$R$1006:$W$1006,0))&gt;=100000), " ",IF(INDEX($R$2:$W$1001,MATCH(ROWS($K$2:K667),$K$2:$K$1001,0),MATCH(COLUMNS($R$1006:S1006),$R$1006:$W$1006,0)), HYPERLINK("#",""), HYPERLINK(CONCATENATE("#Metadata!", ADDRESS(INDEX($M$2:$M$1001,MATCH(ROWS($K$2:K667),$K$2:$K$1001,0),0), INDEX($R$1004:$W$1004,1,MATCH(COLUMNS($R$1006:S1006),$R$1006:$W$1006,0)))),"Fix")))</f>
        <v>0</v>
      </c>
      <c r="D667" s="3">
        <f>IF(OR(INDEX($L$2:$L$1001,MATCH(ROWS($K$2:K667),$K$2:$K$1001,0),1)&gt;=100000,INDEX($R$1005:$W$1005,1,MATCH(COLUMNS($R$1006:T1006),$R$1006:$W$1006,0))&gt;=100000), " ",IF(INDEX($R$2:$W$1001,MATCH(ROWS($K$2:K667),$K$2:$K$1001,0),MATCH(COLUMNS($R$1006:T1006),$R$1006:$W$1006,0)), HYPERLINK("#",""), HYPERLINK(CONCATENATE("#Metadata!", ADDRESS(INDEX($M$2:$M$1001,MATCH(ROWS($K$2:K667),$K$2:$K$1001,0),0), INDEX($R$1004:$W$1004,1,MATCH(COLUMNS($R$1006:T1006),$R$1006:$W$1006,0)))),"Fix")))</f>
        <v>0</v>
      </c>
      <c r="E667" s="3">
        <f>IF(OR(INDEX($L$2:$L$1001,MATCH(ROWS($K$2:K667),$K$2:$K$1001,0),1)&gt;=100000,INDEX($R$1005:$W$1005,1,MATCH(COLUMNS($R$1006:U1006),$R$1006:$W$1006,0))&gt;=100000), " ",IF(INDEX($R$2:$W$1001,MATCH(ROWS($K$2:K667),$K$2:$K$1001,0),MATCH(COLUMNS($R$1006:U1006),$R$1006:$W$1006,0)), HYPERLINK("#",""), HYPERLINK(CONCATENATE("#Metadata!", ADDRESS(INDEX($M$2:$M$1001,MATCH(ROWS($K$2:K667),$K$2:$K$1001,0),0), INDEX($R$1004:$W$1004,1,MATCH(COLUMNS($R$1006:U1006),$R$1006:$W$1006,0)))),"Fix")))</f>
        <v>0</v>
      </c>
      <c r="F667" s="3">
        <f>IF(OR(INDEX($L$2:$L$1001,MATCH(ROWS($K$2:K667),$K$2:$K$1001,0),1)&gt;=100000,INDEX($R$1005:$W$1005,1,MATCH(COLUMNS($R$1006:V1006),$R$1006:$W$1006,0))&gt;=100000), " ",IF(INDEX($R$2:$W$1001,MATCH(ROWS($K$2:K667),$K$2:$K$1001,0),MATCH(COLUMNS($R$1006:V1006),$R$1006:$W$1006,0)), HYPERLINK("#",""), HYPERLINK(CONCATENATE("#Metadata!", ADDRESS(INDEX($M$2:$M$1001,MATCH(ROWS($K$2:K667),$K$2:$K$1001,0),0), INDEX($R$1004:$W$1004,1,MATCH(COLUMNS($R$1006:V1006),$R$1006:$W$1006,0)))),"Fix")))</f>
        <v>0</v>
      </c>
      <c r="G667" s="3">
        <f>IF(OR(INDEX($L$2:$L$1001,MATCH(ROWS($K$2:K667),$K$2:$K$1001,0),1)&gt;=100000,INDEX($R$1005:$W$1005,1,MATCH(COLUMNS($R$1006:W1006),$R$1006:$W$1006,0))&gt;=100000), " ",IF(INDEX($R$2:$W$1001,MATCH(ROWS($K$2:K667),$K$2:$K$1001,0),MATCH(COLUMNS($R$1006:W1006),$R$1006:$W$1006,0)), HYPERLINK("#",""), HYPERLINK(CONCATENATE("#Metadata!", ADDRESS(INDEX($M$2:$M$1001,MATCH(ROWS($K$2:K667),$K$2:$K$1001,0),0), INDEX($R$1004:$W$1004,1,MATCH(COLUMNS($R$1006:W1006),$R$1006:$W$1006,0)))),"Fix")))</f>
        <v>0</v>
      </c>
      <c r="K667">
        <v>0</v>
      </c>
      <c r="L667">
        <v>0</v>
      </c>
      <c r="M667">
        <v>0</v>
      </c>
      <c r="N667">
        <f>IF(O667,TRUE,AND(R667:W667))</f>
        <v>0</v>
      </c>
      <c r="O667">
        <f>COUNTBLANK(Metadata!B667:G667)=COLUMNS(Metadata!B667:G667)</f>
        <v>0</v>
      </c>
      <c r="P667">
        <v>0</v>
      </c>
      <c r="R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S667">
        <f>IF(Metadata!C667="",FALSE,TRUE)</f>
        <v>0</v>
      </c>
      <c r="T667">
        <f>IF(Metadata!D667="",FALSE,TRUE)</f>
        <v>0</v>
      </c>
      <c r="U667">
        <f>IF(Metadata!E667="",FALSE,TRUE)</f>
        <v>0</v>
      </c>
      <c r="V667">
        <f>AND(IF(Metadata!F667="",FALSE,TRUE),exact(Metadata!F667,"rat gut metagenome"))</f>
        <v>0</v>
      </c>
      <c r="W667">
        <f>AND(IF(Metadata!G667="",FALSE,TRUE),exact(Metadata!G667,"1436733"))</f>
        <v>0</v>
      </c>
    </row>
    <row r="668" spans="1:23">
      <c r="A668" s="4">
        <f>IF(B668=" "," ",HYPERLINK(CONCATENATE("#metadata!",ADDRESS(INDEX($M$2:$M$1001,MATCH(ROWS($K$2:K668),$K$2:$K$1001,0),0),1)),INDEX($P$2:$P$1001,MATCH(ROWS($K$2:K668),$K$2:$K$1001,0),0)))</f>
        <v>0</v>
      </c>
      <c r="B668" s="3">
        <f>IF(OR(INDEX($L$2:$L$1001,MATCH(ROWS($K$2:K668),$K$2:$K$1001,0),1)&gt;=100000,INDEX($R$1005:$W$1005,1,MATCH(COLUMNS($R$1006:R1006),$R$1006:$W$1006,0))&gt;=100000), " ",IF(INDEX($R$2:$W$1001,MATCH(ROWS($K$2:K668),$K$2:$K$1001,0),MATCH(COLUMNS($R$1006:R1006),$R$1006:$W$1006,0)), HYPERLINK("#",""), HYPERLINK(CONCATENATE("#Metadata!", ADDRESS(INDEX($M$2:$M$1001,MATCH(ROWS($K$2:K668),$K$2:$K$1001,0),0), INDEX($R$1004:$W$1004,1,MATCH(COLUMNS($R$1006:R1006),$R$1006:$W$1006,0)))),"Fix")))</f>
        <v>0</v>
      </c>
      <c r="C668" s="3">
        <f>IF(OR(INDEX($L$2:$L$1001,MATCH(ROWS($K$2:K668),$K$2:$K$1001,0),1)&gt;=100000,INDEX($R$1005:$W$1005,1,MATCH(COLUMNS($R$1006:S1006),$R$1006:$W$1006,0))&gt;=100000), " ",IF(INDEX($R$2:$W$1001,MATCH(ROWS($K$2:K668),$K$2:$K$1001,0),MATCH(COLUMNS($R$1006:S1006),$R$1006:$W$1006,0)), HYPERLINK("#",""), HYPERLINK(CONCATENATE("#Metadata!", ADDRESS(INDEX($M$2:$M$1001,MATCH(ROWS($K$2:K668),$K$2:$K$1001,0),0), INDEX($R$1004:$W$1004,1,MATCH(COLUMNS($R$1006:S1006),$R$1006:$W$1006,0)))),"Fix")))</f>
        <v>0</v>
      </c>
      <c r="D668" s="3">
        <f>IF(OR(INDEX($L$2:$L$1001,MATCH(ROWS($K$2:K668),$K$2:$K$1001,0),1)&gt;=100000,INDEX($R$1005:$W$1005,1,MATCH(COLUMNS($R$1006:T1006),$R$1006:$W$1006,0))&gt;=100000), " ",IF(INDEX($R$2:$W$1001,MATCH(ROWS($K$2:K668),$K$2:$K$1001,0),MATCH(COLUMNS($R$1006:T1006),$R$1006:$W$1006,0)), HYPERLINK("#",""), HYPERLINK(CONCATENATE("#Metadata!", ADDRESS(INDEX($M$2:$M$1001,MATCH(ROWS($K$2:K668),$K$2:$K$1001,0),0), INDEX($R$1004:$W$1004,1,MATCH(COLUMNS($R$1006:T1006),$R$1006:$W$1006,0)))),"Fix")))</f>
        <v>0</v>
      </c>
      <c r="E668" s="3">
        <f>IF(OR(INDEX($L$2:$L$1001,MATCH(ROWS($K$2:K668),$K$2:$K$1001,0),1)&gt;=100000,INDEX($R$1005:$W$1005,1,MATCH(COLUMNS($R$1006:U1006),$R$1006:$W$1006,0))&gt;=100000), " ",IF(INDEX($R$2:$W$1001,MATCH(ROWS($K$2:K668),$K$2:$K$1001,0),MATCH(COLUMNS($R$1006:U1006),$R$1006:$W$1006,0)), HYPERLINK("#",""), HYPERLINK(CONCATENATE("#Metadata!", ADDRESS(INDEX($M$2:$M$1001,MATCH(ROWS($K$2:K668),$K$2:$K$1001,0),0), INDEX($R$1004:$W$1004,1,MATCH(COLUMNS($R$1006:U1006),$R$1006:$W$1006,0)))),"Fix")))</f>
        <v>0</v>
      </c>
      <c r="F668" s="3">
        <f>IF(OR(INDEX($L$2:$L$1001,MATCH(ROWS($K$2:K668),$K$2:$K$1001,0),1)&gt;=100000,INDEX($R$1005:$W$1005,1,MATCH(COLUMNS($R$1006:V1006),$R$1006:$W$1006,0))&gt;=100000), " ",IF(INDEX($R$2:$W$1001,MATCH(ROWS($K$2:K668),$K$2:$K$1001,0),MATCH(COLUMNS($R$1006:V1006),$R$1006:$W$1006,0)), HYPERLINK("#",""), HYPERLINK(CONCATENATE("#Metadata!", ADDRESS(INDEX($M$2:$M$1001,MATCH(ROWS($K$2:K668),$K$2:$K$1001,0),0), INDEX($R$1004:$W$1004,1,MATCH(COLUMNS($R$1006:V1006),$R$1006:$W$1006,0)))),"Fix")))</f>
        <v>0</v>
      </c>
      <c r="G668" s="3">
        <f>IF(OR(INDEX($L$2:$L$1001,MATCH(ROWS($K$2:K668),$K$2:$K$1001,0),1)&gt;=100000,INDEX($R$1005:$W$1005,1,MATCH(COLUMNS($R$1006:W1006),$R$1006:$W$1006,0))&gt;=100000), " ",IF(INDEX($R$2:$W$1001,MATCH(ROWS($K$2:K668),$K$2:$K$1001,0),MATCH(COLUMNS($R$1006:W1006),$R$1006:$W$1006,0)), HYPERLINK("#",""), HYPERLINK(CONCATENATE("#Metadata!", ADDRESS(INDEX($M$2:$M$1001,MATCH(ROWS($K$2:K668),$K$2:$K$1001,0),0), INDEX($R$1004:$W$1004,1,MATCH(COLUMNS($R$1006:W1006),$R$1006:$W$1006,0)))),"Fix")))</f>
        <v>0</v>
      </c>
      <c r="K668">
        <v>0</v>
      </c>
      <c r="L668">
        <v>0</v>
      </c>
      <c r="M668">
        <v>0</v>
      </c>
      <c r="N668">
        <f>IF(O668,TRUE,AND(R668:W668))</f>
        <v>0</v>
      </c>
      <c r="O668">
        <f>COUNTBLANK(Metadata!B668:G668)=COLUMNS(Metadata!B668:G668)</f>
        <v>0</v>
      </c>
      <c r="P668">
        <v>0</v>
      </c>
      <c r="R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S668">
        <f>IF(Metadata!C668="",FALSE,TRUE)</f>
        <v>0</v>
      </c>
      <c r="T668">
        <f>IF(Metadata!D668="",FALSE,TRUE)</f>
        <v>0</v>
      </c>
      <c r="U668">
        <f>IF(Metadata!E668="",FALSE,TRUE)</f>
        <v>0</v>
      </c>
      <c r="V668">
        <f>AND(IF(Metadata!F668="",FALSE,TRUE),exact(Metadata!F668,"rat gut metagenome"))</f>
        <v>0</v>
      </c>
      <c r="W668">
        <f>AND(IF(Metadata!G668="",FALSE,TRUE),exact(Metadata!G668,"1436733"))</f>
        <v>0</v>
      </c>
    </row>
    <row r="669" spans="1:23">
      <c r="A669" s="4">
        <f>IF(B669=" "," ",HYPERLINK(CONCATENATE("#metadata!",ADDRESS(INDEX($M$2:$M$1001,MATCH(ROWS($K$2:K669),$K$2:$K$1001,0),0),1)),INDEX($P$2:$P$1001,MATCH(ROWS($K$2:K669),$K$2:$K$1001,0),0)))</f>
        <v>0</v>
      </c>
      <c r="B669" s="3">
        <f>IF(OR(INDEX($L$2:$L$1001,MATCH(ROWS($K$2:K669),$K$2:$K$1001,0),1)&gt;=100000,INDEX($R$1005:$W$1005,1,MATCH(COLUMNS($R$1006:R1006),$R$1006:$W$1006,0))&gt;=100000), " ",IF(INDEX($R$2:$W$1001,MATCH(ROWS($K$2:K669),$K$2:$K$1001,0),MATCH(COLUMNS($R$1006:R1006),$R$1006:$W$1006,0)), HYPERLINK("#",""), HYPERLINK(CONCATENATE("#Metadata!", ADDRESS(INDEX($M$2:$M$1001,MATCH(ROWS($K$2:K669),$K$2:$K$1001,0),0), INDEX($R$1004:$W$1004,1,MATCH(COLUMNS($R$1006:R1006),$R$1006:$W$1006,0)))),"Fix")))</f>
        <v>0</v>
      </c>
      <c r="C669" s="3">
        <f>IF(OR(INDEX($L$2:$L$1001,MATCH(ROWS($K$2:K669),$K$2:$K$1001,0),1)&gt;=100000,INDEX($R$1005:$W$1005,1,MATCH(COLUMNS($R$1006:S1006),$R$1006:$W$1006,0))&gt;=100000), " ",IF(INDEX($R$2:$W$1001,MATCH(ROWS($K$2:K669),$K$2:$K$1001,0),MATCH(COLUMNS($R$1006:S1006),$R$1006:$W$1006,0)), HYPERLINK("#",""), HYPERLINK(CONCATENATE("#Metadata!", ADDRESS(INDEX($M$2:$M$1001,MATCH(ROWS($K$2:K669),$K$2:$K$1001,0),0), INDEX($R$1004:$W$1004,1,MATCH(COLUMNS($R$1006:S1006),$R$1006:$W$1006,0)))),"Fix")))</f>
        <v>0</v>
      </c>
      <c r="D669" s="3">
        <f>IF(OR(INDEX($L$2:$L$1001,MATCH(ROWS($K$2:K669),$K$2:$K$1001,0),1)&gt;=100000,INDEX($R$1005:$W$1005,1,MATCH(COLUMNS($R$1006:T1006),$R$1006:$W$1006,0))&gt;=100000), " ",IF(INDEX($R$2:$W$1001,MATCH(ROWS($K$2:K669),$K$2:$K$1001,0),MATCH(COLUMNS($R$1006:T1006),$R$1006:$W$1006,0)), HYPERLINK("#",""), HYPERLINK(CONCATENATE("#Metadata!", ADDRESS(INDEX($M$2:$M$1001,MATCH(ROWS($K$2:K669),$K$2:$K$1001,0),0), INDEX($R$1004:$W$1004,1,MATCH(COLUMNS($R$1006:T1006),$R$1006:$W$1006,0)))),"Fix")))</f>
        <v>0</v>
      </c>
      <c r="E669" s="3">
        <f>IF(OR(INDEX($L$2:$L$1001,MATCH(ROWS($K$2:K669),$K$2:$K$1001,0),1)&gt;=100000,INDEX($R$1005:$W$1005,1,MATCH(COLUMNS($R$1006:U1006),$R$1006:$W$1006,0))&gt;=100000), " ",IF(INDEX($R$2:$W$1001,MATCH(ROWS($K$2:K669),$K$2:$K$1001,0),MATCH(COLUMNS($R$1006:U1006),$R$1006:$W$1006,0)), HYPERLINK("#",""), HYPERLINK(CONCATENATE("#Metadata!", ADDRESS(INDEX($M$2:$M$1001,MATCH(ROWS($K$2:K669),$K$2:$K$1001,0),0), INDEX($R$1004:$W$1004,1,MATCH(COLUMNS($R$1006:U1006),$R$1006:$W$1006,0)))),"Fix")))</f>
        <v>0</v>
      </c>
      <c r="F669" s="3">
        <f>IF(OR(INDEX($L$2:$L$1001,MATCH(ROWS($K$2:K669),$K$2:$K$1001,0),1)&gt;=100000,INDEX($R$1005:$W$1005,1,MATCH(COLUMNS($R$1006:V1006),$R$1006:$W$1006,0))&gt;=100000), " ",IF(INDEX($R$2:$W$1001,MATCH(ROWS($K$2:K669),$K$2:$K$1001,0),MATCH(COLUMNS($R$1006:V1006),$R$1006:$W$1006,0)), HYPERLINK("#",""), HYPERLINK(CONCATENATE("#Metadata!", ADDRESS(INDEX($M$2:$M$1001,MATCH(ROWS($K$2:K669),$K$2:$K$1001,0),0), INDEX($R$1004:$W$1004,1,MATCH(COLUMNS($R$1006:V1006),$R$1006:$W$1006,0)))),"Fix")))</f>
        <v>0</v>
      </c>
      <c r="G669" s="3">
        <f>IF(OR(INDEX($L$2:$L$1001,MATCH(ROWS($K$2:K669),$K$2:$K$1001,0),1)&gt;=100000,INDEX($R$1005:$W$1005,1,MATCH(COLUMNS($R$1006:W1006),$R$1006:$W$1006,0))&gt;=100000), " ",IF(INDEX($R$2:$W$1001,MATCH(ROWS($K$2:K669),$K$2:$K$1001,0),MATCH(COLUMNS($R$1006:W1006),$R$1006:$W$1006,0)), HYPERLINK("#",""), HYPERLINK(CONCATENATE("#Metadata!", ADDRESS(INDEX($M$2:$M$1001,MATCH(ROWS($K$2:K669),$K$2:$K$1001,0),0), INDEX($R$1004:$W$1004,1,MATCH(COLUMNS($R$1006:W1006),$R$1006:$W$1006,0)))),"Fix")))</f>
        <v>0</v>
      </c>
      <c r="K669">
        <v>0</v>
      </c>
      <c r="L669">
        <v>0</v>
      </c>
      <c r="M669">
        <v>0</v>
      </c>
      <c r="N669">
        <f>IF(O669,TRUE,AND(R669:W669))</f>
        <v>0</v>
      </c>
      <c r="O669">
        <f>COUNTBLANK(Metadata!B669:G669)=COLUMNS(Metadata!B669:G669)</f>
        <v>0</v>
      </c>
      <c r="P669">
        <v>0</v>
      </c>
      <c r="R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S669">
        <f>IF(Metadata!C669="",FALSE,TRUE)</f>
        <v>0</v>
      </c>
      <c r="T669">
        <f>IF(Metadata!D669="",FALSE,TRUE)</f>
        <v>0</v>
      </c>
      <c r="U669">
        <f>IF(Metadata!E669="",FALSE,TRUE)</f>
        <v>0</v>
      </c>
      <c r="V669">
        <f>AND(IF(Metadata!F669="",FALSE,TRUE),exact(Metadata!F669,"rat gut metagenome"))</f>
        <v>0</v>
      </c>
      <c r="W669">
        <f>AND(IF(Metadata!G669="",FALSE,TRUE),exact(Metadata!G669,"1436733"))</f>
        <v>0</v>
      </c>
    </row>
    <row r="670" spans="1:23">
      <c r="A670" s="4">
        <f>IF(B670=" "," ",HYPERLINK(CONCATENATE("#metadata!",ADDRESS(INDEX($M$2:$M$1001,MATCH(ROWS($K$2:K670),$K$2:$K$1001,0),0),1)),INDEX($P$2:$P$1001,MATCH(ROWS($K$2:K670),$K$2:$K$1001,0),0)))</f>
        <v>0</v>
      </c>
      <c r="B670" s="3">
        <f>IF(OR(INDEX($L$2:$L$1001,MATCH(ROWS($K$2:K670),$K$2:$K$1001,0),1)&gt;=100000,INDEX($R$1005:$W$1005,1,MATCH(COLUMNS($R$1006:R1006),$R$1006:$W$1006,0))&gt;=100000), " ",IF(INDEX($R$2:$W$1001,MATCH(ROWS($K$2:K670),$K$2:$K$1001,0),MATCH(COLUMNS($R$1006:R1006),$R$1006:$W$1006,0)), HYPERLINK("#",""), HYPERLINK(CONCATENATE("#Metadata!", ADDRESS(INDEX($M$2:$M$1001,MATCH(ROWS($K$2:K670),$K$2:$K$1001,0),0), INDEX($R$1004:$W$1004,1,MATCH(COLUMNS($R$1006:R1006),$R$1006:$W$1006,0)))),"Fix")))</f>
        <v>0</v>
      </c>
      <c r="C670" s="3">
        <f>IF(OR(INDEX($L$2:$L$1001,MATCH(ROWS($K$2:K670),$K$2:$K$1001,0),1)&gt;=100000,INDEX($R$1005:$W$1005,1,MATCH(COLUMNS($R$1006:S1006),$R$1006:$W$1006,0))&gt;=100000), " ",IF(INDEX($R$2:$W$1001,MATCH(ROWS($K$2:K670),$K$2:$K$1001,0),MATCH(COLUMNS($R$1006:S1006),$R$1006:$W$1006,0)), HYPERLINK("#",""), HYPERLINK(CONCATENATE("#Metadata!", ADDRESS(INDEX($M$2:$M$1001,MATCH(ROWS($K$2:K670),$K$2:$K$1001,0),0), INDEX($R$1004:$W$1004,1,MATCH(COLUMNS($R$1006:S1006),$R$1006:$W$1006,0)))),"Fix")))</f>
        <v>0</v>
      </c>
      <c r="D670" s="3">
        <f>IF(OR(INDEX($L$2:$L$1001,MATCH(ROWS($K$2:K670),$K$2:$K$1001,0),1)&gt;=100000,INDEX($R$1005:$W$1005,1,MATCH(COLUMNS($R$1006:T1006),$R$1006:$W$1006,0))&gt;=100000), " ",IF(INDEX($R$2:$W$1001,MATCH(ROWS($K$2:K670),$K$2:$K$1001,0),MATCH(COLUMNS($R$1006:T1006),$R$1006:$W$1006,0)), HYPERLINK("#",""), HYPERLINK(CONCATENATE("#Metadata!", ADDRESS(INDEX($M$2:$M$1001,MATCH(ROWS($K$2:K670),$K$2:$K$1001,0),0), INDEX($R$1004:$W$1004,1,MATCH(COLUMNS($R$1006:T1006),$R$1006:$W$1006,0)))),"Fix")))</f>
        <v>0</v>
      </c>
      <c r="E670" s="3">
        <f>IF(OR(INDEX($L$2:$L$1001,MATCH(ROWS($K$2:K670),$K$2:$K$1001,0),1)&gt;=100000,INDEX($R$1005:$W$1005,1,MATCH(COLUMNS($R$1006:U1006),$R$1006:$W$1006,0))&gt;=100000), " ",IF(INDEX($R$2:$W$1001,MATCH(ROWS($K$2:K670),$K$2:$K$1001,0),MATCH(COLUMNS($R$1006:U1006),$R$1006:$W$1006,0)), HYPERLINK("#",""), HYPERLINK(CONCATENATE("#Metadata!", ADDRESS(INDEX($M$2:$M$1001,MATCH(ROWS($K$2:K670),$K$2:$K$1001,0),0), INDEX($R$1004:$W$1004,1,MATCH(COLUMNS($R$1006:U1006),$R$1006:$W$1006,0)))),"Fix")))</f>
        <v>0</v>
      </c>
      <c r="F670" s="3">
        <f>IF(OR(INDEX($L$2:$L$1001,MATCH(ROWS($K$2:K670),$K$2:$K$1001,0),1)&gt;=100000,INDEX($R$1005:$W$1005,1,MATCH(COLUMNS($R$1006:V1006),$R$1006:$W$1006,0))&gt;=100000), " ",IF(INDEX($R$2:$W$1001,MATCH(ROWS($K$2:K670),$K$2:$K$1001,0),MATCH(COLUMNS($R$1006:V1006),$R$1006:$W$1006,0)), HYPERLINK("#",""), HYPERLINK(CONCATENATE("#Metadata!", ADDRESS(INDEX($M$2:$M$1001,MATCH(ROWS($K$2:K670),$K$2:$K$1001,0),0), INDEX($R$1004:$W$1004,1,MATCH(COLUMNS($R$1006:V1006),$R$1006:$W$1006,0)))),"Fix")))</f>
        <v>0</v>
      </c>
      <c r="G670" s="3">
        <f>IF(OR(INDEX($L$2:$L$1001,MATCH(ROWS($K$2:K670),$K$2:$K$1001,0),1)&gt;=100000,INDEX($R$1005:$W$1005,1,MATCH(COLUMNS($R$1006:W1006),$R$1006:$W$1006,0))&gt;=100000), " ",IF(INDEX($R$2:$W$1001,MATCH(ROWS($K$2:K670),$K$2:$K$1001,0),MATCH(COLUMNS($R$1006:W1006),$R$1006:$W$1006,0)), HYPERLINK("#",""), HYPERLINK(CONCATENATE("#Metadata!", ADDRESS(INDEX($M$2:$M$1001,MATCH(ROWS($K$2:K670),$K$2:$K$1001,0),0), INDEX($R$1004:$W$1004,1,MATCH(COLUMNS($R$1006:W1006),$R$1006:$W$1006,0)))),"Fix")))</f>
        <v>0</v>
      </c>
      <c r="K670">
        <v>0</v>
      </c>
      <c r="L670">
        <v>0</v>
      </c>
      <c r="M670">
        <v>0</v>
      </c>
      <c r="N670">
        <f>IF(O670,TRUE,AND(R670:W670))</f>
        <v>0</v>
      </c>
      <c r="O670">
        <f>COUNTBLANK(Metadata!B670:G670)=COLUMNS(Metadata!B670:G670)</f>
        <v>0</v>
      </c>
      <c r="P670">
        <v>0</v>
      </c>
      <c r="R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S670">
        <f>IF(Metadata!C670="",FALSE,TRUE)</f>
        <v>0</v>
      </c>
      <c r="T670">
        <f>IF(Metadata!D670="",FALSE,TRUE)</f>
        <v>0</v>
      </c>
      <c r="U670">
        <f>IF(Metadata!E670="",FALSE,TRUE)</f>
        <v>0</v>
      </c>
      <c r="V670">
        <f>AND(IF(Metadata!F670="",FALSE,TRUE),exact(Metadata!F670,"rat gut metagenome"))</f>
        <v>0</v>
      </c>
      <c r="W670">
        <f>AND(IF(Metadata!G670="",FALSE,TRUE),exact(Metadata!G670,"1436733"))</f>
        <v>0</v>
      </c>
    </row>
    <row r="671" spans="1:23">
      <c r="A671" s="4">
        <f>IF(B671=" "," ",HYPERLINK(CONCATENATE("#metadata!",ADDRESS(INDEX($M$2:$M$1001,MATCH(ROWS($K$2:K671),$K$2:$K$1001,0),0),1)),INDEX($P$2:$P$1001,MATCH(ROWS($K$2:K671),$K$2:$K$1001,0),0)))</f>
        <v>0</v>
      </c>
      <c r="B671" s="3">
        <f>IF(OR(INDEX($L$2:$L$1001,MATCH(ROWS($K$2:K671),$K$2:$K$1001,0),1)&gt;=100000,INDEX($R$1005:$W$1005,1,MATCH(COLUMNS($R$1006:R1006),$R$1006:$W$1006,0))&gt;=100000), " ",IF(INDEX($R$2:$W$1001,MATCH(ROWS($K$2:K671),$K$2:$K$1001,0),MATCH(COLUMNS($R$1006:R1006),$R$1006:$W$1006,0)), HYPERLINK("#",""), HYPERLINK(CONCATENATE("#Metadata!", ADDRESS(INDEX($M$2:$M$1001,MATCH(ROWS($K$2:K671),$K$2:$K$1001,0),0), INDEX($R$1004:$W$1004,1,MATCH(COLUMNS($R$1006:R1006),$R$1006:$W$1006,0)))),"Fix")))</f>
        <v>0</v>
      </c>
      <c r="C671" s="3">
        <f>IF(OR(INDEX($L$2:$L$1001,MATCH(ROWS($K$2:K671),$K$2:$K$1001,0),1)&gt;=100000,INDEX($R$1005:$W$1005,1,MATCH(COLUMNS($R$1006:S1006),$R$1006:$W$1006,0))&gt;=100000), " ",IF(INDEX($R$2:$W$1001,MATCH(ROWS($K$2:K671),$K$2:$K$1001,0),MATCH(COLUMNS($R$1006:S1006),$R$1006:$W$1006,0)), HYPERLINK("#",""), HYPERLINK(CONCATENATE("#Metadata!", ADDRESS(INDEX($M$2:$M$1001,MATCH(ROWS($K$2:K671),$K$2:$K$1001,0),0), INDEX($R$1004:$W$1004,1,MATCH(COLUMNS($R$1006:S1006),$R$1006:$W$1006,0)))),"Fix")))</f>
        <v>0</v>
      </c>
      <c r="D671" s="3">
        <f>IF(OR(INDEX($L$2:$L$1001,MATCH(ROWS($K$2:K671),$K$2:$K$1001,0),1)&gt;=100000,INDEX($R$1005:$W$1005,1,MATCH(COLUMNS($R$1006:T1006),$R$1006:$W$1006,0))&gt;=100000), " ",IF(INDEX($R$2:$W$1001,MATCH(ROWS($K$2:K671),$K$2:$K$1001,0),MATCH(COLUMNS($R$1006:T1006),$R$1006:$W$1006,0)), HYPERLINK("#",""), HYPERLINK(CONCATENATE("#Metadata!", ADDRESS(INDEX($M$2:$M$1001,MATCH(ROWS($K$2:K671),$K$2:$K$1001,0),0), INDEX($R$1004:$W$1004,1,MATCH(COLUMNS($R$1006:T1006),$R$1006:$W$1006,0)))),"Fix")))</f>
        <v>0</v>
      </c>
      <c r="E671" s="3">
        <f>IF(OR(INDEX($L$2:$L$1001,MATCH(ROWS($K$2:K671),$K$2:$K$1001,0),1)&gt;=100000,INDEX($R$1005:$W$1005,1,MATCH(COLUMNS($R$1006:U1006),$R$1006:$W$1006,0))&gt;=100000), " ",IF(INDEX($R$2:$W$1001,MATCH(ROWS($K$2:K671),$K$2:$K$1001,0),MATCH(COLUMNS($R$1006:U1006),$R$1006:$W$1006,0)), HYPERLINK("#",""), HYPERLINK(CONCATENATE("#Metadata!", ADDRESS(INDEX($M$2:$M$1001,MATCH(ROWS($K$2:K671),$K$2:$K$1001,0),0), INDEX($R$1004:$W$1004,1,MATCH(COLUMNS($R$1006:U1006),$R$1006:$W$1006,0)))),"Fix")))</f>
        <v>0</v>
      </c>
      <c r="F671" s="3">
        <f>IF(OR(INDEX($L$2:$L$1001,MATCH(ROWS($K$2:K671),$K$2:$K$1001,0),1)&gt;=100000,INDEX($R$1005:$W$1005,1,MATCH(COLUMNS($R$1006:V1006),$R$1006:$W$1006,0))&gt;=100000), " ",IF(INDEX($R$2:$W$1001,MATCH(ROWS($K$2:K671),$K$2:$K$1001,0),MATCH(COLUMNS($R$1006:V1006),$R$1006:$W$1006,0)), HYPERLINK("#",""), HYPERLINK(CONCATENATE("#Metadata!", ADDRESS(INDEX($M$2:$M$1001,MATCH(ROWS($K$2:K671),$K$2:$K$1001,0),0), INDEX($R$1004:$W$1004,1,MATCH(COLUMNS($R$1006:V1006),$R$1006:$W$1006,0)))),"Fix")))</f>
        <v>0</v>
      </c>
      <c r="G671" s="3">
        <f>IF(OR(INDEX($L$2:$L$1001,MATCH(ROWS($K$2:K671),$K$2:$K$1001,0),1)&gt;=100000,INDEX($R$1005:$W$1005,1,MATCH(COLUMNS($R$1006:W1006),$R$1006:$W$1006,0))&gt;=100000), " ",IF(INDEX($R$2:$W$1001,MATCH(ROWS($K$2:K671),$K$2:$K$1001,0),MATCH(COLUMNS($R$1006:W1006),$R$1006:$W$1006,0)), HYPERLINK("#",""), HYPERLINK(CONCATENATE("#Metadata!", ADDRESS(INDEX($M$2:$M$1001,MATCH(ROWS($K$2:K671),$K$2:$K$1001,0),0), INDEX($R$1004:$W$1004,1,MATCH(COLUMNS($R$1006:W1006),$R$1006:$W$1006,0)))),"Fix")))</f>
        <v>0</v>
      </c>
      <c r="K671">
        <v>0</v>
      </c>
      <c r="L671">
        <v>0</v>
      </c>
      <c r="M671">
        <v>0</v>
      </c>
      <c r="N671">
        <f>IF(O671,TRUE,AND(R671:W671))</f>
        <v>0</v>
      </c>
      <c r="O671">
        <f>COUNTBLANK(Metadata!B671:G671)=COLUMNS(Metadata!B671:G671)</f>
        <v>0</v>
      </c>
      <c r="P671">
        <v>0</v>
      </c>
      <c r="R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S671">
        <f>IF(Metadata!C671="",FALSE,TRUE)</f>
        <v>0</v>
      </c>
      <c r="T671">
        <f>IF(Metadata!D671="",FALSE,TRUE)</f>
        <v>0</v>
      </c>
      <c r="U671">
        <f>IF(Metadata!E671="",FALSE,TRUE)</f>
        <v>0</v>
      </c>
      <c r="V671">
        <f>AND(IF(Metadata!F671="",FALSE,TRUE),exact(Metadata!F671,"rat gut metagenome"))</f>
        <v>0</v>
      </c>
      <c r="W671">
        <f>AND(IF(Metadata!G671="",FALSE,TRUE),exact(Metadata!G671,"1436733"))</f>
        <v>0</v>
      </c>
    </row>
    <row r="672" spans="1:23">
      <c r="A672" s="4">
        <f>IF(B672=" "," ",HYPERLINK(CONCATENATE("#metadata!",ADDRESS(INDEX($M$2:$M$1001,MATCH(ROWS($K$2:K672),$K$2:$K$1001,0),0),1)),INDEX($P$2:$P$1001,MATCH(ROWS($K$2:K672),$K$2:$K$1001,0),0)))</f>
        <v>0</v>
      </c>
      <c r="B672" s="3">
        <f>IF(OR(INDEX($L$2:$L$1001,MATCH(ROWS($K$2:K672),$K$2:$K$1001,0),1)&gt;=100000,INDEX($R$1005:$W$1005,1,MATCH(COLUMNS($R$1006:R1006),$R$1006:$W$1006,0))&gt;=100000), " ",IF(INDEX($R$2:$W$1001,MATCH(ROWS($K$2:K672),$K$2:$K$1001,0),MATCH(COLUMNS($R$1006:R1006),$R$1006:$W$1006,0)), HYPERLINK("#",""), HYPERLINK(CONCATENATE("#Metadata!", ADDRESS(INDEX($M$2:$M$1001,MATCH(ROWS($K$2:K672),$K$2:$K$1001,0),0), INDEX($R$1004:$W$1004,1,MATCH(COLUMNS($R$1006:R1006),$R$1006:$W$1006,0)))),"Fix")))</f>
        <v>0</v>
      </c>
      <c r="C672" s="3">
        <f>IF(OR(INDEX($L$2:$L$1001,MATCH(ROWS($K$2:K672),$K$2:$K$1001,0),1)&gt;=100000,INDEX($R$1005:$W$1005,1,MATCH(COLUMNS($R$1006:S1006),$R$1006:$W$1006,0))&gt;=100000), " ",IF(INDEX($R$2:$W$1001,MATCH(ROWS($K$2:K672),$K$2:$K$1001,0),MATCH(COLUMNS($R$1006:S1006),$R$1006:$W$1006,0)), HYPERLINK("#",""), HYPERLINK(CONCATENATE("#Metadata!", ADDRESS(INDEX($M$2:$M$1001,MATCH(ROWS($K$2:K672),$K$2:$K$1001,0),0), INDEX($R$1004:$W$1004,1,MATCH(COLUMNS($R$1006:S1006),$R$1006:$W$1006,0)))),"Fix")))</f>
        <v>0</v>
      </c>
      <c r="D672" s="3">
        <f>IF(OR(INDEX($L$2:$L$1001,MATCH(ROWS($K$2:K672),$K$2:$K$1001,0),1)&gt;=100000,INDEX($R$1005:$W$1005,1,MATCH(COLUMNS($R$1006:T1006),$R$1006:$W$1006,0))&gt;=100000), " ",IF(INDEX($R$2:$W$1001,MATCH(ROWS($K$2:K672),$K$2:$K$1001,0),MATCH(COLUMNS($R$1006:T1006),$R$1006:$W$1006,0)), HYPERLINK("#",""), HYPERLINK(CONCATENATE("#Metadata!", ADDRESS(INDEX($M$2:$M$1001,MATCH(ROWS($K$2:K672),$K$2:$K$1001,0),0), INDEX($R$1004:$W$1004,1,MATCH(COLUMNS($R$1006:T1006),$R$1006:$W$1006,0)))),"Fix")))</f>
        <v>0</v>
      </c>
      <c r="E672" s="3">
        <f>IF(OR(INDEX($L$2:$L$1001,MATCH(ROWS($K$2:K672),$K$2:$K$1001,0),1)&gt;=100000,INDEX($R$1005:$W$1005,1,MATCH(COLUMNS($R$1006:U1006),$R$1006:$W$1006,0))&gt;=100000), " ",IF(INDEX($R$2:$W$1001,MATCH(ROWS($K$2:K672),$K$2:$K$1001,0),MATCH(COLUMNS($R$1006:U1006),$R$1006:$W$1006,0)), HYPERLINK("#",""), HYPERLINK(CONCATENATE("#Metadata!", ADDRESS(INDEX($M$2:$M$1001,MATCH(ROWS($K$2:K672),$K$2:$K$1001,0),0), INDEX($R$1004:$W$1004,1,MATCH(COLUMNS($R$1006:U1006),$R$1006:$W$1006,0)))),"Fix")))</f>
        <v>0</v>
      </c>
      <c r="F672" s="3">
        <f>IF(OR(INDEX($L$2:$L$1001,MATCH(ROWS($K$2:K672),$K$2:$K$1001,0),1)&gt;=100000,INDEX($R$1005:$W$1005,1,MATCH(COLUMNS($R$1006:V1006),$R$1006:$W$1006,0))&gt;=100000), " ",IF(INDEX($R$2:$W$1001,MATCH(ROWS($K$2:K672),$K$2:$K$1001,0),MATCH(COLUMNS($R$1006:V1006),$R$1006:$W$1006,0)), HYPERLINK("#",""), HYPERLINK(CONCATENATE("#Metadata!", ADDRESS(INDEX($M$2:$M$1001,MATCH(ROWS($K$2:K672),$K$2:$K$1001,0),0), INDEX($R$1004:$W$1004,1,MATCH(COLUMNS($R$1006:V1006),$R$1006:$W$1006,0)))),"Fix")))</f>
        <v>0</v>
      </c>
      <c r="G672" s="3">
        <f>IF(OR(INDEX($L$2:$L$1001,MATCH(ROWS($K$2:K672),$K$2:$K$1001,0),1)&gt;=100000,INDEX($R$1005:$W$1005,1,MATCH(COLUMNS($R$1006:W1006),$R$1006:$W$1006,0))&gt;=100000), " ",IF(INDEX($R$2:$W$1001,MATCH(ROWS($K$2:K672),$K$2:$K$1001,0),MATCH(COLUMNS($R$1006:W1006),$R$1006:$W$1006,0)), HYPERLINK("#",""), HYPERLINK(CONCATENATE("#Metadata!", ADDRESS(INDEX($M$2:$M$1001,MATCH(ROWS($K$2:K672),$K$2:$K$1001,0),0), INDEX($R$1004:$W$1004,1,MATCH(COLUMNS($R$1006:W1006),$R$1006:$W$1006,0)))),"Fix")))</f>
        <v>0</v>
      </c>
      <c r="K672">
        <v>0</v>
      </c>
      <c r="L672">
        <v>0</v>
      </c>
      <c r="M672">
        <v>0</v>
      </c>
      <c r="N672">
        <f>IF(O672,TRUE,AND(R672:W672))</f>
        <v>0</v>
      </c>
      <c r="O672">
        <f>COUNTBLANK(Metadata!B672:G672)=COLUMNS(Metadata!B672:G672)</f>
        <v>0</v>
      </c>
      <c r="P672">
        <v>0</v>
      </c>
      <c r="R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S672">
        <f>IF(Metadata!C672="",FALSE,TRUE)</f>
        <v>0</v>
      </c>
      <c r="T672">
        <f>IF(Metadata!D672="",FALSE,TRUE)</f>
        <v>0</v>
      </c>
      <c r="U672">
        <f>IF(Metadata!E672="",FALSE,TRUE)</f>
        <v>0</v>
      </c>
      <c r="V672">
        <f>AND(IF(Metadata!F672="",FALSE,TRUE),exact(Metadata!F672,"rat gut metagenome"))</f>
        <v>0</v>
      </c>
      <c r="W672">
        <f>AND(IF(Metadata!G672="",FALSE,TRUE),exact(Metadata!G672,"1436733"))</f>
        <v>0</v>
      </c>
    </row>
    <row r="673" spans="1:23">
      <c r="A673" s="4">
        <f>IF(B673=" "," ",HYPERLINK(CONCATENATE("#metadata!",ADDRESS(INDEX($M$2:$M$1001,MATCH(ROWS($K$2:K673),$K$2:$K$1001,0),0),1)),INDEX($P$2:$P$1001,MATCH(ROWS($K$2:K673),$K$2:$K$1001,0),0)))</f>
        <v>0</v>
      </c>
      <c r="B673" s="3">
        <f>IF(OR(INDEX($L$2:$L$1001,MATCH(ROWS($K$2:K673),$K$2:$K$1001,0),1)&gt;=100000,INDEX($R$1005:$W$1005,1,MATCH(COLUMNS($R$1006:R1006),$R$1006:$W$1006,0))&gt;=100000), " ",IF(INDEX($R$2:$W$1001,MATCH(ROWS($K$2:K673),$K$2:$K$1001,0),MATCH(COLUMNS($R$1006:R1006),$R$1006:$W$1006,0)), HYPERLINK("#",""), HYPERLINK(CONCATENATE("#Metadata!", ADDRESS(INDEX($M$2:$M$1001,MATCH(ROWS($K$2:K673),$K$2:$K$1001,0),0), INDEX($R$1004:$W$1004,1,MATCH(COLUMNS($R$1006:R1006),$R$1006:$W$1006,0)))),"Fix")))</f>
        <v>0</v>
      </c>
      <c r="C673" s="3">
        <f>IF(OR(INDEX($L$2:$L$1001,MATCH(ROWS($K$2:K673),$K$2:$K$1001,0),1)&gt;=100000,INDEX($R$1005:$W$1005,1,MATCH(COLUMNS($R$1006:S1006),$R$1006:$W$1006,0))&gt;=100000), " ",IF(INDEX($R$2:$W$1001,MATCH(ROWS($K$2:K673),$K$2:$K$1001,0),MATCH(COLUMNS($R$1006:S1006),$R$1006:$W$1006,0)), HYPERLINK("#",""), HYPERLINK(CONCATENATE("#Metadata!", ADDRESS(INDEX($M$2:$M$1001,MATCH(ROWS($K$2:K673),$K$2:$K$1001,0),0), INDEX($R$1004:$W$1004,1,MATCH(COLUMNS($R$1006:S1006),$R$1006:$W$1006,0)))),"Fix")))</f>
        <v>0</v>
      </c>
      <c r="D673" s="3">
        <f>IF(OR(INDEX($L$2:$L$1001,MATCH(ROWS($K$2:K673),$K$2:$K$1001,0),1)&gt;=100000,INDEX($R$1005:$W$1005,1,MATCH(COLUMNS($R$1006:T1006),$R$1006:$W$1006,0))&gt;=100000), " ",IF(INDEX($R$2:$W$1001,MATCH(ROWS($K$2:K673),$K$2:$K$1001,0),MATCH(COLUMNS($R$1006:T1006),$R$1006:$W$1006,0)), HYPERLINK("#",""), HYPERLINK(CONCATENATE("#Metadata!", ADDRESS(INDEX($M$2:$M$1001,MATCH(ROWS($K$2:K673),$K$2:$K$1001,0),0), INDEX($R$1004:$W$1004,1,MATCH(COLUMNS($R$1006:T1006),$R$1006:$W$1006,0)))),"Fix")))</f>
        <v>0</v>
      </c>
      <c r="E673" s="3">
        <f>IF(OR(INDEX($L$2:$L$1001,MATCH(ROWS($K$2:K673),$K$2:$K$1001,0),1)&gt;=100000,INDEX($R$1005:$W$1005,1,MATCH(COLUMNS($R$1006:U1006),$R$1006:$W$1006,0))&gt;=100000), " ",IF(INDEX($R$2:$W$1001,MATCH(ROWS($K$2:K673),$K$2:$K$1001,0),MATCH(COLUMNS($R$1006:U1006),$R$1006:$W$1006,0)), HYPERLINK("#",""), HYPERLINK(CONCATENATE("#Metadata!", ADDRESS(INDEX($M$2:$M$1001,MATCH(ROWS($K$2:K673),$K$2:$K$1001,0),0), INDEX($R$1004:$W$1004,1,MATCH(COLUMNS($R$1006:U1006),$R$1006:$W$1006,0)))),"Fix")))</f>
        <v>0</v>
      </c>
      <c r="F673" s="3">
        <f>IF(OR(INDEX($L$2:$L$1001,MATCH(ROWS($K$2:K673),$K$2:$K$1001,0),1)&gt;=100000,INDEX($R$1005:$W$1005,1,MATCH(COLUMNS($R$1006:V1006),$R$1006:$W$1006,0))&gt;=100000), " ",IF(INDEX($R$2:$W$1001,MATCH(ROWS($K$2:K673),$K$2:$K$1001,0),MATCH(COLUMNS($R$1006:V1006),$R$1006:$W$1006,0)), HYPERLINK("#",""), HYPERLINK(CONCATENATE("#Metadata!", ADDRESS(INDEX($M$2:$M$1001,MATCH(ROWS($K$2:K673),$K$2:$K$1001,0),0), INDEX($R$1004:$W$1004,1,MATCH(COLUMNS($R$1006:V1006),$R$1006:$W$1006,0)))),"Fix")))</f>
        <v>0</v>
      </c>
      <c r="G673" s="3">
        <f>IF(OR(INDEX($L$2:$L$1001,MATCH(ROWS($K$2:K673),$K$2:$K$1001,0),1)&gt;=100000,INDEX($R$1005:$W$1005,1,MATCH(COLUMNS($R$1006:W1006),$R$1006:$W$1006,0))&gt;=100000), " ",IF(INDEX($R$2:$W$1001,MATCH(ROWS($K$2:K673),$K$2:$K$1001,0),MATCH(COLUMNS($R$1006:W1006),$R$1006:$W$1006,0)), HYPERLINK("#",""), HYPERLINK(CONCATENATE("#Metadata!", ADDRESS(INDEX($M$2:$M$1001,MATCH(ROWS($K$2:K673),$K$2:$K$1001,0),0), INDEX($R$1004:$W$1004,1,MATCH(COLUMNS($R$1006:W1006),$R$1006:$W$1006,0)))),"Fix")))</f>
        <v>0</v>
      </c>
      <c r="K673">
        <v>0</v>
      </c>
      <c r="L673">
        <v>0</v>
      </c>
      <c r="M673">
        <v>0</v>
      </c>
      <c r="N673">
        <f>IF(O673,TRUE,AND(R673:W673))</f>
        <v>0</v>
      </c>
      <c r="O673">
        <f>COUNTBLANK(Metadata!B673:G673)=COLUMNS(Metadata!B673:G673)</f>
        <v>0</v>
      </c>
      <c r="P673">
        <v>0</v>
      </c>
      <c r="R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S673">
        <f>IF(Metadata!C673="",FALSE,TRUE)</f>
        <v>0</v>
      </c>
      <c r="T673">
        <f>IF(Metadata!D673="",FALSE,TRUE)</f>
        <v>0</v>
      </c>
      <c r="U673">
        <f>IF(Metadata!E673="",FALSE,TRUE)</f>
        <v>0</v>
      </c>
      <c r="V673">
        <f>AND(IF(Metadata!F673="",FALSE,TRUE),exact(Metadata!F673,"rat gut metagenome"))</f>
        <v>0</v>
      </c>
      <c r="W673">
        <f>AND(IF(Metadata!G673="",FALSE,TRUE),exact(Metadata!G673,"1436733"))</f>
        <v>0</v>
      </c>
    </row>
    <row r="674" spans="1:23">
      <c r="A674" s="4">
        <f>IF(B674=" "," ",HYPERLINK(CONCATENATE("#metadata!",ADDRESS(INDEX($M$2:$M$1001,MATCH(ROWS($K$2:K674),$K$2:$K$1001,0),0),1)),INDEX($P$2:$P$1001,MATCH(ROWS($K$2:K674),$K$2:$K$1001,0),0)))</f>
        <v>0</v>
      </c>
      <c r="B674" s="3">
        <f>IF(OR(INDEX($L$2:$L$1001,MATCH(ROWS($K$2:K674),$K$2:$K$1001,0),1)&gt;=100000,INDEX($R$1005:$W$1005,1,MATCH(COLUMNS($R$1006:R1006),$R$1006:$W$1006,0))&gt;=100000), " ",IF(INDEX($R$2:$W$1001,MATCH(ROWS($K$2:K674),$K$2:$K$1001,0),MATCH(COLUMNS($R$1006:R1006),$R$1006:$W$1006,0)), HYPERLINK("#",""), HYPERLINK(CONCATENATE("#Metadata!", ADDRESS(INDEX($M$2:$M$1001,MATCH(ROWS($K$2:K674),$K$2:$K$1001,0),0), INDEX($R$1004:$W$1004,1,MATCH(COLUMNS($R$1006:R1006),$R$1006:$W$1006,0)))),"Fix")))</f>
        <v>0</v>
      </c>
      <c r="C674" s="3">
        <f>IF(OR(INDEX($L$2:$L$1001,MATCH(ROWS($K$2:K674),$K$2:$K$1001,0),1)&gt;=100000,INDEX($R$1005:$W$1005,1,MATCH(COLUMNS($R$1006:S1006),$R$1006:$W$1006,0))&gt;=100000), " ",IF(INDEX($R$2:$W$1001,MATCH(ROWS($K$2:K674),$K$2:$K$1001,0),MATCH(COLUMNS($R$1006:S1006),$R$1006:$W$1006,0)), HYPERLINK("#",""), HYPERLINK(CONCATENATE("#Metadata!", ADDRESS(INDEX($M$2:$M$1001,MATCH(ROWS($K$2:K674),$K$2:$K$1001,0),0), INDEX($R$1004:$W$1004,1,MATCH(COLUMNS($R$1006:S1006),$R$1006:$W$1006,0)))),"Fix")))</f>
        <v>0</v>
      </c>
      <c r="D674" s="3">
        <f>IF(OR(INDEX($L$2:$L$1001,MATCH(ROWS($K$2:K674),$K$2:$K$1001,0),1)&gt;=100000,INDEX($R$1005:$W$1005,1,MATCH(COLUMNS($R$1006:T1006),$R$1006:$W$1006,0))&gt;=100000), " ",IF(INDEX($R$2:$W$1001,MATCH(ROWS($K$2:K674),$K$2:$K$1001,0),MATCH(COLUMNS($R$1006:T1006),$R$1006:$W$1006,0)), HYPERLINK("#",""), HYPERLINK(CONCATENATE("#Metadata!", ADDRESS(INDEX($M$2:$M$1001,MATCH(ROWS($K$2:K674),$K$2:$K$1001,0),0), INDEX($R$1004:$W$1004,1,MATCH(COLUMNS($R$1006:T1006),$R$1006:$W$1006,0)))),"Fix")))</f>
        <v>0</v>
      </c>
      <c r="E674" s="3">
        <f>IF(OR(INDEX($L$2:$L$1001,MATCH(ROWS($K$2:K674),$K$2:$K$1001,0),1)&gt;=100000,INDEX($R$1005:$W$1005,1,MATCH(COLUMNS($R$1006:U1006),$R$1006:$W$1006,0))&gt;=100000), " ",IF(INDEX($R$2:$W$1001,MATCH(ROWS($K$2:K674),$K$2:$K$1001,0),MATCH(COLUMNS($R$1006:U1006),$R$1006:$W$1006,0)), HYPERLINK("#",""), HYPERLINK(CONCATENATE("#Metadata!", ADDRESS(INDEX($M$2:$M$1001,MATCH(ROWS($K$2:K674),$K$2:$K$1001,0),0), INDEX($R$1004:$W$1004,1,MATCH(COLUMNS($R$1006:U1006),$R$1006:$W$1006,0)))),"Fix")))</f>
        <v>0</v>
      </c>
      <c r="F674" s="3">
        <f>IF(OR(INDEX($L$2:$L$1001,MATCH(ROWS($K$2:K674),$K$2:$K$1001,0),1)&gt;=100000,INDEX($R$1005:$W$1005,1,MATCH(COLUMNS($R$1006:V1006),$R$1006:$W$1006,0))&gt;=100000), " ",IF(INDEX($R$2:$W$1001,MATCH(ROWS($K$2:K674),$K$2:$K$1001,0),MATCH(COLUMNS($R$1006:V1006),$R$1006:$W$1006,0)), HYPERLINK("#",""), HYPERLINK(CONCATENATE("#Metadata!", ADDRESS(INDEX($M$2:$M$1001,MATCH(ROWS($K$2:K674),$K$2:$K$1001,0),0), INDEX($R$1004:$W$1004,1,MATCH(COLUMNS($R$1006:V1006),$R$1006:$W$1006,0)))),"Fix")))</f>
        <v>0</v>
      </c>
      <c r="G674" s="3">
        <f>IF(OR(INDEX($L$2:$L$1001,MATCH(ROWS($K$2:K674),$K$2:$K$1001,0),1)&gt;=100000,INDEX($R$1005:$W$1005,1,MATCH(COLUMNS($R$1006:W1006),$R$1006:$W$1006,0))&gt;=100000), " ",IF(INDEX($R$2:$W$1001,MATCH(ROWS($K$2:K674),$K$2:$K$1001,0),MATCH(COLUMNS($R$1006:W1006),$R$1006:$W$1006,0)), HYPERLINK("#",""), HYPERLINK(CONCATENATE("#Metadata!", ADDRESS(INDEX($M$2:$M$1001,MATCH(ROWS($K$2:K674),$K$2:$K$1001,0),0), INDEX($R$1004:$W$1004,1,MATCH(COLUMNS($R$1006:W1006),$R$1006:$W$1006,0)))),"Fix")))</f>
        <v>0</v>
      </c>
      <c r="K674">
        <v>0</v>
      </c>
      <c r="L674">
        <v>0</v>
      </c>
      <c r="M674">
        <v>0</v>
      </c>
      <c r="N674">
        <f>IF(O674,TRUE,AND(R674:W674))</f>
        <v>0</v>
      </c>
      <c r="O674">
        <f>COUNTBLANK(Metadata!B674:G674)=COLUMNS(Metadata!B674:G674)</f>
        <v>0</v>
      </c>
      <c r="P674">
        <v>0</v>
      </c>
      <c r="R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S674">
        <f>IF(Metadata!C674="",FALSE,TRUE)</f>
        <v>0</v>
      </c>
      <c r="T674">
        <f>IF(Metadata!D674="",FALSE,TRUE)</f>
        <v>0</v>
      </c>
      <c r="U674">
        <f>IF(Metadata!E674="",FALSE,TRUE)</f>
        <v>0</v>
      </c>
      <c r="V674">
        <f>AND(IF(Metadata!F674="",FALSE,TRUE),exact(Metadata!F674,"rat gut metagenome"))</f>
        <v>0</v>
      </c>
      <c r="W674">
        <f>AND(IF(Metadata!G674="",FALSE,TRUE),exact(Metadata!G674,"1436733"))</f>
        <v>0</v>
      </c>
    </row>
    <row r="675" spans="1:23">
      <c r="A675" s="4">
        <f>IF(B675=" "," ",HYPERLINK(CONCATENATE("#metadata!",ADDRESS(INDEX($M$2:$M$1001,MATCH(ROWS($K$2:K675),$K$2:$K$1001,0),0),1)),INDEX($P$2:$P$1001,MATCH(ROWS($K$2:K675),$K$2:$K$1001,0),0)))</f>
        <v>0</v>
      </c>
      <c r="B675" s="3">
        <f>IF(OR(INDEX($L$2:$L$1001,MATCH(ROWS($K$2:K675),$K$2:$K$1001,0),1)&gt;=100000,INDEX($R$1005:$W$1005,1,MATCH(COLUMNS($R$1006:R1006),$R$1006:$W$1006,0))&gt;=100000), " ",IF(INDEX($R$2:$W$1001,MATCH(ROWS($K$2:K675),$K$2:$K$1001,0),MATCH(COLUMNS($R$1006:R1006),$R$1006:$W$1006,0)), HYPERLINK("#",""), HYPERLINK(CONCATENATE("#Metadata!", ADDRESS(INDEX($M$2:$M$1001,MATCH(ROWS($K$2:K675),$K$2:$K$1001,0),0), INDEX($R$1004:$W$1004,1,MATCH(COLUMNS($R$1006:R1006),$R$1006:$W$1006,0)))),"Fix")))</f>
        <v>0</v>
      </c>
      <c r="C675" s="3">
        <f>IF(OR(INDEX($L$2:$L$1001,MATCH(ROWS($K$2:K675),$K$2:$K$1001,0),1)&gt;=100000,INDEX($R$1005:$W$1005,1,MATCH(COLUMNS($R$1006:S1006),$R$1006:$W$1006,0))&gt;=100000), " ",IF(INDEX($R$2:$W$1001,MATCH(ROWS($K$2:K675),$K$2:$K$1001,0),MATCH(COLUMNS($R$1006:S1006),$R$1006:$W$1006,0)), HYPERLINK("#",""), HYPERLINK(CONCATENATE("#Metadata!", ADDRESS(INDEX($M$2:$M$1001,MATCH(ROWS($K$2:K675),$K$2:$K$1001,0),0), INDEX($R$1004:$W$1004,1,MATCH(COLUMNS($R$1006:S1006),$R$1006:$W$1006,0)))),"Fix")))</f>
        <v>0</v>
      </c>
      <c r="D675" s="3">
        <f>IF(OR(INDEX($L$2:$L$1001,MATCH(ROWS($K$2:K675),$K$2:$K$1001,0),1)&gt;=100000,INDEX($R$1005:$W$1005,1,MATCH(COLUMNS($R$1006:T1006),$R$1006:$W$1006,0))&gt;=100000), " ",IF(INDEX($R$2:$W$1001,MATCH(ROWS($K$2:K675),$K$2:$K$1001,0),MATCH(COLUMNS($R$1006:T1006),$R$1006:$W$1006,0)), HYPERLINK("#",""), HYPERLINK(CONCATENATE("#Metadata!", ADDRESS(INDEX($M$2:$M$1001,MATCH(ROWS($K$2:K675),$K$2:$K$1001,0),0), INDEX($R$1004:$W$1004,1,MATCH(COLUMNS($R$1006:T1006),$R$1006:$W$1006,0)))),"Fix")))</f>
        <v>0</v>
      </c>
      <c r="E675" s="3">
        <f>IF(OR(INDEX($L$2:$L$1001,MATCH(ROWS($K$2:K675),$K$2:$K$1001,0),1)&gt;=100000,INDEX($R$1005:$W$1005,1,MATCH(COLUMNS($R$1006:U1006),$R$1006:$W$1006,0))&gt;=100000), " ",IF(INDEX($R$2:$W$1001,MATCH(ROWS($K$2:K675),$K$2:$K$1001,0),MATCH(COLUMNS($R$1006:U1006),$R$1006:$W$1006,0)), HYPERLINK("#",""), HYPERLINK(CONCATENATE("#Metadata!", ADDRESS(INDEX($M$2:$M$1001,MATCH(ROWS($K$2:K675),$K$2:$K$1001,0),0), INDEX($R$1004:$W$1004,1,MATCH(COLUMNS($R$1006:U1006),$R$1006:$W$1006,0)))),"Fix")))</f>
        <v>0</v>
      </c>
      <c r="F675" s="3">
        <f>IF(OR(INDEX($L$2:$L$1001,MATCH(ROWS($K$2:K675),$K$2:$K$1001,0),1)&gt;=100000,INDEX($R$1005:$W$1005,1,MATCH(COLUMNS($R$1006:V1006),$R$1006:$W$1006,0))&gt;=100000), " ",IF(INDEX($R$2:$W$1001,MATCH(ROWS($K$2:K675),$K$2:$K$1001,0),MATCH(COLUMNS($R$1006:V1006),$R$1006:$W$1006,0)), HYPERLINK("#",""), HYPERLINK(CONCATENATE("#Metadata!", ADDRESS(INDEX($M$2:$M$1001,MATCH(ROWS($K$2:K675),$K$2:$K$1001,0),0), INDEX($R$1004:$W$1004,1,MATCH(COLUMNS($R$1006:V1006),$R$1006:$W$1006,0)))),"Fix")))</f>
        <v>0</v>
      </c>
      <c r="G675" s="3">
        <f>IF(OR(INDEX($L$2:$L$1001,MATCH(ROWS($K$2:K675),$K$2:$K$1001,0),1)&gt;=100000,INDEX($R$1005:$W$1005,1,MATCH(COLUMNS($R$1006:W1006),$R$1006:$W$1006,0))&gt;=100000), " ",IF(INDEX($R$2:$W$1001,MATCH(ROWS($K$2:K675),$K$2:$K$1001,0),MATCH(COLUMNS($R$1006:W1006),$R$1006:$W$1006,0)), HYPERLINK("#",""), HYPERLINK(CONCATENATE("#Metadata!", ADDRESS(INDEX($M$2:$M$1001,MATCH(ROWS($K$2:K675),$K$2:$K$1001,0),0), INDEX($R$1004:$W$1004,1,MATCH(COLUMNS($R$1006:W1006),$R$1006:$W$1006,0)))),"Fix")))</f>
        <v>0</v>
      </c>
      <c r="K675">
        <v>0</v>
      </c>
      <c r="L675">
        <v>0</v>
      </c>
      <c r="M675">
        <v>0</v>
      </c>
      <c r="N675">
        <f>IF(O675,TRUE,AND(R675:W675))</f>
        <v>0</v>
      </c>
      <c r="O675">
        <f>COUNTBLANK(Metadata!B675:G675)=COLUMNS(Metadata!B675:G675)</f>
        <v>0</v>
      </c>
      <c r="P675">
        <v>0</v>
      </c>
      <c r="R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S675">
        <f>IF(Metadata!C675="",FALSE,TRUE)</f>
        <v>0</v>
      </c>
      <c r="T675">
        <f>IF(Metadata!D675="",FALSE,TRUE)</f>
        <v>0</v>
      </c>
      <c r="U675">
        <f>IF(Metadata!E675="",FALSE,TRUE)</f>
        <v>0</v>
      </c>
      <c r="V675">
        <f>AND(IF(Metadata!F675="",FALSE,TRUE),exact(Metadata!F675,"rat gut metagenome"))</f>
        <v>0</v>
      </c>
      <c r="W675">
        <f>AND(IF(Metadata!G675="",FALSE,TRUE),exact(Metadata!G675,"1436733"))</f>
        <v>0</v>
      </c>
    </row>
    <row r="676" spans="1:23">
      <c r="A676" s="4">
        <f>IF(B676=" "," ",HYPERLINK(CONCATENATE("#metadata!",ADDRESS(INDEX($M$2:$M$1001,MATCH(ROWS($K$2:K676),$K$2:$K$1001,0),0),1)),INDEX($P$2:$P$1001,MATCH(ROWS($K$2:K676),$K$2:$K$1001,0),0)))</f>
        <v>0</v>
      </c>
      <c r="B676" s="3">
        <f>IF(OR(INDEX($L$2:$L$1001,MATCH(ROWS($K$2:K676),$K$2:$K$1001,0),1)&gt;=100000,INDEX($R$1005:$W$1005,1,MATCH(COLUMNS($R$1006:R1006),$R$1006:$W$1006,0))&gt;=100000), " ",IF(INDEX($R$2:$W$1001,MATCH(ROWS($K$2:K676),$K$2:$K$1001,0),MATCH(COLUMNS($R$1006:R1006),$R$1006:$W$1006,0)), HYPERLINK("#",""), HYPERLINK(CONCATENATE("#Metadata!", ADDRESS(INDEX($M$2:$M$1001,MATCH(ROWS($K$2:K676),$K$2:$K$1001,0),0), INDEX($R$1004:$W$1004,1,MATCH(COLUMNS($R$1006:R1006),$R$1006:$W$1006,0)))),"Fix")))</f>
        <v>0</v>
      </c>
      <c r="C676" s="3">
        <f>IF(OR(INDEX($L$2:$L$1001,MATCH(ROWS($K$2:K676),$K$2:$K$1001,0),1)&gt;=100000,INDEX($R$1005:$W$1005,1,MATCH(COLUMNS($R$1006:S1006),$R$1006:$W$1006,0))&gt;=100000), " ",IF(INDEX($R$2:$W$1001,MATCH(ROWS($K$2:K676),$K$2:$K$1001,0),MATCH(COLUMNS($R$1006:S1006),$R$1006:$W$1006,0)), HYPERLINK("#",""), HYPERLINK(CONCATENATE("#Metadata!", ADDRESS(INDEX($M$2:$M$1001,MATCH(ROWS($K$2:K676),$K$2:$K$1001,0),0), INDEX($R$1004:$W$1004,1,MATCH(COLUMNS($R$1006:S1006),$R$1006:$W$1006,0)))),"Fix")))</f>
        <v>0</v>
      </c>
      <c r="D676" s="3">
        <f>IF(OR(INDEX($L$2:$L$1001,MATCH(ROWS($K$2:K676),$K$2:$K$1001,0),1)&gt;=100000,INDEX($R$1005:$W$1005,1,MATCH(COLUMNS($R$1006:T1006),$R$1006:$W$1006,0))&gt;=100000), " ",IF(INDEX($R$2:$W$1001,MATCH(ROWS($K$2:K676),$K$2:$K$1001,0),MATCH(COLUMNS($R$1006:T1006),$R$1006:$W$1006,0)), HYPERLINK("#",""), HYPERLINK(CONCATENATE("#Metadata!", ADDRESS(INDEX($M$2:$M$1001,MATCH(ROWS($K$2:K676),$K$2:$K$1001,0),0), INDEX($R$1004:$W$1004,1,MATCH(COLUMNS($R$1006:T1006),$R$1006:$W$1006,0)))),"Fix")))</f>
        <v>0</v>
      </c>
      <c r="E676" s="3">
        <f>IF(OR(INDEX($L$2:$L$1001,MATCH(ROWS($K$2:K676),$K$2:$K$1001,0),1)&gt;=100000,INDEX($R$1005:$W$1005,1,MATCH(COLUMNS($R$1006:U1006),$R$1006:$W$1006,0))&gt;=100000), " ",IF(INDEX($R$2:$W$1001,MATCH(ROWS($K$2:K676),$K$2:$K$1001,0),MATCH(COLUMNS($R$1006:U1006),$R$1006:$W$1006,0)), HYPERLINK("#",""), HYPERLINK(CONCATENATE("#Metadata!", ADDRESS(INDEX($M$2:$M$1001,MATCH(ROWS($K$2:K676),$K$2:$K$1001,0),0), INDEX($R$1004:$W$1004,1,MATCH(COLUMNS($R$1006:U1006),$R$1006:$W$1006,0)))),"Fix")))</f>
        <v>0</v>
      </c>
      <c r="F676" s="3">
        <f>IF(OR(INDEX($L$2:$L$1001,MATCH(ROWS($K$2:K676),$K$2:$K$1001,0),1)&gt;=100000,INDEX($R$1005:$W$1005,1,MATCH(COLUMNS($R$1006:V1006),$R$1006:$W$1006,0))&gt;=100000), " ",IF(INDEX($R$2:$W$1001,MATCH(ROWS($K$2:K676),$K$2:$K$1001,0),MATCH(COLUMNS($R$1006:V1006),$R$1006:$W$1006,0)), HYPERLINK("#",""), HYPERLINK(CONCATENATE("#Metadata!", ADDRESS(INDEX($M$2:$M$1001,MATCH(ROWS($K$2:K676),$K$2:$K$1001,0),0), INDEX($R$1004:$W$1004,1,MATCH(COLUMNS($R$1006:V1006),$R$1006:$W$1006,0)))),"Fix")))</f>
        <v>0</v>
      </c>
      <c r="G676" s="3">
        <f>IF(OR(INDEX($L$2:$L$1001,MATCH(ROWS($K$2:K676),$K$2:$K$1001,0),1)&gt;=100000,INDEX($R$1005:$W$1005,1,MATCH(COLUMNS($R$1006:W1006),$R$1006:$W$1006,0))&gt;=100000), " ",IF(INDEX($R$2:$W$1001,MATCH(ROWS($K$2:K676),$K$2:$K$1001,0),MATCH(COLUMNS($R$1006:W1006),$R$1006:$W$1006,0)), HYPERLINK("#",""), HYPERLINK(CONCATENATE("#Metadata!", ADDRESS(INDEX($M$2:$M$1001,MATCH(ROWS($K$2:K676),$K$2:$K$1001,0),0), INDEX($R$1004:$W$1004,1,MATCH(COLUMNS($R$1006:W1006),$R$1006:$W$1006,0)))),"Fix")))</f>
        <v>0</v>
      </c>
      <c r="K676">
        <v>0</v>
      </c>
      <c r="L676">
        <v>0</v>
      </c>
      <c r="M676">
        <v>0</v>
      </c>
      <c r="N676">
        <f>IF(O676,TRUE,AND(R676:W676))</f>
        <v>0</v>
      </c>
      <c r="O676">
        <f>COUNTBLANK(Metadata!B676:G676)=COLUMNS(Metadata!B676:G676)</f>
        <v>0</v>
      </c>
      <c r="P676">
        <v>0</v>
      </c>
      <c r="R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S676">
        <f>IF(Metadata!C676="",FALSE,TRUE)</f>
        <v>0</v>
      </c>
      <c r="T676">
        <f>IF(Metadata!D676="",FALSE,TRUE)</f>
        <v>0</v>
      </c>
      <c r="U676">
        <f>IF(Metadata!E676="",FALSE,TRUE)</f>
        <v>0</v>
      </c>
      <c r="V676">
        <f>AND(IF(Metadata!F676="",FALSE,TRUE),exact(Metadata!F676,"rat gut metagenome"))</f>
        <v>0</v>
      </c>
      <c r="W676">
        <f>AND(IF(Metadata!G676="",FALSE,TRUE),exact(Metadata!G676,"1436733"))</f>
        <v>0</v>
      </c>
    </row>
    <row r="677" spans="1:23">
      <c r="A677" s="4">
        <f>IF(B677=" "," ",HYPERLINK(CONCATENATE("#metadata!",ADDRESS(INDEX($M$2:$M$1001,MATCH(ROWS($K$2:K677),$K$2:$K$1001,0),0),1)),INDEX($P$2:$P$1001,MATCH(ROWS($K$2:K677),$K$2:$K$1001,0),0)))</f>
        <v>0</v>
      </c>
      <c r="B677" s="3">
        <f>IF(OR(INDEX($L$2:$L$1001,MATCH(ROWS($K$2:K677),$K$2:$K$1001,0),1)&gt;=100000,INDEX($R$1005:$W$1005,1,MATCH(COLUMNS($R$1006:R1006),$R$1006:$W$1006,0))&gt;=100000), " ",IF(INDEX($R$2:$W$1001,MATCH(ROWS($K$2:K677),$K$2:$K$1001,0),MATCH(COLUMNS($R$1006:R1006),$R$1006:$W$1006,0)), HYPERLINK("#",""), HYPERLINK(CONCATENATE("#Metadata!", ADDRESS(INDEX($M$2:$M$1001,MATCH(ROWS($K$2:K677),$K$2:$K$1001,0),0), INDEX($R$1004:$W$1004,1,MATCH(COLUMNS($R$1006:R1006),$R$1006:$W$1006,0)))),"Fix")))</f>
        <v>0</v>
      </c>
      <c r="C677" s="3">
        <f>IF(OR(INDEX($L$2:$L$1001,MATCH(ROWS($K$2:K677),$K$2:$K$1001,0),1)&gt;=100000,INDEX($R$1005:$W$1005,1,MATCH(COLUMNS($R$1006:S1006),$R$1006:$W$1006,0))&gt;=100000), " ",IF(INDEX($R$2:$W$1001,MATCH(ROWS($K$2:K677),$K$2:$K$1001,0),MATCH(COLUMNS($R$1006:S1006),$R$1006:$W$1006,0)), HYPERLINK("#",""), HYPERLINK(CONCATENATE("#Metadata!", ADDRESS(INDEX($M$2:$M$1001,MATCH(ROWS($K$2:K677),$K$2:$K$1001,0),0), INDEX($R$1004:$W$1004,1,MATCH(COLUMNS($R$1006:S1006),$R$1006:$W$1006,0)))),"Fix")))</f>
        <v>0</v>
      </c>
      <c r="D677" s="3">
        <f>IF(OR(INDEX($L$2:$L$1001,MATCH(ROWS($K$2:K677),$K$2:$K$1001,0),1)&gt;=100000,INDEX($R$1005:$W$1005,1,MATCH(COLUMNS($R$1006:T1006),$R$1006:$W$1006,0))&gt;=100000), " ",IF(INDEX($R$2:$W$1001,MATCH(ROWS($K$2:K677),$K$2:$K$1001,0),MATCH(COLUMNS($R$1006:T1006),$R$1006:$W$1006,0)), HYPERLINK("#",""), HYPERLINK(CONCATENATE("#Metadata!", ADDRESS(INDEX($M$2:$M$1001,MATCH(ROWS($K$2:K677),$K$2:$K$1001,0),0), INDEX($R$1004:$W$1004,1,MATCH(COLUMNS($R$1006:T1006),$R$1006:$W$1006,0)))),"Fix")))</f>
        <v>0</v>
      </c>
      <c r="E677" s="3">
        <f>IF(OR(INDEX($L$2:$L$1001,MATCH(ROWS($K$2:K677),$K$2:$K$1001,0),1)&gt;=100000,INDEX($R$1005:$W$1005,1,MATCH(COLUMNS($R$1006:U1006),$R$1006:$W$1006,0))&gt;=100000), " ",IF(INDEX($R$2:$W$1001,MATCH(ROWS($K$2:K677),$K$2:$K$1001,0),MATCH(COLUMNS($R$1006:U1006),$R$1006:$W$1006,0)), HYPERLINK("#",""), HYPERLINK(CONCATENATE("#Metadata!", ADDRESS(INDEX($M$2:$M$1001,MATCH(ROWS($K$2:K677),$K$2:$K$1001,0),0), INDEX($R$1004:$W$1004,1,MATCH(COLUMNS($R$1006:U1006),$R$1006:$W$1006,0)))),"Fix")))</f>
        <v>0</v>
      </c>
      <c r="F677" s="3">
        <f>IF(OR(INDEX($L$2:$L$1001,MATCH(ROWS($K$2:K677),$K$2:$K$1001,0),1)&gt;=100000,INDEX($R$1005:$W$1005,1,MATCH(COLUMNS($R$1006:V1006),$R$1006:$W$1006,0))&gt;=100000), " ",IF(INDEX($R$2:$W$1001,MATCH(ROWS($K$2:K677),$K$2:$K$1001,0),MATCH(COLUMNS($R$1006:V1006),$R$1006:$W$1006,0)), HYPERLINK("#",""), HYPERLINK(CONCATENATE("#Metadata!", ADDRESS(INDEX($M$2:$M$1001,MATCH(ROWS($K$2:K677),$K$2:$K$1001,0),0), INDEX($R$1004:$W$1004,1,MATCH(COLUMNS($R$1006:V1006),$R$1006:$W$1006,0)))),"Fix")))</f>
        <v>0</v>
      </c>
      <c r="G677" s="3">
        <f>IF(OR(INDEX($L$2:$L$1001,MATCH(ROWS($K$2:K677),$K$2:$K$1001,0),1)&gt;=100000,INDEX($R$1005:$W$1005,1,MATCH(COLUMNS($R$1006:W1006),$R$1006:$W$1006,0))&gt;=100000), " ",IF(INDEX($R$2:$W$1001,MATCH(ROWS($K$2:K677),$K$2:$K$1001,0),MATCH(COLUMNS($R$1006:W1006),$R$1006:$W$1006,0)), HYPERLINK("#",""), HYPERLINK(CONCATENATE("#Metadata!", ADDRESS(INDEX($M$2:$M$1001,MATCH(ROWS($K$2:K677),$K$2:$K$1001,0),0), INDEX($R$1004:$W$1004,1,MATCH(COLUMNS($R$1006:W1006),$R$1006:$W$1006,0)))),"Fix")))</f>
        <v>0</v>
      </c>
      <c r="K677">
        <v>0</v>
      </c>
      <c r="L677">
        <v>0</v>
      </c>
      <c r="M677">
        <v>0</v>
      </c>
      <c r="N677">
        <f>IF(O677,TRUE,AND(R677:W677))</f>
        <v>0</v>
      </c>
      <c r="O677">
        <f>COUNTBLANK(Metadata!B677:G677)=COLUMNS(Metadata!B677:G677)</f>
        <v>0</v>
      </c>
      <c r="P677">
        <v>0</v>
      </c>
      <c r="R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S677">
        <f>IF(Metadata!C677="",FALSE,TRUE)</f>
        <v>0</v>
      </c>
      <c r="T677">
        <f>IF(Metadata!D677="",FALSE,TRUE)</f>
        <v>0</v>
      </c>
      <c r="U677">
        <f>IF(Metadata!E677="",FALSE,TRUE)</f>
        <v>0</v>
      </c>
      <c r="V677">
        <f>AND(IF(Metadata!F677="",FALSE,TRUE),exact(Metadata!F677,"rat gut metagenome"))</f>
        <v>0</v>
      </c>
      <c r="W677">
        <f>AND(IF(Metadata!G677="",FALSE,TRUE),exact(Metadata!G677,"1436733"))</f>
        <v>0</v>
      </c>
    </row>
    <row r="678" spans="1:23">
      <c r="A678" s="4">
        <f>IF(B678=" "," ",HYPERLINK(CONCATENATE("#metadata!",ADDRESS(INDEX($M$2:$M$1001,MATCH(ROWS($K$2:K678),$K$2:$K$1001,0),0),1)),INDEX($P$2:$P$1001,MATCH(ROWS($K$2:K678),$K$2:$K$1001,0),0)))</f>
        <v>0</v>
      </c>
      <c r="B678" s="3">
        <f>IF(OR(INDEX($L$2:$L$1001,MATCH(ROWS($K$2:K678),$K$2:$K$1001,0),1)&gt;=100000,INDEX($R$1005:$W$1005,1,MATCH(COLUMNS($R$1006:R1006),$R$1006:$W$1006,0))&gt;=100000), " ",IF(INDEX($R$2:$W$1001,MATCH(ROWS($K$2:K678),$K$2:$K$1001,0),MATCH(COLUMNS($R$1006:R1006),$R$1006:$W$1006,0)), HYPERLINK("#",""), HYPERLINK(CONCATENATE("#Metadata!", ADDRESS(INDEX($M$2:$M$1001,MATCH(ROWS($K$2:K678),$K$2:$K$1001,0),0), INDEX($R$1004:$W$1004,1,MATCH(COLUMNS($R$1006:R1006),$R$1006:$W$1006,0)))),"Fix")))</f>
        <v>0</v>
      </c>
      <c r="C678" s="3">
        <f>IF(OR(INDEX($L$2:$L$1001,MATCH(ROWS($K$2:K678),$K$2:$K$1001,0),1)&gt;=100000,INDEX($R$1005:$W$1005,1,MATCH(COLUMNS($R$1006:S1006),$R$1006:$W$1006,0))&gt;=100000), " ",IF(INDEX($R$2:$W$1001,MATCH(ROWS($K$2:K678),$K$2:$K$1001,0),MATCH(COLUMNS($R$1006:S1006),$R$1006:$W$1006,0)), HYPERLINK("#",""), HYPERLINK(CONCATENATE("#Metadata!", ADDRESS(INDEX($M$2:$M$1001,MATCH(ROWS($K$2:K678),$K$2:$K$1001,0),0), INDEX($R$1004:$W$1004,1,MATCH(COLUMNS($R$1006:S1006),$R$1006:$W$1006,0)))),"Fix")))</f>
        <v>0</v>
      </c>
      <c r="D678" s="3">
        <f>IF(OR(INDEX($L$2:$L$1001,MATCH(ROWS($K$2:K678),$K$2:$K$1001,0),1)&gt;=100000,INDEX($R$1005:$W$1005,1,MATCH(COLUMNS($R$1006:T1006),$R$1006:$W$1006,0))&gt;=100000), " ",IF(INDEX($R$2:$W$1001,MATCH(ROWS($K$2:K678),$K$2:$K$1001,0),MATCH(COLUMNS($R$1006:T1006),$R$1006:$W$1006,0)), HYPERLINK("#",""), HYPERLINK(CONCATENATE("#Metadata!", ADDRESS(INDEX($M$2:$M$1001,MATCH(ROWS($K$2:K678),$K$2:$K$1001,0),0), INDEX($R$1004:$W$1004,1,MATCH(COLUMNS($R$1006:T1006),$R$1006:$W$1006,0)))),"Fix")))</f>
        <v>0</v>
      </c>
      <c r="E678" s="3">
        <f>IF(OR(INDEX($L$2:$L$1001,MATCH(ROWS($K$2:K678),$K$2:$K$1001,0),1)&gt;=100000,INDEX($R$1005:$W$1005,1,MATCH(COLUMNS($R$1006:U1006),$R$1006:$W$1006,0))&gt;=100000), " ",IF(INDEX($R$2:$W$1001,MATCH(ROWS($K$2:K678),$K$2:$K$1001,0),MATCH(COLUMNS($R$1006:U1006),$R$1006:$W$1006,0)), HYPERLINK("#",""), HYPERLINK(CONCATENATE("#Metadata!", ADDRESS(INDEX($M$2:$M$1001,MATCH(ROWS($K$2:K678),$K$2:$K$1001,0),0), INDEX($R$1004:$W$1004,1,MATCH(COLUMNS($R$1006:U1006),$R$1006:$W$1006,0)))),"Fix")))</f>
        <v>0</v>
      </c>
      <c r="F678" s="3">
        <f>IF(OR(INDEX($L$2:$L$1001,MATCH(ROWS($K$2:K678),$K$2:$K$1001,0),1)&gt;=100000,INDEX($R$1005:$W$1005,1,MATCH(COLUMNS($R$1006:V1006),$R$1006:$W$1006,0))&gt;=100000), " ",IF(INDEX($R$2:$W$1001,MATCH(ROWS($K$2:K678),$K$2:$K$1001,0),MATCH(COLUMNS($R$1006:V1006),$R$1006:$W$1006,0)), HYPERLINK("#",""), HYPERLINK(CONCATENATE("#Metadata!", ADDRESS(INDEX($M$2:$M$1001,MATCH(ROWS($K$2:K678),$K$2:$K$1001,0),0), INDEX($R$1004:$W$1004,1,MATCH(COLUMNS($R$1006:V1006),$R$1006:$W$1006,0)))),"Fix")))</f>
        <v>0</v>
      </c>
      <c r="G678" s="3">
        <f>IF(OR(INDEX($L$2:$L$1001,MATCH(ROWS($K$2:K678),$K$2:$K$1001,0),1)&gt;=100000,INDEX($R$1005:$W$1005,1,MATCH(COLUMNS($R$1006:W1006),$R$1006:$W$1006,0))&gt;=100000), " ",IF(INDEX($R$2:$W$1001,MATCH(ROWS($K$2:K678),$K$2:$K$1001,0),MATCH(COLUMNS($R$1006:W1006),$R$1006:$W$1006,0)), HYPERLINK("#",""), HYPERLINK(CONCATENATE("#Metadata!", ADDRESS(INDEX($M$2:$M$1001,MATCH(ROWS($K$2:K678),$K$2:$K$1001,0),0), INDEX($R$1004:$W$1004,1,MATCH(COLUMNS($R$1006:W1006),$R$1006:$W$1006,0)))),"Fix")))</f>
        <v>0</v>
      </c>
      <c r="K678">
        <v>0</v>
      </c>
      <c r="L678">
        <v>0</v>
      </c>
      <c r="M678">
        <v>0</v>
      </c>
      <c r="N678">
        <f>IF(O678,TRUE,AND(R678:W678))</f>
        <v>0</v>
      </c>
      <c r="O678">
        <f>COUNTBLANK(Metadata!B678:G678)=COLUMNS(Metadata!B678:G678)</f>
        <v>0</v>
      </c>
      <c r="P678">
        <v>0</v>
      </c>
      <c r="R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S678">
        <f>IF(Metadata!C678="",FALSE,TRUE)</f>
        <v>0</v>
      </c>
      <c r="T678">
        <f>IF(Metadata!D678="",FALSE,TRUE)</f>
        <v>0</v>
      </c>
      <c r="U678">
        <f>IF(Metadata!E678="",FALSE,TRUE)</f>
        <v>0</v>
      </c>
      <c r="V678">
        <f>AND(IF(Metadata!F678="",FALSE,TRUE),exact(Metadata!F678,"rat gut metagenome"))</f>
        <v>0</v>
      </c>
      <c r="W678">
        <f>AND(IF(Metadata!G678="",FALSE,TRUE),exact(Metadata!G678,"1436733"))</f>
        <v>0</v>
      </c>
    </row>
    <row r="679" spans="1:23">
      <c r="A679" s="4">
        <f>IF(B679=" "," ",HYPERLINK(CONCATENATE("#metadata!",ADDRESS(INDEX($M$2:$M$1001,MATCH(ROWS($K$2:K679),$K$2:$K$1001,0),0),1)),INDEX($P$2:$P$1001,MATCH(ROWS($K$2:K679),$K$2:$K$1001,0),0)))</f>
        <v>0</v>
      </c>
      <c r="B679" s="3">
        <f>IF(OR(INDEX($L$2:$L$1001,MATCH(ROWS($K$2:K679),$K$2:$K$1001,0),1)&gt;=100000,INDEX($R$1005:$W$1005,1,MATCH(COLUMNS($R$1006:R1006),$R$1006:$W$1006,0))&gt;=100000), " ",IF(INDEX($R$2:$W$1001,MATCH(ROWS($K$2:K679),$K$2:$K$1001,0),MATCH(COLUMNS($R$1006:R1006),$R$1006:$W$1006,0)), HYPERLINK("#",""), HYPERLINK(CONCATENATE("#Metadata!", ADDRESS(INDEX($M$2:$M$1001,MATCH(ROWS($K$2:K679),$K$2:$K$1001,0),0), INDEX($R$1004:$W$1004,1,MATCH(COLUMNS($R$1006:R1006),$R$1006:$W$1006,0)))),"Fix")))</f>
        <v>0</v>
      </c>
      <c r="C679" s="3">
        <f>IF(OR(INDEX($L$2:$L$1001,MATCH(ROWS($K$2:K679),$K$2:$K$1001,0),1)&gt;=100000,INDEX($R$1005:$W$1005,1,MATCH(COLUMNS($R$1006:S1006),$R$1006:$W$1006,0))&gt;=100000), " ",IF(INDEX($R$2:$W$1001,MATCH(ROWS($K$2:K679),$K$2:$K$1001,0),MATCH(COLUMNS($R$1006:S1006),$R$1006:$W$1006,0)), HYPERLINK("#",""), HYPERLINK(CONCATENATE("#Metadata!", ADDRESS(INDEX($M$2:$M$1001,MATCH(ROWS($K$2:K679),$K$2:$K$1001,0),0), INDEX($R$1004:$W$1004,1,MATCH(COLUMNS($R$1006:S1006),$R$1006:$W$1006,0)))),"Fix")))</f>
        <v>0</v>
      </c>
      <c r="D679" s="3">
        <f>IF(OR(INDEX($L$2:$L$1001,MATCH(ROWS($K$2:K679),$K$2:$K$1001,0),1)&gt;=100000,INDEX($R$1005:$W$1005,1,MATCH(COLUMNS($R$1006:T1006),$R$1006:$W$1006,0))&gt;=100000), " ",IF(INDEX($R$2:$W$1001,MATCH(ROWS($K$2:K679),$K$2:$K$1001,0),MATCH(COLUMNS($R$1006:T1006),$R$1006:$W$1006,0)), HYPERLINK("#",""), HYPERLINK(CONCATENATE("#Metadata!", ADDRESS(INDEX($M$2:$M$1001,MATCH(ROWS($K$2:K679),$K$2:$K$1001,0),0), INDEX($R$1004:$W$1004,1,MATCH(COLUMNS($R$1006:T1006),$R$1006:$W$1006,0)))),"Fix")))</f>
        <v>0</v>
      </c>
      <c r="E679" s="3">
        <f>IF(OR(INDEX($L$2:$L$1001,MATCH(ROWS($K$2:K679),$K$2:$K$1001,0),1)&gt;=100000,INDEX($R$1005:$W$1005,1,MATCH(COLUMNS($R$1006:U1006),$R$1006:$W$1006,0))&gt;=100000), " ",IF(INDEX($R$2:$W$1001,MATCH(ROWS($K$2:K679),$K$2:$K$1001,0),MATCH(COLUMNS($R$1006:U1006),$R$1006:$W$1006,0)), HYPERLINK("#",""), HYPERLINK(CONCATENATE("#Metadata!", ADDRESS(INDEX($M$2:$M$1001,MATCH(ROWS($K$2:K679),$K$2:$K$1001,0),0), INDEX($R$1004:$W$1004,1,MATCH(COLUMNS($R$1006:U1006),$R$1006:$W$1006,0)))),"Fix")))</f>
        <v>0</v>
      </c>
      <c r="F679" s="3">
        <f>IF(OR(INDEX($L$2:$L$1001,MATCH(ROWS($K$2:K679),$K$2:$K$1001,0),1)&gt;=100000,INDEX($R$1005:$W$1005,1,MATCH(COLUMNS($R$1006:V1006),$R$1006:$W$1006,0))&gt;=100000), " ",IF(INDEX($R$2:$W$1001,MATCH(ROWS($K$2:K679),$K$2:$K$1001,0),MATCH(COLUMNS($R$1006:V1006),$R$1006:$W$1006,0)), HYPERLINK("#",""), HYPERLINK(CONCATENATE("#Metadata!", ADDRESS(INDEX($M$2:$M$1001,MATCH(ROWS($K$2:K679),$K$2:$K$1001,0),0), INDEX($R$1004:$W$1004,1,MATCH(COLUMNS($R$1006:V1006),$R$1006:$W$1006,0)))),"Fix")))</f>
        <v>0</v>
      </c>
      <c r="G679" s="3">
        <f>IF(OR(INDEX($L$2:$L$1001,MATCH(ROWS($K$2:K679),$K$2:$K$1001,0),1)&gt;=100000,INDEX($R$1005:$W$1005,1,MATCH(COLUMNS($R$1006:W1006),$R$1006:$W$1006,0))&gt;=100000), " ",IF(INDEX($R$2:$W$1001,MATCH(ROWS($K$2:K679),$K$2:$K$1001,0),MATCH(COLUMNS($R$1006:W1006),$R$1006:$W$1006,0)), HYPERLINK("#",""), HYPERLINK(CONCATENATE("#Metadata!", ADDRESS(INDEX($M$2:$M$1001,MATCH(ROWS($K$2:K679),$K$2:$K$1001,0),0), INDEX($R$1004:$W$1004,1,MATCH(COLUMNS($R$1006:W1006),$R$1006:$W$1006,0)))),"Fix")))</f>
        <v>0</v>
      </c>
      <c r="K679">
        <v>0</v>
      </c>
      <c r="L679">
        <v>0</v>
      </c>
      <c r="M679">
        <v>0</v>
      </c>
      <c r="N679">
        <f>IF(O679,TRUE,AND(R679:W679))</f>
        <v>0</v>
      </c>
      <c r="O679">
        <f>COUNTBLANK(Metadata!B679:G679)=COLUMNS(Metadata!B679:G679)</f>
        <v>0</v>
      </c>
      <c r="P679">
        <v>0</v>
      </c>
      <c r="R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S679">
        <f>IF(Metadata!C679="",FALSE,TRUE)</f>
        <v>0</v>
      </c>
      <c r="T679">
        <f>IF(Metadata!D679="",FALSE,TRUE)</f>
        <v>0</v>
      </c>
      <c r="U679">
        <f>IF(Metadata!E679="",FALSE,TRUE)</f>
        <v>0</v>
      </c>
      <c r="V679">
        <f>AND(IF(Metadata!F679="",FALSE,TRUE),exact(Metadata!F679,"rat gut metagenome"))</f>
        <v>0</v>
      </c>
      <c r="W679">
        <f>AND(IF(Metadata!G679="",FALSE,TRUE),exact(Metadata!G679,"1436733"))</f>
        <v>0</v>
      </c>
    </row>
    <row r="680" spans="1:23">
      <c r="A680" s="4">
        <f>IF(B680=" "," ",HYPERLINK(CONCATENATE("#metadata!",ADDRESS(INDEX($M$2:$M$1001,MATCH(ROWS($K$2:K680),$K$2:$K$1001,0),0),1)),INDEX($P$2:$P$1001,MATCH(ROWS($K$2:K680),$K$2:$K$1001,0),0)))</f>
        <v>0</v>
      </c>
      <c r="B680" s="3">
        <f>IF(OR(INDEX($L$2:$L$1001,MATCH(ROWS($K$2:K680),$K$2:$K$1001,0),1)&gt;=100000,INDEX($R$1005:$W$1005,1,MATCH(COLUMNS($R$1006:R1006),$R$1006:$W$1006,0))&gt;=100000), " ",IF(INDEX($R$2:$W$1001,MATCH(ROWS($K$2:K680),$K$2:$K$1001,0),MATCH(COLUMNS($R$1006:R1006),$R$1006:$W$1006,0)), HYPERLINK("#",""), HYPERLINK(CONCATENATE("#Metadata!", ADDRESS(INDEX($M$2:$M$1001,MATCH(ROWS($K$2:K680),$K$2:$K$1001,0),0), INDEX($R$1004:$W$1004,1,MATCH(COLUMNS($R$1006:R1006),$R$1006:$W$1006,0)))),"Fix")))</f>
        <v>0</v>
      </c>
      <c r="C680" s="3">
        <f>IF(OR(INDEX($L$2:$L$1001,MATCH(ROWS($K$2:K680),$K$2:$K$1001,0),1)&gt;=100000,INDEX($R$1005:$W$1005,1,MATCH(COLUMNS($R$1006:S1006),$R$1006:$W$1006,0))&gt;=100000), " ",IF(INDEX($R$2:$W$1001,MATCH(ROWS($K$2:K680),$K$2:$K$1001,0),MATCH(COLUMNS($R$1006:S1006),$R$1006:$W$1006,0)), HYPERLINK("#",""), HYPERLINK(CONCATENATE("#Metadata!", ADDRESS(INDEX($M$2:$M$1001,MATCH(ROWS($K$2:K680),$K$2:$K$1001,0),0), INDEX($R$1004:$W$1004,1,MATCH(COLUMNS($R$1006:S1006),$R$1006:$W$1006,0)))),"Fix")))</f>
        <v>0</v>
      </c>
      <c r="D680" s="3">
        <f>IF(OR(INDEX($L$2:$L$1001,MATCH(ROWS($K$2:K680),$K$2:$K$1001,0),1)&gt;=100000,INDEX($R$1005:$W$1005,1,MATCH(COLUMNS($R$1006:T1006),$R$1006:$W$1006,0))&gt;=100000), " ",IF(INDEX($R$2:$W$1001,MATCH(ROWS($K$2:K680),$K$2:$K$1001,0),MATCH(COLUMNS($R$1006:T1006),$R$1006:$W$1006,0)), HYPERLINK("#",""), HYPERLINK(CONCATENATE("#Metadata!", ADDRESS(INDEX($M$2:$M$1001,MATCH(ROWS($K$2:K680),$K$2:$K$1001,0),0), INDEX($R$1004:$W$1004,1,MATCH(COLUMNS($R$1006:T1006),$R$1006:$W$1006,0)))),"Fix")))</f>
        <v>0</v>
      </c>
      <c r="E680" s="3">
        <f>IF(OR(INDEX($L$2:$L$1001,MATCH(ROWS($K$2:K680),$K$2:$K$1001,0),1)&gt;=100000,INDEX($R$1005:$W$1005,1,MATCH(COLUMNS($R$1006:U1006),$R$1006:$W$1006,0))&gt;=100000), " ",IF(INDEX($R$2:$W$1001,MATCH(ROWS($K$2:K680),$K$2:$K$1001,0),MATCH(COLUMNS($R$1006:U1006),$R$1006:$W$1006,0)), HYPERLINK("#",""), HYPERLINK(CONCATENATE("#Metadata!", ADDRESS(INDEX($M$2:$M$1001,MATCH(ROWS($K$2:K680),$K$2:$K$1001,0),0), INDEX($R$1004:$W$1004,1,MATCH(COLUMNS($R$1006:U1006),$R$1006:$W$1006,0)))),"Fix")))</f>
        <v>0</v>
      </c>
      <c r="F680" s="3">
        <f>IF(OR(INDEX($L$2:$L$1001,MATCH(ROWS($K$2:K680),$K$2:$K$1001,0),1)&gt;=100000,INDEX($R$1005:$W$1005,1,MATCH(COLUMNS($R$1006:V1006),$R$1006:$W$1006,0))&gt;=100000), " ",IF(INDEX($R$2:$W$1001,MATCH(ROWS($K$2:K680),$K$2:$K$1001,0),MATCH(COLUMNS($R$1006:V1006),$R$1006:$W$1006,0)), HYPERLINK("#",""), HYPERLINK(CONCATENATE("#Metadata!", ADDRESS(INDEX($M$2:$M$1001,MATCH(ROWS($K$2:K680),$K$2:$K$1001,0),0), INDEX($R$1004:$W$1004,1,MATCH(COLUMNS($R$1006:V1006),$R$1006:$W$1006,0)))),"Fix")))</f>
        <v>0</v>
      </c>
      <c r="G680" s="3">
        <f>IF(OR(INDEX($L$2:$L$1001,MATCH(ROWS($K$2:K680),$K$2:$K$1001,0),1)&gt;=100000,INDEX($R$1005:$W$1005,1,MATCH(COLUMNS($R$1006:W1006),$R$1006:$W$1006,0))&gt;=100000), " ",IF(INDEX($R$2:$W$1001,MATCH(ROWS($K$2:K680),$K$2:$K$1001,0),MATCH(COLUMNS($R$1006:W1006),$R$1006:$W$1006,0)), HYPERLINK("#",""), HYPERLINK(CONCATENATE("#Metadata!", ADDRESS(INDEX($M$2:$M$1001,MATCH(ROWS($K$2:K680),$K$2:$K$1001,0),0), INDEX($R$1004:$W$1004,1,MATCH(COLUMNS($R$1006:W1006),$R$1006:$W$1006,0)))),"Fix")))</f>
        <v>0</v>
      </c>
      <c r="K680">
        <v>0</v>
      </c>
      <c r="L680">
        <v>0</v>
      </c>
      <c r="M680">
        <v>0</v>
      </c>
      <c r="N680">
        <f>IF(O680,TRUE,AND(R680:W680))</f>
        <v>0</v>
      </c>
      <c r="O680">
        <f>COUNTBLANK(Metadata!B680:G680)=COLUMNS(Metadata!B680:G680)</f>
        <v>0</v>
      </c>
      <c r="P680">
        <v>0</v>
      </c>
      <c r="R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S680">
        <f>IF(Metadata!C680="",FALSE,TRUE)</f>
        <v>0</v>
      </c>
      <c r="T680">
        <f>IF(Metadata!D680="",FALSE,TRUE)</f>
        <v>0</v>
      </c>
      <c r="U680">
        <f>IF(Metadata!E680="",FALSE,TRUE)</f>
        <v>0</v>
      </c>
      <c r="V680">
        <f>AND(IF(Metadata!F680="",FALSE,TRUE),exact(Metadata!F680,"rat gut metagenome"))</f>
        <v>0</v>
      </c>
      <c r="W680">
        <f>AND(IF(Metadata!G680="",FALSE,TRUE),exact(Metadata!G680,"1436733"))</f>
        <v>0</v>
      </c>
    </row>
    <row r="681" spans="1:23">
      <c r="A681" s="4">
        <f>IF(B681=" "," ",HYPERLINK(CONCATENATE("#metadata!",ADDRESS(INDEX($M$2:$M$1001,MATCH(ROWS($K$2:K681),$K$2:$K$1001,0),0),1)),INDEX($P$2:$P$1001,MATCH(ROWS($K$2:K681),$K$2:$K$1001,0),0)))</f>
        <v>0</v>
      </c>
      <c r="B681" s="3">
        <f>IF(OR(INDEX($L$2:$L$1001,MATCH(ROWS($K$2:K681),$K$2:$K$1001,0),1)&gt;=100000,INDEX($R$1005:$W$1005,1,MATCH(COLUMNS($R$1006:R1006),$R$1006:$W$1006,0))&gt;=100000), " ",IF(INDEX($R$2:$W$1001,MATCH(ROWS($K$2:K681),$K$2:$K$1001,0),MATCH(COLUMNS($R$1006:R1006),$R$1006:$W$1006,0)), HYPERLINK("#",""), HYPERLINK(CONCATENATE("#Metadata!", ADDRESS(INDEX($M$2:$M$1001,MATCH(ROWS($K$2:K681),$K$2:$K$1001,0),0), INDEX($R$1004:$W$1004,1,MATCH(COLUMNS($R$1006:R1006),$R$1006:$W$1006,0)))),"Fix")))</f>
        <v>0</v>
      </c>
      <c r="C681" s="3">
        <f>IF(OR(INDEX($L$2:$L$1001,MATCH(ROWS($K$2:K681),$K$2:$K$1001,0),1)&gt;=100000,INDEX($R$1005:$W$1005,1,MATCH(COLUMNS($R$1006:S1006),$R$1006:$W$1006,0))&gt;=100000), " ",IF(INDEX($R$2:$W$1001,MATCH(ROWS($K$2:K681),$K$2:$K$1001,0),MATCH(COLUMNS($R$1006:S1006),$R$1006:$W$1006,0)), HYPERLINK("#",""), HYPERLINK(CONCATENATE("#Metadata!", ADDRESS(INDEX($M$2:$M$1001,MATCH(ROWS($K$2:K681),$K$2:$K$1001,0),0), INDEX($R$1004:$W$1004,1,MATCH(COLUMNS($R$1006:S1006),$R$1006:$W$1006,0)))),"Fix")))</f>
        <v>0</v>
      </c>
      <c r="D681" s="3">
        <f>IF(OR(INDEX($L$2:$L$1001,MATCH(ROWS($K$2:K681),$K$2:$K$1001,0),1)&gt;=100000,INDEX($R$1005:$W$1005,1,MATCH(COLUMNS($R$1006:T1006),$R$1006:$W$1006,0))&gt;=100000), " ",IF(INDEX($R$2:$W$1001,MATCH(ROWS($K$2:K681),$K$2:$K$1001,0),MATCH(COLUMNS($R$1006:T1006),$R$1006:$W$1006,0)), HYPERLINK("#",""), HYPERLINK(CONCATENATE("#Metadata!", ADDRESS(INDEX($M$2:$M$1001,MATCH(ROWS($K$2:K681),$K$2:$K$1001,0),0), INDEX($R$1004:$W$1004,1,MATCH(COLUMNS($R$1006:T1006),$R$1006:$W$1006,0)))),"Fix")))</f>
        <v>0</v>
      </c>
      <c r="E681" s="3">
        <f>IF(OR(INDEX($L$2:$L$1001,MATCH(ROWS($K$2:K681),$K$2:$K$1001,0),1)&gt;=100000,INDEX($R$1005:$W$1005,1,MATCH(COLUMNS($R$1006:U1006),$R$1006:$W$1006,0))&gt;=100000), " ",IF(INDEX($R$2:$W$1001,MATCH(ROWS($K$2:K681),$K$2:$K$1001,0),MATCH(COLUMNS($R$1006:U1006),$R$1006:$W$1006,0)), HYPERLINK("#",""), HYPERLINK(CONCATENATE("#Metadata!", ADDRESS(INDEX($M$2:$M$1001,MATCH(ROWS($K$2:K681),$K$2:$K$1001,0),0), INDEX($R$1004:$W$1004,1,MATCH(COLUMNS($R$1006:U1006),$R$1006:$W$1006,0)))),"Fix")))</f>
        <v>0</v>
      </c>
      <c r="F681" s="3">
        <f>IF(OR(INDEX($L$2:$L$1001,MATCH(ROWS($K$2:K681),$K$2:$K$1001,0),1)&gt;=100000,INDEX($R$1005:$W$1005,1,MATCH(COLUMNS($R$1006:V1006),$R$1006:$W$1006,0))&gt;=100000), " ",IF(INDEX($R$2:$W$1001,MATCH(ROWS($K$2:K681),$K$2:$K$1001,0),MATCH(COLUMNS($R$1006:V1006),$R$1006:$W$1006,0)), HYPERLINK("#",""), HYPERLINK(CONCATENATE("#Metadata!", ADDRESS(INDEX($M$2:$M$1001,MATCH(ROWS($K$2:K681),$K$2:$K$1001,0),0), INDEX($R$1004:$W$1004,1,MATCH(COLUMNS($R$1006:V1006),$R$1006:$W$1006,0)))),"Fix")))</f>
        <v>0</v>
      </c>
      <c r="G681" s="3">
        <f>IF(OR(INDEX($L$2:$L$1001,MATCH(ROWS($K$2:K681),$K$2:$K$1001,0),1)&gt;=100000,INDEX($R$1005:$W$1005,1,MATCH(COLUMNS($R$1006:W1006),$R$1006:$W$1006,0))&gt;=100000), " ",IF(INDEX($R$2:$W$1001,MATCH(ROWS($K$2:K681),$K$2:$K$1001,0),MATCH(COLUMNS($R$1006:W1006),$R$1006:$W$1006,0)), HYPERLINK("#",""), HYPERLINK(CONCATENATE("#Metadata!", ADDRESS(INDEX($M$2:$M$1001,MATCH(ROWS($K$2:K681),$K$2:$K$1001,0),0), INDEX($R$1004:$W$1004,1,MATCH(COLUMNS($R$1006:W1006),$R$1006:$W$1006,0)))),"Fix")))</f>
        <v>0</v>
      </c>
      <c r="K681">
        <v>0</v>
      </c>
      <c r="L681">
        <v>0</v>
      </c>
      <c r="M681">
        <v>0</v>
      </c>
      <c r="N681">
        <f>IF(O681,TRUE,AND(R681:W681))</f>
        <v>0</v>
      </c>
      <c r="O681">
        <f>COUNTBLANK(Metadata!B681:G681)=COLUMNS(Metadata!B681:G681)</f>
        <v>0</v>
      </c>
      <c r="P681">
        <v>0</v>
      </c>
      <c r="R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S681">
        <f>IF(Metadata!C681="",FALSE,TRUE)</f>
        <v>0</v>
      </c>
      <c r="T681">
        <f>IF(Metadata!D681="",FALSE,TRUE)</f>
        <v>0</v>
      </c>
      <c r="U681">
        <f>IF(Metadata!E681="",FALSE,TRUE)</f>
        <v>0</v>
      </c>
      <c r="V681">
        <f>AND(IF(Metadata!F681="",FALSE,TRUE),exact(Metadata!F681,"rat gut metagenome"))</f>
        <v>0</v>
      </c>
      <c r="W681">
        <f>AND(IF(Metadata!G681="",FALSE,TRUE),exact(Metadata!G681,"1436733"))</f>
        <v>0</v>
      </c>
    </row>
    <row r="682" spans="1:23">
      <c r="A682" s="4">
        <f>IF(B682=" "," ",HYPERLINK(CONCATENATE("#metadata!",ADDRESS(INDEX($M$2:$M$1001,MATCH(ROWS($K$2:K682),$K$2:$K$1001,0),0),1)),INDEX($P$2:$P$1001,MATCH(ROWS($K$2:K682),$K$2:$K$1001,0),0)))</f>
        <v>0</v>
      </c>
      <c r="B682" s="3">
        <f>IF(OR(INDEX($L$2:$L$1001,MATCH(ROWS($K$2:K682),$K$2:$K$1001,0),1)&gt;=100000,INDEX($R$1005:$W$1005,1,MATCH(COLUMNS($R$1006:R1006),$R$1006:$W$1006,0))&gt;=100000), " ",IF(INDEX($R$2:$W$1001,MATCH(ROWS($K$2:K682),$K$2:$K$1001,0),MATCH(COLUMNS($R$1006:R1006),$R$1006:$W$1006,0)), HYPERLINK("#",""), HYPERLINK(CONCATENATE("#Metadata!", ADDRESS(INDEX($M$2:$M$1001,MATCH(ROWS($K$2:K682),$K$2:$K$1001,0),0), INDEX($R$1004:$W$1004,1,MATCH(COLUMNS($R$1006:R1006),$R$1006:$W$1006,0)))),"Fix")))</f>
        <v>0</v>
      </c>
      <c r="C682" s="3">
        <f>IF(OR(INDEX($L$2:$L$1001,MATCH(ROWS($K$2:K682),$K$2:$K$1001,0),1)&gt;=100000,INDEX($R$1005:$W$1005,1,MATCH(COLUMNS($R$1006:S1006),$R$1006:$W$1006,0))&gt;=100000), " ",IF(INDEX($R$2:$W$1001,MATCH(ROWS($K$2:K682),$K$2:$K$1001,0),MATCH(COLUMNS($R$1006:S1006),$R$1006:$W$1006,0)), HYPERLINK("#",""), HYPERLINK(CONCATENATE("#Metadata!", ADDRESS(INDEX($M$2:$M$1001,MATCH(ROWS($K$2:K682),$K$2:$K$1001,0),0), INDEX($R$1004:$W$1004,1,MATCH(COLUMNS($R$1006:S1006),$R$1006:$W$1006,0)))),"Fix")))</f>
        <v>0</v>
      </c>
      <c r="D682" s="3">
        <f>IF(OR(INDEX($L$2:$L$1001,MATCH(ROWS($K$2:K682),$K$2:$K$1001,0),1)&gt;=100000,INDEX($R$1005:$W$1005,1,MATCH(COLUMNS($R$1006:T1006),$R$1006:$W$1006,0))&gt;=100000), " ",IF(INDEX($R$2:$W$1001,MATCH(ROWS($K$2:K682),$K$2:$K$1001,0),MATCH(COLUMNS($R$1006:T1006),$R$1006:$W$1006,0)), HYPERLINK("#",""), HYPERLINK(CONCATENATE("#Metadata!", ADDRESS(INDEX($M$2:$M$1001,MATCH(ROWS($K$2:K682),$K$2:$K$1001,0),0), INDEX($R$1004:$W$1004,1,MATCH(COLUMNS($R$1006:T1006),$R$1006:$W$1006,0)))),"Fix")))</f>
        <v>0</v>
      </c>
      <c r="E682" s="3">
        <f>IF(OR(INDEX($L$2:$L$1001,MATCH(ROWS($K$2:K682),$K$2:$K$1001,0),1)&gt;=100000,INDEX($R$1005:$W$1005,1,MATCH(COLUMNS($R$1006:U1006),$R$1006:$W$1006,0))&gt;=100000), " ",IF(INDEX($R$2:$W$1001,MATCH(ROWS($K$2:K682),$K$2:$K$1001,0),MATCH(COLUMNS($R$1006:U1006),$R$1006:$W$1006,0)), HYPERLINK("#",""), HYPERLINK(CONCATENATE("#Metadata!", ADDRESS(INDEX($M$2:$M$1001,MATCH(ROWS($K$2:K682),$K$2:$K$1001,0),0), INDEX($R$1004:$W$1004,1,MATCH(COLUMNS($R$1006:U1006),$R$1006:$W$1006,0)))),"Fix")))</f>
        <v>0</v>
      </c>
      <c r="F682" s="3">
        <f>IF(OR(INDEX($L$2:$L$1001,MATCH(ROWS($K$2:K682),$K$2:$K$1001,0),1)&gt;=100000,INDEX($R$1005:$W$1005,1,MATCH(COLUMNS($R$1006:V1006),$R$1006:$W$1006,0))&gt;=100000), " ",IF(INDEX($R$2:$W$1001,MATCH(ROWS($K$2:K682),$K$2:$K$1001,0),MATCH(COLUMNS($R$1006:V1006),$R$1006:$W$1006,0)), HYPERLINK("#",""), HYPERLINK(CONCATENATE("#Metadata!", ADDRESS(INDEX($M$2:$M$1001,MATCH(ROWS($K$2:K682),$K$2:$K$1001,0),0), INDEX($R$1004:$W$1004,1,MATCH(COLUMNS($R$1006:V1006),$R$1006:$W$1006,0)))),"Fix")))</f>
        <v>0</v>
      </c>
      <c r="G682" s="3">
        <f>IF(OR(INDEX($L$2:$L$1001,MATCH(ROWS($K$2:K682),$K$2:$K$1001,0),1)&gt;=100000,INDEX($R$1005:$W$1005,1,MATCH(COLUMNS($R$1006:W1006),$R$1006:$W$1006,0))&gt;=100000), " ",IF(INDEX($R$2:$W$1001,MATCH(ROWS($K$2:K682),$K$2:$K$1001,0),MATCH(COLUMNS($R$1006:W1006),$R$1006:$W$1006,0)), HYPERLINK("#",""), HYPERLINK(CONCATENATE("#Metadata!", ADDRESS(INDEX($M$2:$M$1001,MATCH(ROWS($K$2:K682),$K$2:$K$1001,0),0), INDEX($R$1004:$W$1004,1,MATCH(COLUMNS($R$1006:W1006),$R$1006:$W$1006,0)))),"Fix")))</f>
        <v>0</v>
      </c>
      <c r="K682">
        <v>0</v>
      </c>
      <c r="L682">
        <v>0</v>
      </c>
      <c r="M682">
        <v>0</v>
      </c>
      <c r="N682">
        <f>IF(O682,TRUE,AND(R682:W682))</f>
        <v>0</v>
      </c>
      <c r="O682">
        <f>COUNTBLANK(Metadata!B682:G682)=COLUMNS(Metadata!B682:G682)</f>
        <v>0</v>
      </c>
      <c r="P682">
        <v>0</v>
      </c>
      <c r="R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S682">
        <f>IF(Metadata!C682="",FALSE,TRUE)</f>
        <v>0</v>
      </c>
      <c r="T682">
        <f>IF(Metadata!D682="",FALSE,TRUE)</f>
        <v>0</v>
      </c>
      <c r="U682">
        <f>IF(Metadata!E682="",FALSE,TRUE)</f>
        <v>0</v>
      </c>
      <c r="V682">
        <f>AND(IF(Metadata!F682="",FALSE,TRUE),exact(Metadata!F682,"rat gut metagenome"))</f>
        <v>0</v>
      </c>
      <c r="W682">
        <f>AND(IF(Metadata!G682="",FALSE,TRUE),exact(Metadata!G682,"1436733"))</f>
        <v>0</v>
      </c>
    </row>
    <row r="683" spans="1:23">
      <c r="A683" s="4">
        <f>IF(B683=" "," ",HYPERLINK(CONCATENATE("#metadata!",ADDRESS(INDEX($M$2:$M$1001,MATCH(ROWS($K$2:K683),$K$2:$K$1001,0),0),1)),INDEX($P$2:$P$1001,MATCH(ROWS($K$2:K683),$K$2:$K$1001,0),0)))</f>
        <v>0</v>
      </c>
      <c r="B683" s="3">
        <f>IF(OR(INDEX($L$2:$L$1001,MATCH(ROWS($K$2:K683),$K$2:$K$1001,0),1)&gt;=100000,INDEX($R$1005:$W$1005,1,MATCH(COLUMNS($R$1006:R1006),$R$1006:$W$1006,0))&gt;=100000), " ",IF(INDEX($R$2:$W$1001,MATCH(ROWS($K$2:K683),$K$2:$K$1001,0),MATCH(COLUMNS($R$1006:R1006),$R$1006:$W$1006,0)), HYPERLINK("#",""), HYPERLINK(CONCATENATE("#Metadata!", ADDRESS(INDEX($M$2:$M$1001,MATCH(ROWS($K$2:K683),$K$2:$K$1001,0),0), INDEX($R$1004:$W$1004,1,MATCH(COLUMNS($R$1006:R1006),$R$1006:$W$1006,0)))),"Fix")))</f>
        <v>0</v>
      </c>
      <c r="C683" s="3">
        <f>IF(OR(INDEX($L$2:$L$1001,MATCH(ROWS($K$2:K683),$K$2:$K$1001,0),1)&gt;=100000,INDEX($R$1005:$W$1005,1,MATCH(COLUMNS($R$1006:S1006),$R$1006:$W$1006,0))&gt;=100000), " ",IF(INDEX($R$2:$W$1001,MATCH(ROWS($K$2:K683),$K$2:$K$1001,0),MATCH(COLUMNS($R$1006:S1006),$R$1006:$W$1006,0)), HYPERLINK("#",""), HYPERLINK(CONCATENATE("#Metadata!", ADDRESS(INDEX($M$2:$M$1001,MATCH(ROWS($K$2:K683),$K$2:$K$1001,0),0), INDEX($R$1004:$W$1004,1,MATCH(COLUMNS($R$1006:S1006),$R$1006:$W$1006,0)))),"Fix")))</f>
        <v>0</v>
      </c>
      <c r="D683" s="3">
        <f>IF(OR(INDEX($L$2:$L$1001,MATCH(ROWS($K$2:K683),$K$2:$K$1001,0),1)&gt;=100000,INDEX($R$1005:$W$1005,1,MATCH(COLUMNS($R$1006:T1006),$R$1006:$W$1006,0))&gt;=100000), " ",IF(INDEX($R$2:$W$1001,MATCH(ROWS($K$2:K683),$K$2:$K$1001,0),MATCH(COLUMNS($R$1006:T1006),$R$1006:$W$1006,0)), HYPERLINK("#",""), HYPERLINK(CONCATENATE("#Metadata!", ADDRESS(INDEX($M$2:$M$1001,MATCH(ROWS($K$2:K683),$K$2:$K$1001,0),0), INDEX($R$1004:$W$1004,1,MATCH(COLUMNS($R$1006:T1006),$R$1006:$W$1006,0)))),"Fix")))</f>
        <v>0</v>
      </c>
      <c r="E683" s="3">
        <f>IF(OR(INDEX($L$2:$L$1001,MATCH(ROWS($K$2:K683),$K$2:$K$1001,0),1)&gt;=100000,INDEX($R$1005:$W$1005,1,MATCH(COLUMNS($R$1006:U1006),$R$1006:$W$1006,0))&gt;=100000), " ",IF(INDEX($R$2:$W$1001,MATCH(ROWS($K$2:K683),$K$2:$K$1001,0),MATCH(COLUMNS($R$1006:U1006),$R$1006:$W$1006,0)), HYPERLINK("#",""), HYPERLINK(CONCATENATE("#Metadata!", ADDRESS(INDEX($M$2:$M$1001,MATCH(ROWS($K$2:K683),$K$2:$K$1001,0),0), INDEX($R$1004:$W$1004,1,MATCH(COLUMNS($R$1006:U1006),$R$1006:$W$1006,0)))),"Fix")))</f>
        <v>0</v>
      </c>
      <c r="F683" s="3">
        <f>IF(OR(INDEX($L$2:$L$1001,MATCH(ROWS($K$2:K683),$K$2:$K$1001,0),1)&gt;=100000,INDEX($R$1005:$W$1005,1,MATCH(COLUMNS($R$1006:V1006),$R$1006:$W$1006,0))&gt;=100000), " ",IF(INDEX($R$2:$W$1001,MATCH(ROWS($K$2:K683),$K$2:$K$1001,0),MATCH(COLUMNS($R$1006:V1006),$R$1006:$W$1006,0)), HYPERLINK("#",""), HYPERLINK(CONCATENATE("#Metadata!", ADDRESS(INDEX($M$2:$M$1001,MATCH(ROWS($K$2:K683),$K$2:$K$1001,0),0), INDEX($R$1004:$W$1004,1,MATCH(COLUMNS($R$1006:V1006),$R$1006:$W$1006,0)))),"Fix")))</f>
        <v>0</v>
      </c>
      <c r="G683" s="3">
        <f>IF(OR(INDEX($L$2:$L$1001,MATCH(ROWS($K$2:K683),$K$2:$K$1001,0),1)&gt;=100000,INDEX($R$1005:$W$1005,1,MATCH(COLUMNS($R$1006:W1006),$R$1006:$W$1006,0))&gt;=100000), " ",IF(INDEX($R$2:$W$1001,MATCH(ROWS($K$2:K683),$K$2:$K$1001,0),MATCH(COLUMNS($R$1006:W1006),$R$1006:$W$1006,0)), HYPERLINK("#",""), HYPERLINK(CONCATENATE("#Metadata!", ADDRESS(INDEX($M$2:$M$1001,MATCH(ROWS($K$2:K683),$K$2:$K$1001,0),0), INDEX($R$1004:$W$1004,1,MATCH(COLUMNS($R$1006:W1006),$R$1006:$W$1006,0)))),"Fix")))</f>
        <v>0</v>
      </c>
      <c r="K683">
        <v>0</v>
      </c>
      <c r="L683">
        <v>0</v>
      </c>
      <c r="M683">
        <v>0</v>
      </c>
      <c r="N683">
        <f>IF(O683,TRUE,AND(R683:W683))</f>
        <v>0</v>
      </c>
      <c r="O683">
        <f>COUNTBLANK(Metadata!B683:G683)=COLUMNS(Metadata!B683:G683)</f>
        <v>0</v>
      </c>
      <c r="P683">
        <v>0</v>
      </c>
      <c r="R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S683">
        <f>IF(Metadata!C683="",FALSE,TRUE)</f>
        <v>0</v>
      </c>
      <c r="T683">
        <f>IF(Metadata!D683="",FALSE,TRUE)</f>
        <v>0</v>
      </c>
      <c r="U683">
        <f>IF(Metadata!E683="",FALSE,TRUE)</f>
        <v>0</v>
      </c>
      <c r="V683">
        <f>AND(IF(Metadata!F683="",FALSE,TRUE),exact(Metadata!F683,"rat gut metagenome"))</f>
        <v>0</v>
      </c>
      <c r="W683">
        <f>AND(IF(Metadata!G683="",FALSE,TRUE),exact(Metadata!G683,"1436733"))</f>
        <v>0</v>
      </c>
    </row>
    <row r="684" spans="1:23">
      <c r="A684" s="4">
        <f>IF(B684=" "," ",HYPERLINK(CONCATENATE("#metadata!",ADDRESS(INDEX($M$2:$M$1001,MATCH(ROWS($K$2:K684),$K$2:$K$1001,0),0),1)),INDEX($P$2:$P$1001,MATCH(ROWS($K$2:K684),$K$2:$K$1001,0),0)))</f>
        <v>0</v>
      </c>
      <c r="B684" s="3">
        <f>IF(OR(INDEX($L$2:$L$1001,MATCH(ROWS($K$2:K684),$K$2:$K$1001,0),1)&gt;=100000,INDEX($R$1005:$W$1005,1,MATCH(COLUMNS($R$1006:R1006),$R$1006:$W$1006,0))&gt;=100000), " ",IF(INDEX($R$2:$W$1001,MATCH(ROWS($K$2:K684),$K$2:$K$1001,0),MATCH(COLUMNS($R$1006:R1006),$R$1006:$W$1006,0)), HYPERLINK("#",""), HYPERLINK(CONCATENATE("#Metadata!", ADDRESS(INDEX($M$2:$M$1001,MATCH(ROWS($K$2:K684),$K$2:$K$1001,0),0), INDEX($R$1004:$W$1004,1,MATCH(COLUMNS($R$1006:R1006),$R$1006:$W$1006,0)))),"Fix")))</f>
        <v>0</v>
      </c>
      <c r="C684" s="3">
        <f>IF(OR(INDEX($L$2:$L$1001,MATCH(ROWS($K$2:K684),$K$2:$K$1001,0),1)&gt;=100000,INDEX($R$1005:$W$1005,1,MATCH(COLUMNS($R$1006:S1006),$R$1006:$W$1006,0))&gt;=100000), " ",IF(INDEX($R$2:$W$1001,MATCH(ROWS($K$2:K684),$K$2:$K$1001,0),MATCH(COLUMNS($R$1006:S1006),$R$1006:$W$1006,0)), HYPERLINK("#",""), HYPERLINK(CONCATENATE("#Metadata!", ADDRESS(INDEX($M$2:$M$1001,MATCH(ROWS($K$2:K684),$K$2:$K$1001,0),0), INDEX($R$1004:$W$1004,1,MATCH(COLUMNS($R$1006:S1006),$R$1006:$W$1006,0)))),"Fix")))</f>
        <v>0</v>
      </c>
      <c r="D684" s="3">
        <f>IF(OR(INDEX($L$2:$L$1001,MATCH(ROWS($K$2:K684),$K$2:$K$1001,0),1)&gt;=100000,INDEX($R$1005:$W$1005,1,MATCH(COLUMNS($R$1006:T1006),$R$1006:$W$1006,0))&gt;=100000), " ",IF(INDEX($R$2:$W$1001,MATCH(ROWS($K$2:K684),$K$2:$K$1001,0),MATCH(COLUMNS($R$1006:T1006),$R$1006:$W$1006,0)), HYPERLINK("#",""), HYPERLINK(CONCATENATE("#Metadata!", ADDRESS(INDEX($M$2:$M$1001,MATCH(ROWS($K$2:K684),$K$2:$K$1001,0),0), INDEX($R$1004:$W$1004,1,MATCH(COLUMNS($R$1006:T1006),$R$1006:$W$1006,0)))),"Fix")))</f>
        <v>0</v>
      </c>
      <c r="E684" s="3">
        <f>IF(OR(INDEX($L$2:$L$1001,MATCH(ROWS($K$2:K684),$K$2:$K$1001,0),1)&gt;=100000,INDEX($R$1005:$W$1005,1,MATCH(COLUMNS($R$1006:U1006),$R$1006:$W$1006,0))&gt;=100000), " ",IF(INDEX($R$2:$W$1001,MATCH(ROWS($K$2:K684),$K$2:$K$1001,0),MATCH(COLUMNS($R$1006:U1006),$R$1006:$W$1006,0)), HYPERLINK("#",""), HYPERLINK(CONCATENATE("#Metadata!", ADDRESS(INDEX($M$2:$M$1001,MATCH(ROWS($K$2:K684),$K$2:$K$1001,0),0), INDEX($R$1004:$W$1004,1,MATCH(COLUMNS($R$1006:U1006),$R$1006:$W$1006,0)))),"Fix")))</f>
        <v>0</v>
      </c>
      <c r="F684" s="3">
        <f>IF(OR(INDEX($L$2:$L$1001,MATCH(ROWS($K$2:K684),$K$2:$K$1001,0),1)&gt;=100000,INDEX($R$1005:$W$1005,1,MATCH(COLUMNS($R$1006:V1006),$R$1006:$W$1006,0))&gt;=100000), " ",IF(INDEX($R$2:$W$1001,MATCH(ROWS($K$2:K684),$K$2:$K$1001,0),MATCH(COLUMNS($R$1006:V1006),$R$1006:$W$1006,0)), HYPERLINK("#",""), HYPERLINK(CONCATENATE("#Metadata!", ADDRESS(INDEX($M$2:$M$1001,MATCH(ROWS($K$2:K684),$K$2:$K$1001,0),0), INDEX($R$1004:$W$1004,1,MATCH(COLUMNS($R$1006:V1006),$R$1006:$W$1006,0)))),"Fix")))</f>
        <v>0</v>
      </c>
      <c r="G684" s="3">
        <f>IF(OR(INDEX($L$2:$L$1001,MATCH(ROWS($K$2:K684),$K$2:$K$1001,0),1)&gt;=100000,INDEX($R$1005:$W$1005,1,MATCH(COLUMNS($R$1006:W1006),$R$1006:$W$1006,0))&gt;=100000), " ",IF(INDEX($R$2:$W$1001,MATCH(ROWS($K$2:K684),$K$2:$K$1001,0),MATCH(COLUMNS($R$1006:W1006),$R$1006:$W$1006,0)), HYPERLINK("#",""), HYPERLINK(CONCATENATE("#Metadata!", ADDRESS(INDEX($M$2:$M$1001,MATCH(ROWS($K$2:K684),$K$2:$K$1001,0),0), INDEX($R$1004:$W$1004,1,MATCH(COLUMNS($R$1006:W1006),$R$1006:$W$1006,0)))),"Fix")))</f>
        <v>0</v>
      </c>
      <c r="K684">
        <v>0</v>
      </c>
      <c r="L684">
        <v>0</v>
      </c>
      <c r="M684">
        <v>0</v>
      </c>
      <c r="N684">
        <f>IF(O684,TRUE,AND(R684:W684))</f>
        <v>0</v>
      </c>
      <c r="O684">
        <f>COUNTBLANK(Metadata!B684:G684)=COLUMNS(Metadata!B684:G684)</f>
        <v>0</v>
      </c>
      <c r="P684">
        <v>0</v>
      </c>
      <c r="R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S684">
        <f>IF(Metadata!C684="",FALSE,TRUE)</f>
        <v>0</v>
      </c>
      <c r="T684">
        <f>IF(Metadata!D684="",FALSE,TRUE)</f>
        <v>0</v>
      </c>
      <c r="U684">
        <f>IF(Metadata!E684="",FALSE,TRUE)</f>
        <v>0</v>
      </c>
      <c r="V684">
        <f>AND(IF(Metadata!F684="",FALSE,TRUE),exact(Metadata!F684,"rat gut metagenome"))</f>
        <v>0</v>
      </c>
      <c r="W684">
        <f>AND(IF(Metadata!G684="",FALSE,TRUE),exact(Metadata!G684,"1436733"))</f>
        <v>0</v>
      </c>
    </row>
    <row r="685" spans="1:23">
      <c r="A685" s="4">
        <f>IF(B685=" "," ",HYPERLINK(CONCATENATE("#metadata!",ADDRESS(INDEX($M$2:$M$1001,MATCH(ROWS($K$2:K685),$K$2:$K$1001,0),0),1)),INDEX($P$2:$P$1001,MATCH(ROWS($K$2:K685),$K$2:$K$1001,0),0)))</f>
        <v>0</v>
      </c>
      <c r="B685" s="3">
        <f>IF(OR(INDEX($L$2:$L$1001,MATCH(ROWS($K$2:K685),$K$2:$K$1001,0),1)&gt;=100000,INDEX($R$1005:$W$1005,1,MATCH(COLUMNS($R$1006:R1006),$R$1006:$W$1006,0))&gt;=100000), " ",IF(INDEX($R$2:$W$1001,MATCH(ROWS($K$2:K685),$K$2:$K$1001,0),MATCH(COLUMNS($R$1006:R1006),$R$1006:$W$1006,0)), HYPERLINK("#",""), HYPERLINK(CONCATENATE("#Metadata!", ADDRESS(INDEX($M$2:$M$1001,MATCH(ROWS($K$2:K685),$K$2:$K$1001,0),0), INDEX($R$1004:$W$1004,1,MATCH(COLUMNS($R$1006:R1006),$R$1006:$W$1006,0)))),"Fix")))</f>
        <v>0</v>
      </c>
      <c r="C685" s="3">
        <f>IF(OR(INDEX($L$2:$L$1001,MATCH(ROWS($K$2:K685),$K$2:$K$1001,0),1)&gt;=100000,INDEX($R$1005:$W$1005,1,MATCH(COLUMNS($R$1006:S1006),$R$1006:$W$1006,0))&gt;=100000), " ",IF(INDEX($R$2:$W$1001,MATCH(ROWS($K$2:K685),$K$2:$K$1001,0),MATCH(COLUMNS($R$1006:S1006),$R$1006:$W$1006,0)), HYPERLINK("#",""), HYPERLINK(CONCATENATE("#Metadata!", ADDRESS(INDEX($M$2:$M$1001,MATCH(ROWS($K$2:K685),$K$2:$K$1001,0),0), INDEX($R$1004:$W$1004,1,MATCH(COLUMNS($R$1006:S1006),$R$1006:$W$1006,0)))),"Fix")))</f>
        <v>0</v>
      </c>
      <c r="D685" s="3">
        <f>IF(OR(INDEX($L$2:$L$1001,MATCH(ROWS($K$2:K685),$K$2:$K$1001,0),1)&gt;=100000,INDEX($R$1005:$W$1005,1,MATCH(COLUMNS($R$1006:T1006),$R$1006:$W$1006,0))&gt;=100000), " ",IF(INDEX($R$2:$W$1001,MATCH(ROWS($K$2:K685),$K$2:$K$1001,0),MATCH(COLUMNS($R$1006:T1006),$R$1006:$W$1006,0)), HYPERLINK("#",""), HYPERLINK(CONCATENATE("#Metadata!", ADDRESS(INDEX($M$2:$M$1001,MATCH(ROWS($K$2:K685),$K$2:$K$1001,0),0), INDEX($R$1004:$W$1004,1,MATCH(COLUMNS($R$1006:T1006),$R$1006:$W$1006,0)))),"Fix")))</f>
        <v>0</v>
      </c>
      <c r="E685" s="3">
        <f>IF(OR(INDEX($L$2:$L$1001,MATCH(ROWS($K$2:K685),$K$2:$K$1001,0),1)&gt;=100000,INDEX($R$1005:$W$1005,1,MATCH(COLUMNS($R$1006:U1006),$R$1006:$W$1006,0))&gt;=100000), " ",IF(INDEX($R$2:$W$1001,MATCH(ROWS($K$2:K685),$K$2:$K$1001,0),MATCH(COLUMNS($R$1006:U1006),$R$1006:$W$1006,0)), HYPERLINK("#",""), HYPERLINK(CONCATENATE("#Metadata!", ADDRESS(INDEX($M$2:$M$1001,MATCH(ROWS($K$2:K685),$K$2:$K$1001,0),0), INDEX($R$1004:$W$1004,1,MATCH(COLUMNS($R$1006:U1006),$R$1006:$W$1006,0)))),"Fix")))</f>
        <v>0</v>
      </c>
      <c r="F685" s="3">
        <f>IF(OR(INDEX($L$2:$L$1001,MATCH(ROWS($K$2:K685),$K$2:$K$1001,0),1)&gt;=100000,INDEX($R$1005:$W$1005,1,MATCH(COLUMNS($R$1006:V1006),$R$1006:$W$1006,0))&gt;=100000), " ",IF(INDEX($R$2:$W$1001,MATCH(ROWS($K$2:K685),$K$2:$K$1001,0),MATCH(COLUMNS($R$1006:V1006),$R$1006:$W$1006,0)), HYPERLINK("#",""), HYPERLINK(CONCATENATE("#Metadata!", ADDRESS(INDEX($M$2:$M$1001,MATCH(ROWS($K$2:K685),$K$2:$K$1001,0),0), INDEX($R$1004:$W$1004,1,MATCH(COLUMNS($R$1006:V1006),$R$1006:$W$1006,0)))),"Fix")))</f>
        <v>0</v>
      </c>
      <c r="G685" s="3">
        <f>IF(OR(INDEX($L$2:$L$1001,MATCH(ROWS($K$2:K685),$K$2:$K$1001,0),1)&gt;=100000,INDEX($R$1005:$W$1005,1,MATCH(COLUMNS($R$1006:W1006),$R$1006:$W$1006,0))&gt;=100000), " ",IF(INDEX($R$2:$W$1001,MATCH(ROWS($K$2:K685),$K$2:$K$1001,0),MATCH(COLUMNS($R$1006:W1006),$R$1006:$W$1006,0)), HYPERLINK("#",""), HYPERLINK(CONCATENATE("#Metadata!", ADDRESS(INDEX($M$2:$M$1001,MATCH(ROWS($K$2:K685),$K$2:$K$1001,0),0), INDEX($R$1004:$W$1004,1,MATCH(COLUMNS($R$1006:W1006),$R$1006:$W$1006,0)))),"Fix")))</f>
        <v>0</v>
      </c>
      <c r="K685">
        <v>0</v>
      </c>
      <c r="L685">
        <v>0</v>
      </c>
      <c r="M685">
        <v>0</v>
      </c>
      <c r="N685">
        <f>IF(O685,TRUE,AND(R685:W685))</f>
        <v>0</v>
      </c>
      <c r="O685">
        <f>COUNTBLANK(Metadata!B685:G685)=COLUMNS(Metadata!B685:G685)</f>
        <v>0</v>
      </c>
      <c r="P685">
        <v>0</v>
      </c>
      <c r="R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S685">
        <f>IF(Metadata!C685="",FALSE,TRUE)</f>
        <v>0</v>
      </c>
      <c r="T685">
        <f>IF(Metadata!D685="",FALSE,TRUE)</f>
        <v>0</v>
      </c>
      <c r="U685">
        <f>IF(Metadata!E685="",FALSE,TRUE)</f>
        <v>0</v>
      </c>
      <c r="V685">
        <f>AND(IF(Metadata!F685="",FALSE,TRUE),exact(Metadata!F685,"rat gut metagenome"))</f>
        <v>0</v>
      </c>
      <c r="W685">
        <f>AND(IF(Metadata!G685="",FALSE,TRUE),exact(Metadata!G685,"1436733"))</f>
        <v>0</v>
      </c>
    </row>
    <row r="686" spans="1:23">
      <c r="A686" s="4">
        <f>IF(B686=" "," ",HYPERLINK(CONCATENATE("#metadata!",ADDRESS(INDEX($M$2:$M$1001,MATCH(ROWS($K$2:K686),$K$2:$K$1001,0),0),1)),INDEX($P$2:$P$1001,MATCH(ROWS($K$2:K686),$K$2:$K$1001,0),0)))</f>
        <v>0</v>
      </c>
      <c r="B686" s="3">
        <f>IF(OR(INDEX($L$2:$L$1001,MATCH(ROWS($K$2:K686),$K$2:$K$1001,0),1)&gt;=100000,INDEX($R$1005:$W$1005,1,MATCH(COLUMNS($R$1006:R1006),$R$1006:$W$1006,0))&gt;=100000), " ",IF(INDEX($R$2:$W$1001,MATCH(ROWS($K$2:K686),$K$2:$K$1001,0),MATCH(COLUMNS($R$1006:R1006),$R$1006:$W$1006,0)), HYPERLINK("#",""), HYPERLINK(CONCATENATE("#Metadata!", ADDRESS(INDEX($M$2:$M$1001,MATCH(ROWS($K$2:K686),$K$2:$K$1001,0),0), INDEX($R$1004:$W$1004,1,MATCH(COLUMNS($R$1006:R1006),$R$1006:$W$1006,0)))),"Fix")))</f>
        <v>0</v>
      </c>
      <c r="C686" s="3">
        <f>IF(OR(INDEX($L$2:$L$1001,MATCH(ROWS($K$2:K686),$K$2:$K$1001,0),1)&gt;=100000,INDEX($R$1005:$W$1005,1,MATCH(COLUMNS($R$1006:S1006),$R$1006:$W$1006,0))&gt;=100000), " ",IF(INDEX($R$2:$W$1001,MATCH(ROWS($K$2:K686),$K$2:$K$1001,0),MATCH(COLUMNS($R$1006:S1006),$R$1006:$W$1006,0)), HYPERLINK("#",""), HYPERLINK(CONCATENATE("#Metadata!", ADDRESS(INDEX($M$2:$M$1001,MATCH(ROWS($K$2:K686),$K$2:$K$1001,0),0), INDEX($R$1004:$W$1004,1,MATCH(COLUMNS($R$1006:S1006),$R$1006:$W$1006,0)))),"Fix")))</f>
        <v>0</v>
      </c>
      <c r="D686" s="3">
        <f>IF(OR(INDEX($L$2:$L$1001,MATCH(ROWS($K$2:K686),$K$2:$K$1001,0),1)&gt;=100000,INDEX($R$1005:$W$1005,1,MATCH(COLUMNS($R$1006:T1006),$R$1006:$W$1006,0))&gt;=100000), " ",IF(INDEX($R$2:$W$1001,MATCH(ROWS($K$2:K686),$K$2:$K$1001,0),MATCH(COLUMNS($R$1006:T1006),$R$1006:$W$1006,0)), HYPERLINK("#",""), HYPERLINK(CONCATENATE("#Metadata!", ADDRESS(INDEX($M$2:$M$1001,MATCH(ROWS($K$2:K686),$K$2:$K$1001,0),0), INDEX($R$1004:$W$1004,1,MATCH(COLUMNS($R$1006:T1006),$R$1006:$W$1006,0)))),"Fix")))</f>
        <v>0</v>
      </c>
      <c r="E686" s="3">
        <f>IF(OR(INDEX($L$2:$L$1001,MATCH(ROWS($K$2:K686),$K$2:$K$1001,0),1)&gt;=100000,INDEX($R$1005:$W$1005,1,MATCH(COLUMNS($R$1006:U1006),$R$1006:$W$1006,0))&gt;=100000), " ",IF(INDEX($R$2:$W$1001,MATCH(ROWS($K$2:K686),$K$2:$K$1001,0),MATCH(COLUMNS($R$1006:U1006),$R$1006:$W$1006,0)), HYPERLINK("#",""), HYPERLINK(CONCATENATE("#Metadata!", ADDRESS(INDEX($M$2:$M$1001,MATCH(ROWS($K$2:K686),$K$2:$K$1001,0),0), INDEX($R$1004:$W$1004,1,MATCH(COLUMNS($R$1006:U1006),$R$1006:$W$1006,0)))),"Fix")))</f>
        <v>0</v>
      </c>
      <c r="F686" s="3">
        <f>IF(OR(INDEX($L$2:$L$1001,MATCH(ROWS($K$2:K686),$K$2:$K$1001,0),1)&gt;=100000,INDEX($R$1005:$W$1005,1,MATCH(COLUMNS($R$1006:V1006),$R$1006:$W$1006,0))&gt;=100000), " ",IF(INDEX($R$2:$W$1001,MATCH(ROWS($K$2:K686),$K$2:$K$1001,0),MATCH(COLUMNS($R$1006:V1006),$R$1006:$W$1006,0)), HYPERLINK("#",""), HYPERLINK(CONCATENATE("#Metadata!", ADDRESS(INDEX($M$2:$M$1001,MATCH(ROWS($K$2:K686),$K$2:$K$1001,0),0), INDEX($R$1004:$W$1004,1,MATCH(COLUMNS($R$1006:V1006),$R$1006:$W$1006,0)))),"Fix")))</f>
        <v>0</v>
      </c>
      <c r="G686" s="3">
        <f>IF(OR(INDEX($L$2:$L$1001,MATCH(ROWS($K$2:K686),$K$2:$K$1001,0),1)&gt;=100000,INDEX($R$1005:$W$1005,1,MATCH(COLUMNS($R$1006:W1006),$R$1006:$W$1006,0))&gt;=100000), " ",IF(INDEX($R$2:$W$1001,MATCH(ROWS($K$2:K686),$K$2:$K$1001,0),MATCH(COLUMNS($R$1006:W1006),$R$1006:$W$1006,0)), HYPERLINK("#",""), HYPERLINK(CONCATENATE("#Metadata!", ADDRESS(INDEX($M$2:$M$1001,MATCH(ROWS($K$2:K686),$K$2:$K$1001,0),0), INDEX($R$1004:$W$1004,1,MATCH(COLUMNS($R$1006:W1006),$R$1006:$W$1006,0)))),"Fix")))</f>
        <v>0</v>
      </c>
      <c r="K686">
        <v>0</v>
      </c>
      <c r="L686">
        <v>0</v>
      </c>
      <c r="M686">
        <v>0</v>
      </c>
      <c r="N686">
        <f>IF(O686,TRUE,AND(R686:W686))</f>
        <v>0</v>
      </c>
      <c r="O686">
        <f>COUNTBLANK(Metadata!B686:G686)=COLUMNS(Metadata!B686:G686)</f>
        <v>0</v>
      </c>
      <c r="P686">
        <v>0</v>
      </c>
      <c r="R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S686">
        <f>IF(Metadata!C686="",FALSE,TRUE)</f>
        <v>0</v>
      </c>
      <c r="T686">
        <f>IF(Metadata!D686="",FALSE,TRUE)</f>
        <v>0</v>
      </c>
      <c r="U686">
        <f>IF(Metadata!E686="",FALSE,TRUE)</f>
        <v>0</v>
      </c>
      <c r="V686">
        <f>AND(IF(Metadata!F686="",FALSE,TRUE),exact(Metadata!F686,"rat gut metagenome"))</f>
        <v>0</v>
      </c>
      <c r="W686">
        <f>AND(IF(Metadata!G686="",FALSE,TRUE),exact(Metadata!G686,"1436733"))</f>
        <v>0</v>
      </c>
    </row>
    <row r="687" spans="1:23">
      <c r="A687" s="4">
        <f>IF(B687=" "," ",HYPERLINK(CONCATENATE("#metadata!",ADDRESS(INDEX($M$2:$M$1001,MATCH(ROWS($K$2:K687),$K$2:$K$1001,0),0),1)),INDEX($P$2:$P$1001,MATCH(ROWS($K$2:K687),$K$2:$K$1001,0),0)))</f>
        <v>0</v>
      </c>
      <c r="B687" s="3">
        <f>IF(OR(INDEX($L$2:$L$1001,MATCH(ROWS($K$2:K687),$K$2:$K$1001,0),1)&gt;=100000,INDEX($R$1005:$W$1005,1,MATCH(COLUMNS($R$1006:R1006),$R$1006:$W$1006,0))&gt;=100000), " ",IF(INDEX($R$2:$W$1001,MATCH(ROWS($K$2:K687),$K$2:$K$1001,0),MATCH(COLUMNS($R$1006:R1006),$R$1006:$W$1006,0)), HYPERLINK("#",""), HYPERLINK(CONCATENATE("#Metadata!", ADDRESS(INDEX($M$2:$M$1001,MATCH(ROWS($K$2:K687),$K$2:$K$1001,0),0), INDEX($R$1004:$W$1004,1,MATCH(COLUMNS($R$1006:R1006),$R$1006:$W$1006,0)))),"Fix")))</f>
        <v>0</v>
      </c>
      <c r="C687" s="3">
        <f>IF(OR(INDEX($L$2:$L$1001,MATCH(ROWS($K$2:K687),$K$2:$K$1001,0),1)&gt;=100000,INDEX($R$1005:$W$1005,1,MATCH(COLUMNS($R$1006:S1006),$R$1006:$W$1006,0))&gt;=100000), " ",IF(INDEX($R$2:$W$1001,MATCH(ROWS($K$2:K687),$K$2:$K$1001,0),MATCH(COLUMNS($R$1006:S1006),$R$1006:$W$1006,0)), HYPERLINK("#",""), HYPERLINK(CONCATENATE("#Metadata!", ADDRESS(INDEX($M$2:$M$1001,MATCH(ROWS($K$2:K687),$K$2:$K$1001,0),0), INDEX($R$1004:$W$1004,1,MATCH(COLUMNS($R$1006:S1006),$R$1006:$W$1006,0)))),"Fix")))</f>
        <v>0</v>
      </c>
      <c r="D687" s="3">
        <f>IF(OR(INDEX($L$2:$L$1001,MATCH(ROWS($K$2:K687),$K$2:$K$1001,0),1)&gt;=100000,INDEX($R$1005:$W$1005,1,MATCH(COLUMNS($R$1006:T1006),$R$1006:$W$1006,0))&gt;=100000), " ",IF(INDEX($R$2:$W$1001,MATCH(ROWS($K$2:K687),$K$2:$K$1001,0),MATCH(COLUMNS($R$1006:T1006),$R$1006:$W$1006,0)), HYPERLINK("#",""), HYPERLINK(CONCATENATE("#Metadata!", ADDRESS(INDEX($M$2:$M$1001,MATCH(ROWS($K$2:K687),$K$2:$K$1001,0),0), INDEX($R$1004:$W$1004,1,MATCH(COLUMNS($R$1006:T1006),$R$1006:$W$1006,0)))),"Fix")))</f>
        <v>0</v>
      </c>
      <c r="E687" s="3">
        <f>IF(OR(INDEX($L$2:$L$1001,MATCH(ROWS($K$2:K687),$K$2:$K$1001,0),1)&gt;=100000,INDEX($R$1005:$W$1005,1,MATCH(COLUMNS($R$1006:U1006),$R$1006:$W$1006,0))&gt;=100000), " ",IF(INDEX($R$2:$W$1001,MATCH(ROWS($K$2:K687),$K$2:$K$1001,0),MATCH(COLUMNS($R$1006:U1006),$R$1006:$W$1006,0)), HYPERLINK("#",""), HYPERLINK(CONCATENATE("#Metadata!", ADDRESS(INDEX($M$2:$M$1001,MATCH(ROWS($K$2:K687),$K$2:$K$1001,0),0), INDEX($R$1004:$W$1004,1,MATCH(COLUMNS($R$1006:U1006),$R$1006:$W$1006,0)))),"Fix")))</f>
        <v>0</v>
      </c>
      <c r="F687" s="3">
        <f>IF(OR(INDEX($L$2:$L$1001,MATCH(ROWS($K$2:K687),$K$2:$K$1001,0),1)&gt;=100000,INDEX($R$1005:$W$1005,1,MATCH(COLUMNS($R$1006:V1006),$R$1006:$W$1006,0))&gt;=100000), " ",IF(INDEX($R$2:$W$1001,MATCH(ROWS($K$2:K687),$K$2:$K$1001,0),MATCH(COLUMNS($R$1006:V1006),$R$1006:$W$1006,0)), HYPERLINK("#",""), HYPERLINK(CONCATENATE("#Metadata!", ADDRESS(INDEX($M$2:$M$1001,MATCH(ROWS($K$2:K687),$K$2:$K$1001,0),0), INDEX($R$1004:$W$1004,1,MATCH(COLUMNS($R$1006:V1006),$R$1006:$W$1006,0)))),"Fix")))</f>
        <v>0</v>
      </c>
      <c r="G687" s="3">
        <f>IF(OR(INDEX($L$2:$L$1001,MATCH(ROWS($K$2:K687),$K$2:$K$1001,0),1)&gt;=100000,INDEX($R$1005:$W$1005,1,MATCH(COLUMNS($R$1006:W1006),$R$1006:$W$1006,0))&gt;=100000), " ",IF(INDEX($R$2:$W$1001,MATCH(ROWS($K$2:K687),$K$2:$K$1001,0),MATCH(COLUMNS($R$1006:W1006),$R$1006:$W$1006,0)), HYPERLINK("#",""), HYPERLINK(CONCATENATE("#Metadata!", ADDRESS(INDEX($M$2:$M$1001,MATCH(ROWS($K$2:K687),$K$2:$K$1001,0),0), INDEX($R$1004:$W$1004,1,MATCH(COLUMNS($R$1006:W1006),$R$1006:$W$1006,0)))),"Fix")))</f>
        <v>0</v>
      </c>
      <c r="K687">
        <v>0</v>
      </c>
      <c r="L687">
        <v>0</v>
      </c>
      <c r="M687">
        <v>0</v>
      </c>
      <c r="N687">
        <f>IF(O687,TRUE,AND(R687:W687))</f>
        <v>0</v>
      </c>
      <c r="O687">
        <f>COUNTBLANK(Metadata!B687:G687)=COLUMNS(Metadata!B687:G687)</f>
        <v>0</v>
      </c>
      <c r="P687">
        <v>0</v>
      </c>
      <c r="R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S687">
        <f>IF(Metadata!C687="",FALSE,TRUE)</f>
        <v>0</v>
      </c>
      <c r="T687">
        <f>IF(Metadata!D687="",FALSE,TRUE)</f>
        <v>0</v>
      </c>
      <c r="U687">
        <f>IF(Metadata!E687="",FALSE,TRUE)</f>
        <v>0</v>
      </c>
      <c r="V687">
        <f>AND(IF(Metadata!F687="",FALSE,TRUE),exact(Metadata!F687,"rat gut metagenome"))</f>
        <v>0</v>
      </c>
      <c r="W687">
        <f>AND(IF(Metadata!G687="",FALSE,TRUE),exact(Metadata!G687,"1436733"))</f>
        <v>0</v>
      </c>
    </row>
    <row r="688" spans="1:23">
      <c r="A688" s="4">
        <f>IF(B688=" "," ",HYPERLINK(CONCATENATE("#metadata!",ADDRESS(INDEX($M$2:$M$1001,MATCH(ROWS($K$2:K688),$K$2:$K$1001,0),0),1)),INDEX($P$2:$P$1001,MATCH(ROWS($K$2:K688),$K$2:$K$1001,0),0)))</f>
        <v>0</v>
      </c>
      <c r="B688" s="3">
        <f>IF(OR(INDEX($L$2:$L$1001,MATCH(ROWS($K$2:K688),$K$2:$K$1001,0),1)&gt;=100000,INDEX($R$1005:$W$1005,1,MATCH(COLUMNS($R$1006:R1006),$R$1006:$W$1006,0))&gt;=100000), " ",IF(INDEX($R$2:$W$1001,MATCH(ROWS($K$2:K688),$K$2:$K$1001,0),MATCH(COLUMNS($R$1006:R1006),$R$1006:$W$1006,0)), HYPERLINK("#",""), HYPERLINK(CONCATENATE("#Metadata!", ADDRESS(INDEX($M$2:$M$1001,MATCH(ROWS($K$2:K688),$K$2:$K$1001,0),0), INDEX($R$1004:$W$1004,1,MATCH(COLUMNS($R$1006:R1006),$R$1006:$W$1006,0)))),"Fix")))</f>
        <v>0</v>
      </c>
      <c r="C688" s="3">
        <f>IF(OR(INDEX($L$2:$L$1001,MATCH(ROWS($K$2:K688),$K$2:$K$1001,0),1)&gt;=100000,INDEX($R$1005:$W$1005,1,MATCH(COLUMNS($R$1006:S1006),$R$1006:$W$1006,0))&gt;=100000), " ",IF(INDEX($R$2:$W$1001,MATCH(ROWS($K$2:K688),$K$2:$K$1001,0),MATCH(COLUMNS($R$1006:S1006),$R$1006:$W$1006,0)), HYPERLINK("#",""), HYPERLINK(CONCATENATE("#Metadata!", ADDRESS(INDEX($M$2:$M$1001,MATCH(ROWS($K$2:K688),$K$2:$K$1001,0),0), INDEX($R$1004:$W$1004,1,MATCH(COLUMNS($R$1006:S1006),$R$1006:$W$1006,0)))),"Fix")))</f>
        <v>0</v>
      </c>
      <c r="D688" s="3">
        <f>IF(OR(INDEX($L$2:$L$1001,MATCH(ROWS($K$2:K688),$K$2:$K$1001,0),1)&gt;=100000,INDEX($R$1005:$W$1005,1,MATCH(COLUMNS($R$1006:T1006),$R$1006:$W$1006,0))&gt;=100000), " ",IF(INDEX($R$2:$W$1001,MATCH(ROWS($K$2:K688),$K$2:$K$1001,0),MATCH(COLUMNS($R$1006:T1006),$R$1006:$W$1006,0)), HYPERLINK("#",""), HYPERLINK(CONCATENATE("#Metadata!", ADDRESS(INDEX($M$2:$M$1001,MATCH(ROWS($K$2:K688),$K$2:$K$1001,0),0), INDEX($R$1004:$W$1004,1,MATCH(COLUMNS($R$1006:T1006),$R$1006:$W$1006,0)))),"Fix")))</f>
        <v>0</v>
      </c>
      <c r="E688" s="3">
        <f>IF(OR(INDEX($L$2:$L$1001,MATCH(ROWS($K$2:K688),$K$2:$K$1001,0),1)&gt;=100000,INDEX($R$1005:$W$1005,1,MATCH(COLUMNS($R$1006:U1006),$R$1006:$W$1006,0))&gt;=100000), " ",IF(INDEX($R$2:$W$1001,MATCH(ROWS($K$2:K688),$K$2:$K$1001,0),MATCH(COLUMNS($R$1006:U1006),$R$1006:$W$1006,0)), HYPERLINK("#",""), HYPERLINK(CONCATENATE("#Metadata!", ADDRESS(INDEX($M$2:$M$1001,MATCH(ROWS($K$2:K688),$K$2:$K$1001,0),0), INDEX($R$1004:$W$1004,1,MATCH(COLUMNS($R$1006:U1006),$R$1006:$W$1006,0)))),"Fix")))</f>
        <v>0</v>
      </c>
      <c r="F688" s="3">
        <f>IF(OR(INDEX($L$2:$L$1001,MATCH(ROWS($K$2:K688),$K$2:$K$1001,0),1)&gt;=100000,INDEX($R$1005:$W$1005,1,MATCH(COLUMNS($R$1006:V1006),$R$1006:$W$1006,0))&gt;=100000), " ",IF(INDEX($R$2:$W$1001,MATCH(ROWS($K$2:K688),$K$2:$K$1001,0),MATCH(COLUMNS($R$1006:V1006),$R$1006:$W$1006,0)), HYPERLINK("#",""), HYPERLINK(CONCATENATE("#Metadata!", ADDRESS(INDEX($M$2:$M$1001,MATCH(ROWS($K$2:K688),$K$2:$K$1001,0),0), INDEX($R$1004:$W$1004,1,MATCH(COLUMNS($R$1006:V1006),$R$1006:$W$1006,0)))),"Fix")))</f>
        <v>0</v>
      </c>
      <c r="G688" s="3">
        <f>IF(OR(INDEX($L$2:$L$1001,MATCH(ROWS($K$2:K688),$K$2:$K$1001,0),1)&gt;=100000,INDEX($R$1005:$W$1005,1,MATCH(COLUMNS($R$1006:W1006),$R$1006:$W$1006,0))&gt;=100000), " ",IF(INDEX($R$2:$W$1001,MATCH(ROWS($K$2:K688),$K$2:$K$1001,0),MATCH(COLUMNS($R$1006:W1006),$R$1006:$W$1006,0)), HYPERLINK("#",""), HYPERLINK(CONCATENATE("#Metadata!", ADDRESS(INDEX($M$2:$M$1001,MATCH(ROWS($K$2:K688),$K$2:$K$1001,0),0), INDEX($R$1004:$W$1004,1,MATCH(COLUMNS($R$1006:W1006),$R$1006:$W$1006,0)))),"Fix")))</f>
        <v>0</v>
      </c>
      <c r="K688">
        <v>0</v>
      </c>
      <c r="L688">
        <v>0</v>
      </c>
      <c r="M688">
        <v>0</v>
      </c>
      <c r="N688">
        <f>IF(O688,TRUE,AND(R688:W688))</f>
        <v>0</v>
      </c>
      <c r="O688">
        <f>COUNTBLANK(Metadata!B688:G688)=COLUMNS(Metadata!B688:G688)</f>
        <v>0</v>
      </c>
      <c r="P688">
        <v>0</v>
      </c>
      <c r="R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S688">
        <f>IF(Metadata!C688="",FALSE,TRUE)</f>
        <v>0</v>
      </c>
      <c r="T688">
        <f>IF(Metadata!D688="",FALSE,TRUE)</f>
        <v>0</v>
      </c>
      <c r="U688">
        <f>IF(Metadata!E688="",FALSE,TRUE)</f>
        <v>0</v>
      </c>
      <c r="V688">
        <f>AND(IF(Metadata!F688="",FALSE,TRUE),exact(Metadata!F688,"rat gut metagenome"))</f>
        <v>0</v>
      </c>
      <c r="W688">
        <f>AND(IF(Metadata!G688="",FALSE,TRUE),exact(Metadata!G688,"1436733"))</f>
        <v>0</v>
      </c>
    </row>
    <row r="689" spans="1:23">
      <c r="A689" s="4">
        <f>IF(B689=" "," ",HYPERLINK(CONCATENATE("#metadata!",ADDRESS(INDEX($M$2:$M$1001,MATCH(ROWS($K$2:K689),$K$2:$K$1001,0),0),1)),INDEX($P$2:$P$1001,MATCH(ROWS($K$2:K689),$K$2:$K$1001,0),0)))</f>
        <v>0</v>
      </c>
      <c r="B689" s="3">
        <f>IF(OR(INDEX($L$2:$L$1001,MATCH(ROWS($K$2:K689),$K$2:$K$1001,0),1)&gt;=100000,INDEX($R$1005:$W$1005,1,MATCH(COLUMNS($R$1006:R1006),$R$1006:$W$1006,0))&gt;=100000), " ",IF(INDEX($R$2:$W$1001,MATCH(ROWS($K$2:K689),$K$2:$K$1001,0),MATCH(COLUMNS($R$1006:R1006),$R$1006:$W$1006,0)), HYPERLINK("#",""), HYPERLINK(CONCATENATE("#Metadata!", ADDRESS(INDEX($M$2:$M$1001,MATCH(ROWS($K$2:K689),$K$2:$K$1001,0),0), INDEX($R$1004:$W$1004,1,MATCH(COLUMNS($R$1006:R1006),$R$1006:$W$1006,0)))),"Fix")))</f>
        <v>0</v>
      </c>
      <c r="C689" s="3">
        <f>IF(OR(INDEX($L$2:$L$1001,MATCH(ROWS($K$2:K689),$K$2:$K$1001,0),1)&gt;=100000,INDEX($R$1005:$W$1005,1,MATCH(COLUMNS($R$1006:S1006),$R$1006:$W$1006,0))&gt;=100000), " ",IF(INDEX($R$2:$W$1001,MATCH(ROWS($K$2:K689),$K$2:$K$1001,0),MATCH(COLUMNS($R$1006:S1006),$R$1006:$W$1006,0)), HYPERLINK("#",""), HYPERLINK(CONCATENATE("#Metadata!", ADDRESS(INDEX($M$2:$M$1001,MATCH(ROWS($K$2:K689),$K$2:$K$1001,0),0), INDEX($R$1004:$W$1004,1,MATCH(COLUMNS($R$1006:S1006),$R$1006:$W$1006,0)))),"Fix")))</f>
        <v>0</v>
      </c>
      <c r="D689" s="3">
        <f>IF(OR(INDEX($L$2:$L$1001,MATCH(ROWS($K$2:K689),$K$2:$K$1001,0),1)&gt;=100000,INDEX($R$1005:$W$1005,1,MATCH(COLUMNS($R$1006:T1006),$R$1006:$W$1006,0))&gt;=100000), " ",IF(INDEX($R$2:$W$1001,MATCH(ROWS($K$2:K689),$K$2:$K$1001,0),MATCH(COLUMNS($R$1006:T1006),$R$1006:$W$1006,0)), HYPERLINK("#",""), HYPERLINK(CONCATENATE("#Metadata!", ADDRESS(INDEX($M$2:$M$1001,MATCH(ROWS($K$2:K689),$K$2:$K$1001,0),0), INDEX($R$1004:$W$1004,1,MATCH(COLUMNS($R$1006:T1006),$R$1006:$W$1006,0)))),"Fix")))</f>
        <v>0</v>
      </c>
      <c r="E689" s="3">
        <f>IF(OR(INDEX($L$2:$L$1001,MATCH(ROWS($K$2:K689),$K$2:$K$1001,0),1)&gt;=100000,INDEX($R$1005:$W$1005,1,MATCH(COLUMNS($R$1006:U1006),$R$1006:$W$1006,0))&gt;=100000), " ",IF(INDEX($R$2:$W$1001,MATCH(ROWS($K$2:K689),$K$2:$K$1001,0),MATCH(COLUMNS($R$1006:U1006),$R$1006:$W$1006,0)), HYPERLINK("#",""), HYPERLINK(CONCATENATE("#Metadata!", ADDRESS(INDEX($M$2:$M$1001,MATCH(ROWS($K$2:K689),$K$2:$K$1001,0),0), INDEX($R$1004:$W$1004,1,MATCH(COLUMNS($R$1006:U1006),$R$1006:$W$1006,0)))),"Fix")))</f>
        <v>0</v>
      </c>
      <c r="F689" s="3">
        <f>IF(OR(INDEX($L$2:$L$1001,MATCH(ROWS($K$2:K689),$K$2:$K$1001,0),1)&gt;=100000,INDEX($R$1005:$W$1005,1,MATCH(COLUMNS($R$1006:V1006),$R$1006:$W$1006,0))&gt;=100000), " ",IF(INDEX($R$2:$W$1001,MATCH(ROWS($K$2:K689),$K$2:$K$1001,0),MATCH(COLUMNS($R$1006:V1006),$R$1006:$W$1006,0)), HYPERLINK("#",""), HYPERLINK(CONCATENATE("#Metadata!", ADDRESS(INDEX($M$2:$M$1001,MATCH(ROWS($K$2:K689),$K$2:$K$1001,0),0), INDEX($R$1004:$W$1004,1,MATCH(COLUMNS($R$1006:V1006),$R$1006:$W$1006,0)))),"Fix")))</f>
        <v>0</v>
      </c>
      <c r="G689" s="3">
        <f>IF(OR(INDEX($L$2:$L$1001,MATCH(ROWS($K$2:K689),$K$2:$K$1001,0),1)&gt;=100000,INDEX($R$1005:$W$1005,1,MATCH(COLUMNS($R$1006:W1006),$R$1006:$W$1006,0))&gt;=100000), " ",IF(INDEX($R$2:$W$1001,MATCH(ROWS($K$2:K689),$K$2:$K$1001,0),MATCH(COLUMNS($R$1006:W1006),$R$1006:$W$1006,0)), HYPERLINK("#",""), HYPERLINK(CONCATENATE("#Metadata!", ADDRESS(INDEX($M$2:$M$1001,MATCH(ROWS($K$2:K689),$K$2:$K$1001,0),0), INDEX($R$1004:$W$1004,1,MATCH(COLUMNS($R$1006:W1006),$R$1006:$W$1006,0)))),"Fix")))</f>
        <v>0</v>
      </c>
      <c r="K689">
        <v>0</v>
      </c>
      <c r="L689">
        <v>0</v>
      </c>
      <c r="M689">
        <v>0</v>
      </c>
      <c r="N689">
        <f>IF(O689,TRUE,AND(R689:W689))</f>
        <v>0</v>
      </c>
      <c r="O689">
        <f>COUNTBLANK(Metadata!B689:G689)=COLUMNS(Metadata!B689:G689)</f>
        <v>0</v>
      </c>
      <c r="P689">
        <v>0</v>
      </c>
      <c r="R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S689">
        <f>IF(Metadata!C689="",FALSE,TRUE)</f>
        <v>0</v>
      </c>
      <c r="T689">
        <f>IF(Metadata!D689="",FALSE,TRUE)</f>
        <v>0</v>
      </c>
      <c r="U689">
        <f>IF(Metadata!E689="",FALSE,TRUE)</f>
        <v>0</v>
      </c>
      <c r="V689">
        <f>AND(IF(Metadata!F689="",FALSE,TRUE),exact(Metadata!F689,"rat gut metagenome"))</f>
        <v>0</v>
      </c>
      <c r="W689">
        <f>AND(IF(Metadata!G689="",FALSE,TRUE),exact(Metadata!G689,"1436733"))</f>
        <v>0</v>
      </c>
    </row>
    <row r="690" spans="1:23">
      <c r="A690" s="4">
        <f>IF(B690=" "," ",HYPERLINK(CONCATENATE("#metadata!",ADDRESS(INDEX($M$2:$M$1001,MATCH(ROWS($K$2:K690),$K$2:$K$1001,0),0),1)),INDEX($P$2:$P$1001,MATCH(ROWS($K$2:K690),$K$2:$K$1001,0),0)))</f>
        <v>0</v>
      </c>
      <c r="B690" s="3">
        <f>IF(OR(INDEX($L$2:$L$1001,MATCH(ROWS($K$2:K690),$K$2:$K$1001,0),1)&gt;=100000,INDEX($R$1005:$W$1005,1,MATCH(COLUMNS($R$1006:R1006),$R$1006:$W$1006,0))&gt;=100000), " ",IF(INDEX($R$2:$W$1001,MATCH(ROWS($K$2:K690),$K$2:$K$1001,0),MATCH(COLUMNS($R$1006:R1006),$R$1006:$W$1006,0)), HYPERLINK("#",""), HYPERLINK(CONCATENATE("#Metadata!", ADDRESS(INDEX($M$2:$M$1001,MATCH(ROWS($K$2:K690),$K$2:$K$1001,0),0), INDEX($R$1004:$W$1004,1,MATCH(COLUMNS($R$1006:R1006),$R$1006:$W$1006,0)))),"Fix")))</f>
        <v>0</v>
      </c>
      <c r="C690" s="3">
        <f>IF(OR(INDEX($L$2:$L$1001,MATCH(ROWS($K$2:K690),$K$2:$K$1001,0),1)&gt;=100000,INDEX($R$1005:$W$1005,1,MATCH(COLUMNS($R$1006:S1006),$R$1006:$W$1006,0))&gt;=100000), " ",IF(INDEX($R$2:$W$1001,MATCH(ROWS($K$2:K690),$K$2:$K$1001,0),MATCH(COLUMNS($R$1006:S1006),$R$1006:$W$1006,0)), HYPERLINK("#",""), HYPERLINK(CONCATENATE("#Metadata!", ADDRESS(INDEX($M$2:$M$1001,MATCH(ROWS($K$2:K690),$K$2:$K$1001,0),0), INDEX($R$1004:$W$1004,1,MATCH(COLUMNS($R$1006:S1006),$R$1006:$W$1006,0)))),"Fix")))</f>
        <v>0</v>
      </c>
      <c r="D690" s="3">
        <f>IF(OR(INDEX($L$2:$L$1001,MATCH(ROWS($K$2:K690),$K$2:$K$1001,0),1)&gt;=100000,INDEX($R$1005:$W$1005,1,MATCH(COLUMNS($R$1006:T1006),$R$1006:$W$1006,0))&gt;=100000), " ",IF(INDEX($R$2:$W$1001,MATCH(ROWS($K$2:K690),$K$2:$K$1001,0),MATCH(COLUMNS($R$1006:T1006),$R$1006:$W$1006,0)), HYPERLINK("#",""), HYPERLINK(CONCATENATE("#Metadata!", ADDRESS(INDEX($M$2:$M$1001,MATCH(ROWS($K$2:K690),$K$2:$K$1001,0),0), INDEX($R$1004:$W$1004,1,MATCH(COLUMNS($R$1006:T1006),$R$1006:$W$1006,0)))),"Fix")))</f>
        <v>0</v>
      </c>
      <c r="E690" s="3">
        <f>IF(OR(INDEX($L$2:$L$1001,MATCH(ROWS($K$2:K690),$K$2:$K$1001,0),1)&gt;=100000,INDEX($R$1005:$W$1005,1,MATCH(COLUMNS($R$1006:U1006),$R$1006:$W$1006,0))&gt;=100000), " ",IF(INDEX($R$2:$W$1001,MATCH(ROWS($K$2:K690),$K$2:$K$1001,0),MATCH(COLUMNS($R$1006:U1006),$R$1006:$W$1006,0)), HYPERLINK("#",""), HYPERLINK(CONCATENATE("#Metadata!", ADDRESS(INDEX($M$2:$M$1001,MATCH(ROWS($K$2:K690),$K$2:$K$1001,0),0), INDEX($R$1004:$W$1004,1,MATCH(COLUMNS($R$1006:U1006),$R$1006:$W$1006,0)))),"Fix")))</f>
        <v>0</v>
      </c>
      <c r="F690" s="3">
        <f>IF(OR(INDEX($L$2:$L$1001,MATCH(ROWS($K$2:K690),$K$2:$K$1001,0),1)&gt;=100000,INDEX($R$1005:$W$1005,1,MATCH(COLUMNS($R$1006:V1006),$R$1006:$W$1006,0))&gt;=100000), " ",IF(INDEX($R$2:$W$1001,MATCH(ROWS($K$2:K690),$K$2:$K$1001,0),MATCH(COLUMNS($R$1006:V1006),$R$1006:$W$1006,0)), HYPERLINK("#",""), HYPERLINK(CONCATENATE("#Metadata!", ADDRESS(INDEX($M$2:$M$1001,MATCH(ROWS($K$2:K690),$K$2:$K$1001,0),0), INDEX($R$1004:$W$1004,1,MATCH(COLUMNS($R$1006:V1006),$R$1006:$W$1006,0)))),"Fix")))</f>
        <v>0</v>
      </c>
      <c r="G690" s="3">
        <f>IF(OR(INDEX($L$2:$L$1001,MATCH(ROWS($K$2:K690),$K$2:$K$1001,0),1)&gt;=100000,INDEX($R$1005:$W$1005,1,MATCH(COLUMNS($R$1006:W1006),$R$1006:$W$1006,0))&gt;=100000), " ",IF(INDEX($R$2:$W$1001,MATCH(ROWS($K$2:K690),$K$2:$K$1001,0),MATCH(COLUMNS($R$1006:W1006),$R$1006:$W$1006,0)), HYPERLINK("#",""), HYPERLINK(CONCATENATE("#Metadata!", ADDRESS(INDEX($M$2:$M$1001,MATCH(ROWS($K$2:K690),$K$2:$K$1001,0),0), INDEX($R$1004:$W$1004,1,MATCH(COLUMNS($R$1006:W1006),$R$1006:$W$1006,0)))),"Fix")))</f>
        <v>0</v>
      </c>
      <c r="K690">
        <v>0</v>
      </c>
      <c r="L690">
        <v>0</v>
      </c>
      <c r="M690">
        <v>0</v>
      </c>
      <c r="N690">
        <f>IF(O690,TRUE,AND(R690:W690))</f>
        <v>0</v>
      </c>
      <c r="O690">
        <f>COUNTBLANK(Metadata!B690:G690)=COLUMNS(Metadata!B690:G690)</f>
        <v>0</v>
      </c>
      <c r="P690">
        <v>0</v>
      </c>
      <c r="R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S690">
        <f>IF(Metadata!C690="",FALSE,TRUE)</f>
        <v>0</v>
      </c>
      <c r="T690">
        <f>IF(Metadata!D690="",FALSE,TRUE)</f>
        <v>0</v>
      </c>
      <c r="U690">
        <f>IF(Metadata!E690="",FALSE,TRUE)</f>
        <v>0</v>
      </c>
      <c r="V690">
        <f>AND(IF(Metadata!F690="",FALSE,TRUE),exact(Metadata!F690,"rat gut metagenome"))</f>
        <v>0</v>
      </c>
      <c r="W690">
        <f>AND(IF(Metadata!G690="",FALSE,TRUE),exact(Metadata!G690,"1436733"))</f>
        <v>0</v>
      </c>
    </row>
    <row r="691" spans="1:23">
      <c r="A691" s="4">
        <f>IF(B691=" "," ",HYPERLINK(CONCATENATE("#metadata!",ADDRESS(INDEX($M$2:$M$1001,MATCH(ROWS($K$2:K691),$K$2:$K$1001,0),0),1)),INDEX($P$2:$P$1001,MATCH(ROWS($K$2:K691),$K$2:$K$1001,0),0)))</f>
        <v>0</v>
      </c>
      <c r="B691" s="3">
        <f>IF(OR(INDEX($L$2:$L$1001,MATCH(ROWS($K$2:K691),$K$2:$K$1001,0),1)&gt;=100000,INDEX($R$1005:$W$1005,1,MATCH(COLUMNS($R$1006:R1006),$R$1006:$W$1006,0))&gt;=100000), " ",IF(INDEX($R$2:$W$1001,MATCH(ROWS($K$2:K691),$K$2:$K$1001,0),MATCH(COLUMNS($R$1006:R1006),$R$1006:$W$1006,0)), HYPERLINK("#",""), HYPERLINK(CONCATENATE("#Metadata!", ADDRESS(INDEX($M$2:$M$1001,MATCH(ROWS($K$2:K691),$K$2:$K$1001,0),0), INDEX($R$1004:$W$1004,1,MATCH(COLUMNS($R$1006:R1006),$R$1006:$W$1006,0)))),"Fix")))</f>
        <v>0</v>
      </c>
      <c r="C691" s="3">
        <f>IF(OR(INDEX($L$2:$L$1001,MATCH(ROWS($K$2:K691),$K$2:$K$1001,0),1)&gt;=100000,INDEX($R$1005:$W$1005,1,MATCH(COLUMNS($R$1006:S1006),$R$1006:$W$1006,0))&gt;=100000), " ",IF(INDEX($R$2:$W$1001,MATCH(ROWS($K$2:K691),$K$2:$K$1001,0),MATCH(COLUMNS($R$1006:S1006),$R$1006:$W$1006,0)), HYPERLINK("#",""), HYPERLINK(CONCATENATE("#Metadata!", ADDRESS(INDEX($M$2:$M$1001,MATCH(ROWS($K$2:K691),$K$2:$K$1001,0),0), INDEX($R$1004:$W$1004,1,MATCH(COLUMNS($R$1006:S1006),$R$1006:$W$1006,0)))),"Fix")))</f>
        <v>0</v>
      </c>
      <c r="D691" s="3">
        <f>IF(OR(INDEX($L$2:$L$1001,MATCH(ROWS($K$2:K691),$K$2:$K$1001,0),1)&gt;=100000,INDEX($R$1005:$W$1005,1,MATCH(COLUMNS($R$1006:T1006),$R$1006:$W$1006,0))&gt;=100000), " ",IF(INDEX($R$2:$W$1001,MATCH(ROWS($K$2:K691),$K$2:$K$1001,0),MATCH(COLUMNS($R$1006:T1006),$R$1006:$W$1006,0)), HYPERLINK("#",""), HYPERLINK(CONCATENATE("#Metadata!", ADDRESS(INDEX($M$2:$M$1001,MATCH(ROWS($K$2:K691),$K$2:$K$1001,0),0), INDEX($R$1004:$W$1004,1,MATCH(COLUMNS($R$1006:T1006),$R$1006:$W$1006,0)))),"Fix")))</f>
        <v>0</v>
      </c>
      <c r="E691" s="3">
        <f>IF(OR(INDEX($L$2:$L$1001,MATCH(ROWS($K$2:K691),$K$2:$K$1001,0),1)&gt;=100000,INDEX($R$1005:$W$1005,1,MATCH(COLUMNS($R$1006:U1006),$R$1006:$W$1006,0))&gt;=100000), " ",IF(INDEX($R$2:$W$1001,MATCH(ROWS($K$2:K691),$K$2:$K$1001,0),MATCH(COLUMNS($R$1006:U1006),$R$1006:$W$1006,0)), HYPERLINK("#",""), HYPERLINK(CONCATENATE("#Metadata!", ADDRESS(INDEX($M$2:$M$1001,MATCH(ROWS($K$2:K691),$K$2:$K$1001,0),0), INDEX($R$1004:$W$1004,1,MATCH(COLUMNS($R$1006:U1006),$R$1006:$W$1006,0)))),"Fix")))</f>
        <v>0</v>
      </c>
      <c r="F691" s="3">
        <f>IF(OR(INDEX($L$2:$L$1001,MATCH(ROWS($K$2:K691),$K$2:$K$1001,0),1)&gt;=100000,INDEX($R$1005:$W$1005,1,MATCH(COLUMNS($R$1006:V1006),$R$1006:$W$1006,0))&gt;=100000), " ",IF(INDEX($R$2:$W$1001,MATCH(ROWS($K$2:K691),$K$2:$K$1001,0),MATCH(COLUMNS($R$1006:V1006),$R$1006:$W$1006,0)), HYPERLINK("#",""), HYPERLINK(CONCATENATE("#Metadata!", ADDRESS(INDEX($M$2:$M$1001,MATCH(ROWS($K$2:K691),$K$2:$K$1001,0),0), INDEX($R$1004:$W$1004,1,MATCH(COLUMNS($R$1006:V1006),$R$1006:$W$1006,0)))),"Fix")))</f>
        <v>0</v>
      </c>
      <c r="G691" s="3">
        <f>IF(OR(INDEX($L$2:$L$1001,MATCH(ROWS($K$2:K691),$K$2:$K$1001,0),1)&gt;=100000,INDEX($R$1005:$W$1005,1,MATCH(COLUMNS($R$1006:W1006),$R$1006:$W$1006,0))&gt;=100000), " ",IF(INDEX($R$2:$W$1001,MATCH(ROWS($K$2:K691),$K$2:$K$1001,0),MATCH(COLUMNS($R$1006:W1006),$R$1006:$W$1006,0)), HYPERLINK("#",""), HYPERLINK(CONCATENATE("#Metadata!", ADDRESS(INDEX($M$2:$M$1001,MATCH(ROWS($K$2:K691),$K$2:$K$1001,0),0), INDEX($R$1004:$W$1004,1,MATCH(COLUMNS($R$1006:W1006),$R$1006:$W$1006,0)))),"Fix")))</f>
        <v>0</v>
      </c>
      <c r="K691">
        <v>0</v>
      </c>
      <c r="L691">
        <v>0</v>
      </c>
      <c r="M691">
        <v>0</v>
      </c>
      <c r="N691">
        <f>IF(O691,TRUE,AND(R691:W691))</f>
        <v>0</v>
      </c>
      <c r="O691">
        <f>COUNTBLANK(Metadata!B691:G691)=COLUMNS(Metadata!B691:G691)</f>
        <v>0</v>
      </c>
      <c r="P691">
        <v>0</v>
      </c>
      <c r="R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S691">
        <f>IF(Metadata!C691="",FALSE,TRUE)</f>
        <v>0</v>
      </c>
      <c r="T691">
        <f>IF(Metadata!D691="",FALSE,TRUE)</f>
        <v>0</v>
      </c>
      <c r="U691">
        <f>IF(Metadata!E691="",FALSE,TRUE)</f>
        <v>0</v>
      </c>
      <c r="V691">
        <f>AND(IF(Metadata!F691="",FALSE,TRUE),exact(Metadata!F691,"rat gut metagenome"))</f>
        <v>0</v>
      </c>
      <c r="W691">
        <f>AND(IF(Metadata!G691="",FALSE,TRUE),exact(Metadata!G691,"1436733"))</f>
        <v>0</v>
      </c>
    </row>
    <row r="692" spans="1:23">
      <c r="A692" s="4">
        <f>IF(B692=" "," ",HYPERLINK(CONCATENATE("#metadata!",ADDRESS(INDEX($M$2:$M$1001,MATCH(ROWS($K$2:K692),$K$2:$K$1001,0),0),1)),INDEX($P$2:$P$1001,MATCH(ROWS($K$2:K692),$K$2:$K$1001,0),0)))</f>
        <v>0</v>
      </c>
      <c r="B692" s="3">
        <f>IF(OR(INDEX($L$2:$L$1001,MATCH(ROWS($K$2:K692),$K$2:$K$1001,0),1)&gt;=100000,INDEX($R$1005:$W$1005,1,MATCH(COLUMNS($R$1006:R1006),$R$1006:$W$1006,0))&gt;=100000), " ",IF(INDEX($R$2:$W$1001,MATCH(ROWS($K$2:K692),$K$2:$K$1001,0),MATCH(COLUMNS($R$1006:R1006),$R$1006:$W$1006,0)), HYPERLINK("#",""), HYPERLINK(CONCATENATE("#Metadata!", ADDRESS(INDEX($M$2:$M$1001,MATCH(ROWS($K$2:K692),$K$2:$K$1001,0),0), INDEX($R$1004:$W$1004,1,MATCH(COLUMNS($R$1006:R1006),$R$1006:$W$1006,0)))),"Fix")))</f>
        <v>0</v>
      </c>
      <c r="C692" s="3">
        <f>IF(OR(INDEX($L$2:$L$1001,MATCH(ROWS($K$2:K692),$K$2:$K$1001,0),1)&gt;=100000,INDEX($R$1005:$W$1005,1,MATCH(COLUMNS($R$1006:S1006),$R$1006:$W$1006,0))&gt;=100000), " ",IF(INDEX($R$2:$W$1001,MATCH(ROWS($K$2:K692),$K$2:$K$1001,0),MATCH(COLUMNS($R$1006:S1006),$R$1006:$W$1006,0)), HYPERLINK("#",""), HYPERLINK(CONCATENATE("#Metadata!", ADDRESS(INDEX($M$2:$M$1001,MATCH(ROWS($K$2:K692),$K$2:$K$1001,0),0), INDEX($R$1004:$W$1004,1,MATCH(COLUMNS($R$1006:S1006),$R$1006:$W$1006,0)))),"Fix")))</f>
        <v>0</v>
      </c>
      <c r="D692" s="3">
        <f>IF(OR(INDEX($L$2:$L$1001,MATCH(ROWS($K$2:K692),$K$2:$K$1001,0),1)&gt;=100000,INDEX($R$1005:$W$1005,1,MATCH(COLUMNS($R$1006:T1006),$R$1006:$W$1006,0))&gt;=100000), " ",IF(INDEX($R$2:$W$1001,MATCH(ROWS($K$2:K692),$K$2:$K$1001,0),MATCH(COLUMNS($R$1006:T1006),$R$1006:$W$1006,0)), HYPERLINK("#",""), HYPERLINK(CONCATENATE("#Metadata!", ADDRESS(INDEX($M$2:$M$1001,MATCH(ROWS($K$2:K692),$K$2:$K$1001,0),0), INDEX($R$1004:$W$1004,1,MATCH(COLUMNS($R$1006:T1006),$R$1006:$W$1006,0)))),"Fix")))</f>
        <v>0</v>
      </c>
      <c r="E692" s="3">
        <f>IF(OR(INDEX($L$2:$L$1001,MATCH(ROWS($K$2:K692),$K$2:$K$1001,0),1)&gt;=100000,INDEX($R$1005:$W$1005,1,MATCH(COLUMNS($R$1006:U1006),$R$1006:$W$1006,0))&gt;=100000), " ",IF(INDEX($R$2:$W$1001,MATCH(ROWS($K$2:K692),$K$2:$K$1001,0),MATCH(COLUMNS($R$1006:U1006),$R$1006:$W$1006,0)), HYPERLINK("#",""), HYPERLINK(CONCATENATE("#Metadata!", ADDRESS(INDEX($M$2:$M$1001,MATCH(ROWS($K$2:K692),$K$2:$K$1001,0),0), INDEX($R$1004:$W$1004,1,MATCH(COLUMNS($R$1006:U1006),$R$1006:$W$1006,0)))),"Fix")))</f>
        <v>0</v>
      </c>
      <c r="F692" s="3">
        <f>IF(OR(INDEX($L$2:$L$1001,MATCH(ROWS($K$2:K692),$K$2:$K$1001,0),1)&gt;=100000,INDEX($R$1005:$W$1005,1,MATCH(COLUMNS($R$1006:V1006),$R$1006:$W$1006,0))&gt;=100000), " ",IF(INDEX($R$2:$W$1001,MATCH(ROWS($K$2:K692),$K$2:$K$1001,0),MATCH(COLUMNS($R$1006:V1006),$R$1006:$W$1006,0)), HYPERLINK("#",""), HYPERLINK(CONCATENATE("#Metadata!", ADDRESS(INDEX($M$2:$M$1001,MATCH(ROWS($K$2:K692),$K$2:$K$1001,0),0), INDEX($R$1004:$W$1004,1,MATCH(COLUMNS($R$1006:V1006),$R$1006:$W$1006,0)))),"Fix")))</f>
        <v>0</v>
      </c>
      <c r="G692" s="3">
        <f>IF(OR(INDEX($L$2:$L$1001,MATCH(ROWS($K$2:K692),$K$2:$K$1001,0),1)&gt;=100000,INDEX($R$1005:$W$1005,1,MATCH(COLUMNS($R$1006:W1006),$R$1006:$W$1006,0))&gt;=100000), " ",IF(INDEX($R$2:$W$1001,MATCH(ROWS($K$2:K692),$K$2:$K$1001,0),MATCH(COLUMNS($R$1006:W1006),$R$1006:$W$1006,0)), HYPERLINK("#",""), HYPERLINK(CONCATENATE("#Metadata!", ADDRESS(INDEX($M$2:$M$1001,MATCH(ROWS($K$2:K692),$K$2:$K$1001,0),0), INDEX($R$1004:$W$1004,1,MATCH(COLUMNS($R$1006:W1006),$R$1006:$W$1006,0)))),"Fix")))</f>
        <v>0</v>
      </c>
      <c r="K692">
        <v>0</v>
      </c>
      <c r="L692">
        <v>0</v>
      </c>
      <c r="M692">
        <v>0</v>
      </c>
      <c r="N692">
        <f>IF(O692,TRUE,AND(R692:W692))</f>
        <v>0</v>
      </c>
      <c r="O692">
        <f>COUNTBLANK(Metadata!B692:G692)=COLUMNS(Metadata!B692:G692)</f>
        <v>0</v>
      </c>
      <c r="P692">
        <v>0</v>
      </c>
      <c r="R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S692">
        <f>IF(Metadata!C692="",FALSE,TRUE)</f>
        <v>0</v>
      </c>
      <c r="T692">
        <f>IF(Metadata!D692="",FALSE,TRUE)</f>
        <v>0</v>
      </c>
      <c r="U692">
        <f>IF(Metadata!E692="",FALSE,TRUE)</f>
        <v>0</v>
      </c>
      <c r="V692">
        <f>AND(IF(Metadata!F692="",FALSE,TRUE),exact(Metadata!F692,"rat gut metagenome"))</f>
        <v>0</v>
      </c>
      <c r="W692">
        <f>AND(IF(Metadata!G692="",FALSE,TRUE),exact(Metadata!G692,"1436733"))</f>
        <v>0</v>
      </c>
    </row>
    <row r="693" spans="1:23">
      <c r="A693" s="4">
        <f>IF(B693=" "," ",HYPERLINK(CONCATENATE("#metadata!",ADDRESS(INDEX($M$2:$M$1001,MATCH(ROWS($K$2:K693),$K$2:$K$1001,0),0),1)),INDEX($P$2:$P$1001,MATCH(ROWS($K$2:K693),$K$2:$K$1001,0),0)))</f>
        <v>0</v>
      </c>
      <c r="B693" s="3">
        <f>IF(OR(INDEX($L$2:$L$1001,MATCH(ROWS($K$2:K693),$K$2:$K$1001,0),1)&gt;=100000,INDEX($R$1005:$W$1005,1,MATCH(COLUMNS($R$1006:R1006),$R$1006:$W$1006,0))&gt;=100000), " ",IF(INDEX($R$2:$W$1001,MATCH(ROWS($K$2:K693),$K$2:$K$1001,0),MATCH(COLUMNS($R$1006:R1006),$R$1006:$W$1006,0)), HYPERLINK("#",""), HYPERLINK(CONCATENATE("#Metadata!", ADDRESS(INDEX($M$2:$M$1001,MATCH(ROWS($K$2:K693),$K$2:$K$1001,0),0), INDEX($R$1004:$W$1004,1,MATCH(COLUMNS($R$1006:R1006),$R$1006:$W$1006,0)))),"Fix")))</f>
        <v>0</v>
      </c>
      <c r="C693" s="3">
        <f>IF(OR(INDEX($L$2:$L$1001,MATCH(ROWS($K$2:K693),$K$2:$K$1001,0),1)&gt;=100000,INDEX($R$1005:$W$1005,1,MATCH(COLUMNS($R$1006:S1006),$R$1006:$W$1006,0))&gt;=100000), " ",IF(INDEX($R$2:$W$1001,MATCH(ROWS($K$2:K693),$K$2:$K$1001,0),MATCH(COLUMNS($R$1006:S1006),$R$1006:$W$1006,0)), HYPERLINK("#",""), HYPERLINK(CONCATENATE("#Metadata!", ADDRESS(INDEX($M$2:$M$1001,MATCH(ROWS($K$2:K693),$K$2:$K$1001,0),0), INDEX($R$1004:$W$1004,1,MATCH(COLUMNS($R$1006:S1006),$R$1006:$W$1006,0)))),"Fix")))</f>
        <v>0</v>
      </c>
      <c r="D693" s="3">
        <f>IF(OR(INDEX($L$2:$L$1001,MATCH(ROWS($K$2:K693),$K$2:$K$1001,0),1)&gt;=100000,INDEX($R$1005:$W$1005,1,MATCH(COLUMNS($R$1006:T1006),$R$1006:$W$1006,0))&gt;=100000), " ",IF(INDEX($R$2:$W$1001,MATCH(ROWS($K$2:K693),$K$2:$K$1001,0),MATCH(COLUMNS($R$1006:T1006),$R$1006:$W$1006,0)), HYPERLINK("#",""), HYPERLINK(CONCATENATE("#Metadata!", ADDRESS(INDEX($M$2:$M$1001,MATCH(ROWS($K$2:K693),$K$2:$K$1001,0),0), INDEX($R$1004:$W$1004,1,MATCH(COLUMNS($R$1006:T1006),$R$1006:$W$1006,0)))),"Fix")))</f>
        <v>0</v>
      </c>
      <c r="E693" s="3">
        <f>IF(OR(INDEX($L$2:$L$1001,MATCH(ROWS($K$2:K693),$K$2:$K$1001,0),1)&gt;=100000,INDEX($R$1005:$W$1005,1,MATCH(COLUMNS($R$1006:U1006),$R$1006:$W$1006,0))&gt;=100000), " ",IF(INDEX($R$2:$W$1001,MATCH(ROWS($K$2:K693),$K$2:$K$1001,0),MATCH(COLUMNS($R$1006:U1006),$R$1006:$W$1006,0)), HYPERLINK("#",""), HYPERLINK(CONCATENATE("#Metadata!", ADDRESS(INDEX($M$2:$M$1001,MATCH(ROWS($K$2:K693),$K$2:$K$1001,0),0), INDEX($R$1004:$W$1004,1,MATCH(COLUMNS($R$1006:U1006),$R$1006:$W$1006,0)))),"Fix")))</f>
        <v>0</v>
      </c>
      <c r="F693" s="3">
        <f>IF(OR(INDEX($L$2:$L$1001,MATCH(ROWS($K$2:K693),$K$2:$K$1001,0),1)&gt;=100000,INDEX($R$1005:$W$1005,1,MATCH(COLUMNS($R$1006:V1006),$R$1006:$W$1006,0))&gt;=100000), " ",IF(INDEX($R$2:$W$1001,MATCH(ROWS($K$2:K693),$K$2:$K$1001,0),MATCH(COLUMNS($R$1006:V1006),$R$1006:$W$1006,0)), HYPERLINK("#",""), HYPERLINK(CONCATENATE("#Metadata!", ADDRESS(INDEX($M$2:$M$1001,MATCH(ROWS($K$2:K693),$K$2:$K$1001,0),0), INDEX($R$1004:$W$1004,1,MATCH(COLUMNS($R$1006:V1006),$R$1006:$W$1006,0)))),"Fix")))</f>
        <v>0</v>
      </c>
      <c r="G693" s="3">
        <f>IF(OR(INDEX($L$2:$L$1001,MATCH(ROWS($K$2:K693),$K$2:$K$1001,0),1)&gt;=100000,INDEX($R$1005:$W$1005,1,MATCH(COLUMNS($R$1006:W1006),$R$1006:$W$1006,0))&gt;=100000), " ",IF(INDEX($R$2:$W$1001,MATCH(ROWS($K$2:K693),$K$2:$K$1001,0),MATCH(COLUMNS($R$1006:W1006),$R$1006:$W$1006,0)), HYPERLINK("#",""), HYPERLINK(CONCATENATE("#Metadata!", ADDRESS(INDEX($M$2:$M$1001,MATCH(ROWS($K$2:K693),$K$2:$K$1001,0),0), INDEX($R$1004:$W$1004,1,MATCH(COLUMNS($R$1006:W1006),$R$1006:$W$1006,0)))),"Fix")))</f>
        <v>0</v>
      </c>
      <c r="K693">
        <v>0</v>
      </c>
      <c r="L693">
        <v>0</v>
      </c>
      <c r="M693">
        <v>0</v>
      </c>
      <c r="N693">
        <f>IF(O693,TRUE,AND(R693:W693))</f>
        <v>0</v>
      </c>
      <c r="O693">
        <f>COUNTBLANK(Metadata!B693:G693)=COLUMNS(Metadata!B693:G693)</f>
        <v>0</v>
      </c>
      <c r="P693">
        <v>0</v>
      </c>
      <c r="R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S693">
        <f>IF(Metadata!C693="",FALSE,TRUE)</f>
        <v>0</v>
      </c>
      <c r="T693">
        <f>IF(Metadata!D693="",FALSE,TRUE)</f>
        <v>0</v>
      </c>
      <c r="U693">
        <f>IF(Metadata!E693="",FALSE,TRUE)</f>
        <v>0</v>
      </c>
      <c r="V693">
        <f>AND(IF(Metadata!F693="",FALSE,TRUE),exact(Metadata!F693,"rat gut metagenome"))</f>
        <v>0</v>
      </c>
      <c r="W693">
        <f>AND(IF(Metadata!G693="",FALSE,TRUE),exact(Metadata!G693,"1436733"))</f>
        <v>0</v>
      </c>
    </row>
    <row r="694" spans="1:23">
      <c r="A694" s="4">
        <f>IF(B694=" "," ",HYPERLINK(CONCATENATE("#metadata!",ADDRESS(INDEX($M$2:$M$1001,MATCH(ROWS($K$2:K694),$K$2:$K$1001,0),0),1)),INDEX($P$2:$P$1001,MATCH(ROWS($K$2:K694),$K$2:$K$1001,0),0)))</f>
        <v>0</v>
      </c>
      <c r="B694" s="3">
        <f>IF(OR(INDEX($L$2:$L$1001,MATCH(ROWS($K$2:K694),$K$2:$K$1001,0),1)&gt;=100000,INDEX($R$1005:$W$1005,1,MATCH(COLUMNS($R$1006:R1006),$R$1006:$W$1006,0))&gt;=100000), " ",IF(INDEX($R$2:$W$1001,MATCH(ROWS($K$2:K694),$K$2:$K$1001,0),MATCH(COLUMNS($R$1006:R1006),$R$1006:$W$1006,0)), HYPERLINK("#",""), HYPERLINK(CONCATENATE("#Metadata!", ADDRESS(INDEX($M$2:$M$1001,MATCH(ROWS($K$2:K694),$K$2:$K$1001,0),0), INDEX($R$1004:$W$1004,1,MATCH(COLUMNS($R$1006:R1006),$R$1006:$W$1006,0)))),"Fix")))</f>
        <v>0</v>
      </c>
      <c r="C694" s="3">
        <f>IF(OR(INDEX($L$2:$L$1001,MATCH(ROWS($K$2:K694),$K$2:$K$1001,0),1)&gt;=100000,INDEX($R$1005:$W$1005,1,MATCH(COLUMNS($R$1006:S1006),$R$1006:$W$1006,0))&gt;=100000), " ",IF(INDEX($R$2:$W$1001,MATCH(ROWS($K$2:K694),$K$2:$K$1001,0),MATCH(COLUMNS($R$1006:S1006),$R$1006:$W$1006,0)), HYPERLINK("#",""), HYPERLINK(CONCATENATE("#Metadata!", ADDRESS(INDEX($M$2:$M$1001,MATCH(ROWS($K$2:K694),$K$2:$K$1001,0),0), INDEX($R$1004:$W$1004,1,MATCH(COLUMNS($R$1006:S1006),$R$1006:$W$1006,0)))),"Fix")))</f>
        <v>0</v>
      </c>
      <c r="D694" s="3">
        <f>IF(OR(INDEX($L$2:$L$1001,MATCH(ROWS($K$2:K694),$K$2:$K$1001,0),1)&gt;=100000,INDEX($R$1005:$W$1005,1,MATCH(COLUMNS($R$1006:T1006),$R$1006:$W$1006,0))&gt;=100000), " ",IF(INDEX($R$2:$W$1001,MATCH(ROWS($K$2:K694),$K$2:$K$1001,0),MATCH(COLUMNS($R$1006:T1006),$R$1006:$W$1006,0)), HYPERLINK("#",""), HYPERLINK(CONCATENATE("#Metadata!", ADDRESS(INDEX($M$2:$M$1001,MATCH(ROWS($K$2:K694),$K$2:$K$1001,0),0), INDEX($R$1004:$W$1004,1,MATCH(COLUMNS($R$1006:T1006),$R$1006:$W$1006,0)))),"Fix")))</f>
        <v>0</v>
      </c>
      <c r="E694" s="3">
        <f>IF(OR(INDEX($L$2:$L$1001,MATCH(ROWS($K$2:K694),$K$2:$K$1001,0),1)&gt;=100000,INDEX($R$1005:$W$1005,1,MATCH(COLUMNS($R$1006:U1006),$R$1006:$W$1006,0))&gt;=100000), " ",IF(INDEX($R$2:$W$1001,MATCH(ROWS($K$2:K694),$K$2:$K$1001,0),MATCH(COLUMNS($R$1006:U1006),$R$1006:$W$1006,0)), HYPERLINK("#",""), HYPERLINK(CONCATENATE("#Metadata!", ADDRESS(INDEX($M$2:$M$1001,MATCH(ROWS($K$2:K694),$K$2:$K$1001,0),0), INDEX($R$1004:$W$1004,1,MATCH(COLUMNS($R$1006:U1006),$R$1006:$W$1006,0)))),"Fix")))</f>
        <v>0</v>
      </c>
      <c r="F694" s="3">
        <f>IF(OR(INDEX($L$2:$L$1001,MATCH(ROWS($K$2:K694),$K$2:$K$1001,0),1)&gt;=100000,INDEX($R$1005:$W$1005,1,MATCH(COLUMNS($R$1006:V1006),$R$1006:$W$1006,0))&gt;=100000), " ",IF(INDEX($R$2:$W$1001,MATCH(ROWS($K$2:K694),$K$2:$K$1001,0),MATCH(COLUMNS($R$1006:V1006),$R$1006:$W$1006,0)), HYPERLINK("#",""), HYPERLINK(CONCATENATE("#Metadata!", ADDRESS(INDEX($M$2:$M$1001,MATCH(ROWS($K$2:K694),$K$2:$K$1001,0),0), INDEX($R$1004:$W$1004,1,MATCH(COLUMNS($R$1006:V1006),$R$1006:$W$1006,0)))),"Fix")))</f>
        <v>0</v>
      </c>
      <c r="G694" s="3">
        <f>IF(OR(INDEX($L$2:$L$1001,MATCH(ROWS($K$2:K694),$K$2:$K$1001,0),1)&gt;=100000,INDEX($R$1005:$W$1005,1,MATCH(COLUMNS($R$1006:W1006),$R$1006:$W$1006,0))&gt;=100000), " ",IF(INDEX($R$2:$W$1001,MATCH(ROWS($K$2:K694),$K$2:$K$1001,0),MATCH(COLUMNS($R$1006:W1006),$R$1006:$W$1006,0)), HYPERLINK("#",""), HYPERLINK(CONCATENATE("#Metadata!", ADDRESS(INDEX($M$2:$M$1001,MATCH(ROWS($K$2:K694),$K$2:$K$1001,0),0), INDEX($R$1004:$W$1004,1,MATCH(COLUMNS($R$1006:W1006),$R$1006:$W$1006,0)))),"Fix")))</f>
        <v>0</v>
      </c>
      <c r="K694">
        <v>0</v>
      </c>
      <c r="L694">
        <v>0</v>
      </c>
      <c r="M694">
        <v>0</v>
      </c>
      <c r="N694">
        <f>IF(O694,TRUE,AND(R694:W694))</f>
        <v>0</v>
      </c>
      <c r="O694">
        <f>COUNTBLANK(Metadata!B694:G694)=COLUMNS(Metadata!B694:G694)</f>
        <v>0</v>
      </c>
      <c r="P694">
        <v>0</v>
      </c>
      <c r="R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S694">
        <f>IF(Metadata!C694="",FALSE,TRUE)</f>
        <v>0</v>
      </c>
      <c r="T694">
        <f>IF(Metadata!D694="",FALSE,TRUE)</f>
        <v>0</v>
      </c>
      <c r="U694">
        <f>IF(Metadata!E694="",FALSE,TRUE)</f>
        <v>0</v>
      </c>
      <c r="V694">
        <f>AND(IF(Metadata!F694="",FALSE,TRUE),exact(Metadata!F694,"rat gut metagenome"))</f>
        <v>0</v>
      </c>
      <c r="W694">
        <f>AND(IF(Metadata!G694="",FALSE,TRUE),exact(Metadata!G694,"1436733"))</f>
        <v>0</v>
      </c>
    </row>
    <row r="695" spans="1:23">
      <c r="A695" s="4">
        <f>IF(B695=" "," ",HYPERLINK(CONCATENATE("#metadata!",ADDRESS(INDEX($M$2:$M$1001,MATCH(ROWS($K$2:K695),$K$2:$K$1001,0),0),1)),INDEX($P$2:$P$1001,MATCH(ROWS($K$2:K695),$K$2:$K$1001,0),0)))</f>
        <v>0</v>
      </c>
      <c r="B695" s="3">
        <f>IF(OR(INDEX($L$2:$L$1001,MATCH(ROWS($K$2:K695),$K$2:$K$1001,0),1)&gt;=100000,INDEX($R$1005:$W$1005,1,MATCH(COLUMNS($R$1006:R1006),$R$1006:$W$1006,0))&gt;=100000), " ",IF(INDEX($R$2:$W$1001,MATCH(ROWS($K$2:K695),$K$2:$K$1001,0),MATCH(COLUMNS($R$1006:R1006),$R$1006:$W$1006,0)), HYPERLINK("#",""), HYPERLINK(CONCATENATE("#Metadata!", ADDRESS(INDEX($M$2:$M$1001,MATCH(ROWS($K$2:K695),$K$2:$K$1001,0),0), INDEX($R$1004:$W$1004,1,MATCH(COLUMNS($R$1006:R1006),$R$1006:$W$1006,0)))),"Fix")))</f>
        <v>0</v>
      </c>
      <c r="C695" s="3">
        <f>IF(OR(INDEX($L$2:$L$1001,MATCH(ROWS($K$2:K695),$K$2:$K$1001,0),1)&gt;=100000,INDEX($R$1005:$W$1005,1,MATCH(COLUMNS($R$1006:S1006),$R$1006:$W$1006,0))&gt;=100000), " ",IF(INDEX($R$2:$W$1001,MATCH(ROWS($K$2:K695),$K$2:$K$1001,0),MATCH(COLUMNS($R$1006:S1006),$R$1006:$W$1006,0)), HYPERLINK("#",""), HYPERLINK(CONCATENATE("#Metadata!", ADDRESS(INDEX($M$2:$M$1001,MATCH(ROWS($K$2:K695),$K$2:$K$1001,0),0), INDEX($R$1004:$W$1004,1,MATCH(COLUMNS($R$1006:S1006),$R$1006:$W$1006,0)))),"Fix")))</f>
        <v>0</v>
      </c>
      <c r="D695" s="3">
        <f>IF(OR(INDEX($L$2:$L$1001,MATCH(ROWS($K$2:K695),$K$2:$K$1001,0),1)&gt;=100000,INDEX($R$1005:$W$1005,1,MATCH(COLUMNS($R$1006:T1006),$R$1006:$W$1006,0))&gt;=100000), " ",IF(INDEX($R$2:$W$1001,MATCH(ROWS($K$2:K695),$K$2:$K$1001,0),MATCH(COLUMNS($R$1006:T1006),$R$1006:$W$1006,0)), HYPERLINK("#",""), HYPERLINK(CONCATENATE("#Metadata!", ADDRESS(INDEX($M$2:$M$1001,MATCH(ROWS($K$2:K695),$K$2:$K$1001,0),0), INDEX($R$1004:$W$1004,1,MATCH(COLUMNS($R$1006:T1006),$R$1006:$W$1006,0)))),"Fix")))</f>
        <v>0</v>
      </c>
      <c r="E695" s="3">
        <f>IF(OR(INDEX($L$2:$L$1001,MATCH(ROWS($K$2:K695),$K$2:$K$1001,0),1)&gt;=100000,INDEX($R$1005:$W$1005,1,MATCH(COLUMNS($R$1006:U1006),$R$1006:$W$1006,0))&gt;=100000), " ",IF(INDEX($R$2:$W$1001,MATCH(ROWS($K$2:K695),$K$2:$K$1001,0),MATCH(COLUMNS($R$1006:U1006),$R$1006:$W$1006,0)), HYPERLINK("#",""), HYPERLINK(CONCATENATE("#Metadata!", ADDRESS(INDEX($M$2:$M$1001,MATCH(ROWS($K$2:K695),$K$2:$K$1001,0),0), INDEX($R$1004:$W$1004,1,MATCH(COLUMNS($R$1006:U1006),$R$1006:$W$1006,0)))),"Fix")))</f>
        <v>0</v>
      </c>
      <c r="F695" s="3">
        <f>IF(OR(INDEX($L$2:$L$1001,MATCH(ROWS($K$2:K695),$K$2:$K$1001,0),1)&gt;=100000,INDEX($R$1005:$W$1005,1,MATCH(COLUMNS($R$1006:V1006),$R$1006:$W$1006,0))&gt;=100000), " ",IF(INDEX($R$2:$W$1001,MATCH(ROWS($K$2:K695),$K$2:$K$1001,0),MATCH(COLUMNS($R$1006:V1006),$R$1006:$W$1006,0)), HYPERLINK("#",""), HYPERLINK(CONCATENATE("#Metadata!", ADDRESS(INDEX($M$2:$M$1001,MATCH(ROWS($K$2:K695),$K$2:$K$1001,0),0), INDEX($R$1004:$W$1004,1,MATCH(COLUMNS($R$1006:V1006),$R$1006:$W$1006,0)))),"Fix")))</f>
        <v>0</v>
      </c>
      <c r="G695" s="3">
        <f>IF(OR(INDEX($L$2:$L$1001,MATCH(ROWS($K$2:K695),$K$2:$K$1001,0),1)&gt;=100000,INDEX($R$1005:$W$1005,1,MATCH(COLUMNS($R$1006:W1006),$R$1006:$W$1006,0))&gt;=100000), " ",IF(INDEX($R$2:$W$1001,MATCH(ROWS($K$2:K695),$K$2:$K$1001,0),MATCH(COLUMNS($R$1006:W1006),$R$1006:$W$1006,0)), HYPERLINK("#",""), HYPERLINK(CONCATENATE("#Metadata!", ADDRESS(INDEX($M$2:$M$1001,MATCH(ROWS($K$2:K695),$K$2:$K$1001,0),0), INDEX($R$1004:$W$1004,1,MATCH(COLUMNS($R$1006:W1006),$R$1006:$W$1006,0)))),"Fix")))</f>
        <v>0</v>
      </c>
      <c r="K695">
        <v>0</v>
      </c>
      <c r="L695">
        <v>0</v>
      </c>
      <c r="M695">
        <v>0</v>
      </c>
      <c r="N695">
        <f>IF(O695,TRUE,AND(R695:W695))</f>
        <v>0</v>
      </c>
      <c r="O695">
        <f>COUNTBLANK(Metadata!B695:G695)=COLUMNS(Metadata!B695:G695)</f>
        <v>0</v>
      </c>
      <c r="P695">
        <v>0</v>
      </c>
      <c r="R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S695">
        <f>IF(Metadata!C695="",FALSE,TRUE)</f>
        <v>0</v>
      </c>
      <c r="T695">
        <f>IF(Metadata!D695="",FALSE,TRUE)</f>
        <v>0</v>
      </c>
      <c r="U695">
        <f>IF(Metadata!E695="",FALSE,TRUE)</f>
        <v>0</v>
      </c>
      <c r="V695">
        <f>AND(IF(Metadata!F695="",FALSE,TRUE),exact(Metadata!F695,"rat gut metagenome"))</f>
        <v>0</v>
      </c>
      <c r="W695">
        <f>AND(IF(Metadata!G695="",FALSE,TRUE),exact(Metadata!G695,"1436733"))</f>
        <v>0</v>
      </c>
    </row>
    <row r="696" spans="1:23">
      <c r="A696" s="4">
        <f>IF(B696=" "," ",HYPERLINK(CONCATENATE("#metadata!",ADDRESS(INDEX($M$2:$M$1001,MATCH(ROWS($K$2:K696),$K$2:$K$1001,0),0),1)),INDEX($P$2:$P$1001,MATCH(ROWS($K$2:K696),$K$2:$K$1001,0),0)))</f>
        <v>0</v>
      </c>
      <c r="B696" s="3">
        <f>IF(OR(INDEX($L$2:$L$1001,MATCH(ROWS($K$2:K696),$K$2:$K$1001,0),1)&gt;=100000,INDEX($R$1005:$W$1005,1,MATCH(COLUMNS($R$1006:R1006),$R$1006:$W$1006,0))&gt;=100000), " ",IF(INDEX($R$2:$W$1001,MATCH(ROWS($K$2:K696),$K$2:$K$1001,0),MATCH(COLUMNS($R$1006:R1006),$R$1006:$W$1006,0)), HYPERLINK("#",""), HYPERLINK(CONCATENATE("#Metadata!", ADDRESS(INDEX($M$2:$M$1001,MATCH(ROWS($K$2:K696),$K$2:$K$1001,0),0), INDEX($R$1004:$W$1004,1,MATCH(COLUMNS($R$1006:R1006),$R$1006:$W$1006,0)))),"Fix")))</f>
        <v>0</v>
      </c>
      <c r="C696" s="3">
        <f>IF(OR(INDEX($L$2:$L$1001,MATCH(ROWS($K$2:K696),$K$2:$K$1001,0),1)&gt;=100000,INDEX($R$1005:$W$1005,1,MATCH(COLUMNS($R$1006:S1006),$R$1006:$W$1006,0))&gt;=100000), " ",IF(INDEX($R$2:$W$1001,MATCH(ROWS($K$2:K696),$K$2:$K$1001,0),MATCH(COLUMNS($R$1006:S1006),$R$1006:$W$1006,0)), HYPERLINK("#",""), HYPERLINK(CONCATENATE("#Metadata!", ADDRESS(INDEX($M$2:$M$1001,MATCH(ROWS($K$2:K696),$K$2:$K$1001,0),0), INDEX($R$1004:$W$1004,1,MATCH(COLUMNS($R$1006:S1006),$R$1006:$W$1006,0)))),"Fix")))</f>
        <v>0</v>
      </c>
      <c r="D696" s="3">
        <f>IF(OR(INDEX($L$2:$L$1001,MATCH(ROWS($K$2:K696),$K$2:$K$1001,0),1)&gt;=100000,INDEX($R$1005:$W$1005,1,MATCH(COLUMNS($R$1006:T1006),$R$1006:$W$1006,0))&gt;=100000), " ",IF(INDEX($R$2:$W$1001,MATCH(ROWS($K$2:K696),$K$2:$K$1001,0),MATCH(COLUMNS($R$1006:T1006),$R$1006:$W$1006,0)), HYPERLINK("#",""), HYPERLINK(CONCATENATE("#Metadata!", ADDRESS(INDEX($M$2:$M$1001,MATCH(ROWS($K$2:K696),$K$2:$K$1001,0),0), INDEX($R$1004:$W$1004,1,MATCH(COLUMNS($R$1006:T1006),$R$1006:$W$1006,0)))),"Fix")))</f>
        <v>0</v>
      </c>
      <c r="E696" s="3">
        <f>IF(OR(INDEX($L$2:$L$1001,MATCH(ROWS($K$2:K696),$K$2:$K$1001,0),1)&gt;=100000,INDEX($R$1005:$W$1005,1,MATCH(COLUMNS($R$1006:U1006),$R$1006:$W$1006,0))&gt;=100000), " ",IF(INDEX($R$2:$W$1001,MATCH(ROWS($K$2:K696),$K$2:$K$1001,0),MATCH(COLUMNS($R$1006:U1006),$R$1006:$W$1006,0)), HYPERLINK("#",""), HYPERLINK(CONCATENATE("#Metadata!", ADDRESS(INDEX($M$2:$M$1001,MATCH(ROWS($K$2:K696),$K$2:$K$1001,0),0), INDEX($R$1004:$W$1004,1,MATCH(COLUMNS($R$1006:U1006),$R$1006:$W$1006,0)))),"Fix")))</f>
        <v>0</v>
      </c>
      <c r="F696" s="3">
        <f>IF(OR(INDEX($L$2:$L$1001,MATCH(ROWS($K$2:K696),$K$2:$K$1001,0),1)&gt;=100000,INDEX($R$1005:$W$1005,1,MATCH(COLUMNS($R$1006:V1006),$R$1006:$W$1006,0))&gt;=100000), " ",IF(INDEX($R$2:$W$1001,MATCH(ROWS($K$2:K696),$K$2:$K$1001,0),MATCH(COLUMNS($R$1006:V1006),$R$1006:$W$1006,0)), HYPERLINK("#",""), HYPERLINK(CONCATENATE("#Metadata!", ADDRESS(INDEX($M$2:$M$1001,MATCH(ROWS($K$2:K696),$K$2:$K$1001,0),0), INDEX($R$1004:$W$1004,1,MATCH(COLUMNS($R$1006:V1006),$R$1006:$W$1006,0)))),"Fix")))</f>
        <v>0</v>
      </c>
      <c r="G696" s="3">
        <f>IF(OR(INDEX($L$2:$L$1001,MATCH(ROWS($K$2:K696),$K$2:$K$1001,0),1)&gt;=100000,INDEX($R$1005:$W$1005,1,MATCH(COLUMNS($R$1006:W1006),$R$1006:$W$1006,0))&gt;=100000), " ",IF(INDEX($R$2:$W$1001,MATCH(ROWS($K$2:K696),$K$2:$K$1001,0),MATCH(COLUMNS($R$1006:W1006),$R$1006:$W$1006,0)), HYPERLINK("#",""), HYPERLINK(CONCATENATE("#Metadata!", ADDRESS(INDEX($M$2:$M$1001,MATCH(ROWS($K$2:K696),$K$2:$K$1001,0),0), INDEX($R$1004:$W$1004,1,MATCH(COLUMNS($R$1006:W1006),$R$1006:$W$1006,0)))),"Fix")))</f>
        <v>0</v>
      </c>
      <c r="K696">
        <v>0</v>
      </c>
      <c r="L696">
        <v>0</v>
      </c>
      <c r="M696">
        <v>0</v>
      </c>
      <c r="N696">
        <f>IF(O696,TRUE,AND(R696:W696))</f>
        <v>0</v>
      </c>
      <c r="O696">
        <f>COUNTBLANK(Metadata!B696:G696)=COLUMNS(Metadata!B696:G696)</f>
        <v>0</v>
      </c>
      <c r="P696">
        <v>0</v>
      </c>
      <c r="R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S696">
        <f>IF(Metadata!C696="",FALSE,TRUE)</f>
        <v>0</v>
      </c>
      <c r="T696">
        <f>IF(Metadata!D696="",FALSE,TRUE)</f>
        <v>0</v>
      </c>
      <c r="U696">
        <f>IF(Metadata!E696="",FALSE,TRUE)</f>
        <v>0</v>
      </c>
      <c r="V696">
        <f>AND(IF(Metadata!F696="",FALSE,TRUE),exact(Metadata!F696,"rat gut metagenome"))</f>
        <v>0</v>
      </c>
      <c r="W696">
        <f>AND(IF(Metadata!G696="",FALSE,TRUE),exact(Metadata!G696,"1436733"))</f>
        <v>0</v>
      </c>
    </row>
    <row r="697" spans="1:23">
      <c r="A697" s="4">
        <f>IF(B697=" "," ",HYPERLINK(CONCATENATE("#metadata!",ADDRESS(INDEX($M$2:$M$1001,MATCH(ROWS($K$2:K697),$K$2:$K$1001,0),0),1)),INDEX($P$2:$P$1001,MATCH(ROWS($K$2:K697),$K$2:$K$1001,0),0)))</f>
        <v>0</v>
      </c>
      <c r="B697" s="3">
        <f>IF(OR(INDEX($L$2:$L$1001,MATCH(ROWS($K$2:K697),$K$2:$K$1001,0),1)&gt;=100000,INDEX($R$1005:$W$1005,1,MATCH(COLUMNS($R$1006:R1006),$R$1006:$W$1006,0))&gt;=100000), " ",IF(INDEX($R$2:$W$1001,MATCH(ROWS($K$2:K697),$K$2:$K$1001,0),MATCH(COLUMNS($R$1006:R1006),$R$1006:$W$1006,0)), HYPERLINK("#",""), HYPERLINK(CONCATENATE("#Metadata!", ADDRESS(INDEX($M$2:$M$1001,MATCH(ROWS($K$2:K697),$K$2:$K$1001,0),0), INDEX($R$1004:$W$1004,1,MATCH(COLUMNS($R$1006:R1006),$R$1006:$W$1006,0)))),"Fix")))</f>
        <v>0</v>
      </c>
      <c r="C697" s="3">
        <f>IF(OR(INDEX($L$2:$L$1001,MATCH(ROWS($K$2:K697),$K$2:$K$1001,0),1)&gt;=100000,INDEX($R$1005:$W$1005,1,MATCH(COLUMNS($R$1006:S1006),$R$1006:$W$1006,0))&gt;=100000), " ",IF(INDEX($R$2:$W$1001,MATCH(ROWS($K$2:K697),$K$2:$K$1001,0),MATCH(COLUMNS($R$1006:S1006),$R$1006:$W$1006,0)), HYPERLINK("#",""), HYPERLINK(CONCATENATE("#Metadata!", ADDRESS(INDEX($M$2:$M$1001,MATCH(ROWS($K$2:K697),$K$2:$K$1001,0),0), INDEX($R$1004:$W$1004,1,MATCH(COLUMNS($R$1006:S1006),$R$1006:$W$1006,0)))),"Fix")))</f>
        <v>0</v>
      </c>
      <c r="D697" s="3">
        <f>IF(OR(INDEX($L$2:$L$1001,MATCH(ROWS($K$2:K697),$K$2:$K$1001,0),1)&gt;=100000,INDEX($R$1005:$W$1005,1,MATCH(COLUMNS($R$1006:T1006),$R$1006:$W$1006,0))&gt;=100000), " ",IF(INDEX($R$2:$W$1001,MATCH(ROWS($K$2:K697),$K$2:$K$1001,0),MATCH(COLUMNS($R$1006:T1006),$R$1006:$W$1006,0)), HYPERLINK("#",""), HYPERLINK(CONCATENATE("#Metadata!", ADDRESS(INDEX($M$2:$M$1001,MATCH(ROWS($K$2:K697),$K$2:$K$1001,0),0), INDEX($R$1004:$W$1004,1,MATCH(COLUMNS($R$1006:T1006),$R$1006:$W$1006,0)))),"Fix")))</f>
        <v>0</v>
      </c>
      <c r="E697" s="3">
        <f>IF(OR(INDEX($L$2:$L$1001,MATCH(ROWS($K$2:K697),$K$2:$K$1001,0),1)&gt;=100000,INDEX($R$1005:$W$1005,1,MATCH(COLUMNS($R$1006:U1006),$R$1006:$W$1006,0))&gt;=100000), " ",IF(INDEX($R$2:$W$1001,MATCH(ROWS($K$2:K697),$K$2:$K$1001,0),MATCH(COLUMNS($R$1006:U1006),$R$1006:$W$1006,0)), HYPERLINK("#",""), HYPERLINK(CONCATENATE("#Metadata!", ADDRESS(INDEX($M$2:$M$1001,MATCH(ROWS($K$2:K697),$K$2:$K$1001,0),0), INDEX($R$1004:$W$1004,1,MATCH(COLUMNS($R$1006:U1006),$R$1006:$W$1006,0)))),"Fix")))</f>
        <v>0</v>
      </c>
      <c r="F697" s="3">
        <f>IF(OR(INDEX($L$2:$L$1001,MATCH(ROWS($K$2:K697),$K$2:$K$1001,0),1)&gt;=100000,INDEX($R$1005:$W$1005,1,MATCH(COLUMNS($R$1006:V1006),$R$1006:$W$1006,0))&gt;=100000), " ",IF(INDEX($R$2:$W$1001,MATCH(ROWS($K$2:K697),$K$2:$K$1001,0),MATCH(COLUMNS($R$1006:V1006),$R$1006:$W$1006,0)), HYPERLINK("#",""), HYPERLINK(CONCATENATE("#Metadata!", ADDRESS(INDEX($M$2:$M$1001,MATCH(ROWS($K$2:K697),$K$2:$K$1001,0),0), INDEX($R$1004:$W$1004,1,MATCH(COLUMNS($R$1006:V1006),$R$1006:$W$1006,0)))),"Fix")))</f>
        <v>0</v>
      </c>
      <c r="G697" s="3">
        <f>IF(OR(INDEX($L$2:$L$1001,MATCH(ROWS($K$2:K697),$K$2:$K$1001,0),1)&gt;=100000,INDEX($R$1005:$W$1005,1,MATCH(COLUMNS($R$1006:W1006),$R$1006:$W$1006,0))&gt;=100000), " ",IF(INDEX($R$2:$W$1001,MATCH(ROWS($K$2:K697),$K$2:$K$1001,0),MATCH(COLUMNS($R$1006:W1006),$R$1006:$W$1006,0)), HYPERLINK("#",""), HYPERLINK(CONCATENATE("#Metadata!", ADDRESS(INDEX($M$2:$M$1001,MATCH(ROWS($K$2:K697),$K$2:$K$1001,0),0), INDEX($R$1004:$W$1004,1,MATCH(COLUMNS($R$1006:W1006),$R$1006:$W$1006,0)))),"Fix")))</f>
        <v>0</v>
      </c>
      <c r="K697">
        <v>0</v>
      </c>
      <c r="L697">
        <v>0</v>
      </c>
      <c r="M697">
        <v>0</v>
      </c>
      <c r="N697">
        <f>IF(O697,TRUE,AND(R697:W697))</f>
        <v>0</v>
      </c>
      <c r="O697">
        <f>COUNTBLANK(Metadata!B697:G697)=COLUMNS(Metadata!B697:G697)</f>
        <v>0</v>
      </c>
      <c r="P697">
        <v>0</v>
      </c>
      <c r="R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S697">
        <f>IF(Metadata!C697="",FALSE,TRUE)</f>
        <v>0</v>
      </c>
      <c r="T697">
        <f>IF(Metadata!D697="",FALSE,TRUE)</f>
        <v>0</v>
      </c>
      <c r="U697">
        <f>IF(Metadata!E697="",FALSE,TRUE)</f>
        <v>0</v>
      </c>
      <c r="V697">
        <f>AND(IF(Metadata!F697="",FALSE,TRUE),exact(Metadata!F697,"rat gut metagenome"))</f>
        <v>0</v>
      </c>
      <c r="W697">
        <f>AND(IF(Metadata!G697="",FALSE,TRUE),exact(Metadata!G697,"1436733"))</f>
        <v>0</v>
      </c>
    </row>
    <row r="698" spans="1:23">
      <c r="A698" s="4">
        <f>IF(B698=" "," ",HYPERLINK(CONCATENATE("#metadata!",ADDRESS(INDEX($M$2:$M$1001,MATCH(ROWS($K$2:K698),$K$2:$K$1001,0),0),1)),INDEX($P$2:$P$1001,MATCH(ROWS($K$2:K698),$K$2:$K$1001,0),0)))</f>
        <v>0</v>
      </c>
      <c r="B698" s="3">
        <f>IF(OR(INDEX($L$2:$L$1001,MATCH(ROWS($K$2:K698),$K$2:$K$1001,0),1)&gt;=100000,INDEX($R$1005:$W$1005,1,MATCH(COLUMNS($R$1006:R1006),$R$1006:$W$1006,0))&gt;=100000), " ",IF(INDEX($R$2:$W$1001,MATCH(ROWS($K$2:K698),$K$2:$K$1001,0),MATCH(COLUMNS($R$1006:R1006),$R$1006:$W$1006,0)), HYPERLINK("#",""), HYPERLINK(CONCATENATE("#Metadata!", ADDRESS(INDEX($M$2:$M$1001,MATCH(ROWS($K$2:K698),$K$2:$K$1001,0),0), INDEX($R$1004:$W$1004,1,MATCH(COLUMNS($R$1006:R1006),$R$1006:$W$1006,0)))),"Fix")))</f>
        <v>0</v>
      </c>
      <c r="C698" s="3">
        <f>IF(OR(INDEX($L$2:$L$1001,MATCH(ROWS($K$2:K698),$K$2:$K$1001,0),1)&gt;=100000,INDEX($R$1005:$W$1005,1,MATCH(COLUMNS($R$1006:S1006),$R$1006:$W$1006,0))&gt;=100000), " ",IF(INDEX($R$2:$W$1001,MATCH(ROWS($K$2:K698),$K$2:$K$1001,0),MATCH(COLUMNS($R$1006:S1006),$R$1006:$W$1006,0)), HYPERLINK("#",""), HYPERLINK(CONCATENATE("#Metadata!", ADDRESS(INDEX($M$2:$M$1001,MATCH(ROWS($K$2:K698),$K$2:$K$1001,0),0), INDEX($R$1004:$W$1004,1,MATCH(COLUMNS($R$1006:S1006),$R$1006:$W$1006,0)))),"Fix")))</f>
        <v>0</v>
      </c>
      <c r="D698" s="3">
        <f>IF(OR(INDEX($L$2:$L$1001,MATCH(ROWS($K$2:K698),$K$2:$K$1001,0),1)&gt;=100000,INDEX($R$1005:$W$1005,1,MATCH(COLUMNS($R$1006:T1006),$R$1006:$W$1006,0))&gt;=100000), " ",IF(INDEX($R$2:$W$1001,MATCH(ROWS($K$2:K698),$K$2:$K$1001,0),MATCH(COLUMNS($R$1006:T1006),$R$1006:$W$1006,0)), HYPERLINK("#",""), HYPERLINK(CONCATENATE("#Metadata!", ADDRESS(INDEX($M$2:$M$1001,MATCH(ROWS($K$2:K698),$K$2:$K$1001,0),0), INDEX($R$1004:$W$1004,1,MATCH(COLUMNS($R$1006:T1006),$R$1006:$W$1006,0)))),"Fix")))</f>
        <v>0</v>
      </c>
      <c r="E698" s="3">
        <f>IF(OR(INDEX($L$2:$L$1001,MATCH(ROWS($K$2:K698),$K$2:$K$1001,0),1)&gt;=100000,INDEX($R$1005:$W$1005,1,MATCH(COLUMNS($R$1006:U1006),$R$1006:$W$1006,0))&gt;=100000), " ",IF(INDEX($R$2:$W$1001,MATCH(ROWS($K$2:K698),$K$2:$K$1001,0),MATCH(COLUMNS($R$1006:U1006),$R$1006:$W$1006,0)), HYPERLINK("#",""), HYPERLINK(CONCATENATE("#Metadata!", ADDRESS(INDEX($M$2:$M$1001,MATCH(ROWS($K$2:K698),$K$2:$K$1001,0),0), INDEX($R$1004:$W$1004,1,MATCH(COLUMNS($R$1006:U1006),$R$1006:$W$1006,0)))),"Fix")))</f>
        <v>0</v>
      </c>
      <c r="F698" s="3">
        <f>IF(OR(INDEX($L$2:$L$1001,MATCH(ROWS($K$2:K698),$K$2:$K$1001,0),1)&gt;=100000,INDEX($R$1005:$W$1005,1,MATCH(COLUMNS($R$1006:V1006),$R$1006:$W$1006,0))&gt;=100000), " ",IF(INDEX($R$2:$W$1001,MATCH(ROWS($K$2:K698),$K$2:$K$1001,0),MATCH(COLUMNS($R$1006:V1006),$R$1006:$W$1006,0)), HYPERLINK("#",""), HYPERLINK(CONCATENATE("#Metadata!", ADDRESS(INDEX($M$2:$M$1001,MATCH(ROWS($K$2:K698),$K$2:$K$1001,0),0), INDEX($R$1004:$W$1004,1,MATCH(COLUMNS($R$1006:V1006),$R$1006:$W$1006,0)))),"Fix")))</f>
        <v>0</v>
      </c>
      <c r="G698" s="3">
        <f>IF(OR(INDEX($L$2:$L$1001,MATCH(ROWS($K$2:K698),$K$2:$K$1001,0),1)&gt;=100000,INDEX($R$1005:$W$1005,1,MATCH(COLUMNS($R$1006:W1006),$R$1006:$W$1006,0))&gt;=100000), " ",IF(INDEX($R$2:$W$1001,MATCH(ROWS($K$2:K698),$K$2:$K$1001,0),MATCH(COLUMNS($R$1006:W1006),$R$1006:$W$1006,0)), HYPERLINK("#",""), HYPERLINK(CONCATENATE("#Metadata!", ADDRESS(INDEX($M$2:$M$1001,MATCH(ROWS($K$2:K698),$K$2:$K$1001,0),0), INDEX($R$1004:$W$1004,1,MATCH(COLUMNS($R$1006:W1006),$R$1006:$W$1006,0)))),"Fix")))</f>
        <v>0</v>
      </c>
      <c r="K698">
        <v>0</v>
      </c>
      <c r="L698">
        <v>0</v>
      </c>
      <c r="M698">
        <v>0</v>
      </c>
      <c r="N698">
        <f>IF(O698,TRUE,AND(R698:W698))</f>
        <v>0</v>
      </c>
      <c r="O698">
        <f>COUNTBLANK(Metadata!B698:G698)=COLUMNS(Metadata!B698:G698)</f>
        <v>0</v>
      </c>
      <c r="P698">
        <v>0</v>
      </c>
      <c r="R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S698">
        <f>IF(Metadata!C698="",FALSE,TRUE)</f>
        <v>0</v>
      </c>
      <c r="T698">
        <f>IF(Metadata!D698="",FALSE,TRUE)</f>
        <v>0</v>
      </c>
      <c r="U698">
        <f>IF(Metadata!E698="",FALSE,TRUE)</f>
        <v>0</v>
      </c>
      <c r="V698">
        <f>AND(IF(Metadata!F698="",FALSE,TRUE),exact(Metadata!F698,"rat gut metagenome"))</f>
        <v>0</v>
      </c>
      <c r="W698">
        <f>AND(IF(Metadata!G698="",FALSE,TRUE),exact(Metadata!G698,"1436733"))</f>
        <v>0</v>
      </c>
    </row>
    <row r="699" spans="1:23">
      <c r="A699" s="4">
        <f>IF(B699=" "," ",HYPERLINK(CONCATENATE("#metadata!",ADDRESS(INDEX($M$2:$M$1001,MATCH(ROWS($K$2:K699),$K$2:$K$1001,0),0),1)),INDEX($P$2:$P$1001,MATCH(ROWS($K$2:K699),$K$2:$K$1001,0),0)))</f>
        <v>0</v>
      </c>
      <c r="B699" s="3">
        <f>IF(OR(INDEX($L$2:$L$1001,MATCH(ROWS($K$2:K699),$K$2:$K$1001,0),1)&gt;=100000,INDEX($R$1005:$W$1005,1,MATCH(COLUMNS($R$1006:R1006),$R$1006:$W$1006,0))&gt;=100000), " ",IF(INDEX($R$2:$W$1001,MATCH(ROWS($K$2:K699),$K$2:$K$1001,0),MATCH(COLUMNS($R$1006:R1006),$R$1006:$W$1006,0)), HYPERLINK("#",""), HYPERLINK(CONCATENATE("#Metadata!", ADDRESS(INDEX($M$2:$M$1001,MATCH(ROWS($K$2:K699),$K$2:$K$1001,0),0), INDEX($R$1004:$W$1004,1,MATCH(COLUMNS($R$1006:R1006),$R$1006:$W$1006,0)))),"Fix")))</f>
        <v>0</v>
      </c>
      <c r="C699" s="3">
        <f>IF(OR(INDEX($L$2:$L$1001,MATCH(ROWS($K$2:K699),$K$2:$K$1001,0),1)&gt;=100000,INDEX($R$1005:$W$1005,1,MATCH(COLUMNS($R$1006:S1006),$R$1006:$W$1006,0))&gt;=100000), " ",IF(INDEX($R$2:$W$1001,MATCH(ROWS($K$2:K699),$K$2:$K$1001,0),MATCH(COLUMNS($R$1006:S1006),$R$1006:$W$1006,0)), HYPERLINK("#",""), HYPERLINK(CONCATENATE("#Metadata!", ADDRESS(INDEX($M$2:$M$1001,MATCH(ROWS($K$2:K699),$K$2:$K$1001,0),0), INDEX($R$1004:$W$1004,1,MATCH(COLUMNS($R$1006:S1006),$R$1006:$W$1006,0)))),"Fix")))</f>
        <v>0</v>
      </c>
      <c r="D699" s="3">
        <f>IF(OR(INDEX($L$2:$L$1001,MATCH(ROWS($K$2:K699),$K$2:$K$1001,0),1)&gt;=100000,INDEX($R$1005:$W$1005,1,MATCH(COLUMNS($R$1006:T1006),$R$1006:$W$1006,0))&gt;=100000), " ",IF(INDEX($R$2:$W$1001,MATCH(ROWS($K$2:K699),$K$2:$K$1001,0),MATCH(COLUMNS($R$1006:T1006),$R$1006:$W$1006,0)), HYPERLINK("#",""), HYPERLINK(CONCATENATE("#Metadata!", ADDRESS(INDEX($M$2:$M$1001,MATCH(ROWS($K$2:K699),$K$2:$K$1001,0),0), INDEX($R$1004:$W$1004,1,MATCH(COLUMNS($R$1006:T1006),$R$1006:$W$1006,0)))),"Fix")))</f>
        <v>0</v>
      </c>
      <c r="E699" s="3">
        <f>IF(OR(INDEX($L$2:$L$1001,MATCH(ROWS($K$2:K699),$K$2:$K$1001,0),1)&gt;=100000,INDEX($R$1005:$W$1005,1,MATCH(COLUMNS($R$1006:U1006),$R$1006:$W$1006,0))&gt;=100000), " ",IF(INDEX($R$2:$W$1001,MATCH(ROWS($K$2:K699),$K$2:$K$1001,0),MATCH(COLUMNS($R$1006:U1006),$R$1006:$W$1006,0)), HYPERLINK("#",""), HYPERLINK(CONCATENATE("#Metadata!", ADDRESS(INDEX($M$2:$M$1001,MATCH(ROWS($K$2:K699),$K$2:$K$1001,0),0), INDEX($R$1004:$W$1004,1,MATCH(COLUMNS($R$1006:U1006),$R$1006:$W$1006,0)))),"Fix")))</f>
        <v>0</v>
      </c>
      <c r="F699" s="3">
        <f>IF(OR(INDEX($L$2:$L$1001,MATCH(ROWS($K$2:K699),$K$2:$K$1001,0),1)&gt;=100000,INDEX($R$1005:$W$1005,1,MATCH(COLUMNS($R$1006:V1006),$R$1006:$W$1006,0))&gt;=100000), " ",IF(INDEX($R$2:$W$1001,MATCH(ROWS($K$2:K699),$K$2:$K$1001,0),MATCH(COLUMNS($R$1006:V1006),$R$1006:$W$1006,0)), HYPERLINK("#",""), HYPERLINK(CONCATENATE("#Metadata!", ADDRESS(INDEX($M$2:$M$1001,MATCH(ROWS($K$2:K699),$K$2:$K$1001,0),0), INDEX($R$1004:$W$1004,1,MATCH(COLUMNS($R$1006:V1006),$R$1006:$W$1006,0)))),"Fix")))</f>
        <v>0</v>
      </c>
      <c r="G699" s="3">
        <f>IF(OR(INDEX($L$2:$L$1001,MATCH(ROWS($K$2:K699),$K$2:$K$1001,0),1)&gt;=100000,INDEX($R$1005:$W$1005,1,MATCH(COLUMNS($R$1006:W1006),$R$1006:$W$1006,0))&gt;=100000), " ",IF(INDEX($R$2:$W$1001,MATCH(ROWS($K$2:K699),$K$2:$K$1001,0),MATCH(COLUMNS($R$1006:W1006),$R$1006:$W$1006,0)), HYPERLINK("#",""), HYPERLINK(CONCATENATE("#Metadata!", ADDRESS(INDEX($M$2:$M$1001,MATCH(ROWS($K$2:K699),$K$2:$K$1001,0),0), INDEX($R$1004:$W$1004,1,MATCH(COLUMNS($R$1006:W1006),$R$1006:$W$1006,0)))),"Fix")))</f>
        <v>0</v>
      </c>
      <c r="K699">
        <v>0</v>
      </c>
      <c r="L699">
        <v>0</v>
      </c>
      <c r="M699">
        <v>0</v>
      </c>
      <c r="N699">
        <f>IF(O699,TRUE,AND(R699:W699))</f>
        <v>0</v>
      </c>
      <c r="O699">
        <f>COUNTBLANK(Metadata!B699:G699)=COLUMNS(Metadata!B699:G699)</f>
        <v>0</v>
      </c>
      <c r="P699">
        <v>0</v>
      </c>
      <c r="R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S699">
        <f>IF(Metadata!C699="",FALSE,TRUE)</f>
        <v>0</v>
      </c>
      <c r="T699">
        <f>IF(Metadata!D699="",FALSE,TRUE)</f>
        <v>0</v>
      </c>
      <c r="U699">
        <f>IF(Metadata!E699="",FALSE,TRUE)</f>
        <v>0</v>
      </c>
      <c r="V699">
        <f>AND(IF(Metadata!F699="",FALSE,TRUE),exact(Metadata!F699,"rat gut metagenome"))</f>
        <v>0</v>
      </c>
      <c r="W699">
        <f>AND(IF(Metadata!G699="",FALSE,TRUE),exact(Metadata!G699,"1436733"))</f>
        <v>0</v>
      </c>
    </row>
    <row r="700" spans="1:23">
      <c r="A700" s="4">
        <f>IF(B700=" "," ",HYPERLINK(CONCATENATE("#metadata!",ADDRESS(INDEX($M$2:$M$1001,MATCH(ROWS($K$2:K700),$K$2:$K$1001,0),0),1)),INDEX($P$2:$P$1001,MATCH(ROWS($K$2:K700),$K$2:$K$1001,0),0)))</f>
        <v>0</v>
      </c>
      <c r="B700" s="3">
        <f>IF(OR(INDEX($L$2:$L$1001,MATCH(ROWS($K$2:K700),$K$2:$K$1001,0),1)&gt;=100000,INDEX($R$1005:$W$1005,1,MATCH(COLUMNS($R$1006:R1006),$R$1006:$W$1006,0))&gt;=100000), " ",IF(INDEX($R$2:$W$1001,MATCH(ROWS($K$2:K700),$K$2:$K$1001,0),MATCH(COLUMNS($R$1006:R1006),$R$1006:$W$1006,0)), HYPERLINK("#",""), HYPERLINK(CONCATENATE("#Metadata!", ADDRESS(INDEX($M$2:$M$1001,MATCH(ROWS($K$2:K700),$K$2:$K$1001,0),0), INDEX($R$1004:$W$1004,1,MATCH(COLUMNS($R$1006:R1006),$R$1006:$W$1006,0)))),"Fix")))</f>
        <v>0</v>
      </c>
      <c r="C700" s="3">
        <f>IF(OR(INDEX($L$2:$L$1001,MATCH(ROWS($K$2:K700),$K$2:$K$1001,0),1)&gt;=100000,INDEX($R$1005:$W$1005,1,MATCH(COLUMNS($R$1006:S1006),$R$1006:$W$1006,0))&gt;=100000), " ",IF(INDEX($R$2:$W$1001,MATCH(ROWS($K$2:K700),$K$2:$K$1001,0),MATCH(COLUMNS($R$1006:S1006),$R$1006:$W$1006,0)), HYPERLINK("#",""), HYPERLINK(CONCATENATE("#Metadata!", ADDRESS(INDEX($M$2:$M$1001,MATCH(ROWS($K$2:K700),$K$2:$K$1001,0),0), INDEX($R$1004:$W$1004,1,MATCH(COLUMNS($R$1006:S1006),$R$1006:$W$1006,0)))),"Fix")))</f>
        <v>0</v>
      </c>
      <c r="D700" s="3">
        <f>IF(OR(INDEX($L$2:$L$1001,MATCH(ROWS($K$2:K700),$K$2:$K$1001,0),1)&gt;=100000,INDEX($R$1005:$W$1005,1,MATCH(COLUMNS($R$1006:T1006),$R$1006:$W$1006,0))&gt;=100000), " ",IF(INDEX($R$2:$W$1001,MATCH(ROWS($K$2:K700),$K$2:$K$1001,0),MATCH(COLUMNS($R$1006:T1006),$R$1006:$W$1006,0)), HYPERLINK("#",""), HYPERLINK(CONCATENATE("#Metadata!", ADDRESS(INDEX($M$2:$M$1001,MATCH(ROWS($K$2:K700),$K$2:$K$1001,0),0), INDEX($R$1004:$W$1004,1,MATCH(COLUMNS($R$1006:T1006),$R$1006:$W$1006,0)))),"Fix")))</f>
        <v>0</v>
      </c>
      <c r="E700" s="3">
        <f>IF(OR(INDEX($L$2:$L$1001,MATCH(ROWS($K$2:K700),$K$2:$K$1001,0),1)&gt;=100000,INDEX($R$1005:$W$1005,1,MATCH(COLUMNS($R$1006:U1006),$R$1006:$W$1006,0))&gt;=100000), " ",IF(INDEX($R$2:$W$1001,MATCH(ROWS($K$2:K700),$K$2:$K$1001,0),MATCH(COLUMNS($R$1006:U1006),$R$1006:$W$1006,0)), HYPERLINK("#",""), HYPERLINK(CONCATENATE("#Metadata!", ADDRESS(INDEX($M$2:$M$1001,MATCH(ROWS($K$2:K700),$K$2:$K$1001,0),0), INDEX($R$1004:$W$1004,1,MATCH(COLUMNS($R$1006:U1006),$R$1006:$W$1006,0)))),"Fix")))</f>
        <v>0</v>
      </c>
      <c r="F700" s="3">
        <f>IF(OR(INDEX($L$2:$L$1001,MATCH(ROWS($K$2:K700),$K$2:$K$1001,0),1)&gt;=100000,INDEX($R$1005:$W$1005,1,MATCH(COLUMNS($R$1006:V1006),$R$1006:$W$1006,0))&gt;=100000), " ",IF(INDEX($R$2:$W$1001,MATCH(ROWS($K$2:K700),$K$2:$K$1001,0),MATCH(COLUMNS($R$1006:V1006),$R$1006:$W$1006,0)), HYPERLINK("#",""), HYPERLINK(CONCATENATE("#Metadata!", ADDRESS(INDEX($M$2:$M$1001,MATCH(ROWS($K$2:K700),$K$2:$K$1001,0),0), INDEX($R$1004:$W$1004,1,MATCH(COLUMNS($R$1006:V1006),$R$1006:$W$1006,0)))),"Fix")))</f>
        <v>0</v>
      </c>
      <c r="G700" s="3">
        <f>IF(OR(INDEX($L$2:$L$1001,MATCH(ROWS($K$2:K700),$K$2:$K$1001,0),1)&gt;=100000,INDEX($R$1005:$W$1005,1,MATCH(COLUMNS($R$1006:W1006),$R$1006:$W$1006,0))&gt;=100000), " ",IF(INDEX($R$2:$W$1001,MATCH(ROWS($K$2:K700),$K$2:$K$1001,0),MATCH(COLUMNS($R$1006:W1006),$R$1006:$W$1006,0)), HYPERLINK("#",""), HYPERLINK(CONCATENATE("#Metadata!", ADDRESS(INDEX($M$2:$M$1001,MATCH(ROWS($K$2:K700),$K$2:$K$1001,0),0), INDEX($R$1004:$W$1004,1,MATCH(COLUMNS($R$1006:W1006),$R$1006:$W$1006,0)))),"Fix")))</f>
        <v>0</v>
      </c>
      <c r="K700">
        <v>0</v>
      </c>
      <c r="L700">
        <v>0</v>
      </c>
      <c r="M700">
        <v>0</v>
      </c>
      <c r="N700">
        <f>IF(O700,TRUE,AND(R700:W700))</f>
        <v>0</v>
      </c>
      <c r="O700">
        <f>COUNTBLANK(Metadata!B700:G700)=COLUMNS(Metadata!B700:G700)</f>
        <v>0</v>
      </c>
      <c r="P700">
        <v>0</v>
      </c>
      <c r="R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S700">
        <f>IF(Metadata!C700="",FALSE,TRUE)</f>
        <v>0</v>
      </c>
      <c r="T700">
        <f>IF(Metadata!D700="",FALSE,TRUE)</f>
        <v>0</v>
      </c>
      <c r="U700">
        <f>IF(Metadata!E700="",FALSE,TRUE)</f>
        <v>0</v>
      </c>
      <c r="V700">
        <f>AND(IF(Metadata!F700="",FALSE,TRUE),exact(Metadata!F700,"rat gut metagenome"))</f>
        <v>0</v>
      </c>
      <c r="W700">
        <f>AND(IF(Metadata!G700="",FALSE,TRUE),exact(Metadata!G700,"1436733"))</f>
        <v>0</v>
      </c>
    </row>
    <row r="701" spans="1:23">
      <c r="A701" s="4">
        <f>IF(B701=" "," ",HYPERLINK(CONCATENATE("#metadata!",ADDRESS(INDEX($M$2:$M$1001,MATCH(ROWS($K$2:K701),$K$2:$K$1001,0),0),1)),INDEX($P$2:$P$1001,MATCH(ROWS($K$2:K701),$K$2:$K$1001,0),0)))</f>
        <v>0</v>
      </c>
      <c r="B701" s="3">
        <f>IF(OR(INDEX($L$2:$L$1001,MATCH(ROWS($K$2:K701),$K$2:$K$1001,0),1)&gt;=100000,INDEX($R$1005:$W$1005,1,MATCH(COLUMNS($R$1006:R1006),$R$1006:$W$1006,0))&gt;=100000), " ",IF(INDEX($R$2:$W$1001,MATCH(ROWS($K$2:K701),$K$2:$K$1001,0),MATCH(COLUMNS($R$1006:R1006),$R$1006:$W$1006,0)), HYPERLINK("#",""), HYPERLINK(CONCATENATE("#Metadata!", ADDRESS(INDEX($M$2:$M$1001,MATCH(ROWS($K$2:K701),$K$2:$K$1001,0),0), INDEX($R$1004:$W$1004,1,MATCH(COLUMNS($R$1006:R1006),$R$1006:$W$1006,0)))),"Fix")))</f>
        <v>0</v>
      </c>
      <c r="C701" s="3">
        <f>IF(OR(INDEX($L$2:$L$1001,MATCH(ROWS($K$2:K701),$K$2:$K$1001,0),1)&gt;=100000,INDEX($R$1005:$W$1005,1,MATCH(COLUMNS($R$1006:S1006),$R$1006:$W$1006,0))&gt;=100000), " ",IF(INDEX($R$2:$W$1001,MATCH(ROWS($K$2:K701),$K$2:$K$1001,0),MATCH(COLUMNS($R$1006:S1006),$R$1006:$W$1006,0)), HYPERLINK("#",""), HYPERLINK(CONCATENATE("#Metadata!", ADDRESS(INDEX($M$2:$M$1001,MATCH(ROWS($K$2:K701),$K$2:$K$1001,0),0), INDEX($R$1004:$W$1004,1,MATCH(COLUMNS($R$1006:S1006),$R$1006:$W$1006,0)))),"Fix")))</f>
        <v>0</v>
      </c>
      <c r="D701" s="3">
        <f>IF(OR(INDEX($L$2:$L$1001,MATCH(ROWS($K$2:K701),$K$2:$K$1001,0),1)&gt;=100000,INDEX($R$1005:$W$1005,1,MATCH(COLUMNS($R$1006:T1006),$R$1006:$W$1006,0))&gt;=100000), " ",IF(INDEX($R$2:$W$1001,MATCH(ROWS($K$2:K701),$K$2:$K$1001,0),MATCH(COLUMNS($R$1006:T1006),$R$1006:$W$1006,0)), HYPERLINK("#",""), HYPERLINK(CONCATENATE("#Metadata!", ADDRESS(INDEX($M$2:$M$1001,MATCH(ROWS($K$2:K701),$K$2:$K$1001,0),0), INDEX($R$1004:$W$1004,1,MATCH(COLUMNS($R$1006:T1006),$R$1006:$W$1006,0)))),"Fix")))</f>
        <v>0</v>
      </c>
      <c r="E701" s="3">
        <f>IF(OR(INDEX($L$2:$L$1001,MATCH(ROWS($K$2:K701),$K$2:$K$1001,0),1)&gt;=100000,INDEX($R$1005:$W$1005,1,MATCH(COLUMNS($R$1006:U1006),$R$1006:$W$1006,0))&gt;=100000), " ",IF(INDEX($R$2:$W$1001,MATCH(ROWS($K$2:K701),$K$2:$K$1001,0),MATCH(COLUMNS($R$1006:U1006),$R$1006:$W$1006,0)), HYPERLINK("#",""), HYPERLINK(CONCATENATE("#Metadata!", ADDRESS(INDEX($M$2:$M$1001,MATCH(ROWS($K$2:K701),$K$2:$K$1001,0),0), INDEX($R$1004:$W$1004,1,MATCH(COLUMNS($R$1006:U1006),$R$1006:$W$1006,0)))),"Fix")))</f>
        <v>0</v>
      </c>
      <c r="F701" s="3">
        <f>IF(OR(INDEX($L$2:$L$1001,MATCH(ROWS($K$2:K701),$K$2:$K$1001,0),1)&gt;=100000,INDEX($R$1005:$W$1005,1,MATCH(COLUMNS($R$1006:V1006),$R$1006:$W$1006,0))&gt;=100000), " ",IF(INDEX($R$2:$W$1001,MATCH(ROWS($K$2:K701),$K$2:$K$1001,0),MATCH(COLUMNS($R$1006:V1006),$R$1006:$W$1006,0)), HYPERLINK("#",""), HYPERLINK(CONCATENATE("#Metadata!", ADDRESS(INDEX($M$2:$M$1001,MATCH(ROWS($K$2:K701),$K$2:$K$1001,0),0), INDEX($R$1004:$W$1004,1,MATCH(COLUMNS($R$1006:V1006),$R$1006:$W$1006,0)))),"Fix")))</f>
        <v>0</v>
      </c>
      <c r="G701" s="3">
        <f>IF(OR(INDEX($L$2:$L$1001,MATCH(ROWS($K$2:K701),$K$2:$K$1001,0),1)&gt;=100000,INDEX($R$1005:$W$1005,1,MATCH(COLUMNS($R$1006:W1006),$R$1006:$W$1006,0))&gt;=100000), " ",IF(INDEX($R$2:$W$1001,MATCH(ROWS($K$2:K701),$K$2:$K$1001,0),MATCH(COLUMNS($R$1006:W1006),$R$1006:$W$1006,0)), HYPERLINK("#",""), HYPERLINK(CONCATENATE("#Metadata!", ADDRESS(INDEX($M$2:$M$1001,MATCH(ROWS($K$2:K701),$K$2:$K$1001,0),0), INDEX($R$1004:$W$1004,1,MATCH(COLUMNS($R$1006:W1006),$R$1006:$W$1006,0)))),"Fix")))</f>
        <v>0</v>
      </c>
      <c r="K701">
        <v>0</v>
      </c>
      <c r="L701">
        <v>0</v>
      </c>
      <c r="M701">
        <v>0</v>
      </c>
      <c r="N701">
        <f>IF(O701,TRUE,AND(R701:W701))</f>
        <v>0</v>
      </c>
      <c r="O701">
        <f>COUNTBLANK(Metadata!B701:G701)=COLUMNS(Metadata!B701:G701)</f>
        <v>0</v>
      </c>
      <c r="P701">
        <v>0</v>
      </c>
      <c r="R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S701">
        <f>IF(Metadata!C701="",FALSE,TRUE)</f>
        <v>0</v>
      </c>
      <c r="T701">
        <f>IF(Metadata!D701="",FALSE,TRUE)</f>
        <v>0</v>
      </c>
      <c r="U701">
        <f>IF(Metadata!E701="",FALSE,TRUE)</f>
        <v>0</v>
      </c>
      <c r="V701">
        <f>AND(IF(Metadata!F701="",FALSE,TRUE),exact(Metadata!F701,"rat gut metagenome"))</f>
        <v>0</v>
      </c>
      <c r="W701">
        <f>AND(IF(Metadata!G701="",FALSE,TRUE),exact(Metadata!G701,"1436733"))</f>
        <v>0</v>
      </c>
    </row>
    <row r="702" spans="1:23">
      <c r="A702" s="4">
        <f>IF(B702=" "," ",HYPERLINK(CONCATENATE("#metadata!",ADDRESS(INDEX($M$2:$M$1001,MATCH(ROWS($K$2:K702),$K$2:$K$1001,0),0),1)),INDEX($P$2:$P$1001,MATCH(ROWS($K$2:K702),$K$2:$K$1001,0),0)))</f>
        <v>0</v>
      </c>
      <c r="B702" s="3">
        <f>IF(OR(INDEX($L$2:$L$1001,MATCH(ROWS($K$2:K702),$K$2:$K$1001,0),1)&gt;=100000,INDEX($R$1005:$W$1005,1,MATCH(COLUMNS($R$1006:R1006),$R$1006:$W$1006,0))&gt;=100000), " ",IF(INDEX($R$2:$W$1001,MATCH(ROWS($K$2:K702),$K$2:$K$1001,0),MATCH(COLUMNS($R$1006:R1006),$R$1006:$W$1006,0)), HYPERLINK("#",""), HYPERLINK(CONCATENATE("#Metadata!", ADDRESS(INDEX($M$2:$M$1001,MATCH(ROWS($K$2:K702),$K$2:$K$1001,0),0), INDEX($R$1004:$W$1004,1,MATCH(COLUMNS($R$1006:R1006),$R$1006:$W$1006,0)))),"Fix")))</f>
        <v>0</v>
      </c>
      <c r="C702" s="3">
        <f>IF(OR(INDEX($L$2:$L$1001,MATCH(ROWS($K$2:K702),$K$2:$K$1001,0),1)&gt;=100000,INDEX($R$1005:$W$1005,1,MATCH(COLUMNS($R$1006:S1006),$R$1006:$W$1006,0))&gt;=100000), " ",IF(INDEX($R$2:$W$1001,MATCH(ROWS($K$2:K702),$K$2:$K$1001,0),MATCH(COLUMNS($R$1006:S1006),$R$1006:$W$1006,0)), HYPERLINK("#",""), HYPERLINK(CONCATENATE("#Metadata!", ADDRESS(INDEX($M$2:$M$1001,MATCH(ROWS($K$2:K702),$K$2:$K$1001,0),0), INDEX($R$1004:$W$1004,1,MATCH(COLUMNS($R$1006:S1006),$R$1006:$W$1006,0)))),"Fix")))</f>
        <v>0</v>
      </c>
      <c r="D702" s="3">
        <f>IF(OR(INDEX($L$2:$L$1001,MATCH(ROWS($K$2:K702),$K$2:$K$1001,0),1)&gt;=100000,INDEX($R$1005:$W$1005,1,MATCH(COLUMNS($R$1006:T1006),$R$1006:$W$1006,0))&gt;=100000), " ",IF(INDEX($R$2:$W$1001,MATCH(ROWS($K$2:K702),$K$2:$K$1001,0),MATCH(COLUMNS($R$1006:T1006),$R$1006:$W$1006,0)), HYPERLINK("#",""), HYPERLINK(CONCATENATE("#Metadata!", ADDRESS(INDEX($M$2:$M$1001,MATCH(ROWS($K$2:K702),$K$2:$K$1001,0),0), INDEX($R$1004:$W$1004,1,MATCH(COLUMNS($R$1006:T1006),$R$1006:$W$1006,0)))),"Fix")))</f>
        <v>0</v>
      </c>
      <c r="E702" s="3">
        <f>IF(OR(INDEX($L$2:$L$1001,MATCH(ROWS($K$2:K702),$K$2:$K$1001,0),1)&gt;=100000,INDEX($R$1005:$W$1005,1,MATCH(COLUMNS($R$1006:U1006),$R$1006:$W$1006,0))&gt;=100000), " ",IF(INDEX($R$2:$W$1001,MATCH(ROWS($K$2:K702),$K$2:$K$1001,0),MATCH(COLUMNS($R$1006:U1006),$R$1006:$W$1006,0)), HYPERLINK("#",""), HYPERLINK(CONCATENATE("#Metadata!", ADDRESS(INDEX($M$2:$M$1001,MATCH(ROWS($K$2:K702),$K$2:$K$1001,0),0), INDEX($R$1004:$W$1004,1,MATCH(COLUMNS($R$1006:U1006),$R$1006:$W$1006,0)))),"Fix")))</f>
        <v>0</v>
      </c>
      <c r="F702" s="3">
        <f>IF(OR(INDEX($L$2:$L$1001,MATCH(ROWS($K$2:K702),$K$2:$K$1001,0),1)&gt;=100000,INDEX($R$1005:$W$1005,1,MATCH(COLUMNS($R$1006:V1006),$R$1006:$W$1006,0))&gt;=100000), " ",IF(INDEX($R$2:$W$1001,MATCH(ROWS($K$2:K702),$K$2:$K$1001,0),MATCH(COLUMNS($R$1006:V1006),$R$1006:$W$1006,0)), HYPERLINK("#",""), HYPERLINK(CONCATENATE("#Metadata!", ADDRESS(INDEX($M$2:$M$1001,MATCH(ROWS($K$2:K702),$K$2:$K$1001,0),0), INDEX($R$1004:$W$1004,1,MATCH(COLUMNS($R$1006:V1006),$R$1006:$W$1006,0)))),"Fix")))</f>
        <v>0</v>
      </c>
      <c r="G702" s="3">
        <f>IF(OR(INDEX($L$2:$L$1001,MATCH(ROWS($K$2:K702),$K$2:$K$1001,0),1)&gt;=100000,INDEX($R$1005:$W$1005,1,MATCH(COLUMNS($R$1006:W1006),$R$1006:$W$1006,0))&gt;=100000), " ",IF(INDEX($R$2:$W$1001,MATCH(ROWS($K$2:K702),$K$2:$K$1001,0),MATCH(COLUMNS($R$1006:W1006),$R$1006:$W$1006,0)), HYPERLINK("#",""), HYPERLINK(CONCATENATE("#Metadata!", ADDRESS(INDEX($M$2:$M$1001,MATCH(ROWS($K$2:K702),$K$2:$K$1001,0),0), INDEX($R$1004:$W$1004,1,MATCH(COLUMNS($R$1006:W1006),$R$1006:$W$1006,0)))),"Fix")))</f>
        <v>0</v>
      </c>
      <c r="K702">
        <v>0</v>
      </c>
      <c r="L702">
        <v>0</v>
      </c>
      <c r="M702">
        <v>0</v>
      </c>
      <c r="N702">
        <f>IF(O702,TRUE,AND(R702:W702))</f>
        <v>0</v>
      </c>
      <c r="O702">
        <f>COUNTBLANK(Metadata!B702:G702)=COLUMNS(Metadata!B702:G702)</f>
        <v>0</v>
      </c>
      <c r="P702">
        <v>0</v>
      </c>
      <c r="R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S702">
        <f>IF(Metadata!C702="",FALSE,TRUE)</f>
        <v>0</v>
      </c>
      <c r="T702">
        <f>IF(Metadata!D702="",FALSE,TRUE)</f>
        <v>0</v>
      </c>
      <c r="U702">
        <f>IF(Metadata!E702="",FALSE,TRUE)</f>
        <v>0</v>
      </c>
      <c r="V702">
        <f>AND(IF(Metadata!F702="",FALSE,TRUE),exact(Metadata!F702,"rat gut metagenome"))</f>
        <v>0</v>
      </c>
      <c r="W702">
        <f>AND(IF(Metadata!G702="",FALSE,TRUE),exact(Metadata!G702,"1436733"))</f>
        <v>0</v>
      </c>
    </row>
    <row r="703" spans="1:23">
      <c r="A703" s="4">
        <f>IF(B703=" "," ",HYPERLINK(CONCATENATE("#metadata!",ADDRESS(INDEX($M$2:$M$1001,MATCH(ROWS($K$2:K703),$K$2:$K$1001,0),0),1)),INDEX($P$2:$P$1001,MATCH(ROWS($K$2:K703),$K$2:$K$1001,0),0)))</f>
        <v>0</v>
      </c>
      <c r="B703" s="3">
        <f>IF(OR(INDEX($L$2:$L$1001,MATCH(ROWS($K$2:K703),$K$2:$K$1001,0),1)&gt;=100000,INDEX($R$1005:$W$1005,1,MATCH(COLUMNS($R$1006:R1006),$R$1006:$W$1006,0))&gt;=100000), " ",IF(INDEX($R$2:$W$1001,MATCH(ROWS($K$2:K703),$K$2:$K$1001,0),MATCH(COLUMNS($R$1006:R1006),$R$1006:$W$1006,0)), HYPERLINK("#",""), HYPERLINK(CONCATENATE("#Metadata!", ADDRESS(INDEX($M$2:$M$1001,MATCH(ROWS($K$2:K703),$K$2:$K$1001,0),0), INDEX($R$1004:$W$1004,1,MATCH(COLUMNS($R$1006:R1006),$R$1006:$W$1006,0)))),"Fix")))</f>
        <v>0</v>
      </c>
      <c r="C703" s="3">
        <f>IF(OR(INDEX($L$2:$L$1001,MATCH(ROWS($K$2:K703),$K$2:$K$1001,0),1)&gt;=100000,INDEX($R$1005:$W$1005,1,MATCH(COLUMNS($R$1006:S1006),$R$1006:$W$1006,0))&gt;=100000), " ",IF(INDEX($R$2:$W$1001,MATCH(ROWS($K$2:K703),$K$2:$K$1001,0),MATCH(COLUMNS($R$1006:S1006),$R$1006:$W$1006,0)), HYPERLINK("#",""), HYPERLINK(CONCATENATE("#Metadata!", ADDRESS(INDEX($M$2:$M$1001,MATCH(ROWS($K$2:K703),$K$2:$K$1001,0),0), INDEX($R$1004:$W$1004,1,MATCH(COLUMNS($R$1006:S1006),$R$1006:$W$1006,0)))),"Fix")))</f>
        <v>0</v>
      </c>
      <c r="D703" s="3">
        <f>IF(OR(INDEX($L$2:$L$1001,MATCH(ROWS($K$2:K703),$K$2:$K$1001,0),1)&gt;=100000,INDEX($R$1005:$W$1005,1,MATCH(COLUMNS($R$1006:T1006),$R$1006:$W$1006,0))&gt;=100000), " ",IF(INDEX($R$2:$W$1001,MATCH(ROWS($K$2:K703),$K$2:$K$1001,0),MATCH(COLUMNS($R$1006:T1006),$R$1006:$W$1006,0)), HYPERLINK("#",""), HYPERLINK(CONCATENATE("#Metadata!", ADDRESS(INDEX($M$2:$M$1001,MATCH(ROWS($K$2:K703),$K$2:$K$1001,0),0), INDEX($R$1004:$W$1004,1,MATCH(COLUMNS($R$1006:T1006),$R$1006:$W$1006,0)))),"Fix")))</f>
        <v>0</v>
      </c>
      <c r="E703" s="3">
        <f>IF(OR(INDEX($L$2:$L$1001,MATCH(ROWS($K$2:K703),$K$2:$K$1001,0),1)&gt;=100000,INDEX($R$1005:$W$1005,1,MATCH(COLUMNS($R$1006:U1006),$R$1006:$W$1006,0))&gt;=100000), " ",IF(INDEX($R$2:$W$1001,MATCH(ROWS($K$2:K703),$K$2:$K$1001,0),MATCH(COLUMNS($R$1006:U1006),$R$1006:$W$1006,0)), HYPERLINK("#",""), HYPERLINK(CONCATENATE("#Metadata!", ADDRESS(INDEX($M$2:$M$1001,MATCH(ROWS($K$2:K703),$K$2:$K$1001,0),0), INDEX($R$1004:$W$1004,1,MATCH(COLUMNS($R$1006:U1006),$R$1006:$W$1006,0)))),"Fix")))</f>
        <v>0</v>
      </c>
      <c r="F703" s="3">
        <f>IF(OR(INDEX($L$2:$L$1001,MATCH(ROWS($K$2:K703),$K$2:$K$1001,0),1)&gt;=100000,INDEX($R$1005:$W$1005,1,MATCH(COLUMNS($R$1006:V1006),$R$1006:$W$1006,0))&gt;=100000), " ",IF(INDEX($R$2:$W$1001,MATCH(ROWS($K$2:K703),$K$2:$K$1001,0),MATCH(COLUMNS($R$1006:V1006),$R$1006:$W$1006,0)), HYPERLINK("#",""), HYPERLINK(CONCATENATE("#Metadata!", ADDRESS(INDEX($M$2:$M$1001,MATCH(ROWS($K$2:K703),$K$2:$K$1001,0),0), INDEX($R$1004:$W$1004,1,MATCH(COLUMNS($R$1006:V1006),$R$1006:$W$1006,0)))),"Fix")))</f>
        <v>0</v>
      </c>
      <c r="G703" s="3">
        <f>IF(OR(INDEX($L$2:$L$1001,MATCH(ROWS($K$2:K703),$K$2:$K$1001,0),1)&gt;=100000,INDEX($R$1005:$W$1005,1,MATCH(COLUMNS($R$1006:W1006),$R$1006:$W$1006,0))&gt;=100000), " ",IF(INDEX($R$2:$W$1001,MATCH(ROWS($K$2:K703),$K$2:$K$1001,0),MATCH(COLUMNS($R$1006:W1006),$R$1006:$W$1006,0)), HYPERLINK("#",""), HYPERLINK(CONCATENATE("#Metadata!", ADDRESS(INDEX($M$2:$M$1001,MATCH(ROWS($K$2:K703),$K$2:$K$1001,0),0), INDEX($R$1004:$W$1004,1,MATCH(COLUMNS($R$1006:W1006),$R$1006:$W$1006,0)))),"Fix")))</f>
        <v>0</v>
      </c>
      <c r="K703">
        <v>0</v>
      </c>
      <c r="L703">
        <v>0</v>
      </c>
      <c r="M703">
        <v>0</v>
      </c>
      <c r="N703">
        <f>IF(O703,TRUE,AND(R703:W703))</f>
        <v>0</v>
      </c>
      <c r="O703">
        <f>COUNTBLANK(Metadata!B703:G703)=COLUMNS(Metadata!B703:G703)</f>
        <v>0</v>
      </c>
      <c r="P703">
        <v>0</v>
      </c>
      <c r="R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S703">
        <f>IF(Metadata!C703="",FALSE,TRUE)</f>
        <v>0</v>
      </c>
      <c r="T703">
        <f>IF(Metadata!D703="",FALSE,TRUE)</f>
        <v>0</v>
      </c>
      <c r="U703">
        <f>IF(Metadata!E703="",FALSE,TRUE)</f>
        <v>0</v>
      </c>
      <c r="V703">
        <f>AND(IF(Metadata!F703="",FALSE,TRUE),exact(Metadata!F703,"rat gut metagenome"))</f>
        <v>0</v>
      </c>
      <c r="W703">
        <f>AND(IF(Metadata!G703="",FALSE,TRUE),exact(Metadata!G703,"1436733"))</f>
        <v>0</v>
      </c>
    </row>
    <row r="704" spans="1:23">
      <c r="A704" s="4">
        <f>IF(B704=" "," ",HYPERLINK(CONCATENATE("#metadata!",ADDRESS(INDEX($M$2:$M$1001,MATCH(ROWS($K$2:K704),$K$2:$K$1001,0),0),1)),INDEX($P$2:$P$1001,MATCH(ROWS($K$2:K704),$K$2:$K$1001,0),0)))</f>
        <v>0</v>
      </c>
      <c r="B704" s="3">
        <f>IF(OR(INDEX($L$2:$L$1001,MATCH(ROWS($K$2:K704),$K$2:$K$1001,0),1)&gt;=100000,INDEX($R$1005:$W$1005,1,MATCH(COLUMNS($R$1006:R1006),$R$1006:$W$1006,0))&gt;=100000), " ",IF(INDEX($R$2:$W$1001,MATCH(ROWS($K$2:K704),$K$2:$K$1001,0),MATCH(COLUMNS($R$1006:R1006),$R$1006:$W$1006,0)), HYPERLINK("#",""), HYPERLINK(CONCATENATE("#Metadata!", ADDRESS(INDEX($M$2:$M$1001,MATCH(ROWS($K$2:K704),$K$2:$K$1001,0),0), INDEX($R$1004:$W$1004,1,MATCH(COLUMNS($R$1006:R1006),$R$1006:$W$1006,0)))),"Fix")))</f>
        <v>0</v>
      </c>
      <c r="C704" s="3">
        <f>IF(OR(INDEX($L$2:$L$1001,MATCH(ROWS($K$2:K704),$K$2:$K$1001,0),1)&gt;=100000,INDEX($R$1005:$W$1005,1,MATCH(COLUMNS($R$1006:S1006),$R$1006:$W$1006,0))&gt;=100000), " ",IF(INDEX($R$2:$W$1001,MATCH(ROWS($K$2:K704),$K$2:$K$1001,0),MATCH(COLUMNS($R$1006:S1006),$R$1006:$W$1006,0)), HYPERLINK("#",""), HYPERLINK(CONCATENATE("#Metadata!", ADDRESS(INDEX($M$2:$M$1001,MATCH(ROWS($K$2:K704),$K$2:$K$1001,0),0), INDEX($R$1004:$W$1004,1,MATCH(COLUMNS($R$1006:S1006),$R$1006:$W$1006,0)))),"Fix")))</f>
        <v>0</v>
      </c>
      <c r="D704" s="3">
        <f>IF(OR(INDEX($L$2:$L$1001,MATCH(ROWS($K$2:K704),$K$2:$K$1001,0),1)&gt;=100000,INDEX($R$1005:$W$1005,1,MATCH(COLUMNS($R$1006:T1006),$R$1006:$W$1006,0))&gt;=100000), " ",IF(INDEX($R$2:$W$1001,MATCH(ROWS($K$2:K704),$K$2:$K$1001,0),MATCH(COLUMNS($R$1006:T1006),$R$1006:$W$1006,0)), HYPERLINK("#",""), HYPERLINK(CONCATENATE("#Metadata!", ADDRESS(INDEX($M$2:$M$1001,MATCH(ROWS($K$2:K704),$K$2:$K$1001,0),0), INDEX($R$1004:$W$1004,1,MATCH(COLUMNS($R$1006:T1006),$R$1006:$W$1006,0)))),"Fix")))</f>
        <v>0</v>
      </c>
      <c r="E704" s="3">
        <f>IF(OR(INDEX($L$2:$L$1001,MATCH(ROWS($K$2:K704),$K$2:$K$1001,0),1)&gt;=100000,INDEX($R$1005:$W$1005,1,MATCH(COLUMNS($R$1006:U1006),$R$1006:$W$1006,0))&gt;=100000), " ",IF(INDEX($R$2:$W$1001,MATCH(ROWS($K$2:K704),$K$2:$K$1001,0),MATCH(COLUMNS($R$1006:U1006),$R$1006:$W$1006,0)), HYPERLINK("#",""), HYPERLINK(CONCATENATE("#Metadata!", ADDRESS(INDEX($M$2:$M$1001,MATCH(ROWS($K$2:K704),$K$2:$K$1001,0),0), INDEX($R$1004:$W$1004,1,MATCH(COLUMNS($R$1006:U1006),$R$1006:$W$1006,0)))),"Fix")))</f>
        <v>0</v>
      </c>
      <c r="F704" s="3">
        <f>IF(OR(INDEX($L$2:$L$1001,MATCH(ROWS($K$2:K704),$K$2:$K$1001,0),1)&gt;=100000,INDEX($R$1005:$W$1005,1,MATCH(COLUMNS($R$1006:V1006),$R$1006:$W$1006,0))&gt;=100000), " ",IF(INDEX($R$2:$W$1001,MATCH(ROWS($K$2:K704),$K$2:$K$1001,0),MATCH(COLUMNS($R$1006:V1006),$R$1006:$W$1006,0)), HYPERLINK("#",""), HYPERLINK(CONCATENATE("#Metadata!", ADDRESS(INDEX($M$2:$M$1001,MATCH(ROWS($K$2:K704),$K$2:$K$1001,0),0), INDEX($R$1004:$W$1004,1,MATCH(COLUMNS($R$1006:V1006),$R$1006:$W$1006,0)))),"Fix")))</f>
        <v>0</v>
      </c>
      <c r="G704" s="3">
        <f>IF(OR(INDEX($L$2:$L$1001,MATCH(ROWS($K$2:K704),$K$2:$K$1001,0),1)&gt;=100000,INDEX($R$1005:$W$1005,1,MATCH(COLUMNS($R$1006:W1006),$R$1006:$W$1006,0))&gt;=100000), " ",IF(INDEX($R$2:$W$1001,MATCH(ROWS($K$2:K704),$K$2:$K$1001,0),MATCH(COLUMNS($R$1006:W1006),$R$1006:$W$1006,0)), HYPERLINK("#",""), HYPERLINK(CONCATENATE("#Metadata!", ADDRESS(INDEX($M$2:$M$1001,MATCH(ROWS($K$2:K704),$K$2:$K$1001,0),0), INDEX($R$1004:$W$1004,1,MATCH(COLUMNS($R$1006:W1006),$R$1006:$W$1006,0)))),"Fix")))</f>
        <v>0</v>
      </c>
      <c r="K704">
        <v>0</v>
      </c>
      <c r="L704">
        <v>0</v>
      </c>
      <c r="M704">
        <v>0</v>
      </c>
      <c r="N704">
        <f>IF(O704,TRUE,AND(R704:W704))</f>
        <v>0</v>
      </c>
      <c r="O704">
        <f>COUNTBLANK(Metadata!B704:G704)=COLUMNS(Metadata!B704:G704)</f>
        <v>0</v>
      </c>
      <c r="P704">
        <v>0</v>
      </c>
      <c r="R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S704">
        <f>IF(Metadata!C704="",FALSE,TRUE)</f>
        <v>0</v>
      </c>
      <c r="T704">
        <f>IF(Metadata!D704="",FALSE,TRUE)</f>
        <v>0</v>
      </c>
      <c r="U704">
        <f>IF(Metadata!E704="",FALSE,TRUE)</f>
        <v>0</v>
      </c>
      <c r="V704">
        <f>AND(IF(Metadata!F704="",FALSE,TRUE),exact(Metadata!F704,"rat gut metagenome"))</f>
        <v>0</v>
      </c>
      <c r="W704">
        <f>AND(IF(Metadata!G704="",FALSE,TRUE),exact(Metadata!G704,"1436733"))</f>
        <v>0</v>
      </c>
    </row>
    <row r="705" spans="1:23">
      <c r="A705" s="4">
        <f>IF(B705=" "," ",HYPERLINK(CONCATENATE("#metadata!",ADDRESS(INDEX($M$2:$M$1001,MATCH(ROWS($K$2:K705),$K$2:$K$1001,0),0),1)),INDEX($P$2:$P$1001,MATCH(ROWS($K$2:K705),$K$2:$K$1001,0),0)))</f>
        <v>0</v>
      </c>
      <c r="B705" s="3">
        <f>IF(OR(INDEX($L$2:$L$1001,MATCH(ROWS($K$2:K705),$K$2:$K$1001,0),1)&gt;=100000,INDEX($R$1005:$W$1005,1,MATCH(COLUMNS($R$1006:R1006),$R$1006:$W$1006,0))&gt;=100000), " ",IF(INDEX($R$2:$W$1001,MATCH(ROWS($K$2:K705),$K$2:$K$1001,0),MATCH(COLUMNS($R$1006:R1006),$R$1006:$W$1006,0)), HYPERLINK("#",""), HYPERLINK(CONCATENATE("#Metadata!", ADDRESS(INDEX($M$2:$M$1001,MATCH(ROWS($K$2:K705),$K$2:$K$1001,0),0), INDEX($R$1004:$W$1004,1,MATCH(COLUMNS($R$1006:R1006),$R$1006:$W$1006,0)))),"Fix")))</f>
        <v>0</v>
      </c>
      <c r="C705" s="3">
        <f>IF(OR(INDEX($L$2:$L$1001,MATCH(ROWS($K$2:K705),$K$2:$K$1001,0),1)&gt;=100000,INDEX($R$1005:$W$1005,1,MATCH(COLUMNS($R$1006:S1006),$R$1006:$W$1006,0))&gt;=100000), " ",IF(INDEX($R$2:$W$1001,MATCH(ROWS($K$2:K705),$K$2:$K$1001,0),MATCH(COLUMNS($R$1006:S1006),$R$1006:$W$1006,0)), HYPERLINK("#",""), HYPERLINK(CONCATENATE("#Metadata!", ADDRESS(INDEX($M$2:$M$1001,MATCH(ROWS($K$2:K705),$K$2:$K$1001,0),0), INDEX($R$1004:$W$1004,1,MATCH(COLUMNS($R$1006:S1006),$R$1006:$W$1006,0)))),"Fix")))</f>
        <v>0</v>
      </c>
      <c r="D705" s="3">
        <f>IF(OR(INDEX($L$2:$L$1001,MATCH(ROWS($K$2:K705),$K$2:$K$1001,0),1)&gt;=100000,INDEX($R$1005:$W$1005,1,MATCH(COLUMNS($R$1006:T1006),$R$1006:$W$1006,0))&gt;=100000), " ",IF(INDEX($R$2:$W$1001,MATCH(ROWS($K$2:K705),$K$2:$K$1001,0),MATCH(COLUMNS($R$1006:T1006),$R$1006:$W$1006,0)), HYPERLINK("#",""), HYPERLINK(CONCATENATE("#Metadata!", ADDRESS(INDEX($M$2:$M$1001,MATCH(ROWS($K$2:K705),$K$2:$K$1001,0),0), INDEX($R$1004:$W$1004,1,MATCH(COLUMNS($R$1006:T1006),$R$1006:$W$1006,0)))),"Fix")))</f>
        <v>0</v>
      </c>
      <c r="E705" s="3">
        <f>IF(OR(INDEX($L$2:$L$1001,MATCH(ROWS($K$2:K705),$K$2:$K$1001,0),1)&gt;=100000,INDEX($R$1005:$W$1005,1,MATCH(COLUMNS($R$1006:U1006),$R$1006:$W$1006,0))&gt;=100000), " ",IF(INDEX($R$2:$W$1001,MATCH(ROWS($K$2:K705),$K$2:$K$1001,0),MATCH(COLUMNS($R$1006:U1006),$R$1006:$W$1006,0)), HYPERLINK("#",""), HYPERLINK(CONCATENATE("#Metadata!", ADDRESS(INDEX($M$2:$M$1001,MATCH(ROWS($K$2:K705),$K$2:$K$1001,0),0), INDEX($R$1004:$W$1004,1,MATCH(COLUMNS($R$1006:U1006),$R$1006:$W$1006,0)))),"Fix")))</f>
        <v>0</v>
      </c>
      <c r="F705" s="3">
        <f>IF(OR(INDEX($L$2:$L$1001,MATCH(ROWS($K$2:K705),$K$2:$K$1001,0),1)&gt;=100000,INDEX($R$1005:$W$1005,1,MATCH(COLUMNS($R$1006:V1006),$R$1006:$W$1006,0))&gt;=100000), " ",IF(INDEX($R$2:$W$1001,MATCH(ROWS($K$2:K705),$K$2:$K$1001,0),MATCH(COLUMNS($R$1006:V1006),$R$1006:$W$1006,0)), HYPERLINK("#",""), HYPERLINK(CONCATENATE("#Metadata!", ADDRESS(INDEX($M$2:$M$1001,MATCH(ROWS($K$2:K705),$K$2:$K$1001,0),0), INDEX($R$1004:$W$1004,1,MATCH(COLUMNS($R$1006:V1006),$R$1006:$W$1006,0)))),"Fix")))</f>
        <v>0</v>
      </c>
      <c r="G705" s="3">
        <f>IF(OR(INDEX($L$2:$L$1001,MATCH(ROWS($K$2:K705),$K$2:$K$1001,0),1)&gt;=100000,INDEX($R$1005:$W$1005,1,MATCH(COLUMNS($R$1006:W1006),$R$1006:$W$1006,0))&gt;=100000), " ",IF(INDEX($R$2:$W$1001,MATCH(ROWS($K$2:K705),$K$2:$K$1001,0),MATCH(COLUMNS($R$1006:W1006),$R$1006:$W$1006,0)), HYPERLINK("#",""), HYPERLINK(CONCATENATE("#Metadata!", ADDRESS(INDEX($M$2:$M$1001,MATCH(ROWS($K$2:K705),$K$2:$K$1001,0),0), INDEX($R$1004:$W$1004,1,MATCH(COLUMNS($R$1006:W1006),$R$1006:$W$1006,0)))),"Fix")))</f>
        <v>0</v>
      </c>
      <c r="K705">
        <v>0</v>
      </c>
      <c r="L705">
        <v>0</v>
      </c>
      <c r="M705">
        <v>0</v>
      </c>
      <c r="N705">
        <f>IF(O705,TRUE,AND(R705:W705))</f>
        <v>0</v>
      </c>
      <c r="O705">
        <f>COUNTBLANK(Metadata!B705:G705)=COLUMNS(Metadata!B705:G705)</f>
        <v>0</v>
      </c>
      <c r="P705">
        <v>0</v>
      </c>
      <c r="R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S705">
        <f>IF(Metadata!C705="",FALSE,TRUE)</f>
        <v>0</v>
      </c>
      <c r="T705">
        <f>IF(Metadata!D705="",FALSE,TRUE)</f>
        <v>0</v>
      </c>
      <c r="U705">
        <f>IF(Metadata!E705="",FALSE,TRUE)</f>
        <v>0</v>
      </c>
      <c r="V705">
        <f>AND(IF(Metadata!F705="",FALSE,TRUE),exact(Metadata!F705,"rat gut metagenome"))</f>
        <v>0</v>
      </c>
      <c r="W705">
        <f>AND(IF(Metadata!G705="",FALSE,TRUE),exact(Metadata!G705,"1436733"))</f>
        <v>0</v>
      </c>
    </row>
    <row r="706" spans="1:23">
      <c r="A706" s="4">
        <f>IF(B706=" "," ",HYPERLINK(CONCATENATE("#metadata!",ADDRESS(INDEX($M$2:$M$1001,MATCH(ROWS($K$2:K706),$K$2:$K$1001,0),0),1)),INDEX($P$2:$P$1001,MATCH(ROWS($K$2:K706),$K$2:$K$1001,0),0)))</f>
        <v>0</v>
      </c>
      <c r="B706" s="3">
        <f>IF(OR(INDEX($L$2:$L$1001,MATCH(ROWS($K$2:K706),$K$2:$K$1001,0),1)&gt;=100000,INDEX($R$1005:$W$1005,1,MATCH(COLUMNS($R$1006:R1006),$R$1006:$W$1006,0))&gt;=100000), " ",IF(INDEX($R$2:$W$1001,MATCH(ROWS($K$2:K706),$K$2:$K$1001,0),MATCH(COLUMNS($R$1006:R1006),$R$1006:$W$1006,0)), HYPERLINK("#",""), HYPERLINK(CONCATENATE("#Metadata!", ADDRESS(INDEX($M$2:$M$1001,MATCH(ROWS($K$2:K706),$K$2:$K$1001,0),0), INDEX($R$1004:$W$1004,1,MATCH(COLUMNS($R$1006:R1006),$R$1006:$W$1006,0)))),"Fix")))</f>
        <v>0</v>
      </c>
      <c r="C706" s="3">
        <f>IF(OR(INDEX($L$2:$L$1001,MATCH(ROWS($K$2:K706),$K$2:$K$1001,0),1)&gt;=100000,INDEX($R$1005:$W$1005,1,MATCH(COLUMNS($R$1006:S1006),$R$1006:$W$1006,0))&gt;=100000), " ",IF(INDEX($R$2:$W$1001,MATCH(ROWS($K$2:K706),$K$2:$K$1001,0),MATCH(COLUMNS($R$1006:S1006),$R$1006:$W$1006,0)), HYPERLINK("#",""), HYPERLINK(CONCATENATE("#Metadata!", ADDRESS(INDEX($M$2:$M$1001,MATCH(ROWS($K$2:K706),$K$2:$K$1001,0),0), INDEX($R$1004:$W$1004,1,MATCH(COLUMNS($R$1006:S1006),$R$1006:$W$1006,0)))),"Fix")))</f>
        <v>0</v>
      </c>
      <c r="D706" s="3">
        <f>IF(OR(INDEX($L$2:$L$1001,MATCH(ROWS($K$2:K706),$K$2:$K$1001,0),1)&gt;=100000,INDEX($R$1005:$W$1005,1,MATCH(COLUMNS($R$1006:T1006),$R$1006:$W$1006,0))&gt;=100000), " ",IF(INDEX($R$2:$W$1001,MATCH(ROWS($K$2:K706),$K$2:$K$1001,0),MATCH(COLUMNS($R$1006:T1006),$R$1006:$W$1006,0)), HYPERLINK("#",""), HYPERLINK(CONCATENATE("#Metadata!", ADDRESS(INDEX($M$2:$M$1001,MATCH(ROWS($K$2:K706),$K$2:$K$1001,0),0), INDEX($R$1004:$W$1004,1,MATCH(COLUMNS($R$1006:T1006),$R$1006:$W$1006,0)))),"Fix")))</f>
        <v>0</v>
      </c>
      <c r="E706" s="3">
        <f>IF(OR(INDEX($L$2:$L$1001,MATCH(ROWS($K$2:K706),$K$2:$K$1001,0),1)&gt;=100000,INDEX($R$1005:$W$1005,1,MATCH(COLUMNS($R$1006:U1006),$R$1006:$W$1006,0))&gt;=100000), " ",IF(INDEX($R$2:$W$1001,MATCH(ROWS($K$2:K706),$K$2:$K$1001,0),MATCH(COLUMNS($R$1006:U1006),$R$1006:$W$1006,0)), HYPERLINK("#",""), HYPERLINK(CONCATENATE("#Metadata!", ADDRESS(INDEX($M$2:$M$1001,MATCH(ROWS($K$2:K706),$K$2:$K$1001,0),0), INDEX($R$1004:$W$1004,1,MATCH(COLUMNS($R$1006:U1006),$R$1006:$W$1006,0)))),"Fix")))</f>
        <v>0</v>
      </c>
      <c r="F706" s="3">
        <f>IF(OR(INDEX($L$2:$L$1001,MATCH(ROWS($K$2:K706),$K$2:$K$1001,0),1)&gt;=100000,INDEX($R$1005:$W$1005,1,MATCH(COLUMNS($R$1006:V1006),$R$1006:$W$1006,0))&gt;=100000), " ",IF(INDEX($R$2:$W$1001,MATCH(ROWS($K$2:K706),$K$2:$K$1001,0),MATCH(COLUMNS($R$1006:V1006),$R$1006:$W$1006,0)), HYPERLINK("#",""), HYPERLINK(CONCATENATE("#Metadata!", ADDRESS(INDEX($M$2:$M$1001,MATCH(ROWS($K$2:K706),$K$2:$K$1001,0),0), INDEX($R$1004:$W$1004,1,MATCH(COLUMNS($R$1006:V1006),$R$1006:$W$1006,0)))),"Fix")))</f>
        <v>0</v>
      </c>
      <c r="G706" s="3">
        <f>IF(OR(INDEX($L$2:$L$1001,MATCH(ROWS($K$2:K706),$K$2:$K$1001,0),1)&gt;=100000,INDEX($R$1005:$W$1005,1,MATCH(COLUMNS($R$1006:W1006),$R$1006:$W$1006,0))&gt;=100000), " ",IF(INDEX($R$2:$W$1001,MATCH(ROWS($K$2:K706),$K$2:$K$1001,0),MATCH(COLUMNS($R$1006:W1006),$R$1006:$W$1006,0)), HYPERLINK("#",""), HYPERLINK(CONCATENATE("#Metadata!", ADDRESS(INDEX($M$2:$M$1001,MATCH(ROWS($K$2:K706),$K$2:$K$1001,0),0), INDEX($R$1004:$W$1004,1,MATCH(COLUMNS($R$1006:W1006),$R$1006:$W$1006,0)))),"Fix")))</f>
        <v>0</v>
      </c>
      <c r="K706">
        <v>0</v>
      </c>
      <c r="L706">
        <v>0</v>
      </c>
      <c r="M706">
        <v>0</v>
      </c>
      <c r="N706">
        <f>IF(O706,TRUE,AND(R706:W706))</f>
        <v>0</v>
      </c>
      <c r="O706">
        <f>COUNTBLANK(Metadata!B706:G706)=COLUMNS(Metadata!B706:G706)</f>
        <v>0</v>
      </c>
      <c r="P706">
        <v>0</v>
      </c>
      <c r="R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S706">
        <f>IF(Metadata!C706="",FALSE,TRUE)</f>
        <v>0</v>
      </c>
      <c r="T706">
        <f>IF(Metadata!D706="",FALSE,TRUE)</f>
        <v>0</v>
      </c>
      <c r="U706">
        <f>IF(Metadata!E706="",FALSE,TRUE)</f>
        <v>0</v>
      </c>
      <c r="V706">
        <f>AND(IF(Metadata!F706="",FALSE,TRUE),exact(Metadata!F706,"rat gut metagenome"))</f>
        <v>0</v>
      </c>
      <c r="W706">
        <f>AND(IF(Metadata!G706="",FALSE,TRUE),exact(Metadata!G706,"1436733"))</f>
        <v>0</v>
      </c>
    </row>
    <row r="707" spans="1:23">
      <c r="A707" s="4">
        <f>IF(B707=" "," ",HYPERLINK(CONCATENATE("#metadata!",ADDRESS(INDEX($M$2:$M$1001,MATCH(ROWS($K$2:K707),$K$2:$K$1001,0),0),1)),INDEX($P$2:$P$1001,MATCH(ROWS($K$2:K707),$K$2:$K$1001,0),0)))</f>
        <v>0</v>
      </c>
      <c r="B707" s="3">
        <f>IF(OR(INDEX($L$2:$L$1001,MATCH(ROWS($K$2:K707),$K$2:$K$1001,0),1)&gt;=100000,INDEX($R$1005:$W$1005,1,MATCH(COLUMNS($R$1006:R1006),$R$1006:$W$1006,0))&gt;=100000), " ",IF(INDEX($R$2:$W$1001,MATCH(ROWS($K$2:K707),$K$2:$K$1001,0),MATCH(COLUMNS($R$1006:R1006),$R$1006:$W$1006,0)), HYPERLINK("#",""), HYPERLINK(CONCATENATE("#Metadata!", ADDRESS(INDEX($M$2:$M$1001,MATCH(ROWS($K$2:K707),$K$2:$K$1001,0),0), INDEX($R$1004:$W$1004,1,MATCH(COLUMNS($R$1006:R1006),$R$1006:$W$1006,0)))),"Fix")))</f>
        <v>0</v>
      </c>
      <c r="C707" s="3">
        <f>IF(OR(INDEX($L$2:$L$1001,MATCH(ROWS($K$2:K707),$K$2:$K$1001,0),1)&gt;=100000,INDEX($R$1005:$W$1005,1,MATCH(COLUMNS($R$1006:S1006),$R$1006:$W$1006,0))&gt;=100000), " ",IF(INDEX($R$2:$W$1001,MATCH(ROWS($K$2:K707),$K$2:$K$1001,0),MATCH(COLUMNS($R$1006:S1006),$R$1006:$W$1006,0)), HYPERLINK("#",""), HYPERLINK(CONCATENATE("#Metadata!", ADDRESS(INDEX($M$2:$M$1001,MATCH(ROWS($K$2:K707),$K$2:$K$1001,0),0), INDEX($R$1004:$W$1004,1,MATCH(COLUMNS($R$1006:S1006),$R$1006:$W$1006,0)))),"Fix")))</f>
        <v>0</v>
      </c>
      <c r="D707" s="3">
        <f>IF(OR(INDEX($L$2:$L$1001,MATCH(ROWS($K$2:K707),$K$2:$K$1001,0),1)&gt;=100000,INDEX($R$1005:$W$1005,1,MATCH(COLUMNS($R$1006:T1006),$R$1006:$W$1006,0))&gt;=100000), " ",IF(INDEX($R$2:$W$1001,MATCH(ROWS($K$2:K707),$K$2:$K$1001,0),MATCH(COLUMNS($R$1006:T1006),$R$1006:$W$1006,0)), HYPERLINK("#",""), HYPERLINK(CONCATENATE("#Metadata!", ADDRESS(INDEX($M$2:$M$1001,MATCH(ROWS($K$2:K707),$K$2:$K$1001,0),0), INDEX($R$1004:$W$1004,1,MATCH(COLUMNS($R$1006:T1006),$R$1006:$W$1006,0)))),"Fix")))</f>
        <v>0</v>
      </c>
      <c r="E707" s="3">
        <f>IF(OR(INDEX($L$2:$L$1001,MATCH(ROWS($K$2:K707),$K$2:$K$1001,0),1)&gt;=100000,INDEX($R$1005:$W$1005,1,MATCH(COLUMNS($R$1006:U1006),$R$1006:$W$1006,0))&gt;=100000), " ",IF(INDEX($R$2:$W$1001,MATCH(ROWS($K$2:K707),$K$2:$K$1001,0),MATCH(COLUMNS($R$1006:U1006),$R$1006:$W$1006,0)), HYPERLINK("#",""), HYPERLINK(CONCATENATE("#Metadata!", ADDRESS(INDEX($M$2:$M$1001,MATCH(ROWS($K$2:K707),$K$2:$K$1001,0),0), INDEX($R$1004:$W$1004,1,MATCH(COLUMNS($R$1006:U1006),$R$1006:$W$1006,0)))),"Fix")))</f>
        <v>0</v>
      </c>
      <c r="F707" s="3">
        <f>IF(OR(INDEX($L$2:$L$1001,MATCH(ROWS($K$2:K707),$K$2:$K$1001,0),1)&gt;=100000,INDEX($R$1005:$W$1005,1,MATCH(COLUMNS($R$1006:V1006),$R$1006:$W$1006,0))&gt;=100000), " ",IF(INDEX($R$2:$W$1001,MATCH(ROWS($K$2:K707),$K$2:$K$1001,0),MATCH(COLUMNS($R$1006:V1006),$R$1006:$W$1006,0)), HYPERLINK("#",""), HYPERLINK(CONCATENATE("#Metadata!", ADDRESS(INDEX($M$2:$M$1001,MATCH(ROWS($K$2:K707),$K$2:$K$1001,0),0), INDEX($R$1004:$W$1004,1,MATCH(COLUMNS($R$1006:V1006),$R$1006:$W$1006,0)))),"Fix")))</f>
        <v>0</v>
      </c>
      <c r="G707" s="3">
        <f>IF(OR(INDEX($L$2:$L$1001,MATCH(ROWS($K$2:K707),$K$2:$K$1001,0),1)&gt;=100000,INDEX($R$1005:$W$1005,1,MATCH(COLUMNS($R$1006:W1006),$R$1006:$W$1006,0))&gt;=100000), " ",IF(INDEX($R$2:$W$1001,MATCH(ROWS($K$2:K707),$K$2:$K$1001,0),MATCH(COLUMNS($R$1006:W1006),$R$1006:$W$1006,0)), HYPERLINK("#",""), HYPERLINK(CONCATENATE("#Metadata!", ADDRESS(INDEX($M$2:$M$1001,MATCH(ROWS($K$2:K707),$K$2:$K$1001,0),0), INDEX($R$1004:$W$1004,1,MATCH(COLUMNS($R$1006:W1006),$R$1006:$W$1006,0)))),"Fix")))</f>
        <v>0</v>
      </c>
      <c r="K707">
        <v>0</v>
      </c>
      <c r="L707">
        <v>0</v>
      </c>
      <c r="M707">
        <v>0</v>
      </c>
      <c r="N707">
        <f>IF(O707,TRUE,AND(R707:W707))</f>
        <v>0</v>
      </c>
      <c r="O707">
        <f>COUNTBLANK(Metadata!B707:G707)=COLUMNS(Metadata!B707:G707)</f>
        <v>0</v>
      </c>
      <c r="P707">
        <v>0</v>
      </c>
      <c r="R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S707">
        <f>IF(Metadata!C707="",FALSE,TRUE)</f>
        <v>0</v>
      </c>
      <c r="T707">
        <f>IF(Metadata!D707="",FALSE,TRUE)</f>
        <v>0</v>
      </c>
      <c r="U707">
        <f>IF(Metadata!E707="",FALSE,TRUE)</f>
        <v>0</v>
      </c>
      <c r="V707">
        <f>AND(IF(Metadata!F707="",FALSE,TRUE),exact(Metadata!F707,"rat gut metagenome"))</f>
        <v>0</v>
      </c>
      <c r="W707">
        <f>AND(IF(Metadata!G707="",FALSE,TRUE),exact(Metadata!G707,"1436733"))</f>
        <v>0</v>
      </c>
    </row>
    <row r="708" spans="1:23">
      <c r="A708" s="4">
        <f>IF(B708=" "," ",HYPERLINK(CONCATENATE("#metadata!",ADDRESS(INDEX($M$2:$M$1001,MATCH(ROWS($K$2:K708),$K$2:$K$1001,0),0),1)),INDEX($P$2:$P$1001,MATCH(ROWS($K$2:K708),$K$2:$K$1001,0),0)))</f>
        <v>0</v>
      </c>
      <c r="B708" s="3">
        <f>IF(OR(INDEX($L$2:$L$1001,MATCH(ROWS($K$2:K708),$K$2:$K$1001,0),1)&gt;=100000,INDEX($R$1005:$W$1005,1,MATCH(COLUMNS($R$1006:R1006),$R$1006:$W$1006,0))&gt;=100000), " ",IF(INDEX($R$2:$W$1001,MATCH(ROWS($K$2:K708),$K$2:$K$1001,0),MATCH(COLUMNS($R$1006:R1006),$R$1006:$W$1006,0)), HYPERLINK("#",""), HYPERLINK(CONCATENATE("#Metadata!", ADDRESS(INDEX($M$2:$M$1001,MATCH(ROWS($K$2:K708),$K$2:$K$1001,0),0), INDEX($R$1004:$W$1004,1,MATCH(COLUMNS($R$1006:R1006),$R$1006:$W$1006,0)))),"Fix")))</f>
        <v>0</v>
      </c>
      <c r="C708" s="3">
        <f>IF(OR(INDEX($L$2:$L$1001,MATCH(ROWS($K$2:K708),$K$2:$K$1001,0),1)&gt;=100000,INDEX($R$1005:$W$1005,1,MATCH(COLUMNS($R$1006:S1006),$R$1006:$W$1006,0))&gt;=100000), " ",IF(INDEX($R$2:$W$1001,MATCH(ROWS($K$2:K708),$K$2:$K$1001,0),MATCH(COLUMNS($R$1006:S1006),$R$1006:$W$1006,0)), HYPERLINK("#",""), HYPERLINK(CONCATENATE("#Metadata!", ADDRESS(INDEX($M$2:$M$1001,MATCH(ROWS($K$2:K708),$K$2:$K$1001,0),0), INDEX($R$1004:$W$1004,1,MATCH(COLUMNS($R$1006:S1006),$R$1006:$W$1006,0)))),"Fix")))</f>
        <v>0</v>
      </c>
      <c r="D708" s="3">
        <f>IF(OR(INDEX($L$2:$L$1001,MATCH(ROWS($K$2:K708),$K$2:$K$1001,0),1)&gt;=100000,INDEX($R$1005:$W$1005,1,MATCH(COLUMNS($R$1006:T1006),$R$1006:$W$1006,0))&gt;=100000), " ",IF(INDEX($R$2:$W$1001,MATCH(ROWS($K$2:K708),$K$2:$K$1001,0),MATCH(COLUMNS($R$1006:T1006),$R$1006:$W$1006,0)), HYPERLINK("#",""), HYPERLINK(CONCATENATE("#Metadata!", ADDRESS(INDEX($M$2:$M$1001,MATCH(ROWS($K$2:K708),$K$2:$K$1001,0),0), INDEX($R$1004:$W$1004,1,MATCH(COLUMNS($R$1006:T1006),$R$1006:$W$1006,0)))),"Fix")))</f>
        <v>0</v>
      </c>
      <c r="E708" s="3">
        <f>IF(OR(INDEX($L$2:$L$1001,MATCH(ROWS($K$2:K708),$K$2:$K$1001,0),1)&gt;=100000,INDEX($R$1005:$W$1005,1,MATCH(COLUMNS($R$1006:U1006),$R$1006:$W$1006,0))&gt;=100000), " ",IF(INDEX($R$2:$W$1001,MATCH(ROWS($K$2:K708),$K$2:$K$1001,0),MATCH(COLUMNS($R$1006:U1006),$R$1006:$W$1006,0)), HYPERLINK("#",""), HYPERLINK(CONCATENATE("#Metadata!", ADDRESS(INDEX($M$2:$M$1001,MATCH(ROWS($K$2:K708),$K$2:$K$1001,0),0), INDEX($R$1004:$W$1004,1,MATCH(COLUMNS($R$1006:U1006),$R$1006:$W$1006,0)))),"Fix")))</f>
        <v>0</v>
      </c>
      <c r="F708" s="3">
        <f>IF(OR(INDEX($L$2:$L$1001,MATCH(ROWS($K$2:K708),$K$2:$K$1001,0),1)&gt;=100000,INDEX($R$1005:$W$1005,1,MATCH(COLUMNS($R$1006:V1006),$R$1006:$W$1006,0))&gt;=100000), " ",IF(INDEX($R$2:$W$1001,MATCH(ROWS($K$2:K708),$K$2:$K$1001,0),MATCH(COLUMNS($R$1006:V1006),$R$1006:$W$1006,0)), HYPERLINK("#",""), HYPERLINK(CONCATENATE("#Metadata!", ADDRESS(INDEX($M$2:$M$1001,MATCH(ROWS($K$2:K708),$K$2:$K$1001,0),0), INDEX($R$1004:$W$1004,1,MATCH(COLUMNS($R$1006:V1006),$R$1006:$W$1006,0)))),"Fix")))</f>
        <v>0</v>
      </c>
      <c r="G708" s="3">
        <f>IF(OR(INDEX($L$2:$L$1001,MATCH(ROWS($K$2:K708),$K$2:$K$1001,0),1)&gt;=100000,INDEX($R$1005:$W$1005,1,MATCH(COLUMNS($R$1006:W1006),$R$1006:$W$1006,0))&gt;=100000), " ",IF(INDEX($R$2:$W$1001,MATCH(ROWS($K$2:K708),$K$2:$K$1001,0),MATCH(COLUMNS($R$1006:W1006),$R$1006:$W$1006,0)), HYPERLINK("#",""), HYPERLINK(CONCATENATE("#Metadata!", ADDRESS(INDEX($M$2:$M$1001,MATCH(ROWS($K$2:K708),$K$2:$K$1001,0),0), INDEX($R$1004:$W$1004,1,MATCH(COLUMNS($R$1006:W1006),$R$1006:$W$1006,0)))),"Fix")))</f>
        <v>0</v>
      </c>
      <c r="K708">
        <v>0</v>
      </c>
      <c r="L708">
        <v>0</v>
      </c>
      <c r="M708">
        <v>0</v>
      </c>
      <c r="N708">
        <f>IF(O708,TRUE,AND(R708:W708))</f>
        <v>0</v>
      </c>
      <c r="O708">
        <f>COUNTBLANK(Metadata!B708:G708)=COLUMNS(Metadata!B708:G708)</f>
        <v>0</v>
      </c>
      <c r="P708">
        <v>0</v>
      </c>
      <c r="R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S708">
        <f>IF(Metadata!C708="",FALSE,TRUE)</f>
        <v>0</v>
      </c>
      <c r="T708">
        <f>IF(Metadata!D708="",FALSE,TRUE)</f>
        <v>0</v>
      </c>
      <c r="U708">
        <f>IF(Metadata!E708="",FALSE,TRUE)</f>
        <v>0</v>
      </c>
      <c r="V708">
        <f>AND(IF(Metadata!F708="",FALSE,TRUE),exact(Metadata!F708,"rat gut metagenome"))</f>
        <v>0</v>
      </c>
      <c r="W708">
        <f>AND(IF(Metadata!G708="",FALSE,TRUE),exact(Metadata!G708,"1436733"))</f>
        <v>0</v>
      </c>
    </row>
    <row r="709" spans="1:23">
      <c r="A709" s="4">
        <f>IF(B709=" "," ",HYPERLINK(CONCATENATE("#metadata!",ADDRESS(INDEX($M$2:$M$1001,MATCH(ROWS($K$2:K709),$K$2:$K$1001,0),0),1)),INDEX($P$2:$P$1001,MATCH(ROWS($K$2:K709),$K$2:$K$1001,0),0)))</f>
        <v>0</v>
      </c>
      <c r="B709" s="3">
        <f>IF(OR(INDEX($L$2:$L$1001,MATCH(ROWS($K$2:K709),$K$2:$K$1001,0),1)&gt;=100000,INDEX($R$1005:$W$1005,1,MATCH(COLUMNS($R$1006:R1006),$R$1006:$W$1006,0))&gt;=100000), " ",IF(INDEX($R$2:$W$1001,MATCH(ROWS($K$2:K709),$K$2:$K$1001,0),MATCH(COLUMNS($R$1006:R1006),$R$1006:$W$1006,0)), HYPERLINK("#",""), HYPERLINK(CONCATENATE("#Metadata!", ADDRESS(INDEX($M$2:$M$1001,MATCH(ROWS($K$2:K709),$K$2:$K$1001,0),0), INDEX($R$1004:$W$1004,1,MATCH(COLUMNS($R$1006:R1006),$R$1006:$W$1006,0)))),"Fix")))</f>
        <v>0</v>
      </c>
      <c r="C709" s="3">
        <f>IF(OR(INDEX($L$2:$L$1001,MATCH(ROWS($K$2:K709),$K$2:$K$1001,0),1)&gt;=100000,INDEX($R$1005:$W$1005,1,MATCH(COLUMNS($R$1006:S1006),$R$1006:$W$1006,0))&gt;=100000), " ",IF(INDEX($R$2:$W$1001,MATCH(ROWS($K$2:K709),$K$2:$K$1001,0),MATCH(COLUMNS($R$1006:S1006),$R$1006:$W$1006,0)), HYPERLINK("#",""), HYPERLINK(CONCATENATE("#Metadata!", ADDRESS(INDEX($M$2:$M$1001,MATCH(ROWS($K$2:K709),$K$2:$K$1001,0),0), INDEX($R$1004:$W$1004,1,MATCH(COLUMNS($R$1006:S1006),$R$1006:$W$1006,0)))),"Fix")))</f>
        <v>0</v>
      </c>
      <c r="D709" s="3">
        <f>IF(OR(INDEX($L$2:$L$1001,MATCH(ROWS($K$2:K709),$K$2:$K$1001,0),1)&gt;=100000,INDEX($R$1005:$W$1005,1,MATCH(COLUMNS($R$1006:T1006),$R$1006:$W$1006,0))&gt;=100000), " ",IF(INDEX($R$2:$W$1001,MATCH(ROWS($K$2:K709),$K$2:$K$1001,0),MATCH(COLUMNS($R$1006:T1006),$R$1006:$W$1006,0)), HYPERLINK("#",""), HYPERLINK(CONCATENATE("#Metadata!", ADDRESS(INDEX($M$2:$M$1001,MATCH(ROWS($K$2:K709),$K$2:$K$1001,0),0), INDEX($R$1004:$W$1004,1,MATCH(COLUMNS($R$1006:T1006),$R$1006:$W$1006,0)))),"Fix")))</f>
        <v>0</v>
      </c>
      <c r="E709" s="3">
        <f>IF(OR(INDEX($L$2:$L$1001,MATCH(ROWS($K$2:K709),$K$2:$K$1001,0),1)&gt;=100000,INDEX($R$1005:$W$1005,1,MATCH(COLUMNS($R$1006:U1006),$R$1006:$W$1006,0))&gt;=100000), " ",IF(INDEX($R$2:$W$1001,MATCH(ROWS($K$2:K709),$K$2:$K$1001,0),MATCH(COLUMNS($R$1006:U1006),$R$1006:$W$1006,0)), HYPERLINK("#",""), HYPERLINK(CONCATENATE("#Metadata!", ADDRESS(INDEX($M$2:$M$1001,MATCH(ROWS($K$2:K709),$K$2:$K$1001,0),0), INDEX($R$1004:$W$1004,1,MATCH(COLUMNS($R$1006:U1006),$R$1006:$W$1006,0)))),"Fix")))</f>
        <v>0</v>
      </c>
      <c r="F709" s="3">
        <f>IF(OR(INDEX($L$2:$L$1001,MATCH(ROWS($K$2:K709),$K$2:$K$1001,0),1)&gt;=100000,INDEX($R$1005:$W$1005,1,MATCH(COLUMNS($R$1006:V1006),$R$1006:$W$1006,0))&gt;=100000), " ",IF(INDEX($R$2:$W$1001,MATCH(ROWS($K$2:K709),$K$2:$K$1001,0),MATCH(COLUMNS($R$1006:V1006),$R$1006:$W$1006,0)), HYPERLINK("#",""), HYPERLINK(CONCATENATE("#Metadata!", ADDRESS(INDEX($M$2:$M$1001,MATCH(ROWS($K$2:K709),$K$2:$K$1001,0),0), INDEX($R$1004:$W$1004,1,MATCH(COLUMNS($R$1006:V1006),$R$1006:$W$1006,0)))),"Fix")))</f>
        <v>0</v>
      </c>
      <c r="G709" s="3">
        <f>IF(OR(INDEX($L$2:$L$1001,MATCH(ROWS($K$2:K709),$K$2:$K$1001,0),1)&gt;=100000,INDEX($R$1005:$W$1005,1,MATCH(COLUMNS($R$1006:W1006),$R$1006:$W$1006,0))&gt;=100000), " ",IF(INDEX($R$2:$W$1001,MATCH(ROWS($K$2:K709),$K$2:$K$1001,0),MATCH(COLUMNS($R$1006:W1006),$R$1006:$W$1006,0)), HYPERLINK("#",""), HYPERLINK(CONCATENATE("#Metadata!", ADDRESS(INDEX($M$2:$M$1001,MATCH(ROWS($K$2:K709),$K$2:$K$1001,0),0), INDEX($R$1004:$W$1004,1,MATCH(COLUMNS($R$1006:W1006),$R$1006:$W$1006,0)))),"Fix")))</f>
        <v>0</v>
      </c>
      <c r="K709">
        <v>0</v>
      </c>
      <c r="L709">
        <v>0</v>
      </c>
      <c r="M709">
        <v>0</v>
      </c>
      <c r="N709">
        <f>IF(O709,TRUE,AND(R709:W709))</f>
        <v>0</v>
      </c>
      <c r="O709">
        <f>COUNTBLANK(Metadata!B709:G709)=COLUMNS(Metadata!B709:G709)</f>
        <v>0</v>
      </c>
      <c r="P709">
        <v>0</v>
      </c>
      <c r="R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S709">
        <f>IF(Metadata!C709="",FALSE,TRUE)</f>
        <v>0</v>
      </c>
      <c r="T709">
        <f>IF(Metadata!D709="",FALSE,TRUE)</f>
        <v>0</v>
      </c>
      <c r="U709">
        <f>IF(Metadata!E709="",FALSE,TRUE)</f>
        <v>0</v>
      </c>
      <c r="V709">
        <f>AND(IF(Metadata!F709="",FALSE,TRUE),exact(Metadata!F709,"rat gut metagenome"))</f>
        <v>0</v>
      </c>
      <c r="W709">
        <f>AND(IF(Metadata!G709="",FALSE,TRUE),exact(Metadata!G709,"1436733"))</f>
        <v>0</v>
      </c>
    </row>
    <row r="710" spans="1:23">
      <c r="A710" s="4">
        <f>IF(B710=" "," ",HYPERLINK(CONCATENATE("#metadata!",ADDRESS(INDEX($M$2:$M$1001,MATCH(ROWS($K$2:K710),$K$2:$K$1001,0),0),1)),INDEX($P$2:$P$1001,MATCH(ROWS($K$2:K710),$K$2:$K$1001,0),0)))</f>
        <v>0</v>
      </c>
      <c r="B710" s="3">
        <f>IF(OR(INDEX($L$2:$L$1001,MATCH(ROWS($K$2:K710),$K$2:$K$1001,0),1)&gt;=100000,INDEX($R$1005:$W$1005,1,MATCH(COLUMNS($R$1006:R1006),$R$1006:$W$1006,0))&gt;=100000), " ",IF(INDEX($R$2:$W$1001,MATCH(ROWS($K$2:K710),$K$2:$K$1001,0),MATCH(COLUMNS($R$1006:R1006),$R$1006:$W$1006,0)), HYPERLINK("#",""), HYPERLINK(CONCATENATE("#Metadata!", ADDRESS(INDEX($M$2:$M$1001,MATCH(ROWS($K$2:K710),$K$2:$K$1001,0),0), INDEX($R$1004:$W$1004,1,MATCH(COLUMNS($R$1006:R1006),$R$1006:$W$1006,0)))),"Fix")))</f>
        <v>0</v>
      </c>
      <c r="C710" s="3">
        <f>IF(OR(INDEX($L$2:$L$1001,MATCH(ROWS($K$2:K710),$K$2:$K$1001,0),1)&gt;=100000,INDEX($R$1005:$W$1005,1,MATCH(COLUMNS($R$1006:S1006),$R$1006:$W$1006,0))&gt;=100000), " ",IF(INDEX($R$2:$W$1001,MATCH(ROWS($K$2:K710),$K$2:$K$1001,0),MATCH(COLUMNS($R$1006:S1006),$R$1006:$W$1006,0)), HYPERLINK("#",""), HYPERLINK(CONCATENATE("#Metadata!", ADDRESS(INDEX($M$2:$M$1001,MATCH(ROWS($K$2:K710),$K$2:$K$1001,0),0), INDEX($R$1004:$W$1004,1,MATCH(COLUMNS($R$1006:S1006),$R$1006:$W$1006,0)))),"Fix")))</f>
        <v>0</v>
      </c>
      <c r="D710" s="3">
        <f>IF(OR(INDEX($L$2:$L$1001,MATCH(ROWS($K$2:K710),$K$2:$K$1001,0),1)&gt;=100000,INDEX($R$1005:$W$1005,1,MATCH(COLUMNS($R$1006:T1006),$R$1006:$W$1006,0))&gt;=100000), " ",IF(INDEX($R$2:$W$1001,MATCH(ROWS($K$2:K710),$K$2:$K$1001,0),MATCH(COLUMNS($R$1006:T1006),$R$1006:$W$1006,0)), HYPERLINK("#",""), HYPERLINK(CONCATENATE("#Metadata!", ADDRESS(INDEX($M$2:$M$1001,MATCH(ROWS($K$2:K710),$K$2:$K$1001,0),0), INDEX($R$1004:$W$1004,1,MATCH(COLUMNS($R$1006:T1006),$R$1006:$W$1006,0)))),"Fix")))</f>
        <v>0</v>
      </c>
      <c r="E710" s="3">
        <f>IF(OR(INDEX($L$2:$L$1001,MATCH(ROWS($K$2:K710),$K$2:$K$1001,0),1)&gt;=100000,INDEX($R$1005:$W$1005,1,MATCH(COLUMNS($R$1006:U1006),$R$1006:$W$1006,0))&gt;=100000), " ",IF(INDEX($R$2:$W$1001,MATCH(ROWS($K$2:K710),$K$2:$K$1001,0),MATCH(COLUMNS($R$1006:U1006),$R$1006:$W$1006,0)), HYPERLINK("#",""), HYPERLINK(CONCATENATE("#Metadata!", ADDRESS(INDEX($M$2:$M$1001,MATCH(ROWS($K$2:K710),$K$2:$K$1001,0),0), INDEX($R$1004:$W$1004,1,MATCH(COLUMNS($R$1006:U1006),$R$1006:$W$1006,0)))),"Fix")))</f>
        <v>0</v>
      </c>
      <c r="F710" s="3">
        <f>IF(OR(INDEX($L$2:$L$1001,MATCH(ROWS($K$2:K710),$K$2:$K$1001,0),1)&gt;=100000,INDEX($R$1005:$W$1005,1,MATCH(COLUMNS($R$1006:V1006),$R$1006:$W$1006,0))&gt;=100000), " ",IF(INDEX($R$2:$W$1001,MATCH(ROWS($K$2:K710),$K$2:$K$1001,0),MATCH(COLUMNS($R$1006:V1006),$R$1006:$W$1006,0)), HYPERLINK("#",""), HYPERLINK(CONCATENATE("#Metadata!", ADDRESS(INDEX($M$2:$M$1001,MATCH(ROWS($K$2:K710),$K$2:$K$1001,0),0), INDEX($R$1004:$W$1004,1,MATCH(COLUMNS($R$1006:V1006),$R$1006:$W$1006,0)))),"Fix")))</f>
        <v>0</v>
      </c>
      <c r="G710" s="3">
        <f>IF(OR(INDEX($L$2:$L$1001,MATCH(ROWS($K$2:K710),$K$2:$K$1001,0),1)&gt;=100000,INDEX($R$1005:$W$1005,1,MATCH(COLUMNS($R$1006:W1006),$R$1006:$W$1006,0))&gt;=100000), " ",IF(INDEX($R$2:$W$1001,MATCH(ROWS($K$2:K710),$K$2:$K$1001,0),MATCH(COLUMNS($R$1006:W1006),$R$1006:$W$1006,0)), HYPERLINK("#",""), HYPERLINK(CONCATENATE("#Metadata!", ADDRESS(INDEX($M$2:$M$1001,MATCH(ROWS($K$2:K710),$K$2:$K$1001,0),0), INDEX($R$1004:$W$1004,1,MATCH(COLUMNS($R$1006:W1006),$R$1006:$W$1006,0)))),"Fix")))</f>
        <v>0</v>
      </c>
      <c r="K710">
        <v>0</v>
      </c>
      <c r="L710">
        <v>0</v>
      </c>
      <c r="M710">
        <v>0</v>
      </c>
      <c r="N710">
        <f>IF(O710,TRUE,AND(R710:W710))</f>
        <v>0</v>
      </c>
      <c r="O710">
        <f>COUNTBLANK(Metadata!B710:G710)=COLUMNS(Metadata!B710:G710)</f>
        <v>0</v>
      </c>
      <c r="P710">
        <v>0</v>
      </c>
      <c r="R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S710">
        <f>IF(Metadata!C710="",FALSE,TRUE)</f>
        <v>0</v>
      </c>
      <c r="T710">
        <f>IF(Metadata!D710="",FALSE,TRUE)</f>
        <v>0</v>
      </c>
      <c r="U710">
        <f>IF(Metadata!E710="",FALSE,TRUE)</f>
        <v>0</v>
      </c>
      <c r="V710">
        <f>AND(IF(Metadata!F710="",FALSE,TRUE),exact(Metadata!F710,"rat gut metagenome"))</f>
        <v>0</v>
      </c>
      <c r="W710">
        <f>AND(IF(Metadata!G710="",FALSE,TRUE),exact(Metadata!G710,"1436733"))</f>
        <v>0</v>
      </c>
    </row>
    <row r="711" spans="1:23">
      <c r="A711" s="4">
        <f>IF(B711=" "," ",HYPERLINK(CONCATENATE("#metadata!",ADDRESS(INDEX($M$2:$M$1001,MATCH(ROWS($K$2:K711),$K$2:$K$1001,0),0),1)),INDEX($P$2:$P$1001,MATCH(ROWS($K$2:K711),$K$2:$K$1001,0),0)))</f>
        <v>0</v>
      </c>
      <c r="B711" s="3">
        <f>IF(OR(INDEX($L$2:$L$1001,MATCH(ROWS($K$2:K711),$K$2:$K$1001,0),1)&gt;=100000,INDEX($R$1005:$W$1005,1,MATCH(COLUMNS($R$1006:R1006),$R$1006:$W$1006,0))&gt;=100000), " ",IF(INDEX($R$2:$W$1001,MATCH(ROWS($K$2:K711),$K$2:$K$1001,0),MATCH(COLUMNS($R$1006:R1006),$R$1006:$W$1006,0)), HYPERLINK("#",""), HYPERLINK(CONCATENATE("#Metadata!", ADDRESS(INDEX($M$2:$M$1001,MATCH(ROWS($K$2:K711),$K$2:$K$1001,0),0), INDEX($R$1004:$W$1004,1,MATCH(COLUMNS($R$1006:R1006),$R$1006:$W$1006,0)))),"Fix")))</f>
        <v>0</v>
      </c>
      <c r="C711" s="3">
        <f>IF(OR(INDEX($L$2:$L$1001,MATCH(ROWS($K$2:K711),$K$2:$K$1001,0),1)&gt;=100000,INDEX($R$1005:$W$1005,1,MATCH(COLUMNS($R$1006:S1006),$R$1006:$W$1006,0))&gt;=100000), " ",IF(INDEX($R$2:$W$1001,MATCH(ROWS($K$2:K711),$K$2:$K$1001,0),MATCH(COLUMNS($R$1006:S1006),$R$1006:$W$1006,0)), HYPERLINK("#",""), HYPERLINK(CONCATENATE("#Metadata!", ADDRESS(INDEX($M$2:$M$1001,MATCH(ROWS($K$2:K711),$K$2:$K$1001,0),0), INDEX($R$1004:$W$1004,1,MATCH(COLUMNS($R$1006:S1006),$R$1006:$W$1006,0)))),"Fix")))</f>
        <v>0</v>
      </c>
      <c r="D711" s="3">
        <f>IF(OR(INDEX($L$2:$L$1001,MATCH(ROWS($K$2:K711),$K$2:$K$1001,0),1)&gt;=100000,INDEX($R$1005:$W$1005,1,MATCH(COLUMNS($R$1006:T1006),$R$1006:$W$1006,0))&gt;=100000), " ",IF(INDEX($R$2:$W$1001,MATCH(ROWS($K$2:K711),$K$2:$K$1001,0),MATCH(COLUMNS($R$1006:T1006),$R$1006:$W$1006,0)), HYPERLINK("#",""), HYPERLINK(CONCATENATE("#Metadata!", ADDRESS(INDEX($M$2:$M$1001,MATCH(ROWS($K$2:K711),$K$2:$K$1001,0),0), INDEX($R$1004:$W$1004,1,MATCH(COLUMNS($R$1006:T1006),$R$1006:$W$1006,0)))),"Fix")))</f>
        <v>0</v>
      </c>
      <c r="E711" s="3">
        <f>IF(OR(INDEX($L$2:$L$1001,MATCH(ROWS($K$2:K711),$K$2:$K$1001,0),1)&gt;=100000,INDEX($R$1005:$W$1005,1,MATCH(COLUMNS($R$1006:U1006),$R$1006:$W$1006,0))&gt;=100000), " ",IF(INDEX($R$2:$W$1001,MATCH(ROWS($K$2:K711),$K$2:$K$1001,0),MATCH(COLUMNS($R$1006:U1006),$R$1006:$W$1006,0)), HYPERLINK("#",""), HYPERLINK(CONCATENATE("#Metadata!", ADDRESS(INDEX($M$2:$M$1001,MATCH(ROWS($K$2:K711),$K$2:$K$1001,0),0), INDEX($R$1004:$W$1004,1,MATCH(COLUMNS($R$1006:U1006),$R$1006:$W$1006,0)))),"Fix")))</f>
        <v>0</v>
      </c>
      <c r="F711" s="3">
        <f>IF(OR(INDEX($L$2:$L$1001,MATCH(ROWS($K$2:K711),$K$2:$K$1001,0),1)&gt;=100000,INDEX($R$1005:$W$1005,1,MATCH(COLUMNS($R$1006:V1006),$R$1006:$W$1006,0))&gt;=100000), " ",IF(INDEX($R$2:$W$1001,MATCH(ROWS($K$2:K711),$K$2:$K$1001,0),MATCH(COLUMNS($R$1006:V1006),$R$1006:$W$1006,0)), HYPERLINK("#",""), HYPERLINK(CONCATENATE("#Metadata!", ADDRESS(INDEX($M$2:$M$1001,MATCH(ROWS($K$2:K711),$K$2:$K$1001,0),0), INDEX($R$1004:$W$1004,1,MATCH(COLUMNS($R$1006:V1006),$R$1006:$W$1006,0)))),"Fix")))</f>
        <v>0</v>
      </c>
      <c r="G711" s="3">
        <f>IF(OR(INDEX($L$2:$L$1001,MATCH(ROWS($K$2:K711),$K$2:$K$1001,0),1)&gt;=100000,INDEX($R$1005:$W$1005,1,MATCH(COLUMNS($R$1006:W1006),$R$1006:$W$1006,0))&gt;=100000), " ",IF(INDEX($R$2:$W$1001,MATCH(ROWS($K$2:K711),$K$2:$K$1001,0),MATCH(COLUMNS($R$1006:W1006),$R$1006:$W$1006,0)), HYPERLINK("#",""), HYPERLINK(CONCATENATE("#Metadata!", ADDRESS(INDEX($M$2:$M$1001,MATCH(ROWS($K$2:K711),$K$2:$K$1001,0),0), INDEX($R$1004:$W$1004,1,MATCH(COLUMNS($R$1006:W1006),$R$1006:$W$1006,0)))),"Fix")))</f>
        <v>0</v>
      </c>
      <c r="K711">
        <v>0</v>
      </c>
      <c r="L711">
        <v>0</v>
      </c>
      <c r="M711">
        <v>0</v>
      </c>
      <c r="N711">
        <f>IF(O711,TRUE,AND(R711:W711))</f>
        <v>0</v>
      </c>
      <c r="O711">
        <f>COUNTBLANK(Metadata!B711:G711)=COLUMNS(Metadata!B711:G711)</f>
        <v>0</v>
      </c>
      <c r="P711">
        <v>0</v>
      </c>
      <c r="R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S711">
        <f>IF(Metadata!C711="",FALSE,TRUE)</f>
        <v>0</v>
      </c>
      <c r="T711">
        <f>IF(Metadata!D711="",FALSE,TRUE)</f>
        <v>0</v>
      </c>
      <c r="U711">
        <f>IF(Metadata!E711="",FALSE,TRUE)</f>
        <v>0</v>
      </c>
      <c r="V711">
        <f>AND(IF(Metadata!F711="",FALSE,TRUE),exact(Metadata!F711,"rat gut metagenome"))</f>
        <v>0</v>
      </c>
      <c r="W711">
        <f>AND(IF(Metadata!G711="",FALSE,TRUE),exact(Metadata!G711,"1436733"))</f>
        <v>0</v>
      </c>
    </row>
    <row r="712" spans="1:23">
      <c r="A712" s="4">
        <f>IF(B712=" "," ",HYPERLINK(CONCATENATE("#metadata!",ADDRESS(INDEX($M$2:$M$1001,MATCH(ROWS($K$2:K712),$K$2:$K$1001,0),0),1)),INDEX($P$2:$P$1001,MATCH(ROWS($K$2:K712),$K$2:$K$1001,0),0)))</f>
        <v>0</v>
      </c>
      <c r="B712" s="3">
        <f>IF(OR(INDEX($L$2:$L$1001,MATCH(ROWS($K$2:K712),$K$2:$K$1001,0),1)&gt;=100000,INDEX($R$1005:$W$1005,1,MATCH(COLUMNS($R$1006:R1006),$R$1006:$W$1006,0))&gt;=100000), " ",IF(INDEX($R$2:$W$1001,MATCH(ROWS($K$2:K712),$K$2:$K$1001,0),MATCH(COLUMNS($R$1006:R1006),$R$1006:$W$1006,0)), HYPERLINK("#",""), HYPERLINK(CONCATENATE("#Metadata!", ADDRESS(INDEX($M$2:$M$1001,MATCH(ROWS($K$2:K712),$K$2:$K$1001,0),0), INDEX($R$1004:$W$1004,1,MATCH(COLUMNS($R$1006:R1006),$R$1006:$W$1006,0)))),"Fix")))</f>
        <v>0</v>
      </c>
      <c r="C712" s="3">
        <f>IF(OR(INDEX($L$2:$L$1001,MATCH(ROWS($K$2:K712),$K$2:$K$1001,0),1)&gt;=100000,INDEX($R$1005:$W$1005,1,MATCH(COLUMNS($R$1006:S1006),$R$1006:$W$1006,0))&gt;=100000), " ",IF(INDEX($R$2:$W$1001,MATCH(ROWS($K$2:K712),$K$2:$K$1001,0),MATCH(COLUMNS($R$1006:S1006),$R$1006:$W$1006,0)), HYPERLINK("#",""), HYPERLINK(CONCATENATE("#Metadata!", ADDRESS(INDEX($M$2:$M$1001,MATCH(ROWS($K$2:K712),$K$2:$K$1001,0),0), INDEX($R$1004:$W$1004,1,MATCH(COLUMNS($R$1006:S1006),$R$1006:$W$1006,0)))),"Fix")))</f>
        <v>0</v>
      </c>
      <c r="D712" s="3">
        <f>IF(OR(INDEX($L$2:$L$1001,MATCH(ROWS($K$2:K712),$K$2:$K$1001,0),1)&gt;=100000,INDEX($R$1005:$W$1005,1,MATCH(COLUMNS($R$1006:T1006),$R$1006:$W$1006,0))&gt;=100000), " ",IF(INDEX($R$2:$W$1001,MATCH(ROWS($K$2:K712),$K$2:$K$1001,0),MATCH(COLUMNS($R$1006:T1006),$R$1006:$W$1006,0)), HYPERLINK("#",""), HYPERLINK(CONCATENATE("#Metadata!", ADDRESS(INDEX($M$2:$M$1001,MATCH(ROWS($K$2:K712),$K$2:$K$1001,0),0), INDEX($R$1004:$W$1004,1,MATCH(COLUMNS($R$1006:T1006),$R$1006:$W$1006,0)))),"Fix")))</f>
        <v>0</v>
      </c>
      <c r="E712" s="3">
        <f>IF(OR(INDEX($L$2:$L$1001,MATCH(ROWS($K$2:K712),$K$2:$K$1001,0),1)&gt;=100000,INDEX($R$1005:$W$1005,1,MATCH(COLUMNS($R$1006:U1006),$R$1006:$W$1006,0))&gt;=100000), " ",IF(INDEX($R$2:$W$1001,MATCH(ROWS($K$2:K712),$K$2:$K$1001,0),MATCH(COLUMNS($R$1006:U1006),$R$1006:$W$1006,0)), HYPERLINK("#",""), HYPERLINK(CONCATENATE("#Metadata!", ADDRESS(INDEX($M$2:$M$1001,MATCH(ROWS($K$2:K712),$K$2:$K$1001,0),0), INDEX($R$1004:$W$1004,1,MATCH(COLUMNS($R$1006:U1006),$R$1006:$W$1006,0)))),"Fix")))</f>
        <v>0</v>
      </c>
      <c r="F712" s="3">
        <f>IF(OR(INDEX($L$2:$L$1001,MATCH(ROWS($K$2:K712),$K$2:$K$1001,0),1)&gt;=100000,INDEX($R$1005:$W$1005,1,MATCH(COLUMNS($R$1006:V1006),$R$1006:$W$1006,0))&gt;=100000), " ",IF(INDEX($R$2:$W$1001,MATCH(ROWS($K$2:K712),$K$2:$K$1001,0),MATCH(COLUMNS($R$1006:V1006),$R$1006:$W$1006,0)), HYPERLINK("#",""), HYPERLINK(CONCATENATE("#Metadata!", ADDRESS(INDEX($M$2:$M$1001,MATCH(ROWS($K$2:K712),$K$2:$K$1001,0),0), INDEX($R$1004:$W$1004,1,MATCH(COLUMNS($R$1006:V1006),$R$1006:$W$1006,0)))),"Fix")))</f>
        <v>0</v>
      </c>
      <c r="G712" s="3">
        <f>IF(OR(INDEX($L$2:$L$1001,MATCH(ROWS($K$2:K712),$K$2:$K$1001,0),1)&gt;=100000,INDEX($R$1005:$W$1005,1,MATCH(COLUMNS($R$1006:W1006),$R$1006:$W$1006,0))&gt;=100000), " ",IF(INDEX($R$2:$W$1001,MATCH(ROWS($K$2:K712),$K$2:$K$1001,0),MATCH(COLUMNS($R$1006:W1006),$R$1006:$W$1006,0)), HYPERLINK("#",""), HYPERLINK(CONCATENATE("#Metadata!", ADDRESS(INDEX($M$2:$M$1001,MATCH(ROWS($K$2:K712),$K$2:$K$1001,0),0), INDEX($R$1004:$W$1004,1,MATCH(COLUMNS($R$1006:W1006),$R$1006:$W$1006,0)))),"Fix")))</f>
        <v>0</v>
      </c>
      <c r="K712">
        <v>0</v>
      </c>
      <c r="L712">
        <v>0</v>
      </c>
      <c r="M712">
        <v>0</v>
      </c>
      <c r="N712">
        <f>IF(O712,TRUE,AND(R712:W712))</f>
        <v>0</v>
      </c>
      <c r="O712">
        <f>COUNTBLANK(Metadata!B712:G712)=COLUMNS(Metadata!B712:G712)</f>
        <v>0</v>
      </c>
      <c r="P712">
        <v>0</v>
      </c>
      <c r="R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S712">
        <f>IF(Metadata!C712="",FALSE,TRUE)</f>
        <v>0</v>
      </c>
      <c r="T712">
        <f>IF(Metadata!D712="",FALSE,TRUE)</f>
        <v>0</v>
      </c>
      <c r="U712">
        <f>IF(Metadata!E712="",FALSE,TRUE)</f>
        <v>0</v>
      </c>
      <c r="V712">
        <f>AND(IF(Metadata!F712="",FALSE,TRUE),exact(Metadata!F712,"rat gut metagenome"))</f>
        <v>0</v>
      </c>
      <c r="W712">
        <f>AND(IF(Metadata!G712="",FALSE,TRUE),exact(Metadata!G712,"1436733"))</f>
        <v>0</v>
      </c>
    </row>
    <row r="713" spans="1:23">
      <c r="A713" s="4">
        <f>IF(B713=" "," ",HYPERLINK(CONCATENATE("#metadata!",ADDRESS(INDEX($M$2:$M$1001,MATCH(ROWS($K$2:K713),$K$2:$K$1001,0),0),1)),INDEX($P$2:$P$1001,MATCH(ROWS($K$2:K713),$K$2:$K$1001,0),0)))</f>
        <v>0</v>
      </c>
      <c r="B713" s="3">
        <f>IF(OR(INDEX($L$2:$L$1001,MATCH(ROWS($K$2:K713),$K$2:$K$1001,0),1)&gt;=100000,INDEX($R$1005:$W$1005,1,MATCH(COLUMNS($R$1006:R1006),$R$1006:$W$1006,0))&gt;=100000), " ",IF(INDEX($R$2:$W$1001,MATCH(ROWS($K$2:K713),$K$2:$K$1001,0),MATCH(COLUMNS($R$1006:R1006),$R$1006:$W$1006,0)), HYPERLINK("#",""), HYPERLINK(CONCATENATE("#Metadata!", ADDRESS(INDEX($M$2:$M$1001,MATCH(ROWS($K$2:K713),$K$2:$K$1001,0),0), INDEX($R$1004:$W$1004,1,MATCH(COLUMNS($R$1006:R1006),$R$1006:$W$1006,0)))),"Fix")))</f>
        <v>0</v>
      </c>
      <c r="C713" s="3">
        <f>IF(OR(INDEX($L$2:$L$1001,MATCH(ROWS($K$2:K713),$K$2:$K$1001,0),1)&gt;=100000,INDEX($R$1005:$W$1005,1,MATCH(COLUMNS($R$1006:S1006),$R$1006:$W$1006,0))&gt;=100000), " ",IF(INDEX($R$2:$W$1001,MATCH(ROWS($K$2:K713),$K$2:$K$1001,0),MATCH(COLUMNS($R$1006:S1006),$R$1006:$W$1006,0)), HYPERLINK("#",""), HYPERLINK(CONCATENATE("#Metadata!", ADDRESS(INDEX($M$2:$M$1001,MATCH(ROWS($K$2:K713),$K$2:$K$1001,0),0), INDEX($R$1004:$W$1004,1,MATCH(COLUMNS($R$1006:S1006),$R$1006:$W$1006,0)))),"Fix")))</f>
        <v>0</v>
      </c>
      <c r="D713" s="3">
        <f>IF(OR(INDEX($L$2:$L$1001,MATCH(ROWS($K$2:K713),$K$2:$K$1001,0),1)&gt;=100000,INDEX($R$1005:$W$1005,1,MATCH(COLUMNS($R$1006:T1006),$R$1006:$W$1006,0))&gt;=100000), " ",IF(INDEX($R$2:$W$1001,MATCH(ROWS($K$2:K713),$K$2:$K$1001,0),MATCH(COLUMNS($R$1006:T1006),$R$1006:$W$1006,0)), HYPERLINK("#",""), HYPERLINK(CONCATENATE("#Metadata!", ADDRESS(INDEX($M$2:$M$1001,MATCH(ROWS($K$2:K713),$K$2:$K$1001,0),0), INDEX($R$1004:$W$1004,1,MATCH(COLUMNS($R$1006:T1006),$R$1006:$W$1006,0)))),"Fix")))</f>
        <v>0</v>
      </c>
      <c r="E713" s="3">
        <f>IF(OR(INDEX($L$2:$L$1001,MATCH(ROWS($K$2:K713),$K$2:$K$1001,0),1)&gt;=100000,INDEX($R$1005:$W$1005,1,MATCH(COLUMNS($R$1006:U1006),$R$1006:$W$1006,0))&gt;=100000), " ",IF(INDEX($R$2:$W$1001,MATCH(ROWS($K$2:K713),$K$2:$K$1001,0),MATCH(COLUMNS($R$1006:U1006),$R$1006:$W$1006,0)), HYPERLINK("#",""), HYPERLINK(CONCATENATE("#Metadata!", ADDRESS(INDEX($M$2:$M$1001,MATCH(ROWS($K$2:K713),$K$2:$K$1001,0),0), INDEX($R$1004:$W$1004,1,MATCH(COLUMNS($R$1006:U1006),$R$1006:$W$1006,0)))),"Fix")))</f>
        <v>0</v>
      </c>
      <c r="F713" s="3">
        <f>IF(OR(INDEX($L$2:$L$1001,MATCH(ROWS($K$2:K713),$K$2:$K$1001,0),1)&gt;=100000,INDEX($R$1005:$W$1005,1,MATCH(COLUMNS($R$1006:V1006),$R$1006:$W$1006,0))&gt;=100000), " ",IF(INDEX($R$2:$W$1001,MATCH(ROWS($K$2:K713),$K$2:$K$1001,0),MATCH(COLUMNS($R$1006:V1006),$R$1006:$W$1006,0)), HYPERLINK("#",""), HYPERLINK(CONCATENATE("#Metadata!", ADDRESS(INDEX($M$2:$M$1001,MATCH(ROWS($K$2:K713),$K$2:$K$1001,0),0), INDEX($R$1004:$W$1004,1,MATCH(COLUMNS($R$1006:V1006),$R$1006:$W$1006,0)))),"Fix")))</f>
        <v>0</v>
      </c>
      <c r="G713" s="3">
        <f>IF(OR(INDEX($L$2:$L$1001,MATCH(ROWS($K$2:K713),$K$2:$K$1001,0),1)&gt;=100000,INDEX($R$1005:$W$1005,1,MATCH(COLUMNS($R$1006:W1006),$R$1006:$W$1006,0))&gt;=100000), " ",IF(INDEX($R$2:$W$1001,MATCH(ROWS($K$2:K713),$K$2:$K$1001,0),MATCH(COLUMNS($R$1006:W1006),$R$1006:$W$1006,0)), HYPERLINK("#",""), HYPERLINK(CONCATENATE("#Metadata!", ADDRESS(INDEX($M$2:$M$1001,MATCH(ROWS($K$2:K713),$K$2:$K$1001,0),0), INDEX($R$1004:$W$1004,1,MATCH(COLUMNS($R$1006:W1006),$R$1006:$W$1006,0)))),"Fix")))</f>
        <v>0</v>
      </c>
      <c r="K713">
        <v>0</v>
      </c>
      <c r="L713">
        <v>0</v>
      </c>
      <c r="M713">
        <v>0</v>
      </c>
      <c r="N713">
        <f>IF(O713,TRUE,AND(R713:W713))</f>
        <v>0</v>
      </c>
      <c r="O713">
        <f>COUNTBLANK(Metadata!B713:G713)=COLUMNS(Metadata!B713:G713)</f>
        <v>0</v>
      </c>
      <c r="P713">
        <v>0</v>
      </c>
      <c r="R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S713">
        <f>IF(Metadata!C713="",FALSE,TRUE)</f>
        <v>0</v>
      </c>
      <c r="T713">
        <f>IF(Metadata!D713="",FALSE,TRUE)</f>
        <v>0</v>
      </c>
      <c r="U713">
        <f>IF(Metadata!E713="",FALSE,TRUE)</f>
        <v>0</v>
      </c>
      <c r="V713">
        <f>AND(IF(Metadata!F713="",FALSE,TRUE),exact(Metadata!F713,"rat gut metagenome"))</f>
        <v>0</v>
      </c>
      <c r="W713">
        <f>AND(IF(Metadata!G713="",FALSE,TRUE),exact(Metadata!G713,"1436733"))</f>
        <v>0</v>
      </c>
    </row>
    <row r="714" spans="1:23">
      <c r="A714" s="4">
        <f>IF(B714=" "," ",HYPERLINK(CONCATENATE("#metadata!",ADDRESS(INDEX($M$2:$M$1001,MATCH(ROWS($K$2:K714),$K$2:$K$1001,0),0),1)),INDEX($P$2:$P$1001,MATCH(ROWS($K$2:K714),$K$2:$K$1001,0),0)))</f>
        <v>0</v>
      </c>
      <c r="B714" s="3">
        <f>IF(OR(INDEX($L$2:$L$1001,MATCH(ROWS($K$2:K714),$K$2:$K$1001,0),1)&gt;=100000,INDEX($R$1005:$W$1005,1,MATCH(COLUMNS($R$1006:R1006),$R$1006:$W$1006,0))&gt;=100000), " ",IF(INDEX($R$2:$W$1001,MATCH(ROWS($K$2:K714),$K$2:$K$1001,0),MATCH(COLUMNS($R$1006:R1006),$R$1006:$W$1006,0)), HYPERLINK("#",""), HYPERLINK(CONCATENATE("#Metadata!", ADDRESS(INDEX($M$2:$M$1001,MATCH(ROWS($K$2:K714),$K$2:$K$1001,0),0), INDEX($R$1004:$W$1004,1,MATCH(COLUMNS($R$1006:R1006),$R$1006:$W$1006,0)))),"Fix")))</f>
        <v>0</v>
      </c>
      <c r="C714" s="3">
        <f>IF(OR(INDEX($L$2:$L$1001,MATCH(ROWS($K$2:K714),$K$2:$K$1001,0),1)&gt;=100000,INDEX($R$1005:$W$1005,1,MATCH(COLUMNS($R$1006:S1006),$R$1006:$W$1006,0))&gt;=100000), " ",IF(INDEX($R$2:$W$1001,MATCH(ROWS($K$2:K714),$K$2:$K$1001,0),MATCH(COLUMNS($R$1006:S1006),$R$1006:$W$1006,0)), HYPERLINK("#",""), HYPERLINK(CONCATENATE("#Metadata!", ADDRESS(INDEX($M$2:$M$1001,MATCH(ROWS($K$2:K714),$K$2:$K$1001,0),0), INDEX($R$1004:$W$1004,1,MATCH(COLUMNS($R$1006:S1006),$R$1006:$W$1006,0)))),"Fix")))</f>
        <v>0</v>
      </c>
      <c r="D714" s="3">
        <f>IF(OR(INDEX($L$2:$L$1001,MATCH(ROWS($K$2:K714),$K$2:$K$1001,0),1)&gt;=100000,INDEX($R$1005:$W$1005,1,MATCH(COLUMNS($R$1006:T1006),$R$1006:$W$1006,0))&gt;=100000), " ",IF(INDEX($R$2:$W$1001,MATCH(ROWS($K$2:K714),$K$2:$K$1001,0),MATCH(COLUMNS($R$1006:T1006),$R$1006:$W$1006,0)), HYPERLINK("#",""), HYPERLINK(CONCATENATE("#Metadata!", ADDRESS(INDEX($M$2:$M$1001,MATCH(ROWS($K$2:K714),$K$2:$K$1001,0),0), INDEX($R$1004:$W$1004,1,MATCH(COLUMNS($R$1006:T1006),$R$1006:$W$1006,0)))),"Fix")))</f>
        <v>0</v>
      </c>
      <c r="E714" s="3">
        <f>IF(OR(INDEX($L$2:$L$1001,MATCH(ROWS($K$2:K714),$K$2:$K$1001,0),1)&gt;=100000,INDEX($R$1005:$W$1005,1,MATCH(COLUMNS($R$1006:U1006),$R$1006:$W$1006,0))&gt;=100000), " ",IF(INDEX($R$2:$W$1001,MATCH(ROWS($K$2:K714),$K$2:$K$1001,0),MATCH(COLUMNS($R$1006:U1006),$R$1006:$W$1006,0)), HYPERLINK("#",""), HYPERLINK(CONCATENATE("#Metadata!", ADDRESS(INDEX($M$2:$M$1001,MATCH(ROWS($K$2:K714),$K$2:$K$1001,0),0), INDEX($R$1004:$W$1004,1,MATCH(COLUMNS($R$1006:U1006),$R$1006:$W$1006,0)))),"Fix")))</f>
        <v>0</v>
      </c>
      <c r="F714" s="3">
        <f>IF(OR(INDEX($L$2:$L$1001,MATCH(ROWS($K$2:K714),$K$2:$K$1001,0),1)&gt;=100000,INDEX($R$1005:$W$1005,1,MATCH(COLUMNS($R$1006:V1006),$R$1006:$W$1006,0))&gt;=100000), " ",IF(INDEX($R$2:$W$1001,MATCH(ROWS($K$2:K714),$K$2:$K$1001,0),MATCH(COLUMNS($R$1006:V1006),$R$1006:$W$1006,0)), HYPERLINK("#",""), HYPERLINK(CONCATENATE("#Metadata!", ADDRESS(INDEX($M$2:$M$1001,MATCH(ROWS($K$2:K714),$K$2:$K$1001,0),0), INDEX($R$1004:$W$1004,1,MATCH(COLUMNS($R$1006:V1006),$R$1006:$W$1006,0)))),"Fix")))</f>
        <v>0</v>
      </c>
      <c r="G714" s="3">
        <f>IF(OR(INDEX($L$2:$L$1001,MATCH(ROWS($K$2:K714),$K$2:$K$1001,0),1)&gt;=100000,INDEX($R$1005:$W$1005,1,MATCH(COLUMNS($R$1006:W1006),$R$1006:$W$1006,0))&gt;=100000), " ",IF(INDEX($R$2:$W$1001,MATCH(ROWS($K$2:K714),$K$2:$K$1001,0),MATCH(COLUMNS($R$1006:W1006),$R$1006:$W$1006,0)), HYPERLINK("#",""), HYPERLINK(CONCATENATE("#Metadata!", ADDRESS(INDEX($M$2:$M$1001,MATCH(ROWS($K$2:K714),$K$2:$K$1001,0),0), INDEX($R$1004:$W$1004,1,MATCH(COLUMNS($R$1006:W1006),$R$1006:$W$1006,0)))),"Fix")))</f>
        <v>0</v>
      </c>
      <c r="K714">
        <v>0</v>
      </c>
      <c r="L714">
        <v>0</v>
      </c>
      <c r="M714">
        <v>0</v>
      </c>
      <c r="N714">
        <f>IF(O714,TRUE,AND(R714:W714))</f>
        <v>0</v>
      </c>
      <c r="O714">
        <f>COUNTBLANK(Metadata!B714:G714)=COLUMNS(Metadata!B714:G714)</f>
        <v>0</v>
      </c>
      <c r="P714">
        <v>0</v>
      </c>
      <c r="R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S714">
        <f>IF(Metadata!C714="",FALSE,TRUE)</f>
        <v>0</v>
      </c>
      <c r="T714">
        <f>IF(Metadata!D714="",FALSE,TRUE)</f>
        <v>0</v>
      </c>
      <c r="U714">
        <f>IF(Metadata!E714="",FALSE,TRUE)</f>
        <v>0</v>
      </c>
      <c r="V714">
        <f>AND(IF(Metadata!F714="",FALSE,TRUE),exact(Metadata!F714,"rat gut metagenome"))</f>
        <v>0</v>
      </c>
      <c r="W714">
        <f>AND(IF(Metadata!G714="",FALSE,TRUE),exact(Metadata!G714,"1436733"))</f>
        <v>0</v>
      </c>
    </row>
    <row r="715" spans="1:23">
      <c r="A715" s="4">
        <f>IF(B715=" "," ",HYPERLINK(CONCATENATE("#metadata!",ADDRESS(INDEX($M$2:$M$1001,MATCH(ROWS($K$2:K715),$K$2:$K$1001,0),0),1)),INDEX($P$2:$P$1001,MATCH(ROWS($K$2:K715),$K$2:$K$1001,0),0)))</f>
        <v>0</v>
      </c>
      <c r="B715" s="3">
        <f>IF(OR(INDEX($L$2:$L$1001,MATCH(ROWS($K$2:K715),$K$2:$K$1001,0),1)&gt;=100000,INDEX($R$1005:$W$1005,1,MATCH(COLUMNS($R$1006:R1006),$R$1006:$W$1006,0))&gt;=100000), " ",IF(INDEX($R$2:$W$1001,MATCH(ROWS($K$2:K715),$K$2:$K$1001,0),MATCH(COLUMNS($R$1006:R1006),$R$1006:$W$1006,0)), HYPERLINK("#",""), HYPERLINK(CONCATENATE("#Metadata!", ADDRESS(INDEX($M$2:$M$1001,MATCH(ROWS($K$2:K715),$K$2:$K$1001,0),0), INDEX($R$1004:$W$1004,1,MATCH(COLUMNS($R$1006:R1006),$R$1006:$W$1006,0)))),"Fix")))</f>
        <v>0</v>
      </c>
      <c r="C715" s="3">
        <f>IF(OR(INDEX($L$2:$L$1001,MATCH(ROWS($K$2:K715),$K$2:$K$1001,0),1)&gt;=100000,INDEX($R$1005:$W$1005,1,MATCH(COLUMNS($R$1006:S1006),$R$1006:$W$1006,0))&gt;=100000), " ",IF(INDEX($R$2:$W$1001,MATCH(ROWS($K$2:K715),$K$2:$K$1001,0),MATCH(COLUMNS($R$1006:S1006),$R$1006:$W$1006,0)), HYPERLINK("#",""), HYPERLINK(CONCATENATE("#Metadata!", ADDRESS(INDEX($M$2:$M$1001,MATCH(ROWS($K$2:K715),$K$2:$K$1001,0),0), INDEX($R$1004:$W$1004,1,MATCH(COLUMNS($R$1006:S1006),$R$1006:$W$1006,0)))),"Fix")))</f>
        <v>0</v>
      </c>
      <c r="D715" s="3">
        <f>IF(OR(INDEX($L$2:$L$1001,MATCH(ROWS($K$2:K715),$K$2:$K$1001,0),1)&gt;=100000,INDEX($R$1005:$W$1005,1,MATCH(COLUMNS($R$1006:T1006),$R$1006:$W$1006,0))&gt;=100000), " ",IF(INDEX($R$2:$W$1001,MATCH(ROWS($K$2:K715),$K$2:$K$1001,0),MATCH(COLUMNS($R$1006:T1006),$R$1006:$W$1006,0)), HYPERLINK("#",""), HYPERLINK(CONCATENATE("#Metadata!", ADDRESS(INDEX($M$2:$M$1001,MATCH(ROWS($K$2:K715),$K$2:$K$1001,0),0), INDEX($R$1004:$W$1004,1,MATCH(COLUMNS($R$1006:T1006),$R$1006:$W$1006,0)))),"Fix")))</f>
        <v>0</v>
      </c>
      <c r="E715" s="3">
        <f>IF(OR(INDEX($L$2:$L$1001,MATCH(ROWS($K$2:K715),$K$2:$K$1001,0),1)&gt;=100000,INDEX($R$1005:$W$1005,1,MATCH(COLUMNS($R$1006:U1006),$R$1006:$W$1006,0))&gt;=100000), " ",IF(INDEX($R$2:$W$1001,MATCH(ROWS($K$2:K715),$K$2:$K$1001,0),MATCH(COLUMNS($R$1006:U1006),$R$1006:$W$1006,0)), HYPERLINK("#",""), HYPERLINK(CONCATENATE("#Metadata!", ADDRESS(INDEX($M$2:$M$1001,MATCH(ROWS($K$2:K715),$K$2:$K$1001,0),0), INDEX($R$1004:$W$1004,1,MATCH(COLUMNS($R$1006:U1006),$R$1006:$W$1006,0)))),"Fix")))</f>
        <v>0</v>
      </c>
      <c r="F715" s="3">
        <f>IF(OR(INDEX($L$2:$L$1001,MATCH(ROWS($K$2:K715),$K$2:$K$1001,0),1)&gt;=100000,INDEX($R$1005:$W$1005,1,MATCH(COLUMNS($R$1006:V1006),$R$1006:$W$1006,0))&gt;=100000), " ",IF(INDEX($R$2:$W$1001,MATCH(ROWS($K$2:K715),$K$2:$K$1001,0),MATCH(COLUMNS($R$1006:V1006),$R$1006:$W$1006,0)), HYPERLINK("#",""), HYPERLINK(CONCATENATE("#Metadata!", ADDRESS(INDEX($M$2:$M$1001,MATCH(ROWS($K$2:K715),$K$2:$K$1001,0),0), INDEX($R$1004:$W$1004,1,MATCH(COLUMNS($R$1006:V1006),$R$1006:$W$1006,0)))),"Fix")))</f>
        <v>0</v>
      </c>
      <c r="G715" s="3">
        <f>IF(OR(INDEX($L$2:$L$1001,MATCH(ROWS($K$2:K715),$K$2:$K$1001,0),1)&gt;=100000,INDEX($R$1005:$W$1005,1,MATCH(COLUMNS($R$1006:W1006),$R$1006:$W$1006,0))&gt;=100000), " ",IF(INDEX($R$2:$W$1001,MATCH(ROWS($K$2:K715),$K$2:$K$1001,0),MATCH(COLUMNS($R$1006:W1006),$R$1006:$W$1006,0)), HYPERLINK("#",""), HYPERLINK(CONCATENATE("#Metadata!", ADDRESS(INDEX($M$2:$M$1001,MATCH(ROWS($K$2:K715),$K$2:$K$1001,0),0), INDEX($R$1004:$W$1004,1,MATCH(COLUMNS($R$1006:W1006),$R$1006:$W$1006,0)))),"Fix")))</f>
        <v>0</v>
      </c>
      <c r="K715">
        <v>0</v>
      </c>
      <c r="L715">
        <v>0</v>
      </c>
      <c r="M715">
        <v>0</v>
      </c>
      <c r="N715">
        <f>IF(O715,TRUE,AND(R715:W715))</f>
        <v>0</v>
      </c>
      <c r="O715">
        <f>COUNTBLANK(Metadata!B715:G715)=COLUMNS(Metadata!B715:G715)</f>
        <v>0</v>
      </c>
      <c r="P715">
        <v>0</v>
      </c>
      <c r="R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S715">
        <f>IF(Metadata!C715="",FALSE,TRUE)</f>
        <v>0</v>
      </c>
      <c r="T715">
        <f>IF(Metadata!D715="",FALSE,TRUE)</f>
        <v>0</v>
      </c>
      <c r="U715">
        <f>IF(Metadata!E715="",FALSE,TRUE)</f>
        <v>0</v>
      </c>
      <c r="V715">
        <f>AND(IF(Metadata!F715="",FALSE,TRUE),exact(Metadata!F715,"rat gut metagenome"))</f>
        <v>0</v>
      </c>
      <c r="W715">
        <f>AND(IF(Metadata!G715="",FALSE,TRUE),exact(Metadata!G715,"1436733"))</f>
        <v>0</v>
      </c>
    </row>
    <row r="716" spans="1:23">
      <c r="A716" s="4">
        <f>IF(B716=" "," ",HYPERLINK(CONCATENATE("#metadata!",ADDRESS(INDEX($M$2:$M$1001,MATCH(ROWS($K$2:K716),$K$2:$K$1001,0),0),1)),INDEX($P$2:$P$1001,MATCH(ROWS($K$2:K716),$K$2:$K$1001,0),0)))</f>
        <v>0</v>
      </c>
      <c r="B716" s="3">
        <f>IF(OR(INDEX($L$2:$L$1001,MATCH(ROWS($K$2:K716),$K$2:$K$1001,0),1)&gt;=100000,INDEX($R$1005:$W$1005,1,MATCH(COLUMNS($R$1006:R1006),$R$1006:$W$1006,0))&gt;=100000), " ",IF(INDEX($R$2:$W$1001,MATCH(ROWS($K$2:K716),$K$2:$K$1001,0),MATCH(COLUMNS($R$1006:R1006),$R$1006:$W$1006,0)), HYPERLINK("#",""), HYPERLINK(CONCATENATE("#Metadata!", ADDRESS(INDEX($M$2:$M$1001,MATCH(ROWS($K$2:K716),$K$2:$K$1001,0),0), INDEX($R$1004:$W$1004,1,MATCH(COLUMNS($R$1006:R1006),$R$1006:$W$1006,0)))),"Fix")))</f>
        <v>0</v>
      </c>
      <c r="C716" s="3">
        <f>IF(OR(INDEX($L$2:$L$1001,MATCH(ROWS($K$2:K716),$K$2:$K$1001,0),1)&gt;=100000,INDEX($R$1005:$W$1005,1,MATCH(COLUMNS($R$1006:S1006),$R$1006:$W$1006,0))&gt;=100000), " ",IF(INDEX($R$2:$W$1001,MATCH(ROWS($K$2:K716),$K$2:$K$1001,0),MATCH(COLUMNS($R$1006:S1006),$R$1006:$W$1006,0)), HYPERLINK("#",""), HYPERLINK(CONCATENATE("#Metadata!", ADDRESS(INDEX($M$2:$M$1001,MATCH(ROWS($K$2:K716),$K$2:$K$1001,0),0), INDEX($R$1004:$W$1004,1,MATCH(COLUMNS($R$1006:S1006),$R$1006:$W$1006,0)))),"Fix")))</f>
        <v>0</v>
      </c>
      <c r="D716" s="3">
        <f>IF(OR(INDEX($L$2:$L$1001,MATCH(ROWS($K$2:K716),$K$2:$K$1001,0),1)&gt;=100000,INDEX($R$1005:$W$1005,1,MATCH(COLUMNS($R$1006:T1006),$R$1006:$W$1006,0))&gt;=100000), " ",IF(INDEX($R$2:$W$1001,MATCH(ROWS($K$2:K716),$K$2:$K$1001,0),MATCH(COLUMNS($R$1006:T1006),$R$1006:$W$1006,0)), HYPERLINK("#",""), HYPERLINK(CONCATENATE("#Metadata!", ADDRESS(INDEX($M$2:$M$1001,MATCH(ROWS($K$2:K716),$K$2:$K$1001,0),0), INDEX($R$1004:$W$1004,1,MATCH(COLUMNS($R$1006:T1006),$R$1006:$W$1006,0)))),"Fix")))</f>
        <v>0</v>
      </c>
      <c r="E716" s="3">
        <f>IF(OR(INDEX($L$2:$L$1001,MATCH(ROWS($K$2:K716),$K$2:$K$1001,0),1)&gt;=100000,INDEX($R$1005:$W$1005,1,MATCH(COLUMNS($R$1006:U1006),$R$1006:$W$1006,0))&gt;=100000), " ",IF(INDEX($R$2:$W$1001,MATCH(ROWS($K$2:K716),$K$2:$K$1001,0),MATCH(COLUMNS($R$1006:U1006),$R$1006:$W$1006,0)), HYPERLINK("#",""), HYPERLINK(CONCATENATE("#Metadata!", ADDRESS(INDEX($M$2:$M$1001,MATCH(ROWS($K$2:K716),$K$2:$K$1001,0),0), INDEX($R$1004:$W$1004,1,MATCH(COLUMNS($R$1006:U1006),$R$1006:$W$1006,0)))),"Fix")))</f>
        <v>0</v>
      </c>
      <c r="F716" s="3">
        <f>IF(OR(INDEX($L$2:$L$1001,MATCH(ROWS($K$2:K716),$K$2:$K$1001,0),1)&gt;=100000,INDEX($R$1005:$W$1005,1,MATCH(COLUMNS($R$1006:V1006),$R$1006:$W$1006,0))&gt;=100000), " ",IF(INDEX($R$2:$W$1001,MATCH(ROWS($K$2:K716),$K$2:$K$1001,0),MATCH(COLUMNS($R$1006:V1006),$R$1006:$W$1006,0)), HYPERLINK("#",""), HYPERLINK(CONCATENATE("#Metadata!", ADDRESS(INDEX($M$2:$M$1001,MATCH(ROWS($K$2:K716),$K$2:$K$1001,0),0), INDEX($R$1004:$W$1004,1,MATCH(COLUMNS($R$1006:V1006),$R$1006:$W$1006,0)))),"Fix")))</f>
        <v>0</v>
      </c>
      <c r="G716" s="3">
        <f>IF(OR(INDEX($L$2:$L$1001,MATCH(ROWS($K$2:K716),$K$2:$K$1001,0),1)&gt;=100000,INDEX($R$1005:$W$1005,1,MATCH(COLUMNS($R$1006:W1006),$R$1006:$W$1006,0))&gt;=100000), " ",IF(INDEX($R$2:$W$1001,MATCH(ROWS($K$2:K716),$K$2:$K$1001,0),MATCH(COLUMNS($R$1006:W1006),$R$1006:$W$1006,0)), HYPERLINK("#",""), HYPERLINK(CONCATENATE("#Metadata!", ADDRESS(INDEX($M$2:$M$1001,MATCH(ROWS($K$2:K716),$K$2:$K$1001,0),0), INDEX($R$1004:$W$1004,1,MATCH(COLUMNS($R$1006:W1006),$R$1006:$W$1006,0)))),"Fix")))</f>
        <v>0</v>
      </c>
      <c r="K716">
        <v>0</v>
      </c>
      <c r="L716">
        <v>0</v>
      </c>
      <c r="M716">
        <v>0</v>
      </c>
      <c r="N716">
        <f>IF(O716,TRUE,AND(R716:W716))</f>
        <v>0</v>
      </c>
      <c r="O716">
        <f>COUNTBLANK(Metadata!B716:G716)=COLUMNS(Metadata!B716:G716)</f>
        <v>0</v>
      </c>
      <c r="P716">
        <v>0</v>
      </c>
      <c r="R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S716">
        <f>IF(Metadata!C716="",FALSE,TRUE)</f>
        <v>0</v>
      </c>
      <c r="T716">
        <f>IF(Metadata!D716="",FALSE,TRUE)</f>
        <v>0</v>
      </c>
      <c r="U716">
        <f>IF(Metadata!E716="",FALSE,TRUE)</f>
        <v>0</v>
      </c>
      <c r="V716">
        <f>AND(IF(Metadata!F716="",FALSE,TRUE),exact(Metadata!F716,"rat gut metagenome"))</f>
        <v>0</v>
      </c>
      <c r="W716">
        <f>AND(IF(Metadata!G716="",FALSE,TRUE),exact(Metadata!G716,"1436733"))</f>
        <v>0</v>
      </c>
    </row>
    <row r="717" spans="1:23">
      <c r="A717" s="4">
        <f>IF(B717=" "," ",HYPERLINK(CONCATENATE("#metadata!",ADDRESS(INDEX($M$2:$M$1001,MATCH(ROWS($K$2:K717),$K$2:$K$1001,0),0),1)),INDEX($P$2:$P$1001,MATCH(ROWS($K$2:K717),$K$2:$K$1001,0),0)))</f>
        <v>0</v>
      </c>
      <c r="B717" s="3">
        <f>IF(OR(INDEX($L$2:$L$1001,MATCH(ROWS($K$2:K717),$K$2:$K$1001,0),1)&gt;=100000,INDEX($R$1005:$W$1005,1,MATCH(COLUMNS($R$1006:R1006),$R$1006:$W$1006,0))&gt;=100000), " ",IF(INDEX($R$2:$W$1001,MATCH(ROWS($K$2:K717),$K$2:$K$1001,0),MATCH(COLUMNS($R$1006:R1006),$R$1006:$W$1006,0)), HYPERLINK("#",""), HYPERLINK(CONCATENATE("#Metadata!", ADDRESS(INDEX($M$2:$M$1001,MATCH(ROWS($K$2:K717),$K$2:$K$1001,0),0), INDEX($R$1004:$W$1004,1,MATCH(COLUMNS($R$1006:R1006),$R$1006:$W$1006,0)))),"Fix")))</f>
        <v>0</v>
      </c>
      <c r="C717" s="3">
        <f>IF(OR(INDEX($L$2:$L$1001,MATCH(ROWS($K$2:K717),$K$2:$K$1001,0),1)&gt;=100000,INDEX($R$1005:$W$1005,1,MATCH(COLUMNS($R$1006:S1006),$R$1006:$W$1006,0))&gt;=100000), " ",IF(INDEX($R$2:$W$1001,MATCH(ROWS($K$2:K717),$K$2:$K$1001,0),MATCH(COLUMNS($R$1006:S1006),$R$1006:$W$1006,0)), HYPERLINK("#",""), HYPERLINK(CONCATENATE("#Metadata!", ADDRESS(INDEX($M$2:$M$1001,MATCH(ROWS($K$2:K717),$K$2:$K$1001,0),0), INDEX($R$1004:$W$1004,1,MATCH(COLUMNS($R$1006:S1006),$R$1006:$W$1006,0)))),"Fix")))</f>
        <v>0</v>
      </c>
      <c r="D717" s="3">
        <f>IF(OR(INDEX($L$2:$L$1001,MATCH(ROWS($K$2:K717),$K$2:$K$1001,0),1)&gt;=100000,INDEX($R$1005:$W$1005,1,MATCH(COLUMNS($R$1006:T1006),$R$1006:$W$1006,0))&gt;=100000), " ",IF(INDEX($R$2:$W$1001,MATCH(ROWS($K$2:K717),$K$2:$K$1001,0),MATCH(COLUMNS($R$1006:T1006),$R$1006:$W$1006,0)), HYPERLINK("#",""), HYPERLINK(CONCATENATE("#Metadata!", ADDRESS(INDEX($M$2:$M$1001,MATCH(ROWS($K$2:K717),$K$2:$K$1001,0),0), INDEX($R$1004:$W$1004,1,MATCH(COLUMNS($R$1006:T1006),$R$1006:$W$1006,0)))),"Fix")))</f>
        <v>0</v>
      </c>
      <c r="E717" s="3">
        <f>IF(OR(INDEX($L$2:$L$1001,MATCH(ROWS($K$2:K717),$K$2:$K$1001,0),1)&gt;=100000,INDEX($R$1005:$W$1005,1,MATCH(COLUMNS($R$1006:U1006),$R$1006:$W$1006,0))&gt;=100000), " ",IF(INDEX($R$2:$W$1001,MATCH(ROWS($K$2:K717),$K$2:$K$1001,0),MATCH(COLUMNS($R$1006:U1006),$R$1006:$W$1006,0)), HYPERLINK("#",""), HYPERLINK(CONCATENATE("#Metadata!", ADDRESS(INDEX($M$2:$M$1001,MATCH(ROWS($K$2:K717),$K$2:$K$1001,0),0), INDEX($R$1004:$W$1004,1,MATCH(COLUMNS($R$1006:U1006),$R$1006:$W$1006,0)))),"Fix")))</f>
        <v>0</v>
      </c>
      <c r="F717" s="3">
        <f>IF(OR(INDEX($L$2:$L$1001,MATCH(ROWS($K$2:K717),$K$2:$K$1001,0),1)&gt;=100000,INDEX($R$1005:$W$1005,1,MATCH(COLUMNS($R$1006:V1006),$R$1006:$W$1006,0))&gt;=100000), " ",IF(INDEX($R$2:$W$1001,MATCH(ROWS($K$2:K717),$K$2:$K$1001,0),MATCH(COLUMNS($R$1006:V1006),$R$1006:$W$1006,0)), HYPERLINK("#",""), HYPERLINK(CONCATENATE("#Metadata!", ADDRESS(INDEX($M$2:$M$1001,MATCH(ROWS($K$2:K717),$K$2:$K$1001,0),0), INDEX($R$1004:$W$1004,1,MATCH(COLUMNS($R$1006:V1006),$R$1006:$W$1006,0)))),"Fix")))</f>
        <v>0</v>
      </c>
      <c r="G717" s="3">
        <f>IF(OR(INDEX($L$2:$L$1001,MATCH(ROWS($K$2:K717),$K$2:$K$1001,0),1)&gt;=100000,INDEX($R$1005:$W$1005,1,MATCH(COLUMNS($R$1006:W1006),$R$1006:$W$1006,0))&gt;=100000), " ",IF(INDEX($R$2:$W$1001,MATCH(ROWS($K$2:K717),$K$2:$K$1001,0),MATCH(COLUMNS($R$1006:W1006),$R$1006:$W$1006,0)), HYPERLINK("#",""), HYPERLINK(CONCATENATE("#Metadata!", ADDRESS(INDEX($M$2:$M$1001,MATCH(ROWS($K$2:K717),$K$2:$K$1001,0),0), INDEX($R$1004:$W$1004,1,MATCH(COLUMNS($R$1006:W1006),$R$1006:$W$1006,0)))),"Fix")))</f>
        <v>0</v>
      </c>
      <c r="K717">
        <v>0</v>
      </c>
      <c r="L717">
        <v>0</v>
      </c>
      <c r="M717">
        <v>0</v>
      </c>
      <c r="N717">
        <f>IF(O717,TRUE,AND(R717:W717))</f>
        <v>0</v>
      </c>
      <c r="O717">
        <f>COUNTBLANK(Metadata!B717:G717)=COLUMNS(Metadata!B717:G717)</f>
        <v>0</v>
      </c>
      <c r="P717">
        <v>0</v>
      </c>
      <c r="R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S717">
        <f>IF(Metadata!C717="",FALSE,TRUE)</f>
        <v>0</v>
      </c>
      <c r="T717">
        <f>IF(Metadata!D717="",FALSE,TRUE)</f>
        <v>0</v>
      </c>
      <c r="U717">
        <f>IF(Metadata!E717="",FALSE,TRUE)</f>
        <v>0</v>
      </c>
      <c r="V717">
        <f>AND(IF(Metadata!F717="",FALSE,TRUE),exact(Metadata!F717,"rat gut metagenome"))</f>
        <v>0</v>
      </c>
      <c r="W717">
        <f>AND(IF(Metadata!G717="",FALSE,TRUE),exact(Metadata!G717,"1436733"))</f>
        <v>0</v>
      </c>
    </row>
    <row r="718" spans="1:23">
      <c r="A718" s="4">
        <f>IF(B718=" "," ",HYPERLINK(CONCATENATE("#metadata!",ADDRESS(INDEX($M$2:$M$1001,MATCH(ROWS($K$2:K718),$K$2:$K$1001,0),0),1)),INDEX($P$2:$P$1001,MATCH(ROWS($K$2:K718),$K$2:$K$1001,0),0)))</f>
        <v>0</v>
      </c>
      <c r="B718" s="3">
        <f>IF(OR(INDEX($L$2:$L$1001,MATCH(ROWS($K$2:K718),$K$2:$K$1001,0),1)&gt;=100000,INDEX($R$1005:$W$1005,1,MATCH(COLUMNS($R$1006:R1006),$R$1006:$W$1006,0))&gt;=100000), " ",IF(INDEX($R$2:$W$1001,MATCH(ROWS($K$2:K718),$K$2:$K$1001,0),MATCH(COLUMNS($R$1006:R1006),$R$1006:$W$1006,0)), HYPERLINK("#",""), HYPERLINK(CONCATENATE("#Metadata!", ADDRESS(INDEX($M$2:$M$1001,MATCH(ROWS($K$2:K718),$K$2:$K$1001,0),0), INDEX($R$1004:$W$1004,1,MATCH(COLUMNS($R$1006:R1006),$R$1006:$W$1006,0)))),"Fix")))</f>
        <v>0</v>
      </c>
      <c r="C718" s="3">
        <f>IF(OR(INDEX($L$2:$L$1001,MATCH(ROWS($K$2:K718),$K$2:$K$1001,0),1)&gt;=100000,INDEX($R$1005:$W$1005,1,MATCH(COLUMNS($R$1006:S1006),$R$1006:$W$1006,0))&gt;=100000), " ",IF(INDEX($R$2:$W$1001,MATCH(ROWS($K$2:K718),$K$2:$K$1001,0),MATCH(COLUMNS($R$1006:S1006),$R$1006:$W$1006,0)), HYPERLINK("#",""), HYPERLINK(CONCATENATE("#Metadata!", ADDRESS(INDEX($M$2:$M$1001,MATCH(ROWS($K$2:K718),$K$2:$K$1001,0),0), INDEX($R$1004:$W$1004,1,MATCH(COLUMNS($R$1006:S1006),$R$1006:$W$1006,0)))),"Fix")))</f>
        <v>0</v>
      </c>
      <c r="D718" s="3">
        <f>IF(OR(INDEX($L$2:$L$1001,MATCH(ROWS($K$2:K718),$K$2:$K$1001,0),1)&gt;=100000,INDEX($R$1005:$W$1005,1,MATCH(COLUMNS($R$1006:T1006),$R$1006:$W$1006,0))&gt;=100000), " ",IF(INDEX($R$2:$W$1001,MATCH(ROWS($K$2:K718),$K$2:$K$1001,0),MATCH(COLUMNS($R$1006:T1006),$R$1006:$W$1006,0)), HYPERLINK("#",""), HYPERLINK(CONCATENATE("#Metadata!", ADDRESS(INDEX($M$2:$M$1001,MATCH(ROWS($K$2:K718),$K$2:$K$1001,0),0), INDEX($R$1004:$W$1004,1,MATCH(COLUMNS($R$1006:T1006),$R$1006:$W$1006,0)))),"Fix")))</f>
        <v>0</v>
      </c>
      <c r="E718" s="3">
        <f>IF(OR(INDEX($L$2:$L$1001,MATCH(ROWS($K$2:K718),$K$2:$K$1001,0),1)&gt;=100000,INDEX($R$1005:$W$1005,1,MATCH(COLUMNS($R$1006:U1006),$R$1006:$W$1006,0))&gt;=100000), " ",IF(INDEX($R$2:$W$1001,MATCH(ROWS($K$2:K718),$K$2:$K$1001,0),MATCH(COLUMNS($R$1006:U1006),$R$1006:$W$1006,0)), HYPERLINK("#",""), HYPERLINK(CONCATENATE("#Metadata!", ADDRESS(INDEX($M$2:$M$1001,MATCH(ROWS($K$2:K718),$K$2:$K$1001,0),0), INDEX($R$1004:$W$1004,1,MATCH(COLUMNS($R$1006:U1006),$R$1006:$W$1006,0)))),"Fix")))</f>
        <v>0</v>
      </c>
      <c r="F718" s="3">
        <f>IF(OR(INDEX($L$2:$L$1001,MATCH(ROWS($K$2:K718),$K$2:$K$1001,0),1)&gt;=100000,INDEX($R$1005:$W$1005,1,MATCH(COLUMNS($R$1006:V1006),$R$1006:$W$1006,0))&gt;=100000), " ",IF(INDEX($R$2:$W$1001,MATCH(ROWS($K$2:K718),$K$2:$K$1001,0),MATCH(COLUMNS($R$1006:V1006),$R$1006:$W$1006,0)), HYPERLINK("#",""), HYPERLINK(CONCATENATE("#Metadata!", ADDRESS(INDEX($M$2:$M$1001,MATCH(ROWS($K$2:K718),$K$2:$K$1001,0),0), INDEX($R$1004:$W$1004,1,MATCH(COLUMNS($R$1006:V1006),$R$1006:$W$1006,0)))),"Fix")))</f>
        <v>0</v>
      </c>
      <c r="G718" s="3">
        <f>IF(OR(INDEX($L$2:$L$1001,MATCH(ROWS($K$2:K718),$K$2:$K$1001,0),1)&gt;=100000,INDEX($R$1005:$W$1005,1,MATCH(COLUMNS($R$1006:W1006),$R$1006:$W$1006,0))&gt;=100000), " ",IF(INDEX($R$2:$W$1001,MATCH(ROWS($K$2:K718),$K$2:$K$1001,0),MATCH(COLUMNS($R$1006:W1006),$R$1006:$W$1006,0)), HYPERLINK("#",""), HYPERLINK(CONCATENATE("#Metadata!", ADDRESS(INDEX($M$2:$M$1001,MATCH(ROWS($K$2:K718),$K$2:$K$1001,0),0), INDEX($R$1004:$W$1004,1,MATCH(COLUMNS($R$1006:W1006),$R$1006:$W$1006,0)))),"Fix")))</f>
        <v>0</v>
      </c>
      <c r="K718">
        <v>0</v>
      </c>
      <c r="L718">
        <v>0</v>
      </c>
      <c r="M718">
        <v>0</v>
      </c>
      <c r="N718">
        <f>IF(O718,TRUE,AND(R718:W718))</f>
        <v>0</v>
      </c>
      <c r="O718">
        <f>COUNTBLANK(Metadata!B718:G718)=COLUMNS(Metadata!B718:G718)</f>
        <v>0</v>
      </c>
      <c r="P718">
        <v>0</v>
      </c>
      <c r="R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S718">
        <f>IF(Metadata!C718="",FALSE,TRUE)</f>
        <v>0</v>
      </c>
      <c r="T718">
        <f>IF(Metadata!D718="",FALSE,TRUE)</f>
        <v>0</v>
      </c>
      <c r="U718">
        <f>IF(Metadata!E718="",FALSE,TRUE)</f>
        <v>0</v>
      </c>
      <c r="V718">
        <f>AND(IF(Metadata!F718="",FALSE,TRUE),exact(Metadata!F718,"rat gut metagenome"))</f>
        <v>0</v>
      </c>
      <c r="W718">
        <f>AND(IF(Metadata!G718="",FALSE,TRUE),exact(Metadata!G718,"1436733"))</f>
        <v>0</v>
      </c>
    </row>
    <row r="719" spans="1:23">
      <c r="A719" s="4">
        <f>IF(B719=" "," ",HYPERLINK(CONCATENATE("#metadata!",ADDRESS(INDEX($M$2:$M$1001,MATCH(ROWS($K$2:K719),$K$2:$K$1001,0),0),1)),INDEX($P$2:$P$1001,MATCH(ROWS($K$2:K719),$K$2:$K$1001,0),0)))</f>
        <v>0</v>
      </c>
      <c r="B719" s="3">
        <f>IF(OR(INDEX($L$2:$L$1001,MATCH(ROWS($K$2:K719),$K$2:$K$1001,0),1)&gt;=100000,INDEX($R$1005:$W$1005,1,MATCH(COLUMNS($R$1006:R1006),$R$1006:$W$1006,0))&gt;=100000), " ",IF(INDEX($R$2:$W$1001,MATCH(ROWS($K$2:K719),$K$2:$K$1001,0),MATCH(COLUMNS($R$1006:R1006),$R$1006:$W$1006,0)), HYPERLINK("#",""), HYPERLINK(CONCATENATE("#Metadata!", ADDRESS(INDEX($M$2:$M$1001,MATCH(ROWS($K$2:K719),$K$2:$K$1001,0),0), INDEX($R$1004:$W$1004,1,MATCH(COLUMNS($R$1006:R1006),$R$1006:$W$1006,0)))),"Fix")))</f>
        <v>0</v>
      </c>
      <c r="C719" s="3">
        <f>IF(OR(INDEX($L$2:$L$1001,MATCH(ROWS($K$2:K719),$K$2:$K$1001,0),1)&gt;=100000,INDEX($R$1005:$W$1005,1,MATCH(COLUMNS($R$1006:S1006),$R$1006:$W$1006,0))&gt;=100000), " ",IF(INDEX($R$2:$W$1001,MATCH(ROWS($K$2:K719),$K$2:$K$1001,0),MATCH(COLUMNS($R$1006:S1006),$R$1006:$W$1006,0)), HYPERLINK("#",""), HYPERLINK(CONCATENATE("#Metadata!", ADDRESS(INDEX($M$2:$M$1001,MATCH(ROWS($K$2:K719),$K$2:$K$1001,0),0), INDEX($R$1004:$W$1004,1,MATCH(COLUMNS($R$1006:S1006),$R$1006:$W$1006,0)))),"Fix")))</f>
        <v>0</v>
      </c>
      <c r="D719" s="3">
        <f>IF(OR(INDEX($L$2:$L$1001,MATCH(ROWS($K$2:K719),$K$2:$K$1001,0),1)&gt;=100000,INDEX($R$1005:$W$1005,1,MATCH(COLUMNS($R$1006:T1006),$R$1006:$W$1006,0))&gt;=100000), " ",IF(INDEX($R$2:$W$1001,MATCH(ROWS($K$2:K719),$K$2:$K$1001,0),MATCH(COLUMNS($R$1006:T1006),$R$1006:$W$1006,0)), HYPERLINK("#",""), HYPERLINK(CONCATENATE("#Metadata!", ADDRESS(INDEX($M$2:$M$1001,MATCH(ROWS($K$2:K719),$K$2:$K$1001,0),0), INDEX($R$1004:$W$1004,1,MATCH(COLUMNS($R$1006:T1006),$R$1006:$W$1006,0)))),"Fix")))</f>
        <v>0</v>
      </c>
      <c r="E719" s="3">
        <f>IF(OR(INDEX($L$2:$L$1001,MATCH(ROWS($K$2:K719),$K$2:$K$1001,0),1)&gt;=100000,INDEX($R$1005:$W$1005,1,MATCH(COLUMNS($R$1006:U1006),$R$1006:$W$1006,0))&gt;=100000), " ",IF(INDEX($R$2:$W$1001,MATCH(ROWS($K$2:K719),$K$2:$K$1001,0),MATCH(COLUMNS($R$1006:U1006),$R$1006:$W$1006,0)), HYPERLINK("#",""), HYPERLINK(CONCATENATE("#Metadata!", ADDRESS(INDEX($M$2:$M$1001,MATCH(ROWS($K$2:K719),$K$2:$K$1001,0),0), INDEX($R$1004:$W$1004,1,MATCH(COLUMNS($R$1006:U1006),$R$1006:$W$1006,0)))),"Fix")))</f>
        <v>0</v>
      </c>
      <c r="F719" s="3">
        <f>IF(OR(INDEX($L$2:$L$1001,MATCH(ROWS($K$2:K719),$K$2:$K$1001,0),1)&gt;=100000,INDEX($R$1005:$W$1005,1,MATCH(COLUMNS($R$1006:V1006),$R$1006:$W$1006,0))&gt;=100000), " ",IF(INDEX($R$2:$W$1001,MATCH(ROWS($K$2:K719),$K$2:$K$1001,0),MATCH(COLUMNS($R$1006:V1006),$R$1006:$W$1006,0)), HYPERLINK("#",""), HYPERLINK(CONCATENATE("#Metadata!", ADDRESS(INDEX($M$2:$M$1001,MATCH(ROWS($K$2:K719),$K$2:$K$1001,0),0), INDEX($R$1004:$W$1004,1,MATCH(COLUMNS($R$1006:V1006),$R$1006:$W$1006,0)))),"Fix")))</f>
        <v>0</v>
      </c>
      <c r="G719" s="3">
        <f>IF(OR(INDEX($L$2:$L$1001,MATCH(ROWS($K$2:K719),$K$2:$K$1001,0),1)&gt;=100000,INDEX($R$1005:$W$1005,1,MATCH(COLUMNS($R$1006:W1006),$R$1006:$W$1006,0))&gt;=100000), " ",IF(INDEX($R$2:$W$1001,MATCH(ROWS($K$2:K719),$K$2:$K$1001,0),MATCH(COLUMNS($R$1006:W1006),$R$1006:$W$1006,0)), HYPERLINK("#",""), HYPERLINK(CONCATENATE("#Metadata!", ADDRESS(INDEX($M$2:$M$1001,MATCH(ROWS($K$2:K719),$K$2:$K$1001,0),0), INDEX($R$1004:$W$1004,1,MATCH(COLUMNS($R$1006:W1006),$R$1006:$W$1006,0)))),"Fix")))</f>
        <v>0</v>
      </c>
      <c r="K719">
        <v>0</v>
      </c>
      <c r="L719">
        <v>0</v>
      </c>
      <c r="M719">
        <v>0</v>
      </c>
      <c r="N719">
        <f>IF(O719,TRUE,AND(R719:W719))</f>
        <v>0</v>
      </c>
      <c r="O719">
        <f>COUNTBLANK(Metadata!B719:G719)=COLUMNS(Metadata!B719:G719)</f>
        <v>0</v>
      </c>
      <c r="P719">
        <v>0</v>
      </c>
      <c r="R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S719">
        <f>IF(Metadata!C719="",FALSE,TRUE)</f>
        <v>0</v>
      </c>
      <c r="T719">
        <f>IF(Metadata!D719="",FALSE,TRUE)</f>
        <v>0</v>
      </c>
      <c r="U719">
        <f>IF(Metadata!E719="",FALSE,TRUE)</f>
        <v>0</v>
      </c>
      <c r="V719">
        <f>AND(IF(Metadata!F719="",FALSE,TRUE),exact(Metadata!F719,"rat gut metagenome"))</f>
        <v>0</v>
      </c>
      <c r="W719">
        <f>AND(IF(Metadata!G719="",FALSE,TRUE),exact(Metadata!G719,"1436733"))</f>
        <v>0</v>
      </c>
    </row>
    <row r="720" spans="1:23">
      <c r="A720" s="4">
        <f>IF(B720=" "," ",HYPERLINK(CONCATENATE("#metadata!",ADDRESS(INDEX($M$2:$M$1001,MATCH(ROWS($K$2:K720),$K$2:$K$1001,0),0),1)),INDEX($P$2:$P$1001,MATCH(ROWS($K$2:K720),$K$2:$K$1001,0),0)))</f>
        <v>0</v>
      </c>
      <c r="B720" s="3">
        <f>IF(OR(INDEX($L$2:$L$1001,MATCH(ROWS($K$2:K720),$K$2:$K$1001,0),1)&gt;=100000,INDEX($R$1005:$W$1005,1,MATCH(COLUMNS($R$1006:R1006),$R$1006:$W$1006,0))&gt;=100000), " ",IF(INDEX($R$2:$W$1001,MATCH(ROWS($K$2:K720),$K$2:$K$1001,0),MATCH(COLUMNS($R$1006:R1006),$R$1006:$W$1006,0)), HYPERLINK("#",""), HYPERLINK(CONCATENATE("#Metadata!", ADDRESS(INDEX($M$2:$M$1001,MATCH(ROWS($K$2:K720),$K$2:$K$1001,0),0), INDEX($R$1004:$W$1004,1,MATCH(COLUMNS($R$1006:R1006),$R$1006:$W$1006,0)))),"Fix")))</f>
        <v>0</v>
      </c>
      <c r="C720" s="3">
        <f>IF(OR(INDEX($L$2:$L$1001,MATCH(ROWS($K$2:K720),$K$2:$K$1001,0),1)&gt;=100000,INDEX($R$1005:$W$1005,1,MATCH(COLUMNS($R$1006:S1006),$R$1006:$W$1006,0))&gt;=100000), " ",IF(INDEX($R$2:$W$1001,MATCH(ROWS($K$2:K720),$K$2:$K$1001,0),MATCH(COLUMNS($R$1006:S1006),$R$1006:$W$1006,0)), HYPERLINK("#",""), HYPERLINK(CONCATENATE("#Metadata!", ADDRESS(INDEX($M$2:$M$1001,MATCH(ROWS($K$2:K720),$K$2:$K$1001,0),0), INDEX($R$1004:$W$1004,1,MATCH(COLUMNS($R$1006:S1006),$R$1006:$W$1006,0)))),"Fix")))</f>
        <v>0</v>
      </c>
      <c r="D720" s="3">
        <f>IF(OR(INDEX($L$2:$L$1001,MATCH(ROWS($K$2:K720),$K$2:$K$1001,0),1)&gt;=100000,INDEX($R$1005:$W$1005,1,MATCH(COLUMNS($R$1006:T1006),$R$1006:$W$1006,0))&gt;=100000), " ",IF(INDEX($R$2:$W$1001,MATCH(ROWS($K$2:K720),$K$2:$K$1001,0),MATCH(COLUMNS($R$1006:T1006),$R$1006:$W$1006,0)), HYPERLINK("#",""), HYPERLINK(CONCATENATE("#Metadata!", ADDRESS(INDEX($M$2:$M$1001,MATCH(ROWS($K$2:K720),$K$2:$K$1001,0),0), INDEX($R$1004:$W$1004,1,MATCH(COLUMNS($R$1006:T1006),$R$1006:$W$1006,0)))),"Fix")))</f>
        <v>0</v>
      </c>
      <c r="E720" s="3">
        <f>IF(OR(INDEX($L$2:$L$1001,MATCH(ROWS($K$2:K720),$K$2:$K$1001,0),1)&gt;=100000,INDEX($R$1005:$W$1005,1,MATCH(COLUMNS($R$1006:U1006),$R$1006:$W$1006,0))&gt;=100000), " ",IF(INDEX($R$2:$W$1001,MATCH(ROWS($K$2:K720),$K$2:$K$1001,0),MATCH(COLUMNS($R$1006:U1006),$R$1006:$W$1006,0)), HYPERLINK("#",""), HYPERLINK(CONCATENATE("#Metadata!", ADDRESS(INDEX($M$2:$M$1001,MATCH(ROWS($K$2:K720),$K$2:$K$1001,0),0), INDEX($R$1004:$W$1004,1,MATCH(COLUMNS($R$1006:U1006),$R$1006:$W$1006,0)))),"Fix")))</f>
        <v>0</v>
      </c>
      <c r="F720" s="3">
        <f>IF(OR(INDEX($L$2:$L$1001,MATCH(ROWS($K$2:K720),$K$2:$K$1001,0),1)&gt;=100000,INDEX($R$1005:$W$1005,1,MATCH(COLUMNS($R$1006:V1006),$R$1006:$W$1006,0))&gt;=100000), " ",IF(INDEX($R$2:$W$1001,MATCH(ROWS($K$2:K720),$K$2:$K$1001,0),MATCH(COLUMNS($R$1006:V1006),$R$1006:$W$1006,0)), HYPERLINK("#",""), HYPERLINK(CONCATENATE("#Metadata!", ADDRESS(INDEX($M$2:$M$1001,MATCH(ROWS($K$2:K720),$K$2:$K$1001,0),0), INDEX($R$1004:$W$1004,1,MATCH(COLUMNS($R$1006:V1006),$R$1006:$W$1006,0)))),"Fix")))</f>
        <v>0</v>
      </c>
      <c r="G720" s="3">
        <f>IF(OR(INDEX($L$2:$L$1001,MATCH(ROWS($K$2:K720),$K$2:$K$1001,0),1)&gt;=100000,INDEX($R$1005:$W$1005,1,MATCH(COLUMNS($R$1006:W1006),$R$1006:$W$1006,0))&gt;=100000), " ",IF(INDEX($R$2:$W$1001,MATCH(ROWS($K$2:K720),$K$2:$K$1001,0),MATCH(COLUMNS($R$1006:W1006),$R$1006:$W$1006,0)), HYPERLINK("#",""), HYPERLINK(CONCATENATE("#Metadata!", ADDRESS(INDEX($M$2:$M$1001,MATCH(ROWS($K$2:K720),$K$2:$K$1001,0),0), INDEX($R$1004:$W$1004,1,MATCH(COLUMNS($R$1006:W1006),$R$1006:$W$1006,0)))),"Fix")))</f>
        <v>0</v>
      </c>
      <c r="K720">
        <v>0</v>
      </c>
      <c r="L720">
        <v>0</v>
      </c>
      <c r="M720">
        <v>0</v>
      </c>
      <c r="N720">
        <f>IF(O720,TRUE,AND(R720:W720))</f>
        <v>0</v>
      </c>
      <c r="O720">
        <f>COUNTBLANK(Metadata!B720:G720)=COLUMNS(Metadata!B720:G720)</f>
        <v>0</v>
      </c>
      <c r="P720">
        <v>0</v>
      </c>
      <c r="R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S720">
        <f>IF(Metadata!C720="",FALSE,TRUE)</f>
        <v>0</v>
      </c>
      <c r="T720">
        <f>IF(Metadata!D720="",FALSE,TRUE)</f>
        <v>0</v>
      </c>
      <c r="U720">
        <f>IF(Metadata!E720="",FALSE,TRUE)</f>
        <v>0</v>
      </c>
      <c r="V720">
        <f>AND(IF(Metadata!F720="",FALSE,TRUE),exact(Metadata!F720,"rat gut metagenome"))</f>
        <v>0</v>
      </c>
      <c r="W720">
        <f>AND(IF(Metadata!G720="",FALSE,TRUE),exact(Metadata!G720,"1436733"))</f>
        <v>0</v>
      </c>
    </row>
    <row r="721" spans="1:23">
      <c r="A721" s="4">
        <f>IF(B721=" "," ",HYPERLINK(CONCATENATE("#metadata!",ADDRESS(INDEX($M$2:$M$1001,MATCH(ROWS($K$2:K721),$K$2:$K$1001,0),0),1)),INDEX($P$2:$P$1001,MATCH(ROWS($K$2:K721),$K$2:$K$1001,0),0)))</f>
        <v>0</v>
      </c>
      <c r="B721" s="3">
        <f>IF(OR(INDEX($L$2:$L$1001,MATCH(ROWS($K$2:K721),$K$2:$K$1001,0),1)&gt;=100000,INDEX($R$1005:$W$1005,1,MATCH(COLUMNS($R$1006:R1006),$R$1006:$W$1006,0))&gt;=100000), " ",IF(INDEX($R$2:$W$1001,MATCH(ROWS($K$2:K721),$K$2:$K$1001,0),MATCH(COLUMNS($R$1006:R1006),$R$1006:$W$1006,0)), HYPERLINK("#",""), HYPERLINK(CONCATENATE("#Metadata!", ADDRESS(INDEX($M$2:$M$1001,MATCH(ROWS($K$2:K721),$K$2:$K$1001,0),0), INDEX($R$1004:$W$1004,1,MATCH(COLUMNS($R$1006:R1006),$R$1006:$W$1006,0)))),"Fix")))</f>
        <v>0</v>
      </c>
      <c r="C721" s="3">
        <f>IF(OR(INDEX($L$2:$L$1001,MATCH(ROWS($K$2:K721),$K$2:$K$1001,0),1)&gt;=100000,INDEX($R$1005:$W$1005,1,MATCH(COLUMNS($R$1006:S1006),$R$1006:$W$1006,0))&gt;=100000), " ",IF(INDEX($R$2:$W$1001,MATCH(ROWS($K$2:K721),$K$2:$K$1001,0),MATCH(COLUMNS($R$1006:S1006),$R$1006:$W$1006,0)), HYPERLINK("#",""), HYPERLINK(CONCATENATE("#Metadata!", ADDRESS(INDEX($M$2:$M$1001,MATCH(ROWS($K$2:K721),$K$2:$K$1001,0),0), INDEX($R$1004:$W$1004,1,MATCH(COLUMNS($R$1006:S1006),$R$1006:$W$1006,0)))),"Fix")))</f>
        <v>0</v>
      </c>
      <c r="D721" s="3">
        <f>IF(OR(INDEX($L$2:$L$1001,MATCH(ROWS($K$2:K721),$K$2:$K$1001,0),1)&gt;=100000,INDEX($R$1005:$W$1005,1,MATCH(COLUMNS($R$1006:T1006),$R$1006:$W$1006,0))&gt;=100000), " ",IF(INDEX($R$2:$W$1001,MATCH(ROWS($K$2:K721),$K$2:$K$1001,0),MATCH(COLUMNS($R$1006:T1006),$R$1006:$W$1006,0)), HYPERLINK("#",""), HYPERLINK(CONCATENATE("#Metadata!", ADDRESS(INDEX($M$2:$M$1001,MATCH(ROWS($K$2:K721),$K$2:$K$1001,0),0), INDEX($R$1004:$W$1004,1,MATCH(COLUMNS($R$1006:T1006),$R$1006:$W$1006,0)))),"Fix")))</f>
        <v>0</v>
      </c>
      <c r="E721" s="3">
        <f>IF(OR(INDEX($L$2:$L$1001,MATCH(ROWS($K$2:K721),$K$2:$K$1001,0),1)&gt;=100000,INDEX($R$1005:$W$1005,1,MATCH(COLUMNS($R$1006:U1006),$R$1006:$W$1006,0))&gt;=100000), " ",IF(INDEX($R$2:$W$1001,MATCH(ROWS($K$2:K721),$K$2:$K$1001,0),MATCH(COLUMNS($R$1006:U1006),$R$1006:$W$1006,0)), HYPERLINK("#",""), HYPERLINK(CONCATENATE("#Metadata!", ADDRESS(INDEX($M$2:$M$1001,MATCH(ROWS($K$2:K721),$K$2:$K$1001,0),0), INDEX($R$1004:$W$1004,1,MATCH(COLUMNS($R$1006:U1006),$R$1006:$W$1006,0)))),"Fix")))</f>
        <v>0</v>
      </c>
      <c r="F721" s="3">
        <f>IF(OR(INDEX($L$2:$L$1001,MATCH(ROWS($K$2:K721),$K$2:$K$1001,0),1)&gt;=100000,INDEX($R$1005:$W$1005,1,MATCH(COLUMNS($R$1006:V1006),$R$1006:$W$1006,0))&gt;=100000), " ",IF(INDEX($R$2:$W$1001,MATCH(ROWS($K$2:K721),$K$2:$K$1001,0),MATCH(COLUMNS($R$1006:V1006),$R$1006:$W$1006,0)), HYPERLINK("#",""), HYPERLINK(CONCATENATE("#Metadata!", ADDRESS(INDEX($M$2:$M$1001,MATCH(ROWS($K$2:K721),$K$2:$K$1001,0),0), INDEX($R$1004:$W$1004,1,MATCH(COLUMNS($R$1006:V1006),$R$1006:$W$1006,0)))),"Fix")))</f>
        <v>0</v>
      </c>
      <c r="G721" s="3">
        <f>IF(OR(INDEX($L$2:$L$1001,MATCH(ROWS($K$2:K721),$K$2:$K$1001,0),1)&gt;=100000,INDEX($R$1005:$W$1005,1,MATCH(COLUMNS($R$1006:W1006),$R$1006:$W$1006,0))&gt;=100000), " ",IF(INDEX($R$2:$W$1001,MATCH(ROWS($K$2:K721),$K$2:$K$1001,0),MATCH(COLUMNS($R$1006:W1006),$R$1006:$W$1006,0)), HYPERLINK("#",""), HYPERLINK(CONCATENATE("#Metadata!", ADDRESS(INDEX($M$2:$M$1001,MATCH(ROWS($K$2:K721),$K$2:$K$1001,0),0), INDEX($R$1004:$W$1004,1,MATCH(COLUMNS($R$1006:W1006),$R$1006:$W$1006,0)))),"Fix")))</f>
        <v>0</v>
      </c>
      <c r="K721">
        <v>0</v>
      </c>
      <c r="L721">
        <v>0</v>
      </c>
      <c r="M721">
        <v>0</v>
      </c>
      <c r="N721">
        <f>IF(O721,TRUE,AND(R721:W721))</f>
        <v>0</v>
      </c>
      <c r="O721">
        <f>COUNTBLANK(Metadata!B721:G721)=COLUMNS(Metadata!B721:G721)</f>
        <v>0</v>
      </c>
      <c r="P721">
        <v>0</v>
      </c>
      <c r="R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S721">
        <f>IF(Metadata!C721="",FALSE,TRUE)</f>
        <v>0</v>
      </c>
      <c r="T721">
        <f>IF(Metadata!D721="",FALSE,TRUE)</f>
        <v>0</v>
      </c>
      <c r="U721">
        <f>IF(Metadata!E721="",FALSE,TRUE)</f>
        <v>0</v>
      </c>
      <c r="V721">
        <f>AND(IF(Metadata!F721="",FALSE,TRUE),exact(Metadata!F721,"rat gut metagenome"))</f>
        <v>0</v>
      </c>
      <c r="W721">
        <f>AND(IF(Metadata!G721="",FALSE,TRUE),exact(Metadata!G721,"1436733"))</f>
        <v>0</v>
      </c>
    </row>
    <row r="722" spans="1:23">
      <c r="A722" s="4">
        <f>IF(B722=" "," ",HYPERLINK(CONCATENATE("#metadata!",ADDRESS(INDEX($M$2:$M$1001,MATCH(ROWS($K$2:K722),$K$2:$K$1001,0),0),1)),INDEX($P$2:$P$1001,MATCH(ROWS($K$2:K722),$K$2:$K$1001,0),0)))</f>
        <v>0</v>
      </c>
      <c r="B722" s="3">
        <f>IF(OR(INDEX($L$2:$L$1001,MATCH(ROWS($K$2:K722),$K$2:$K$1001,0),1)&gt;=100000,INDEX($R$1005:$W$1005,1,MATCH(COLUMNS($R$1006:R1006),$R$1006:$W$1006,0))&gt;=100000), " ",IF(INDEX($R$2:$W$1001,MATCH(ROWS($K$2:K722),$K$2:$K$1001,0),MATCH(COLUMNS($R$1006:R1006),$R$1006:$W$1006,0)), HYPERLINK("#",""), HYPERLINK(CONCATENATE("#Metadata!", ADDRESS(INDEX($M$2:$M$1001,MATCH(ROWS($K$2:K722),$K$2:$K$1001,0),0), INDEX($R$1004:$W$1004,1,MATCH(COLUMNS($R$1006:R1006),$R$1006:$W$1006,0)))),"Fix")))</f>
        <v>0</v>
      </c>
      <c r="C722" s="3">
        <f>IF(OR(INDEX($L$2:$L$1001,MATCH(ROWS($K$2:K722),$K$2:$K$1001,0),1)&gt;=100000,INDEX($R$1005:$W$1005,1,MATCH(COLUMNS($R$1006:S1006),$R$1006:$W$1006,0))&gt;=100000), " ",IF(INDEX($R$2:$W$1001,MATCH(ROWS($K$2:K722),$K$2:$K$1001,0),MATCH(COLUMNS($R$1006:S1006),$R$1006:$W$1006,0)), HYPERLINK("#",""), HYPERLINK(CONCATENATE("#Metadata!", ADDRESS(INDEX($M$2:$M$1001,MATCH(ROWS($K$2:K722),$K$2:$K$1001,0),0), INDEX($R$1004:$W$1004,1,MATCH(COLUMNS($R$1006:S1006),$R$1006:$W$1006,0)))),"Fix")))</f>
        <v>0</v>
      </c>
      <c r="D722" s="3">
        <f>IF(OR(INDEX($L$2:$L$1001,MATCH(ROWS($K$2:K722),$K$2:$K$1001,0),1)&gt;=100000,INDEX($R$1005:$W$1005,1,MATCH(COLUMNS($R$1006:T1006),$R$1006:$W$1006,0))&gt;=100000), " ",IF(INDEX($R$2:$W$1001,MATCH(ROWS($K$2:K722),$K$2:$K$1001,0),MATCH(COLUMNS($R$1006:T1006),$R$1006:$W$1006,0)), HYPERLINK("#",""), HYPERLINK(CONCATENATE("#Metadata!", ADDRESS(INDEX($M$2:$M$1001,MATCH(ROWS($K$2:K722),$K$2:$K$1001,0),0), INDEX($R$1004:$W$1004,1,MATCH(COLUMNS($R$1006:T1006),$R$1006:$W$1006,0)))),"Fix")))</f>
        <v>0</v>
      </c>
      <c r="E722" s="3">
        <f>IF(OR(INDEX($L$2:$L$1001,MATCH(ROWS($K$2:K722),$K$2:$K$1001,0),1)&gt;=100000,INDEX($R$1005:$W$1005,1,MATCH(COLUMNS($R$1006:U1006),$R$1006:$W$1006,0))&gt;=100000), " ",IF(INDEX($R$2:$W$1001,MATCH(ROWS($K$2:K722),$K$2:$K$1001,0),MATCH(COLUMNS($R$1006:U1006),$R$1006:$W$1006,0)), HYPERLINK("#",""), HYPERLINK(CONCATENATE("#Metadata!", ADDRESS(INDEX($M$2:$M$1001,MATCH(ROWS($K$2:K722),$K$2:$K$1001,0),0), INDEX($R$1004:$W$1004,1,MATCH(COLUMNS($R$1006:U1006),$R$1006:$W$1006,0)))),"Fix")))</f>
        <v>0</v>
      </c>
      <c r="F722" s="3">
        <f>IF(OR(INDEX($L$2:$L$1001,MATCH(ROWS($K$2:K722),$K$2:$K$1001,0),1)&gt;=100000,INDEX($R$1005:$W$1005,1,MATCH(COLUMNS($R$1006:V1006),$R$1006:$W$1006,0))&gt;=100000), " ",IF(INDEX($R$2:$W$1001,MATCH(ROWS($K$2:K722),$K$2:$K$1001,0),MATCH(COLUMNS($R$1006:V1006),$R$1006:$W$1006,0)), HYPERLINK("#",""), HYPERLINK(CONCATENATE("#Metadata!", ADDRESS(INDEX($M$2:$M$1001,MATCH(ROWS($K$2:K722),$K$2:$K$1001,0),0), INDEX($R$1004:$W$1004,1,MATCH(COLUMNS($R$1006:V1006),$R$1006:$W$1006,0)))),"Fix")))</f>
        <v>0</v>
      </c>
      <c r="G722" s="3">
        <f>IF(OR(INDEX($L$2:$L$1001,MATCH(ROWS($K$2:K722),$K$2:$K$1001,0),1)&gt;=100000,INDEX($R$1005:$W$1005,1,MATCH(COLUMNS($R$1006:W1006),$R$1006:$W$1006,0))&gt;=100000), " ",IF(INDEX($R$2:$W$1001,MATCH(ROWS($K$2:K722),$K$2:$K$1001,0),MATCH(COLUMNS($R$1006:W1006),$R$1006:$W$1006,0)), HYPERLINK("#",""), HYPERLINK(CONCATENATE("#Metadata!", ADDRESS(INDEX($M$2:$M$1001,MATCH(ROWS($K$2:K722),$K$2:$K$1001,0),0), INDEX($R$1004:$W$1004,1,MATCH(COLUMNS($R$1006:W1006),$R$1006:$W$1006,0)))),"Fix")))</f>
        <v>0</v>
      </c>
      <c r="K722">
        <v>0</v>
      </c>
      <c r="L722">
        <v>0</v>
      </c>
      <c r="M722">
        <v>0</v>
      </c>
      <c r="N722">
        <f>IF(O722,TRUE,AND(R722:W722))</f>
        <v>0</v>
      </c>
      <c r="O722">
        <f>COUNTBLANK(Metadata!B722:G722)=COLUMNS(Metadata!B722:G722)</f>
        <v>0</v>
      </c>
      <c r="P722">
        <v>0</v>
      </c>
      <c r="R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S722">
        <f>IF(Metadata!C722="",FALSE,TRUE)</f>
        <v>0</v>
      </c>
      <c r="T722">
        <f>IF(Metadata!D722="",FALSE,TRUE)</f>
        <v>0</v>
      </c>
      <c r="U722">
        <f>IF(Metadata!E722="",FALSE,TRUE)</f>
        <v>0</v>
      </c>
      <c r="V722">
        <f>AND(IF(Metadata!F722="",FALSE,TRUE),exact(Metadata!F722,"rat gut metagenome"))</f>
        <v>0</v>
      </c>
      <c r="W722">
        <f>AND(IF(Metadata!G722="",FALSE,TRUE),exact(Metadata!G722,"1436733"))</f>
        <v>0</v>
      </c>
    </row>
    <row r="723" spans="1:23">
      <c r="A723" s="4">
        <f>IF(B723=" "," ",HYPERLINK(CONCATENATE("#metadata!",ADDRESS(INDEX($M$2:$M$1001,MATCH(ROWS($K$2:K723),$K$2:$K$1001,0),0),1)),INDEX($P$2:$P$1001,MATCH(ROWS($K$2:K723),$K$2:$K$1001,0),0)))</f>
        <v>0</v>
      </c>
      <c r="B723" s="3">
        <f>IF(OR(INDEX($L$2:$L$1001,MATCH(ROWS($K$2:K723),$K$2:$K$1001,0),1)&gt;=100000,INDEX($R$1005:$W$1005,1,MATCH(COLUMNS($R$1006:R1006),$R$1006:$W$1006,0))&gt;=100000), " ",IF(INDEX($R$2:$W$1001,MATCH(ROWS($K$2:K723),$K$2:$K$1001,0),MATCH(COLUMNS($R$1006:R1006),$R$1006:$W$1006,0)), HYPERLINK("#",""), HYPERLINK(CONCATENATE("#Metadata!", ADDRESS(INDEX($M$2:$M$1001,MATCH(ROWS($K$2:K723),$K$2:$K$1001,0),0), INDEX($R$1004:$W$1004,1,MATCH(COLUMNS($R$1006:R1006),$R$1006:$W$1006,0)))),"Fix")))</f>
        <v>0</v>
      </c>
      <c r="C723" s="3">
        <f>IF(OR(INDEX($L$2:$L$1001,MATCH(ROWS($K$2:K723),$K$2:$K$1001,0),1)&gt;=100000,INDEX($R$1005:$W$1005,1,MATCH(COLUMNS($R$1006:S1006),$R$1006:$W$1006,0))&gt;=100000), " ",IF(INDEX($R$2:$W$1001,MATCH(ROWS($K$2:K723),$K$2:$K$1001,0),MATCH(COLUMNS($R$1006:S1006),$R$1006:$W$1006,0)), HYPERLINK("#",""), HYPERLINK(CONCATENATE("#Metadata!", ADDRESS(INDEX($M$2:$M$1001,MATCH(ROWS($K$2:K723),$K$2:$K$1001,0),0), INDEX($R$1004:$W$1004,1,MATCH(COLUMNS($R$1006:S1006),$R$1006:$W$1006,0)))),"Fix")))</f>
        <v>0</v>
      </c>
      <c r="D723" s="3">
        <f>IF(OR(INDEX($L$2:$L$1001,MATCH(ROWS($K$2:K723),$K$2:$K$1001,0),1)&gt;=100000,INDEX($R$1005:$W$1005,1,MATCH(COLUMNS($R$1006:T1006),$R$1006:$W$1006,0))&gt;=100000), " ",IF(INDEX($R$2:$W$1001,MATCH(ROWS($K$2:K723),$K$2:$K$1001,0),MATCH(COLUMNS($R$1006:T1006),$R$1006:$W$1006,0)), HYPERLINK("#",""), HYPERLINK(CONCATENATE("#Metadata!", ADDRESS(INDEX($M$2:$M$1001,MATCH(ROWS($K$2:K723),$K$2:$K$1001,0),0), INDEX($R$1004:$W$1004,1,MATCH(COLUMNS($R$1006:T1006),$R$1006:$W$1006,0)))),"Fix")))</f>
        <v>0</v>
      </c>
      <c r="E723" s="3">
        <f>IF(OR(INDEX($L$2:$L$1001,MATCH(ROWS($K$2:K723),$K$2:$K$1001,0),1)&gt;=100000,INDEX($R$1005:$W$1005,1,MATCH(COLUMNS($R$1006:U1006),$R$1006:$W$1006,0))&gt;=100000), " ",IF(INDEX($R$2:$W$1001,MATCH(ROWS($K$2:K723),$K$2:$K$1001,0),MATCH(COLUMNS($R$1006:U1006),$R$1006:$W$1006,0)), HYPERLINK("#",""), HYPERLINK(CONCATENATE("#Metadata!", ADDRESS(INDEX($M$2:$M$1001,MATCH(ROWS($K$2:K723),$K$2:$K$1001,0),0), INDEX($R$1004:$W$1004,1,MATCH(COLUMNS($R$1006:U1006),$R$1006:$W$1006,0)))),"Fix")))</f>
        <v>0</v>
      </c>
      <c r="F723" s="3">
        <f>IF(OR(INDEX($L$2:$L$1001,MATCH(ROWS($K$2:K723),$K$2:$K$1001,0),1)&gt;=100000,INDEX($R$1005:$W$1005,1,MATCH(COLUMNS($R$1006:V1006),$R$1006:$W$1006,0))&gt;=100000), " ",IF(INDEX($R$2:$W$1001,MATCH(ROWS($K$2:K723),$K$2:$K$1001,0),MATCH(COLUMNS($R$1006:V1006),$R$1006:$W$1006,0)), HYPERLINK("#",""), HYPERLINK(CONCATENATE("#Metadata!", ADDRESS(INDEX($M$2:$M$1001,MATCH(ROWS($K$2:K723),$K$2:$K$1001,0),0), INDEX($R$1004:$W$1004,1,MATCH(COLUMNS($R$1006:V1006),$R$1006:$W$1006,0)))),"Fix")))</f>
        <v>0</v>
      </c>
      <c r="G723" s="3">
        <f>IF(OR(INDEX($L$2:$L$1001,MATCH(ROWS($K$2:K723),$K$2:$K$1001,0),1)&gt;=100000,INDEX($R$1005:$W$1005,1,MATCH(COLUMNS($R$1006:W1006),$R$1006:$W$1006,0))&gt;=100000), " ",IF(INDEX($R$2:$W$1001,MATCH(ROWS($K$2:K723),$K$2:$K$1001,0),MATCH(COLUMNS($R$1006:W1006),$R$1006:$W$1006,0)), HYPERLINK("#",""), HYPERLINK(CONCATENATE("#Metadata!", ADDRESS(INDEX($M$2:$M$1001,MATCH(ROWS($K$2:K723),$K$2:$K$1001,0),0), INDEX($R$1004:$W$1004,1,MATCH(COLUMNS($R$1006:W1006),$R$1006:$W$1006,0)))),"Fix")))</f>
        <v>0</v>
      </c>
      <c r="K723">
        <v>0</v>
      </c>
      <c r="L723">
        <v>0</v>
      </c>
      <c r="M723">
        <v>0</v>
      </c>
      <c r="N723">
        <f>IF(O723,TRUE,AND(R723:W723))</f>
        <v>0</v>
      </c>
      <c r="O723">
        <f>COUNTBLANK(Metadata!B723:G723)=COLUMNS(Metadata!B723:G723)</f>
        <v>0</v>
      </c>
      <c r="P723">
        <v>0</v>
      </c>
      <c r="R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S723">
        <f>IF(Metadata!C723="",FALSE,TRUE)</f>
        <v>0</v>
      </c>
      <c r="T723">
        <f>IF(Metadata!D723="",FALSE,TRUE)</f>
        <v>0</v>
      </c>
      <c r="U723">
        <f>IF(Metadata!E723="",FALSE,TRUE)</f>
        <v>0</v>
      </c>
      <c r="V723">
        <f>AND(IF(Metadata!F723="",FALSE,TRUE),exact(Metadata!F723,"rat gut metagenome"))</f>
        <v>0</v>
      </c>
      <c r="W723">
        <f>AND(IF(Metadata!G723="",FALSE,TRUE),exact(Metadata!G723,"1436733"))</f>
        <v>0</v>
      </c>
    </row>
    <row r="724" spans="1:23">
      <c r="A724" s="4">
        <f>IF(B724=" "," ",HYPERLINK(CONCATENATE("#metadata!",ADDRESS(INDEX($M$2:$M$1001,MATCH(ROWS($K$2:K724),$K$2:$K$1001,0),0),1)),INDEX($P$2:$P$1001,MATCH(ROWS($K$2:K724),$K$2:$K$1001,0),0)))</f>
        <v>0</v>
      </c>
      <c r="B724" s="3">
        <f>IF(OR(INDEX($L$2:$L$1001,MATCH(ROWS($K$2:K724),$K$2:$K$1001,0),1)&gt;=100000,INDEX($R$1005:$W$1005,1,MATCH(COLUMNS($R$1006:R1006),$R$1006:$W$1006,0))&gt;=100000), " ",IF(INDEX($R$2:$W$1001,MATCH(ROWS($K$2:K724),$K$2:$K$1001,0),MATCH(COLUMNS($R$1006:R1006),$R$1006:$W$1006,0)), HYPERLINK("#",""), HYPERLINK(CONCATENATE("#Metadata!", ADDRESS(INDEX($M$2:$M$1001,MATCH(ROWS($K$2:K724),$K$2:$K$1001,0),0), INDEX($R$1004:$W$1004,1,MATCH(COLUMNS($R$1006:R1006),$R$1006:$W$1006,0)))),"Fix")))</f>
        <v>0</v>
      </c>
      <c r="C724" s="3">
        <f>IF(OR(INDEX($L$2:$L$1001,MATCH(ROWS($K$2:K724),$K$2:$K$1001,0),1)&gt;=100000,INDEX($R$1005:$W$1005,1,MATCH(COLUMNS($R$1006:S1006),$R$1006:$W$1006,0))&gt;=100000), " ",IF(INDEX($R$2:$W$1001,MATCH(ROWS($K$2:K724),$K$2:$K$1001,0),MATCH(COLUMNS($R$1006:S1006),$R$1006:$W$1006,0)), HYPERLINK("#",""), HYPERLINK(CONCATENATE("#Metadata!", ADDRESS(INDEX($M$2:$M$1001,MATCH(ROWS($K$2:K724),$K$2:$K$1001,0),0), INDEX($R$1004:$W$1004,1,MATCH(COLUMNS($R$1006:S1006),$R$1006:$W$1006,0)))),"Fix")))</f>
        <v>0</v>
      </c>
      <c r="D724" s="3">
        <f>IF(OR(INDEX($L$2:$L$1001,MATCH(ROWS($K$2:K724),$K$2:$K$1001,0),1)&gt;=100000,INDEX($R$1005:$W$1005,1,MATCH(COLUMNS($R$1006:T1006),$R$1006:$W$1006,0))&gt;=100000), " ",IF(INDEX($R$2:$W$1001,MATCH(ROWS($K$2:K724),$K$2:$K$1001,0),MATCH(COLUMNS($R$1006:T1006),$R$1006:$W$1006,0)), HYPERLINK("#",""), HYPERLINK(CONCATENATE("#Metadata!", ADDRESS(INDEX($M$2:$M$1001,MATCH(ROWS($K$2:K724),$K$2:$K$1001,0),0), INDEX($R$1004:$W$1004,1,MATCH(COLUMNS($R$1006:T1006),$R$1006:$W$1006,0)))),"Fix")))</f>
        <v>0</v>
      </c>
      <c r="E724" s="3">
        <f>IF(OR(INDEX($L$2:$L$1001,MATCH(ROWS($K$2:K724),$K$2:$K$1001,0),1)&gt;=100000,INDEX($R$1005:$W$1005,1,MATCH(COLUMNS($R$1006:U1006),$R$1006:$W$1006,0))&gt;=100000), " ",IF(INDEX($R$2:$W$1001,MATCH(ROWS($K$2:K724),$K$2:$K$1001,0),MATCH(COLUMNS($R$1006:U1006),$R$1006:$W$1006,0)), HYPERLINK("#",""), HYPERLINK(CONCATENATE("#Metadata!", ADDRESS(INDEX($M$2:$M$1001,MATCH(ROWS($K$2:K724),$K$2:$K$1001,0),0), INDEX($R$1004:$W$1004,1,MATCH(COLUMNS($R$1006:U1006),$R$1006:$W$1006,0)))),"Fix")))</f>
        <v>0</v>
      </c>
      <c r="F724" s="3">
        <f>IF(OR(INDEX($L$2:$L$1001,MATCH(ROWS($K$2:K724),$K$2:$K$1001,0),1)&gt;=100000,INDEX($R$1005:$W$1005,1,MATCH(COLUMNS($R$1006:V1006),$R$1006:$W$1006,0))&gt;=100000), " ",IF(INDEX($R$2:$W$1001,MATCH(ROWS($K$2:K724),$K$2:$K$1001,0),MATCH(COLUMNS($R$1006:V1006),$R$1006:$W$1006,0)), HYPERLINK("#",""), HYPERLINK(CONCATENATE("#Metadata!", ADDRESS(INDEX($M$2:$M$1001,MATCH(ROWS($K$2:K724),$K$2:$K$1001,0),0), INDEX($R$1004:$W$1004,1,MATCH(COLUMNS($R$1006:V1006),$R$1006:$W$1006,0)))),"Fix")))</f>
        <v>0</v>
      </c>
      <c r="G724" s="3">
        <f>IF(OR(INDEX($L$2:$L$1001,MATCH(ROWS($K$2:K724),$K$2:$K$1001,0),1)&gt;=100000,INDEX($R$1005:$W$1005,1,MATCH(COLUMNS($R$1006:W1006),$R$1006:$W$1006,0))&gt;=100000), " ",IF(INDEX($R$2:$W$1001,MATCH(ROWS($K$2:K724),$K$2:$K$1001,0),MATCH(COLUMNS($R$1006:W1006),$R$1006:$W$1006,0)), HYPERLINK("#",""), HYPERLINK(CONCATENATE("#Metadata!", ADDRESS(INDEX($M$2:$M$1001,MATCH(ROWS($K$2:K724),$K$2:$K$1001,0),0), INDEX($R$1004:$W$1004,1,MATCH(COLUMNS($R$1006:W1006),$R$1006:$W$1006,0)))),"Fix")))</f>
        <v>0</v>
      </c>
      <c r="K724">
        <v>0</v>
      </c>
      <c r="L724">
        <v>0</v>
      </c>
      <c r="M724">
        <v>0</v>
      </c>
      <c r="N724">
        <f>IF(O724,TRUE,AND(R724:W724))</f>
        <v>0</v>
      </c>
      <c r="O724">
        <f>COUNTBLANK(Metadata!B724:G724)=COLUMNS(Metadata!B724:G724)</f>
        <v>0</v>
      </c>
      <c r="P724">
        <v>0</v>
      </c>
      <c r="R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S724">
        <f>IF(Metadata!C724="",FALSE,TRUE)</f>
        <v>0</v>
      </c>
      <c r="T724">
        <f>IF(Metadata!D724="",FALSE,TRUE)</f>
        <v>0</v>
      </c>
      <c r="U724">
        <f>IF(Metadata!E724="",FALSE,TRUE)</f>
        <v>0</v>
      </c>
      <c r="V724">
        <f>AND(IF(Metadata!F724="",FALSE,TRUE),exact(Metadata!F724,"rat gut metagenome"))</f>
        <v>0</v>
      </c>
      <c r="W724">
        <f>AND(IF(Metadata!G724="",FALSE,TRUE),exact(Metadata!G724,"1436733"))</f>
        <v>0</v>
      </c>
    </row>
    <row r="725" spans="1:23">
      <c r="A725" s="4">
        <f>IF(B725=" "," ",HYPERLINK(CONCATENATE("#metadata!",ADDRESS(INDEX($M$2:$M$1001,MATCH(ROWS($K$2:K725),$K$2:$K$1001,0),0),1)),INDEX($P$2:$P$1001,MATCH(ROWS($K$2:K725),$K$2:$K$1001,0),0)))</f>
        <v>0</v>
      </c>
      <c r="B725" s="3">
        <f>IF(OR(INDEX($L$2:$L$1001,MATCH(ROWS($K$2:K725),$K$2:$K$1001,0),1)&gt;=100000,INDEX($R$1005:$W$1005,1,MATCH(COLUMNS($R$1006:R1006),$R$1006:$W$1006,0))&gt;=100000), " ",IF(INDEX($R$2:$W$1001,MATCH(ROWS($K$2:K725),$K$2:$K$1001,0),MATCH(COLUMNS($R$1006:R1006),$R$1006:$W$1006,0)), HYPERLINK("#",""), HYPERLINK(CONCATENATE("#Metadata!", ADDRESS(INDEX($M$2:$M$1001,MATCH(ROWS($K$2:K725),$K$2:$K$1001,0),0), INDEX($R$1004:$W$1004,1,MATCH(COLUMNS($R$1006:R1006),$R$1006:$W$1006,0)))),"Fix")))</f>
        <v>0</v>
      </c>
      <c r="C725" s="3">
        <f>IF(OR(INDEX($L$2:$L$1001,MATCH(ROWS($K$2:K725),$K$2:$K$1001,0),1)&gt;=100000,INDEX($R$1005:$W$1005,1,MATCH(COLUMNS($R$1006:S1006),$R$1006:$W$1006,0))&gt;=100000), " ",IF(INDEX($R$2:$W$1001,MATCH(ROWS($K$2:K725),$K$2:$K$1001,0),MATCH(COLUMNS($R$1006:S1006),$R$1006:$W$1006,0)), HYPERLINK("#",""), HYPERLINK(CONCATENATE("#Metadata!", ADDRESS(INDEX($M$2:$M$1001,MATCH(ROWS($K$2:K725),$K$2:$K$1001,0),0), INDEX($R$1004:$W$1004,1,MATCH(COLUMNS($R$1006:S1006),$R$1006:$W$1006,0)))),"Fix")))</f>
        <v>0</v>
      </c>
      <c r="D725" s="3">
        <f>IF(OR(INDEX($L$2:$L$1001,MATCH(ROWS($K$2:K725),$K$2:$K$1001,0),1)&gt;=100000,INDEX($R$1005:$W$1005,1,MATCH(COLUMNS($R$1006:T1006),$R$1006:$W$1006,0))&gt;=100000), " ",IF(INDEX($R$2:$W$1001,MATCH(ROWS($K$2:K725),$K$2:$K$1001,0),MATCH(COLUMNS($R$1006:T1006),$R$1006:$W$1006,0)), HYPERLINK("#",""), HYPERLINK(CONCATENATE("#Metadata!", ADDRESS(INDEX($M$2:$M$1001,MATCH(ROWS($K$2:K725),$K$2:$K$1001,0),0), INDEX($R$1004:$W$1004,1,MATCH(COLUMNS($R$1006:T1006),$R$1006:$W$1006,0)))),"Fix")))</f>
        <v>0</v>
      </c>
      <c r="E725" s="3">
        <f>IF(OR(INDEX($L$2:$L$1001,MATCH(ROWS($K$2:K725),$K$2:$K$1001,0),1)&gt;=100000,INDEX($R$1005:$W$1005,1,MATCH(COLUMNS($R$1006:U1006),$R$1006:$W$1006,0))&gt;=100000), " ",IF(INDEX($R$2:$W$1001,MATCH(ROWS($K$2:K725),$K$2:$K$1001,0),MATCH(COLUMNS($R$1006:U1006),$R$1006:$W$1006,0)), HYPERLINK("#",""), HYPERLINK(CONCATENATE("#Metadata!", ADDRESS(INDEX($M$2:$M$1001,MATCH(ROWS($K$2:K725),$K$2:$K$1001,0),0), INDEX($R$1004:$W$1004,1,MATCH(COLUMNS($R$1006:U1006),$R$1006:$W$1006,0)))),"Fix")))</f>
        <v>0</v>
      </c>
      <c r="F725" s="3">
        <f>IF(OR(INDEX($L$2:$L$1001,MATCH(ROWS($K$2:K725),$K$2:$K$1001,0),1)&gt;=100000,INDEX($R$1005:$W$1005,1,MATCH(COLUMNS($R$1006:V1006),$R$1006:$W$1006,0))&gt;=100000), " ",IF(INDEX($R$2:$W$1001,MATCH(ROWS($K$2:K725),$K$2:$K$1001,0),MATCH(COLUMNS($R$1006:V1006),$R$1006:$W$1006,0)), HYPERLINK("#",""), HYPERLINK(CONCATENATE("#Metadata!", ADDRESS(INDEX($M$2:$M$1001,MATCH(ROWS($K$2:K725),$K$2:$K$1001,0),0), INDEX($R$1004:$W$1004,1,MATCH(COLUMNS($R$1006:V1006),$R$1006:$W$1006,0)))),"Fix")))</f>
        <v>0</v>
      </c>
      <c r="G725" s="3">
        <f>IF(OR(INDEX($L$2:$L$1001,MATCH(ROWS($K$2:K725),$K$2:$K$1001,0),1)&gt;=100000,INDEX($R$1005:$W$1005,1,MATCH(COLUMNS($R$1006:W1006),$R$1006:$W$1006,0))&gt;=100000), " ",IF(INDEX($R$2:$W$1001,MATCH(ROWS($K$2:K725),$K$2:$K$1001,0),MATCH(COLUMNS($R$1006:W1006),$R$1006:$W$1006,0)), HYPERLINK("#",""), HYPERLINK(CONCATENATE("#Metadata!", ADDRESS(INDEX($M$2:$M$1001,MATCH(ROWS($K$2:K725),$K$2:$K$1001,0),0), INDEX($R$1004:$W$1004,1,MATCH(COLUMNS($R$1006:W1006),$R$1006:$W$1006,0)))),"Fix")))</f>
        <v>0</v>
      </c>
      <c r="K725">
        <v>0</v>
      </c>
      <c r="L725">
        <v>0</v>
      </c>
      <c r="M725">
        <v>0</v>
      </c>
      <c r="N725">
        <f>IF(O725,TRUE,AND(R725:W725))</f>
        <v>0</v>
      </c>
      <c r="O725">
        <f>COUNTBLANK(Metadata!B725:G725)=COLUMNS(Metadata!B725:G725)</f>
        <v>0</v>
      </c>
      <c r="P725">
        <v>0</v>
      </c>
      <c r="R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S725">
        <f>IF(Metadata!C725="",FALSE,TRUE)</f>
        <v>0</v>
      </c>
      <c r="T725">
        <f>IF(Metadata!D725="",FALSE,TRUE)</f>
        <v>0</v>
      </c>
      <c r="U725">
        <f>IF(Metadata!E725="",FALSE,TRUE)</f>
        <v>0</v>
      </c>
      <c r="V725">
        <f>AND(IF(Metadata!F725="",FALSE,TRUE),exact(Metadata!F725,"rat gut metagenome"))</f>
        <v>0</v>
      </c>
      <c r="W725">
        <f>AND(IF(Metadata!G725="",FALSE,TRUE),exact(Metadata!G725,"1436733"))</f>
        <v>0</v>
      </c>
    </row>
    <row r="726" spans="1:23">
      <c r="A726" s="4">
        <f>IF(B726=" "," ",HYPERLINK(CONCATENATE("#metadata!",ADDRESS(INDEX($M$2:$M$1001,MATCH(ROWS($K$2:K726),$K$2:$K$1001,0),0),1)),INDEX($P$2:$P$1001,MATCH(ROWS($K$2:K726),$K$2:$K$1001,0),0)))</f>
        <v>0</v>
      </c>
      <c r="B726" s="3">
        <f>IF(OR(INDEX($L$2:$L$1001,MATCH(ROWS($K$2:K726),$K$2:$K$1001,0),1)&gt;=100000,INDEX($R$1005:$W$1005,1,MATCH(COLUMNS($R$1006:R1006),$R$1006:$W$1006,0))&gt;=100000), " ",IF(INDEX($R$2:$W$1001,MATCH(ROWS($K$2:K726),$K$2:$K$1001,0),MATCH(COLUMNS($R$1006:R1006),$R$1006:$W$1006,0)), HYPERLINK("#",""), HYPERLINK(CONCATENATE("#Metadata!", ADDRESS(INDEX($M$2:$M$1001,MATCH(ROWS($K$2:K726),$K$2:$K$1001,0),0), INDEX($R$1004:$W$1004,1,MATCH(COLUMNS($R$1006:R1006),$R$1006:$W$1006,0)))),"Fix")))</f>
        <v>0</v>
      </c>
      <c r="C726" s="3">
        <f>IF(OR(INDEX($L$2:$L$1001,MATCH(ROWS($K$2:K726),$K$2:$K$1001,0),1)&gt;=100000,INDEX($R$1005:$W$1005,1,MATCH(COLUMNS($R$1006:S1006),$R$1006:$W$1006,0))&gt;=100000), " ",IF(INDEX($R$2:$W$1001,MATCH(ROWS($K$2:K726),$K$2:$K$1001,0),MATCH(COLUMNS($R$1006:S1006),$R$1006:$W$1006,0)), HYPERLINK("#",""), HYPERLINK(CONCATENATE("#Metadata!", ADDRESS(INDEX($M$2:$M$1001,MATCH(ROWS($K$2:K726),$K$2:$K$1001,0),0), INDEX($R$1004:$W$1004,1,MATCH(COLUMNS($R$1006:S1006),$R$1006:$W$1006,0)))),"Fix")))</f>
        <v>0</v>
      </c>
      <c r="D726" s="3">
        <f>IF(OR(INDEX($L$2:$L$1001,MATCH(ROWS($K$2:K726),$K$2:$K$1001,0),1)&gt;=100000,INDEX($R$1005:$W$1005,1,MATCH(COLUMNS($R$1006:T1006),$R$1006:$W$1006,0))&gt;=100000), " ",IF(INDEX($R$2:$W$1001,MATCH(ROWS($K$2:K726),$K$2:$K$1001,0),MATCH(COLUMNS($R$1006:T1006),$R$1006:$W$1006,0)), HYPERLINK("#",""), HYPERLINK(CONCATENATE("#Metadata!", ADDRESS(INDEX($M$2:$M$1001,MATCH(ROWS($K$2:K726),$K$2:$K$1001,0),0), INDEX($R$1004:$W$1004,1,MATCH(COLUMNS($R$1006:T1006),$R$1006:$W$1006,0)))),"Fix")))</f>
        <v>0</v>
      </c>
      <c r="E726" s="3">
        <f>IF(OR(INDEX($L$2:$L$1001,MATCH(ROWS($K$2:K726),$K$2:$K$1001,0),1)&gt;=100000,INDEX($R$1005:$W$1005,1,MATCH(COLUMNS($R$1006:U1006),$R$1006:$W$1006,0))&gt;=100000), " ",IF(INDEX($R$2:$W$1001,MATCH(ROWS($K$2:K726),$K$2:$K$1001,0),MATCH(COLUMNS($R$1006:U1006),$R$1006:$W$1006,0)), HYPERLINK("#",""), HYPERLINK(CONCATENATE("#Metadata!", ADDRESS(INDEX($M$2:$M$1001,MATCH(ROWS($K$2:K726),$K$2:$K$1001,0),0), INDEX($R$1004:$W$1004,1,MATCH(COLUMNS($R$1006:U1006),$R$1006:$W$1006,0)))),"Fix")))</f>
        <v>0</v>
      </c>
      <c r="F726" s="3">
        <f>IF(OR(INDEX($L$2:$L$1001,MATCH(ROWS($K$2:K726),$K$2:$K$1001,0),1)&gt;=100000,INDEX($R$1005:$W$1005,1,MATCH(COLUMNS($R$1006:V1006),$R$1006:$W$1006,0))&gt;=100000), " ",IF(INDEX($R$2:$W$1001,MATCH(ROWS($K$2:K726),$K$2:$K$1001,0),MATCH(COLUMNS($R$1006:V1006),$R$1006:$W$1006,0)), HYPERLINK("#",""), HYPERLINK(CONCATENATE("#Metadata!", ADDRESS(INDEX($M$2:$M$1001,MATCH(ROWS($K$2:K726),$K$2:$K$1001,0),0), INDEX($R$1004:$W$1004,1,MATCH(COLUMNS($R$1006:V1006),$R$1006:$W$1006,0)))),"Fix")))</f>
        <v>0</v>
      </c>
      <c r="G726" s="3">
        <f>IF(OR(INDEX($L$2:$L$1001,MATCH(ROWS($K$2:K726),$K$2:$K$1001,0),1)&gt;=100000,INDEX($R$1005:$W$1005,1,MATCH(COLUMNS($R$1006:W1006),$R$1006:$W$1006,0))&gt;=100000), " ",IF(INDEX($R$2:$W$1001,MATCH(ROWS($K$2:K726),$K$2:$K$1001,0),MATCH(COLUMNS($R$1006:W1006),$R$1006:$W$1006,0)), HYPERLINK("#",""), HYPERLINK(CONCATENATE("#Metadata!", ADDRESS(INDEX($M$2:$M$1001,MATCH(ROWS($K$2:K726),$K$2:$K$1001,0),0), INDEX($R$1004:$W$1004,1,MATCH(COLUMNS($R$1006:W1006),$R$1006:$W$1006,0)))),"Fix")))</f>
        <v>0</v>
      </c>
      <c r="K726">
        <v>0</v>
      </c>
      <c r="L726">
        <v>0</v>
      </c>
      <c r="M726">
        <v>0</v>
      </c>
      <c r="N726">
        <f>IF(O726,TRUE,AND(R726:W726))</f>
        <v>0</v>
      </c>
      <c r="O726">
        <f>COUNTBLANK(Metadata!B726:G726)=COLUMNS(Metadata!B726:G726)</f>
        <v>0</v>
      </c>
      <c r="P726">
        <v>0</v>
      </c>
      <c r="R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S726">
        <f>IF(Metadata!C726="",FALSE,TRUE)</f>
        <v>0</v>
      </c>
      <c r="T726">
        <f>IF(Metadata!D726="",FALSE,TRUE)</f>
        <v>0</v>
      </c>
      <c r="U726">
        <f>IF(Metadata!E726="",FALSE,TRUE)</f>
        <v>0</v>
      </c>
      <c r="V726">
        <f>AND(IF(Metadata!F726="",FALSE,TRUE),exact(Metadata!F726,"rat gut metagenome"))</f>
        <v>0</v>
      </c>
      <c r="W726">
        <f>AND(IF(Metadata!G726="",FALSE,TRUE),exact(Metadata!G726,"1436733"))</f>
        <v>0</v>
      </c>
    </row>
    <row r="727" spans="1:23">
      <c r="A727" s="4">
        <f>IF(B727=" "," ",HYPERLINK(CONCATENATE("#metadata!",ADDRESS(INDEX($M$2:$M$1001,MATCH(ROWS($K$2:K727),$K$2:$K$1001,0),0),1)),INDEX($P$2:$P$1001,MATCH(ROWS($K$2:K727),$K$2:$K$1001,0),0)))</f>
        <v>0</v>
      </c>
      <c r="B727" s="3">
        <f>IF(OR(INDEX($L$2:$L$1001,MATCH(ROWS($K$2:K727),$K$2:$K$1001,0),1)&gt;=100000,INDEX($R$1005:$W$1005,1,MATCH(COLUMNS($R$1006:R1006),$R$1006:$W$1006,0))&gt;=100000), " ",IF(INDEX($R$2:$W$1001,MATCH(ROWS($K$2:K727),$K$2:$K$1001,0),MATCH(COLUMNS($R$1006:R1006),$R$1006:$W$1006,0)), HYPERLINK("#",""), HYPERLINK(CONCATENATE("#Metadata!", ADDRESS(INDEX($M$2:$M$1001,MATCH(ROWS($K$2:K727),$K$2:$K$1001,0),0), INDEX($R$1004:$W$1004,1,MATCH(COLUMNS($R$1006:R1006),$R$1006:$W$1006,0)))),"Fix")))</f>
        <v>0</v>
      </c>
      <c r="C727" s="3">
        <f>IF(OR(INDEX($L$2:$L$1001,MATCH(ROWS($K$2:K727),$K$2:$K$1001,0),1)&gt;=100000,INDEX($R$1005:$W$1005,1,MATCH(COLUMNS($R$1006:S1006),$R$1006:$W$1006,0))&gt;=100000), " ",IF(INDEX($R$2:$W$1001,MATCH(ROWS($K$2:K727),$K$2:$K$1001,0),MATCH(COLUMNS($R$1006:S1006),$R$1006:$W$1006,0)), HYPERLINK("#",""), HYPERLINK(CONCATENATE("#Metadata!", ADDRESS(INDEX($M$2:$M$1001,MATCH(ROWS($K$2:K727),$K$2:$K$1001,0),0), INDEX($R$1004:$W$1004,1,MATCH(COLUMNS($R$1006:S1006),$R$1006:$W$1006,0)))),"Fix")))</f>
        <v>0</v>
      </c>
      <c r="D727" s="3">
        <f>IF(OR(INDEX($L$2:$L$1001,MATCH(ROWS($K$2:K727),$K$2:$K$1001,0),1)&gt;=100000,INDEX($R$1005:$W$1005,1,MATCH(COLUMNS($R$1006:T1006),$R$1006:$W$1006,0))&gt;=100000), " ",IF(INDEX($R$2:$W$1001,MATCH(ROWS($K$2:K727),$K$2:$K$1001,0),MATCH(COLUMNS($R$1006:T1006),$R$1006:$W$1006,0)), HYPERLINK("#",""), HYPERLINK(CONCATENATE("#Metadata!", ADDRESS(INDEX($M$2:$M$1001,MATCH(ROWS($K$2:K727),$K$2:$K$1001,0),0), INDEX($R$1004:$W$1004,1,MATCH(COLUMNS($R$1006:T1006),$R$1006:$W$1006,0)))),"Fix")))</f>
        <v>0</v>
      </c>
      <c r="E727" s="3">
        <f>IF(OR(INDEX($L$2:$L$1001,MATCH(ROWS($K$2:K727),$K$2:$K$1001,0),1)&gt;=100000,INDEX($R$1005:$W$1005,1,MATCH(COLUMNS($R$1006:U1006),$R$1006:$W$1006,0))&gt;=100000), " ",IF(INDEX($R$2:$W$1001,MATCH(ROWS($K$2:K727),$K$2:$K$1001,0),MATCH(COLUMNS($R$1006:U1006),$R$1006:$W$1006,0)), HYPERLINK("#",""), HYPERLINK(CONCATENATE("#Metadata!", ADDRESS(INDEX($M$2:$M$1001,MATCH(ROWS($K$2:K727),$K$2:$K$1001,0),0), INDEX($R$1004:$W$1004,1,MATCH(COLUMNS($R$1006:U1006),$R$1006:$W$1006,0)))),"Fix")))</f>
        <v>0</v>
      </c>
      <c r="F727" s="3">
        <f>IF(OR(INDEX($L$2:$L$1001,MATCH(ROWS($K$2:K727),$K$2:$K$1001,0),1)&gt;=100000,INDEX($R$1005:$W$1005,1,MATCH(COLUMNS($R$1006:V1006),$R$1006:$W$1006,0))&gt;=100000), " ",IF(INDEX($R$2:$W$1001,MATCH(ROWS($K$2:K727),$K$2:$K$1001,0),MATCH(COLUMNS($R$1006:V1006),$R$1006:$W$1006,0)), HYPERLINK("#",""), HYPERLINK(CONCATENATE("#Metadata!", ADDRESS(INDEX($M$2:$M$1001,MATCH(ROWS($K$2:K727),$K$2:$K$1001,0),0), INDEX($R$1004:$W$1004,1,MATCH(COLUMNS($R$1006:V1006),$R$1006:$W$1006,0)))),"Fix")))</f>
        <v>0</v>
      </c>
      <c r="G727" s="3">
        <f>IF(OR(INDEX($L$2:$L$1001,MATCH(ROWS($K$2:K727),$K$2:$K$1001,0),1)&gt;=100000,INDEX($R$1005:$W$1005,1,MATCH(COLUMNS($R$1006:W1006),$R$1006:$W$1006,0))&gt;=100000), " ",IF(INDEX($R$2:$W$1001,MATCH(ROWS($K$2:K727),$K$2:$K$1001,0),MATCH(COLUMNS($R$1006:W1006),$R$1006:$W$1006,0)), HYPERLINK("#",""), HYPERLINK(CONCATENATE("#Metadata!", ADDRESS(INDEX($M$2:$M$1001,MATCH(ROWS($K$2:K727),$K$2:$K$1001,0),0), INDEX($R$1004:$W$1004,1,MATCH(COLUMNS($R$1006:W1006),$R$1006:$W$1006,0)))),"Fix")))</f>
        <v>0</v>
      </c>
      <c r="K727">
        <v>0</v>
      </c>
      <c r="L727">
        <v>0</v>
      </c>
      <c r="M727">
        <v>0</v>
      </c>
      <c r="N727">
        <f>IF(O727,TRUE,AND(R727:W727))</f>
        <v>0</v>
      </c>
      <c r="O727">
        <f>COUNTBLANK(Metadata!B727:G727)=COLUMNS(Metadata!B727:G727)</f>
        <v>0</v>
      </c>
      <c r="P727">
        <v>0</v>
      </c>
      <c r="R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S727">
        <f>IF(Metadata!C727="",FALSE,TRUE)</f>
        <v>0</v>
      </c>
      <c r="T727">
        <f>IF(Metadata!D727="",FALSE,TRUE)</f>
        <v>0</v>
      </c>
      <c r="U727">
        <f>IF(Metadata!E727="",FALSE,TRUE)</f>
        <v>0</v>
      </c>
      <c r="V727">
        <f>AND(IF(Metadata!F727="",FALSE,TRUE),exact(Metadata!F727,"rat gut metagenome"))</f>
        <v>0</v>
      </c>
      <c r="W727">
        <f>AND(IF(Metadata!G727="",FALSE,TRUE),exact(Metadata!G727,"1436733"))</f>
        <v>0</v>
      </c>
    </row>
    <row r="728" spans="1:23">
      <c r="A728" s="4">
        <f>IF(B728=" "," ",HYPERLINK(CONCATENATE("#metadata!",ADDRESS(INDEX($M$2:$M$1001,MATCH(ROWS($K$2:K728),$K$2:$K$1001,0),0),1)),INDEX($P$2:$P$1001,MATCH(ROWS($K$2:K728),$K$2:$K$1001,0),0)))</f>
        <v>0</v>
      </c>
      <c r="B728" s="3">
        <f>IF(OR(INDEX($L$2:$L$1001,MATCH(ROWS($K$2:K728),$K$2:$K$1001,0),1)&gt;=100000,INDEX($R$1005:$W$1005,1,MATCH(COLUMNS($R$1006:R1006),$R$1006:$W$1006,0))&gt;=100000), " ",IF(INDEX($R$2:$W$1001,MATCH(ROWS($K$2:K728),$K$2:$K$1001,0),MATCH(COLUMNS($R$1006:R1006),$R$1006:$W$1006,0)), HYPERLINK("#",""), HYPERLINK(CONCATENATE("#Metadata!", ADDRESS(INDEX($M$2:$M$1001,MATCH(ROWS($K$2:K728),$K$2:$K$1001,0),0), INDEX($R$1004:$W$1004,1,MATCH(COLUMNS($R$1006:R1006),$R$1006:$W$1006,0)))),"Fix")))</f>
        <v>0</v>
      </c>
      <c r="C728" s="3">
        <f>IF(OR(INDEX($L$2:$L$1001,MATCH(ROWS($K$2:K728),$K$2:$K$1001,0),1)&gt;=100000,INDEX($R$1005:$W$1005,1,MATCH(COLUMNS($R$1006:S1006),$R$1006:$W$1006,0))&gt;=100000), " ",IF(INDEX($R$2:$W$1001,MATCH(ROWS($K$2:K728),$K$2:$K$1001,0),MATCH(COLUMNS($R$1006:S1006),$R$1006:$W$1006,0)), HYPERLINK("#",""), HYPERLINK(CONCATENATE("#Metadata!", ADDRESS(INDEX($M$2:$M$1001,MATCH(ROWS($K$2:K728),$K$2:$K$1001,0),0), INDEX($R$1004:$W$1004,1,MATCH(COLUMNS($R$1006:S1006),$R$1006:$W$1006,0)))),"Fix")))</f>
        <v>0</v>
      </c>
      <c r="D728" s="3">
        <f>IF(OR(INDEX($L$2:$L$1001,MATCH(ROWS($K$2:K728),$K$2:$K$1001,0),1)&gt;=100000,INDEX($R$1005:$W$1005,1,MATCH(COLUMNS($R$1006:T1006),$R$1006:$W$1006,0))&gt;=100000), " ",IF(INDEX($R$2:$W$1001,MATCH(ROWS($K$2:K728),$K$2:$K$1001,0),MATCH(COLUMNS($R$1006:T1006),$R$1006:$W$1006,0)), HYPERLINK("#",""), HYPERLINK(CONCATENATE("#Metadata!", ADDRESS(INDEX($M$2:$M$1001,MATCH(ROWS($K$2:K728),$K$2:$K$1001,0),0), INDEX($R$1004:$W$1004,1,MATCH(COLUMNS($R$1006:T1006),$R$1006:$W$1006,0)))),"Fix")))</f>
        <v>0</v>
      </c>
      <c r="E728" s="3">
        <f>IF(OR(INDEX($L$2:$L$1001,MATCH(ROWS($K$2:K728),$K$2:$K$1001,0),1)&gt;=100000,INDEX($R$1005:$W$1005,1,MATCH(COLUMNS($R$1006:U1006),$R$1006:$W$1006,0))&gt;=100000), " ",IF(INDEX($R$2:$W$1001,MATCH(ROWS($K$2:K728),$K$2:$K$1001,0),MATCH(COLUMNS($R$1006:U1006),$R$1006:$W$1006,0)), HYPERLINK("#",""), HYPERLINK(CONCATENATE("#Metadata!", ADDRESS(INDEX($M$2:$M$1001,MATCH(ROWS($K$2:K728),$K$2:$K$1001,0),0), INDEX($R$1004:$W$1004,1,MATCH(COLUMNS($R$1006:U1006),$R$1006:$W$1006,0)))),"Fix")))</f>
        <v>0</v>
      </c>
      <c r="F728" s="3">
        <f>IF(OR(INDEX($L$2:$L$1001,MATCH(ROWS($K$2:K728),$K$2:$K$1001,0),1)&gt;=100000,INDEX($R$1005:$W$1005,1,MATCH(COLUMNS($R$1006:V1006),$R$1006:$W$1006,0))&gt;=100000), " ",IF(INDEX($R$2:$W$1001,MATCH(ROWS($K$2:K728),$K$2:$K$1001,0),MATCH(COLUMNS($R$1006:V1006),$R$1006:$W$1006,0)), HYPERLINK("#",""), HYPERLINK(CONCATENATE("#Metadata!", ADDRESS(INDEX($M$2:$M$1001,MATCH(ROWS($K$2:K728),$K$2:$K$1001,0),0), INDEX($R$1004:$W$1004,1,MATCH(COLUMNS($R$1006:V1006),$R$1006:$W$1006,0)))),"Fix")))</f>
        <v>0</v>
      </c>
      <c r="G728" s="3">
        <f>IF(OR(INDEX($L$2:$L$1001,MATCH(ROWS($K$2:K728),$K$2:$K$1001,0),1)&gt;=100000,INDEX($R$1005:$W$1005,1,MATCH(COLUMNS($R$1006:W1006),$R$1006:$W$1006,0))&gt;=100000), " ",IF(INDEX($R$2:$W$1001,MATCH(ROWS($K$2:K728),$K$2:$K$1001,0),MATCH(COLUMNS($R$1006:W1006),$R$1006:$W$1006,0)), HYPERLINK("#",""), HYPERLINK(CONCATENATE("#Metadata!", ADDRESS(INDEX($M$2:$M$1001,MATCH(ROWS($K$2:K728),$K$2:$K$1001,0),0), INDEX($R$1004:$W$1004,1,MATCH(COLUMNS($R$1006:W1006),$R$1006:$W$1006,0)))),"Fix")))</f>
        <v>0</v>
      </c>
      <c r="K728">
        <v>0</v>
      </c>
      <c r="L728">
        <v>0</v>
      </c>
      <c r="M728">
        <v>0</v>
      </c>
      <c r="N728">
        <f>IF(O728,TRUE,AND(R728:W728))</f>
        <v>0</v>
      </c>
      <c r="O728">
        <f>COUNTBLANK(Metadata!B728:G728)=COLUMNS(Metadata!B728:G728)</f>
        <v>0</v>
      </c>
      <c r="P728">
        <v>0</v>
      </c>
      <c r="R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S728">
        <f>IF(Metadata!C728="",FALSE,TRUE)</f>
        <v>0</v>
      </c>
      <c r="T728">
        <f>IF(Metadata!D728="",FALSE,TRUE)</f>
        <v>0</v>
      </c>
      <c r="U728">
        <f>IF(Metadata!E728="",FALSE,TRUE)</f>
        <v>0</v>
      </c>
      <c r="V728">
        <f>AND(IF(Metadata!F728="",FALSE,TRUE),exact(Metadata!F728,"rat gut metagenome"))</f>
        <v>0</v>
      </c>
      <c r="W728">
        <f>AND(IF(Metadata!G728="",FALSE,TRUE),exact(Metadata!G728,"1436733"))</f>
        <v>0</v>
      </c>
    </row>
    <row r="729" spans="1:23">
      <c r="A729" s="4">
        <f>IF(B729=" "," ",HYPERLINK(CONCATENATE("#metadata!",ADDRESS(INDEX($M$2:$M$1001,MATCH(ROWS($K$2:K729),$K$2:$K$1001,0),0),1)),INDEX($P$2:$P$1001,MATCH(ROWS($K$2:K729),$K$2:$K$1001,0),0)))</f>
        <v>0</v>
      </c>
      <c r="B729" s="3">
        <f>IF(OR(INDEX($L$2:$L$1001,MATCH(ROWS($K$2:K729),$K$2:$K$1001,0),1)&gt;=100000,INDEX($R$1005:$W$1005,1,MATCH(COLUMNS($R$1006:R1006),$R$1006:$W$1006,0))&gt;=100000), " ",IF(INDEX($R$2:$W$1001,MATCH(ROWS($K$2:K729),$K$2:$K$1001,0),MATCH(COLUMNS($R$1006:R1006),$R$1006:$W$1006,0)), HYPERLINK("#",""), HYPERLINK(CONCATENATE("#Metadata!", ADDRESS(INDEX($M$2:$M$1001,MATCH(ROWS($K$2:K729),$K$2:$K$1001,0),0), INDEX($R$1004:$W$1004,1,MATCH(COLUMNS($R$1006:R1006),$R$1006:$W$1006,0)))),"Fix")))</f>
        <v>0</v>
      </c>
      <c r="C729" s="3">
        <f>IF(OR(INDEX($L$2:$L$1001,MATCH(ROWS($K$2:K729),$K$2:$K$1001,0),1)&gt;=100000,INDEX($R$1005:$W$1005,1,MATCH(COLUMNS($R$1006:S1006),$R$1006:$W$1006,0))&gt;=100000), " ",IF(INDEX($R$2:$W$1001,MATCH(ROWS($K$2:K729),$K$2:$K$1001,0),MATCH(COLUMNS($R$1006:S1006),$R$1006:$W$1006,0)), HYPERLINK("#",""), HYPERLINK(CONCATENATE("#Metadata!", ADDRESS(INDEX($M$2:$M$1001,MATCH(ROWS($K$2:K729),$K$2:$K$1001,0),0), INDEX($R$1004:$W$1004,1,MATCH(COLUMNS($R$1006:S1006),$R$1006:$W$1006,0)))),"Fix")))</f>
        <v>0</v>
      </c>
      <c r="D729" s="3">
        <f>IF(OR(INDEX($L$2:$L$1001,MATCH(ROWS($K$2:K729),$K$2:$K$1001,0),1)&gt;=100000,INDEX($R$1005:$W$1005,1,MATCH(COLUMNS($R$1006:T1006),$R$1006:$W$1006,0))&gt;=100000), " ",IF(INDEX($R$2:$W$1001,MATCH(ROWS($K$2:K729),$K$2:$K$1001,0),MATCH(COLUMNS($R$1006:T1006),$R$1006:$W$1006,0)), HYPERLINK("#",""), HYPERLINK(CONCATENATE("#Metadata!", ADDRESS(INDEX($M$2:$M$1001,MATCH(ROWS($K$2:K729),$K$2:$K$1001,0),0), INDEX($R$1004:$W$1004,1,MATCH(COLUMNS($R$1006:T1006),$R$1006:$W$1006,0)))),"Fix")))</f>
        <v>0</v>
      </c>
      <c r="E729" s="3">
        <f>IF(OR(INDEX($L$2:$L$1001,MATCH(ROWS($K$2:K729),$K$2:$K$1001,0),1)&gt;=100000,INDEX($R$1005:$W$1005,1,MATCH(COLUMNS($R$1006:U1006),$R$1006:$W$1006,0))&gt;=100000), " ",IF(INDEX($R$2:$W$1001,MATCH(ROWS($K$2:K729),$K$2:$K$1001,0),MATCH(COLUMNS($R$1006:U1006),$R$1006:$W$1006,0)), HYPERLINK("#",""), HYPERLINK(CONCATENATE("#Metadata!", ADDRESS(INDEX($M$2:$M$1001,MATCH(ROWS($K$2:K729),$K$2:$K$1001,0),0), INDEX($R$1004:$W$1004,1,MATCH(COLUMNS($R$1006:U1006),$R$1006:$W$1006,0)))),"Fix")))</f>
        <v>0</v>
      </c>
      <c r="F729" s="3">
        <f>IF(OR(INDEX($L$2:$L$1001,MATCH(ROWS($K$2:K729),$K$2:$K$1001,0),1)&gt;=100000,INDEX($R$1005:$W$1005,1,MATCH(COLUMNS($R$1006:V1006),$R$1006:$W$1006,0))&gt;=100000), " ",IF(INDEX($R$2:$W$1001,MATCH(ROWS($K$2:K729),$K$2:$K$1001,0),MATCH(COLUMNS($R$1006:V1006),$R$1006:$W$1006,0)), HYPERLINK("#",""), HYPERLINK(CONCATENATE("#Metadata!", ADDRESS(INDEX($M$2:$M$1001,MATCH(ROWS($K$2:K729),$K$2:$K$1001,0),0), INDEX($R$1004:$W$1004,1,MATCH(COLUMNS($R$1006:V1006),$R$1006:$W$1006,0)))),"Fix")))</f>
        <v>0</v>
      </c>
      <c r="G729" s="3">
        <f>IF(OR(INDEX($L$2:$L$1001,MATCH(ROWS($K$2:K729),$K$2:$K$1001,0),1)&gt;=100000,INDEX($R$1005:$W$1005,1,MATCH(COLUMNS($R$1006:W1006),$R$1006:$W$1006,0))&gt;=100000), " ",IF(INDEX($R$2:$W$1001,MATCH(ROWS($K$2:K729),$K$2:$K$1001,0),MATCH(COLUMNS($R$1006:W1006),$R$1006:$W$1006,0)), HYPERLINK("#",""), HYPERLINK(CONCATENATE("#Metadata!", ADDRESS(INDEX($M$2:$M$1001,MATCH(ROWS($K$2:K729),$K$2:$K$1001,0),0), INDEX($R$1004:$W$1004,1,MATCH(COLUMNS($R$1006:W1006),$R$1006:$W$1006,0)))),"Fix")))</f>
        <v>0</v>
      </c>
      <c r="K729">
        <v>0</v>
      </c>
      <c r="L729">
        <v>0</v>
      </c>
      <c r="M729">
        <v>0</v>
      </c>
      <c r="N729">
        <f>IF(O729,TRUE,AND(R729:W729))</f>
        <v>0</v>
      </c>
      <c r="O729">
        <f>COUNTBLANK(Metadata!B729:G729)=COLUMNS(Metadata!B729:G729)</f>
        <v>0</v>
      </c>
      <c r="P729">
        <v>0</v>
      </c>
      <c r="R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S729">
        <f>IF(Metadata!C729="",FALSE,TRUE)</f>
        <v>0</v>
      </c>
      <c r="T729">
        <f>IF(Metadata!D729="",FALSE,TRUE)</f>
        <v>0</v>
      </c>
      <c r="U729">
        <f>IF(Metadata!E729="",FALSE,TRUE)</f>
        <v>0</v>
      </c>
      <c r="V729">
        <f>AND(IF(Metadata!F729="",FALSE,TRUE),exact(Metadata!F729,"rat gut metagenome"))</f>
        <v>0</v>
      </c>
      <c r="W729">
        <f>AND(IF(Metadata!G729="",FALSE,TRUE),exact(Metadata!G729,"1436733"))</f>
        <v>0</v>
      </c>
    </row>
    <row r="730" spans="1:23">
      <c r="A730" s="4">
        <f>IF(B730=" "," ",HYPERLINK(CONCATENATE("#metadata!",ADDRESS(INDEX($M$2:$M$1001,MATCH(ROWS($K$2:K730),$K$2:$K$1001,0),0),1)),INDEX($P$2:$P$1001,MATCH(ROWS($K$2:K730),$K$2:$K$1001,0),0)))</f>
        <v>0</v>
      </c>
      <c r="B730" s="3">
        <f>IF(OR(INDEX($L$2:$L$1001,MATCH(ROWS($K$2:K730),$K$2:$K$1001,0),1)&gt;=100000,INDEX($R$1005:$W$1005,1,MATCH(COLUMNS($R$1006:R1006),$R$1006:$W$1006,0))&gt;=100000), " ",IF(INDEX($R$2:$W$1001,MATCH(ROWS($K$2:K730),$K$2:$K$1001,0),MATCH(COLUMNS($R$1006:R1006),$R$1006:$W$1006,0)), HYPERLINK("#",""), HYPERLINK(CONCATENATE("#Metadata!", ADDRESS(INDEX($M$2:$M$1001,MATCH(ROWS($K$2:K730),$K$2:$K$1001,0),0), INDEX($R$1004:$W$1004,1,MATCH(COLUMNS($R$1006:R1006),$R$1006:$W$1006,0)))),"Fix")))</f>
        <v>0</v>
      </c>
      <c r="C730" s="3">
        <f>IF(OR(INDEX($L$2:$L$1001,MATCH(ROWS($K$2:K730),$K$2:$K$1001,0),1)&gt;=100000,INDEX($R$1005:$W$1005,1,MATCH(COLUMNS($R$1006:S1006),$R$1006:$W$1006,0))&gt;=100000), " ",IF(INDEX($R$2:$W$1001,MATCH(ROWS($K$2:K730),$K$2:$K$1001,0),MATCH(COLUMNS($R$1006:S1006),$R$1006:$W$1006,0)), HYPERLINK("#",""), HYPERLINK(CONCATENATE("#Metadata!", ADDRESS(INDEX($M$2:$M$1001,MATCH(ROWS($K$2:K730),$K$2:$K$1001,0),0), INDEX($R$1004:$W$1004,1,MATCH(COLUMNS($R$1006:S1006),$R$1006:$W$1006,0)))),"Fix")))</f>
        <v>0</v>
      </c>
      <c r="D730" s="3">
        <f>IF(OR(INDEX($L$2:$L$1001,MATCH(ROWS($K$2:K730),$K$2:$K$1001,0),1)&gt;=100000,INDEX($R$1005:$W$1005,1,MATCH(COLUMNS($R$1006:T1006),$R$1006:$W$1006,0))&gt;=100000), " ",IF(INDEX($R$2:$W$1001,MATCH(ROWS($K$2:K730),$K$2:$K$1001,0),MATCH(COLUMNS($R$1006:T1006),$R$1006:$W$1006,0)), HYPERLINK("#",""), HYPERLINK(CONCATENATE("#Metadata!", ADDRESS(INDEX($M$2:$M$1001,MATCH(ROWS($K$2:K730),$K$2:$K$1001,0),0), INDEX($R$1004:$W$1004,1,MATCH(COLUMNS($R$1006:T1006),$R$1006:$W$1006,0)))),"Fix")))</f>
        <v>0</v>
      </c>
      <c r="E730" s="3">
        <f>IF(OR(INDEX($L$2:$L$1001,MATCH(ROWS($K$2:K730),$K$2:$K$1001,0),1)&gt;=100000,INDEX($R$1005:$W$1005,1,MATCH(COLUMNS($R$1006:U1006),$R$1006:$W$1006,0))&gt;=100000), " ",IF(INDEX($R$2:$W$1001,MATCH(ROWS($K$2:K730),$K$2:$K$1001,0),MATCH(COLUMNS($R$1006:U1006),$R$1006:$W$1006,0)), HYPERLINK("#",""), HYPERLINK(CONCATENATE("#Metadata!", ADDRESS(INDEX($M$2:$M$1001,MATCH(ROWS($K$2:K730),$K$2:$K$1001,0),0), INDEX($R$1004:$W$1004,1,MATCH(COLUMNS($R$1006:U1006),$R$1006:$W$1006,0)))),"Fix")))</f>
        <v>0</v>
      </c>
      <c r="F730" s="3">
        <f>IF(OR(INDEX($L$2:$L$1001,MATCH(ROWS($K$2:K730),$K$2:$K$1001,0),1)&gt;=100000,INDEX($R$1005:$W$1005,1,MATCH(COLUMNS($R$1006:V1006),$R$1006:$W$1006,0))&gt;=100000), " ",IF(INDEX($R$2:$W$1001,MATCH(ROWS($K$2:K730),$K$2:$K$1001,0),MATCH(COLUMNS($R$1006:V1006),$R$1006:$W$1006,0)), HYPERLINK("#",""), HYPERLINK(CONCATENATE("#Metadata!", ADDRESS(INDEX($M$2:$M$1001,MATCH(ROWS($K$2:K730),$K$2:$K$1001,0),0), INDEX($R$1004:$W$1004,1,MATCH(COLUMNS($R$1006:V1006),$R$1006:$W$1006,0)))),"Fix")))</f>
        <v>0</v>
      </c>
      <c r="G730" s="3">
        <f>IF(OR(INDEX($L$2:$L$1001,MATCH(ROWS($K$2:K730),$K$2:$K$1001,0),1)&gt;=100000,INDEX($R$1005:$W$1005,1,MATCH(COLUMNS($R$1006:W1006),$R$1006:$W$1006,0))&gt;=100000), " ",IF(INDEX($R$2:$W$1001,MATCH(ROWS($K$2:K730),$K$2:$K$1001,0),MATCH(COLUMNS($R$1006:W1006),$R$1006:$W$1006,0)), HYPERLINK("#",""), HYPERLINK(CONCATENATE("#Metadata!", ADDRESS(INDEX($M$2:$M$1001,MATCH(ROWS($K$2:K730),$K$2:$K$1001,0),0), INDEX($R$1004:$W$1004,1,MATCH(COLUMNS($R$1006:W1006),$R$1006:$W$1006,0)))),"Fix")))</f>
        <v>0</v>
      </c>
      <c r="K730">
        <v>0</v>
      </c>
      <c r="L730">
        <v>0</v>
      </c>
      <c r="M730">
        <v>0</v>
      </c>
      <c r="N730">
        <f>IF(O730,TRUE,AND(R730:W730))</f>
        <v>0</v>
      </c>
      <c r="O730">
        <f>COUNTBLANK(Metadata!B730:G730)=COLUMNS(Metadata!B730:G730)</f>
        <v>0</v>
      </c>
      <c r="P730">
        <v>0</v>
      </c>
      <c r="R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S730">
        <f>IF(Metadata!C730="",FALSE,TRUE)</f>
        <v>0</v>
      </c>
      <c r="T730">
        <f>IF(Metadata!D730="",FALSE,TRUE)</f>
        <v>0</v>
      </c>
      <c r="U730">
        <f>IF(Metadata!E730="",FALSE,TRUE)</f>
        <v>0</v>
      </c>
      <c r="V730">
        <f>AND(IF(Metadata!F730="",FALSE,TRUE),exact(Metadata!F730,"rat gut metagenome"))</f>
        <v>0</v>
      </c>
      <c r="W730">
        <f>AND(IF(Metadata!G730="",FALSE,TRUE),exact(Metadata!G730,"1436733"))</f>
        <v>0</v>
      </c>
    </row>
    <row r="731" spans="1:23">
      <c r="A731" s="4">
        <f>IF(B731=" "," ",HYPERLINK(CONCATENATE("#metadata!",ADDRESS(INDEX($M$2:$M$1001,MATCH(ROWS($K$2:K731),$K$2:$K$1001,0),0),1)),INDEX($P$2:$P$1001,MATCH(ROWS($K$2:K731),$K$2:$K$1001,0),0)))</f>
        <v>0</v>
      </c>
      <c r="B731" s="3">
        <f>IF(OR(INDEX($L$2:$L$1001,MATCH(ROWS($K$2:K731),$K$2:$K$1001,0),1)&gt;=100000,INDEX($R$1005:$W$1005,1,MATCH(COLUMNS($R$1006:R1006),$R$1006:$W$1006,0))&gt;=100000), " ",IF(INDEX($R$2:$W$1001,MATCH(ROWS($K$2:K731),$K$2:$K$1001,0),MATCH(COLUMNS($R$1006:R1006),$R$1006:$W$1006,0)), HYPERLINK("#",""), HYPERLINK(CONCATENATE("#Metadata!", ADDRESS(INDEX($M$2:$M$1001,MATCH(ROWS($K$2:K731),$K$2:$K$1001,0),0), INDEX($R$1004:$W$1004,1,MATCH(COLUMNS($R$1006:R1006),$R$1006:$W$1006,0)))),"Fix")))</f>
        <v>0</v>
      </c>
      <c r="C731" s="3">
        <f>IF(OR(INDEX($L$2:$L$1001,MATCH(ROWS($K$2:K731),$K$2:$K$1001,0),1)&gt;=100000,INDEX($R$1005:$W$1005,1,MATCH(COLUMNS($R$1006:S1006),$R$1006:$W$1006,0))&gt;=100000), " ",IF(INDEX($R$2:$W$1001,MATCH(ROWS($K$2:K731),$K$2:$K$1001,0),MATCH(COLUMNS($R$1006:S1006),$R$1006:$W$1006,0)), HYPERLINK("#",""), HYPERLINK(CONCATENATE("#Metadata!", ADDRESS(INDEX($M$2:$M$1001,MATCH(ROWS($K$2:K731),$K$2:$K$1001,0),0), INDEX($R$1004:$W$1004,1,MATCH(COLUMNS($R$1006:S1006),$R$1006:$W$1006,0)))),"Fix")))</f>
        <v>0</v>
      </c>
      <c r="D731" s="3">
        <f>IF(OR(INDEX($L$2:$L$1001,MATCH(ROWS($K$2:K731),$K$2:$K$1001,0),1)&gt;=100000,INDEX($R$1005:$W$1005,1,MATCH(COLUMNS($R$1006:T1006),$R$1006:$W$1006,0))&gt;=100000), " ",IF(INDEX($R$2:$W$1001,MATCH(ROWS($K$2:K731),$K$2:$K$1001,0),MATCH(COLUMNS($R$1006:T1006),$R$1006:$W$1006,0)), HYPERLINK("#",""), HYPERLINK(CONCATENATE("#Metadata!", ADDRESS(INDEX($M$2:$M$1001,MATCH(ROWS($K$2:K731),$K$2:$K$1001,0),0), INDEX($R$1004:$W$1004,1,MATCH(COLUMNS($R$1006:T1006),$R$1006:$W$1006,0)))),"Fix")))</f>
        <v>0</v>
      </c>
      <c r="E731" s="3">
        <f>IF(OR(INDEX($L$2:$L$1001,MATCH(ROWS($K$2:K731),$K$2:$K$1001,0),1)&gt;=100000,INDEX($R$1005:$W$1005,1,MATCH(COLUMNS($R$1006:U1006),$R$1006:$W$1006,0))&gt;=100000), " ",IF(INDEX($R$2:$W$1001,MATCH(ROWS($K$2:K731),$K$2:$K$1001,0),MATCH(COLUMNS($R$1006:U1006),$R$1006:$W$1006,0)), HYPERLINK("#",""), HYPERLINK(CONCATENATE("#Metadata!", ADDRESS(INDEX($M$2:$M$1001,MATCH(ROWS($K$2:K731),$K$2:$K$1001,0),0), INDEX($R$1004:$W$1004,1,MATCH(COLUMNS($R$1006:U1006),$R$1006:$W$1006,0)))),"Fix")))</f>
        <v>0</v>
      </c>
      <c r="F731" s="3">
        <f>IF(OR(INDEX($L$2:$L$1001,MATCH(ROWS($K$2:K731),$K$2:$K$1001,0),1)&gt;=100000,INDEX($R$1005:$W$1005,1,MATCH(COLUMNS($R$1006:V1006),$R$1006:$W$1006,0))&gt;=100000), " ",IF(INDEX($R$2:$W$1001,MATCH(ROWS($K$2:K731),$K$2:$K$1001,0),MATCH(COLUMNS($R$1006:V1006),$R$1006:$W$1006,0)), HYPERLINK("#",""), HYPERLINK(CONCATENATE("#Metadata!", ADDRESS(INDEX($M$2:$M$1001,MATCH(ROWS($K$2:K731),$K$2:$K$1001,0),0), INDEX($R$1004:$W$1004,1,MATCH(COLUMNS($R$1006:V1006),$R$1006:$W$1006,0)))),"Fix")))</f>
        <v>0</v>
      </c>
      <c r="G731" s="3">
        <f>IF(OR(INDEX($L$2:$L$1001,MATCH(ROWS($K$2:K731),$K$2:$K$1001,0),1)&gt;=100000,INDEX($R$1005:$W$1005,1,MATCH(COLUMNS($R$1006:W1006),$R$1006:$W$1006,0))&gt;=100000), " ",IF(INDEX($R$2:$W$1001,MATCH(ROWS($K$2:K731),$K$2:$K$1001,0),MATCH(COLUMNS($R$1006:W1006),$R$1006:$W$1006,0)), HYPERLINK("#",""), HYPERLINK(CONCATENATE("#Metadata!", ADDRESS(INDEX($M$2:$M$1001,MATCH(ROWS($K$2:K731),$K$2:$K$1001,0),0), INDEX($R$1004:$W$1004,1,MATCH(COLUMNS($R$1006:W1006),$R$1006:$W$1006,0)))),"Fix")))</f>
        <v>0</v>
      </c>
      <c r="K731">
        <v>0</v>
      </c>
      <c r="L731">
        <v>0</v>
      </c>
      <c r="M731">
        <v>0</v>
      </c>
      <c r="N731">
        <f>IF(O731,TRUE,AND(R731:W731))</f>
        <v>0</v>
      </c>
      <c r="O731">
        <f>COUNTBLANK(Metadata!B731:G731)=COLUMNS(Metadata!B731:G731)</f>
        <v>0</v>
      </c>
      <c r="P731">
        <v>0</v>
      </c>
      <c r="R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S731">
        <f>IF(Metadata!C731="",FALSE,TRUE)</f>
        <v>0</v>
      </c>
      <c r="T731">
        <f>IF(Metadata!D731="",FALSE,TRUE)</f>
        <v>0</v>
      </c>
      <c r="U731">
        <f>IF(Metadata!E731="",FALSE,TRUE)</f>
        <v>0</v>
      </c>
      <c r="V731">
        <f>AND(IF(Metadata!F731="",FALSE,TRUE),exact(Metadata!F731,"rat gut metagenome"))</f>
        <v>0</v>
      </c>
      <c r="W731">
        <f>AND(IF(Metadata!G731="",FALSE,TRUE),exact(Metadata!G731,"1436733"))</f>
        <v>0</v>
      </c>
    </row>
    <row r="732" spans="1:23">
      <c r="A732" s="4">
        <f>IF(B732=" "," ",HYPERLINK(CONCATENATE("#metadata!",ADDRESS(INDEX($M$2:$M$1001,MATCH(ROWS($K$2:K732),$K$2:$K$1001,0),0),1)),INDEX($P$2:$P$1001,MATCH(ROWS($K$2:K732),$K$2:$K$1001,0),0)))</f>
        <v>0</v>
      </c>
      <c r="B732" s="3">
        <f>IF(OR(INDEX($L$2:$L$1001,MATCH(ROWS($K$2:K732),$K$2:$K$1001,0),1)&gt;=100000,INDEX($R$1005:$W$1005,1,MATCH(COLUMNS($R$1006:R1006),$R$1006:$W$1006,0))&gt;=100000), " ",IF(INDEX($R$2:$W$1001,MATCH(ROWS($K$2:K732),$K$2:$K$1001,0),MATCH(COLUMNS($R$1006:R1006),$R$1006:$W$1006,0)), HYPERLINK("#",""), HYPERLINK(CONCATENATE("#Metadata!", ADDRESS(INDEX($M$2:$M$1001,MATCH(ROWS($K$2:K732),$K$2:$K$1001,0),0), INDEX($R$1004:$W$1004,1,MATCH(COLUMNS($R$1006:R1006),$R$1006:$W$1006,0)))),"Fix")))</f>
        <v>0</v>
      </c>
      <c r="C732" s="3">
        <f>IF(OR(INDEX($L$2:$L$1001,MATCH(ROWS($K$2:K732),$K$2:$K$1001,0),1)&gt;=100000,INDEX($R$1005:$W$1005,1,MATCH(COLUMNS($R$1006:S1006),$R$1006:$W$1006,0))&gt;=100000), " ",IF(INDEX($R$2:$W$1001,MATCH(ROWS($K$2:K732),$K$2:$K$1001,0),MATCH(COLUMNS($R$1006:S1006),$R$1006:$W$1006,0)), HYPERLINK("#",""), HYPERLINK(CONCATENATE("#Metadata!", ADDRESS(INDEX($M$2:$M$1001,MATCH(ROWS($K$2:K732),$K$2:$K$1001,0),0), INDEX($R$1004:$W$1004,1,MATCH(COLUMNS($R$1006:S1006),$R$1006:$W$1006,0)))),"Fix")))</f>
        <v>0</v>
      </c>
      <c r="D732" s="3">
        <f>IF(OR(INDEX($L$2:$L$1001,MATCH(ROWS($K$2:K732),$K$2:$K$1001,0),1)&gt;=100000,INDEX($R$1005:$W$1005,1,MATCH(COLUMNS($R$1006:T1006),$R$1006:$W$1006,0))&gt;=100000), " ",IF(INDEX($R$2:$W$1001,MATCH(ROWS($K$2:K732),$K$2:$K$1001,0),MATCH(COLUMNS($R$1006:T1006),$R$1006:$W$1006,0)), HYPERLINK("#",""), HYPERLINK(CONCATENATE("#Metadata!", ADDRESS(INDEX($M$2:$M$1001,MATCH(ROWS($K$2:K732),$K$2:$K$1001,0),0), INDEX($R$1004:$W$1004,1,MATCH(COLUMNS($R$1006:T1006),$R$1006:$W$1006,0)))),"Fix")))</f>
        <v>0</v>
      </c>
      <c r="E732" s="3">
        <f>IF(OR(INDEX($L$2:$L$1001,MATCH(ROWS($K$2:K732),$K$2:$K$1001,0),1)&gt;=100000,INDEX($R$1005:$W$1005,1,MATCH(COLUMNS($R$1006:U1006),$R$1006:$W$1006,0))&gt;=100000), " ",IF(INDEX($R$2:$W$1001,MATCH(ROWS($K$2:K732),$K$2:$K$1001,0),MATCH(COLUMNS($R$1006:U1006),$R$1006:$W$1006,0)), HYPERLINK("#",""), HYPERLINK(CONCATENATE("#Metadata!", ADDRESS(INDEX($M$2:$M$1001,MATCH(ROWS($K$2:K732),$K$2:$K$1001,0),0), INDEX($R$1004:$W$1004,1,MATCH(COLUMNS($R$1006:U1006),$R$1006:$W$1006,0)))),"Fix")))</f>
        <v>0</v>
      </c>
      <c r="F732" s="3">
        <f>IF(OR(INDEX($L$2:$L$1001,MATCH(ROWS($K$2:K732),$K$2:$K$1001,0),1)&gt;=100000,INDEX($R$1005:$W$1005,1,MATCH(COLUMNS($R$1006:V1006),$R$1006:$W$1006,0))&gt;=100000), " ",IF(INDEX($R$2:$W$1001,MATCH(ROWS($K$2:K732),$K$2:$K$1001,0),MATCH(COLUMNS($R$1006:V1006),$R$1006:$W$1006,0)), HYPERLINK("#",""), HYPERLINK(CONCATENATE("#Metadata!", ADDRESS(INDEX($M$2:$M$1001,MATCH(ROWS($K$2:K732),$K$2:$K$1001,0),0), INDEX($R$1004:$W$1004,1,MATCH(COLUMNS($R$1006:V1006),$R$1006:$W$1006,0)))),"Fix")))</f>
        <v>0</v>
      </c>
      <c r="G732" s="3">
        <f>IF(OR(INDEX($L$2:$L$1001,MATCH(ROWS($K$2:K732),$K$2:$K$1001,0),1)&gt;=100000,INDEX($R$1005:$W$1005,1,MATCH(COLUMNS($R$1006:W1006),$R$1006:$W$1006,0))&gt;=100000), " ",IF(INDEX($R$2:$W$1001,MATCH(ROWS($K$2:K732),$K$2:$K$1001,0),MATCH(COLUMNS($R$1006:W1006),$R$1006:$W$1006,0)), HYPERLINK("#",""), HYPERLINK(CONCATENATE("#Metadata!", ADDRESS(INDEX($M$2:$M$1001,MATCH(ROWS($K$2:K732),$K$2:$K$1001,0),0), INDEX($R$1004:$W$1004,1,MATCH(COLUMNS($R$1006:W1006),$R$1006:$W$1006,0)))),"Fix")))</f>
        <v>0</v>
      </c>
      <c r="K732">
        <v>0</v>
      </c>
      <c r="L732">
        <v>0</v>
      </c>
      <c r="M732">
        <v>0</v>
      </c>
      <c r="N732">
        <f>IF(O732,TRUE,AND(R732:W732))</f>
        <v>0</v>
      </c>
      <c r="O732">
        <f>COUNTBLANK(Metadata!B732:G732)=COLUMNS(Metadata!B732:G732)</f>
        <v>0</v>
      </c>
      <c r="P732">
        <v>0</v>
      </c>
      <c r="R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S732">
        <f>IF(Metadata!C732="",FALSE,TRUE)</f>
        <v>0</v>
      </c>
      <c r="T732">
        <f>IF(Metadata!D732="",FALSE,TRUE)</f>
        <v>0</v>
      </c>
      <c r="U732">
        <f>IF(Metadata!E732="",FALSE,TRUE)</f>
        <v>0</v>
      </c>
      <c r="V732">
        <f>AND(IF(Metadata!F732="",FALSE,TRUE),exact(Metadata!F732,"rat gut metagenome"))</f>
        <v>0</v>
      </c>
      <c r="W732">
        <f>AND(IF(Metadata!G732="",FALSE,TRUE),exact(Metadata!G732,"1436733"))</f>
        <v>0</v>
      </c>
    </row>
    <row r="733" spans="1:23">
      <c r="A733" s="4">
        <f>IF(B733=" "," ",HYPERLINK(CONCATENATE("#metadata!",ADDRESS(INDEX($M$2:$M$1001,MATCH(ROWS($K$2:K733),$K$2:$K$1001,0),0),1)),INDEX($P$2:$P$1001,MATCH(ROWS($K$2:K733),$K$2:$K$1001,0),0)))</f>
        <v>0</v>
      </c>
      <c r="B733" s="3">
        <f>IF(OR(INDEX($L$2:$L$1001,MATCH(ROWS($K$2:K733),$K$2:$K$1001,0),1)&gt;=100000,INDEX($R$1005:$W$1005,1,MATCH(COLUMNS($R$1006:R1006),$R$1006:$W$1006,0))&gt;=100000), " ",IF(INDEX($R$2:$W$1001,MATCH(ROWS($K$2:K733),$K$2:$K$1001,0),MATCH(COLUMNS($R$1006:R1006),$R$1006:$W$1006,0)), HYPERLINK("#",""), HYPERLINK(CONCATENATE("#Metadata!", ADDRESS(INDEX($M$2:$M$1001,MATCH(ROWS($K$2:K733),$K$2:$K$1001,0),0), INDEX($R$1004:$W$1004,1,MATCH(COLUMNS($R$1006:R1006),$R$1006:$W$1006,0)))),"Fix")))</f>
        <v>0</v>
      </c>
      <c r="C733" s="3">
        <f>IF(OR(INDEX($L$2:$L$1001,MATCH(ROWS($K$2:K733),$K$2:$K$1001,0),1)&gt;=100000,INDEX($R$1005:$W$1005,1,MATCH(COLUMNS($R$1006:S1006),$R$1006:$W$1006,0))&gt;=100000), " ",IF(INDEX($R$2:$W$1001,MATCH(ROWS($K$2:K733),$K$2:$K$1001,0),MATCH(COLUMNS($R$1006:S1006),$R$1006:$W$1006,0)), HYPERLINK("#",""), HYPERLINK(CONCATENATE("#Metadata!", ADDRESS(INDEX($M$2:$M$1001,MATCH(ROWS($K$2:K733),$K$2:$K$1001,0),0), INDEX($R$1004:$W$1004,1,MATCH(COLUMNS($R$1006:S1006),$R$1006:$W$1006,0)))),"Fix")))</f>
        <v>0</v>
      </c>
      <c r="D733" s="3">
        <f>IF(OR(INDEX($L$2:$L$1001,MATCH(ROWS($K$2:K733),$K$2:$K$1001,0),1)&gt;=100000,INDEX($R$1005:$W$1005,1,MATCH(COLUMNS($R$1006:T1006),$R$1006:$W$1006,0))&gt;=100000), " ",IF(INDEX($R$2:$W$1001,MATCH(ROWS($K$2:K733),$K$2:$K$1001,0),MATCH(COLUMNS($R$1006:T1006),$R$1006:$W$1006,0)), HYPERLINK("#",""), HYPERLINK(CONCATENATE("#Metadata!", ADDRESS(INDEX($M$2:$M$1001,MATCH(ROWS($K$2:K733),$K$2:$K$1001,0),0), INDEX($R$1004:$W$1004,1,MATCH(COLUMNS($R$1006:T1006),$R$1006:$W$1006,0)))),"Fix")))</f>
        <v>0</v>
      </c>
      <c r="E733" s="3">
        <f>IF(OR(INDEX($L$2:$L$1001,MATCH(ROWS($K$2:K733),$K$2:$K$1001,0),1)&gt;=100000,INDEX($R$1005:$W$1005,1,MATCH(COLUMNS($R$1006:U1006),$R$1006:$W$1006,0))&gt;=100000), " ",IF(INDEX($R$2:$W$1001,MATCH(ROWS($K$2:K733),$K$2:$K$1001,0),MATCH(COLUMNS($R$1006:U1006),$R$1006:$W$1006,0)), HYPERLINK("#",""), HYPERLINK(CONCATENATE("#Metadata!", ADDRESS(INDEX($M$2:$M$1001,MATCH(ROWS($K$2:K733),$K$2:$K$1001,0),0), INDEX($R$1004:$W$1004,1,MATCH(COLUMNS($R$1006:U1006),$R$1006:$W$1006,0)))),"Fix")))</f>
        <v>0</v>
      </c>
      <c r="F733" s="3">
        <f>IF(OR(INDEX($L$2:$L$1001,MATCH(ROWS($K$2:K733),$K$2:$K$1001,0),1)&gt;=100000,INDEX($R$1005:$W$1005,1,MATCH(COLUMNS($R$1006:V1006),$R$1006:$W$1006,0))&gt;=100000), " ",IF(INDEX($R$2:$W$1001,MATCH(ROWS($K$2:K733),$K$2:$K$1001,0),MATCH(COLUMNS($R$1006:V1006),$R$1006:$W$1006,0)), HYPERLINK("#",""), HYPERLINK(CONCATENATE("#Metadata!", ADDRESS(INDEX($M$2:$M$1001,MATCH(ROWS($K$2:K733),$K$2:$K$1001,0),0), INDEX($R$1004:$W$1004,1,MATCH(COLUMNS($R$1006:V1006),$R$1006:$W$1006,0)))),"Fix")))</f>
        <v>0</v>
      </c>
      <c r="G733" s="3">
        <f>IF(OR(INDEX($L$2:$L$1001,MATCH(ROWS($K$2:K733),$K$2:$K$1001,0),1)&gt;=100000,INDEX($R$1005:$W$1005,1,MATCH(COLUMNS($R$1006:W1006),$R$1006:$W$1006,0))&gt;=100000), " ",IF(INDEX($R$2:$W$1001,MATCH(ROWS($K$2:K733),$K$2:$K$1001,0),MATCH(COLUMNS($R$1006:W1006),$R$1006:$W$1006,0)), HYPERLINK("#",""), HYPERLINK(CONCATENATE("#Metadata!", ADDRESS(INDEX($M$2:$M$1001,MATCH(ROWS($K$2:K733),$K$2:$K$1001,0),0), INDEX($R$1004:$W$1004,1,MATCH(COLUMNS($R$1006:W1006),$R$1006:$W$1006,0)))),"Fix")))</f>
        <v>0</v>
      </c>
      <c r="K733">
        <v>0</v>
      </c>
      <c r="L733">
        <v>0</v>
      </c>
      <c r="M733">
        <v>0</v>
      </c>
      <c r="N733">
        <f>IF(O733,TRUE,AND(R733:W733))</f>
        <v>0</v>
      </c>
      <c r="O733">
        <f>COUNTBLANK(Metadata!B733:G733)=COLUMNS(Metadata!B733:G733)</f>
        <v>0</v>
      </c>
      <c r="P733">
        <v>0</v>
      </c>
      <c r="R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S733">
        <f>IF(Metadata!C733="",FALSE,TRUE)</f>
        <v>0</v>
      </c>
      <c r="T733">
        <f>IF(Metadata!D733="",FALSE,TRUE)</f>
        <v>0</v>
      </c>
      <c r="U733">
        <f>IF(Metadata!E733="",FALSE,TRUE)</f>
        <v>0</v>
      </c>
      <c r="V733">
        <f>AND(IF(Metadata!F733="",FALSE,TRUE),exact(Metadata!F733,"rat gut metagenome"))</f>
        <v>0</v>
      </c>
      <c r="W733">
        <f>AND(IF(Metadata!G733="",FALSE,TRUE),exact(Metadata!G733,"1436733"))</f>
        <v>0</v>
      </c>
    </row>
    <row r="734" spans="1:23">
      <c r="A734" s="4">
        <f>IF(B734=" "," ",HYPERLINK(CONCATENATE("#metadata!",ADDRESS(INDEX($M$2:$M$1001,MATCH(ROWS($K$2:K734),$K$2:$K$1001,0),0),1)),INDEX($P$2:$P$1001,MATCH(ROWS($K$2:K734),$K$2:$K$1001,0),0)))</f>
        <v>0</v>
      </c>
      <c r="B734" s="3">
        <f>IF(OR(INDEX($L$2:$L$1001,MATCH(ROWS($K$2:K734),$K$2:$K$1001,0),1)&gt;=100000,INDEX($R$1005:$W$1005,1,MATCH(COLUMNS($R$1006:R1006),$R$1006:$W$1006,0))&gt;=100000), " ",IF(INDEX($R$2:$W$1001,MATCH(ROWS($K$2:K734),$K$2:$K$1001,0),MATCH(COLUMNS($R$1006:R1006),$R$1006:$W$1006,0)), HYPERLINK("#",""), HYPERLINK(CONCATENATE("#Metadata!", ADDRESS(INDEX($M$2:$M$1001,MATCH(ROWS($K$2:K734),$K$2:$K$1001,0),0), INDEX($R$1004:$W$1004,1,MATCH(COLUMNS($R$1006:R1006),$R$1006:$W$1006,0)))),"Fix")))</f>
        <v>0</v>
      </c>
      <c r="C734" s="3">
        <f>IF(OR(INDEX($L$2:$L$1001,MATCH(ROWS($K$2:K734),$K$2:$K$1001,0),1)&gt;=100000,INDEX($R$1005:$W$1005,1,MATCH(COLUMNS($R$1006:S1006),$R$1006:$W$1006,0))&gt;=100000), " ",IF(INDEX($R$2:$W$1001,MATCH(ROWS($K$2:K734),$K$2:$K$1001,0),MATCH(COLUMNS($R$1006:S1006),$R$1006:$W$1006,0)), HYPERLINK("#",""), HYPERLINK(CONCATENATE("#Metadata!", ADDRESS(INDEX($M$2:$M$1001,MATCH(ROWS($K$2:K734),$K$2:$K$1001,0),0), INDEX($R$1004:$W$1004,1,MATCH(COLUMNS($R$1006:S1006),$R$1006:$W$1006,0)))),"Fix")))</f>
        <v>0</v>
      </c>
      <c r="D734" s="3">
        <f>IF(OR(INDEX($L$2:$L$1001,MATCH(ROWS($K$2:K734),$K$2:$K$1001,0),1)&gt;=100000,INDEX($R$1005:$W$1005,1,MATCH(COLUMNS($R$1006:T1006),$R$1006:$W$1006,0))&gt;=100000), " ",IF(INDEX($R$2:$W$1001,MATCH(ROWS($K$2:K734),$K$2:$K$1001,0),MATCH(COLUMNS($R$1006:T1006),$R$1006:$W$1006,0)), HYPERLINK("#",""), HYPERLINK(CONCATENATE("#Metadata!", ADDRESS(INDEX($M$2:$M$1001,MATCH(ROWS($K$2:K734),$K$2:$K$1001,0),0), INDEX($R$1004:$W$1004,1,MATCH(COLUMNS($R$1006:T1006),$R$1006:$W$1006,0)))),"Fix")))</f>
        <v>0</v>
      </c>
      <c r="E734" s="3">
        <f>IF(OR(INDEX($L$2:$L$1001,MATCH(ROWS($K$2:K734),$K$2:$K$1001,0),1)&gt;=100000,INDEX($R$1005:$W$1005,1,MATCH(COLUMNS($R$1006:U1006),$R$1006:$W$1006,0))&gt;=100000), " ",IF(INDEX($R$2:$W$1001,MATCH(ROWS($K$2:K734),$K$2:$K$1001,0),MATCH(COLUMNS($R$1006:U1006),$R$1006:$W$1006,0)), HYPERLINK("#",""), HYPERLINK(CONCATENATE("#Metadata!", ADDRESS(INDEX($M$2:$M$1001,MATCH(ROWS($K$2:K734),$K$2:$K$1001,0),0), INDEX($R$1004:$W$1004,1,MATCH(COLUMNS($R$1006:U1006),$R$1006:$W$1006,0)))),"Fix")))</f>
        <v>0</v>
      </c>
      <c r="F734" s="3">
        <f>IF(OR(INDEX($L$2:$L$1001,MATCH(ROWS($K$2:K734),$K$2:$K$1001,0),1)&gt;=100000,INDEX($R$1005:$W$1005,1,MATCH(COLUMNS($R$1006:V1006),$R$1006:$W$1006,0))&gt;=100000), " ",IF(INDEX($R$2:$W$1001,MATCH(ROWS($K$2:K734),$K$2:$K$1001,0),MATCH(COLUMNS($R$1006:V1006),$R$1006:$W$1006,0)), HYPERLINK("#",""), HYPERLINK(CONCATENATE("#Metadata!", ADDRESS(INDEX($M$2:$M$1001,MATCH(ROWS($K$2:K734),$K$2:$K$1001,0),0), INDEX($R$1004:$W$1004,1,MATCH(COLUMNS($R$1006:V1006),$R$1006:$W$1006,0)))),"Fix")))</f>
        <v>0</v>
      </c>
      <c r="G734" s="3">
        <f>IF(OR(INDEX($L$2:$L$1001,MATCH(ROWS($K$2:K734),$K$2:$K$1001,0),1)&gt;=100000,INDEX($R$1005:$W$1005,1,MATCH(COLUMNS($R$1006:W1006),$R$1006:$W$1006,0))&gt;=100000), " ",IF(INDEX($R$2:$W$1001,MATCH(ROWS($K$2:K734),$K$2:$K$1001,0),MATCH(COLUMNS($R$1006:W1006),$R$1006:$W$1006,0)), HYPERLINK("#",""), HYPERLINK(CONCATENATE("#Metadata!", ADDRESS(INDEX($M$2:$M$1001,MATCH(ROWS($K$2:K734),$K$2:$K$1001,0),0), INDEX($R$1004:$W$1004,1,MATCH(COLUMNS($R$1006:W1006),$R$1006:$W$1006,0)))),"Fix")))</f>
        <v>0</v>
      </c>
      <c r="K734">
        <v>0</v>
      </c>
      <c r="L734">
        <v>0</v>
      </c>
      <c r="M734">
        <v>0</v>
      </c>
      <c r="N734">
        <f>IF(O734,TRUE,AND(R734:W734))</f>
        <v>0</v>
      </c>
      <c r="O734">
        <f>COUNTBLANK(Metadata!B734:G734)=COLUMNS(Metadata!B734:G734)</f>
        <v>0</v>
      </c>
      <c r="P734">
        <v>0</v>
      </c>
      <c r="R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S734">
        <f>IF(Metadata!C734="",FALSE,TRUE)</f>
        <v>0</v>
      </c>
      <c r="T734">
        <f>IF(Metadata!D734="",FALSE,TRUE)</f>
        <v>0</v>
      </c>
      <c r="U734">
        <f>IF(Metadata!E734="",FALSE,TRUE)</f>
        <v>0</v>
      </c>
      <c r="V734">
        <f>AND(IF(Metadata!F734="",FALSE,TRUE),exact(Metadata!F734,"rat gut metagenome"))</f>
        <v>0</v>
      </c>
      <c r="W734">
        <f>AND(IF(Metadata!G734="",FALSE,TRUE),exact(Metadata!G734,"1436733"))</f>
        <v>0</v>
      </c>
    </row>
    <row r="735" spans="1:23">
      <c r="A735" s="4">
        <f>IF(B735=" "," ",HYPERLINK(CONCATENATE("#metadata!",ADDRESS(INDEX($M$2:$M$1001,MATCH(ROWS($K$2:K735),$K$2:$K$1001,0),0),1)),INDEX($P$2:$P$1001,MATCH(ROWS($K$2:K735),$K$2:$K$1001,0),0)))</f>
        <v>0</v>
      </c>
      <c r="B735" s="3">
        <f>IF(OR(INDEX($L$2:$L$1001,MATCH(ROWS($K$2:K735),$K$2:$K$1001,0),1)&gt;=100000,INDEX($R$1005:$W$1005,1,MATCH(COLUMNS($R$1006:R1006),$R$1006:$W$1006,0))&gt;=100000), " ",IF(INDEX($R$2:$W$1001,MATCH(ROWS($K$2:K735),$K$2:$K$1001,0),MATCH(COLUMNS($R$1006:R1006),$R$1006:$W$1006,0)), HYPERLINK("#",""), HYPERLINK(CONCATENATE("#Metadata!", ADDRESS(INDEX($M$2:$M$1001,MATCH(ROWS($K$2:K735),$K$2:$K$1001,0),0), INDEX($R$1004:$W$1004,1,MATCH(COLUMNS($R$1006:R1006),$R$1006:$W$1006,0)))),"Fix")))</f>
        <v>0</v>
      </c>
      <c r="C735" s="3">
        <f>IF(OR(INDEX($L$2:$L$1001,MATCH(ROWS($K$2:K735),$K$2:$K$1001,0),1)&gt;=100000,INDEX($R$1005:$W$1005,1,MATCH(COLUMNS($R$1006:S1006),$R$1006:$W$1006,0))&gt;=100000), " ",IF(INDEX($R$2:$W$1001,MATCH(ROWS($K$2:K735),$K$2:$K$1001,0),MATCH(COLUMNS($R$1006:S1006),$R$1006:$W$1006,0)), HYPERLINK("#",""), HYPERLINK(CONCATENATE("#Metadata!", ADDRESS(INDEX($M$2:$M$1001,MATCH(ROWS($K$2:K735),$K$2:$K$1001,0),0), INDEX($R$1004:$W$1004,1,MATCH(COLUMNS($R$1006:S1006),$R$1006:$W$1006,0)))),"Fix")))</f>
        <v>0</v>
      </c>
      <c r="D735" s="3">
        <f>IF(OR(INDEX($L$2:$L$1001,MATCH(ROWS($K$2:K735),$K$2:$K$1001,0),1)&gt;=100000,INDEX($R$1005:$W$1005,1,MATCH(COLUMNS($R$1006:T1006),$R$1006:$W$1006,0))&gt;=100000), " ",IF(INDEX($R$2:$W$1001,MATCH(ROWS($K$2:K735),$K$2:$K$1001,0),MATCH(COLUMNS($R$1006:T1006),$R$1006:$W$1006,0)), HYPERLINK("#",""), HYPERLINK(CONCATENATE("#Metadata!", ADDRESS(INDEX($M$2:$M$1001,MATCH(ROWS($K$2:K735),$K$2:$K$1001,0),0), INDEX($R$1004:$W$1004,1,MATCH(COLUMNS($R$1006:T1006),$R$1006:$W$1006,0)))),"Fix")))</f>
        <v>0</v>
      </c>
      <c r="E735" s="3">
        <f>IF(OR(INDEX($L$2:$L$1001,MATCH(ROWS($K$2:K735),$K$2:$K$1001,0),1)&gt;=100000,INDEX($R$1005:$W$1005,1,MATCH(COLUMNS($R$1006:U1006),$R$1006:$W$1006,0))&gt;=100000), " ",IF(INDEX($R$2:$W$1001,MATCH(ROWS($K$2:K735),$K$2:$K$1001,0),MATCH(COLUMNS($R$1006:U1006),$R$1006:$W$1006,0)), HYPERLINK("#",""), HYPERLINK(CONCATENATE("#Metadata!", ADDRESS(INDEX($M$2:$M$1001,MATCH(ROWS($K$2:K735),$K$2:$K$1001,0),0), INDEX($R$1004:$W$1004,1,MATCH(COLUMNS($R$1006:U1006),$R$1006:$W$1006,0)))),"Fix")))</f>
        <v>0</v>
      </c>
      <c r="F735" s="3">
        <f>IF(OR(INDEX($L$2:$L$1001,MATCH(ROWS($K$2:K735),$K$2:$K$1001,0),1)&gt;=100000,INDEX($R$1005:$W$1005,1,MATCH(COLUMNS($R$1006:V1006),$R$1006:$W$1006,0))&gt;=100000), " ",IF(INDEX($R$2:$W$1001,MATCH(ROWS($K$2:K735),$K$2:$K$1001,0),MATCH(COLUMNS($R$1006:V1006),$R$1006:$W$1006,0)), HYPERLINK("#",""), HYPERLINK(CONCATENATE("#Metadata!", ADDRESS(INDEX($M$2:$M$1001,MATCH(ROWS($K$2:K735),$K$2:$K$1001,0),0), INDEX($R$1004:$W$1004,1,MATCH(COLUMNS($R$1006:V1006),$R$1006:$W$1006,0)))),"Fix")))</f>
        <v>0</v>
      </c>
      <c r="G735" s="3">
        <f>IF(OR(INDEX($L$2:$L$1001,MATCH(ROWS($K$2:K735),$K$2:$K$1001,0),1)&gt;=100000,INDEX($R$1005:$W$1005,1,MATCH(COLUMNS($R$1006:W1006),$R$1006:$W$1006,0))&gt;=100000), " ",IF(INDEX($R$2:$W$1001,MATCH(ROWS($K$2:K735),$K$2:$K$1001,0),MATCH(COLUMNS($R$1006:W1006),$R$1006:$W$1006,0)), HYPERLINK("#",""), HYPERLINK(CONCATENATE("#Metadata!", ADDRESS(INDEX($M$2:$M$1001,MATCH(ROWS($K$2:K735),$K$2:$K$1001,0),0), INDEX($R$1004:$W$1004,1,MATCH(COLUMNS($R$1006:W1006),$R$1006:$W$1006,0)))),"Fix")))</f>
        <v>0</v>
      </c>
      <c r="K735">
        <v>0</v>
      </c>
      <c r="L735">
        <v>0</v>
      </c>
      <c r="M735">
        <v>0</v>
      </c>
      <c r="N735">
        <f>IF(O735,TRUE,AND(R735:W735))</f>
        <v>0</v>
      </c>
      <c r="O735">
        <f>COUNTBLANK(Metadata!B735:G735)=COLUMNS(Metadata!B735:G735)</f>
        <v>0</v>
      </c>
      <c r="P735">
        <v>0</v>
      </c>
      <c r="R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S735">
        <f>IF(Metadata!C735="",FALSE,TRUE)</f>
        <v>0</v>
      </c>
      <c r="T735">
        <f>IF(Metadata!D735="",FALSE,TRUE)</f>
        <v>0</v>
      </c>
      <c r="U735">
        <f>IF(Metadata!E735="",FALSE,TRUE)</f>
        <v>0</v>
      </c>
      <c r="V735">
        <f>AND(IF(Metadata!F735="",FALSE,TRUE),exact(Metadata!F735,"rat gut metagenome"))</f>
        <v>0</v>
      </c>
      <c r="W735">
        <f>AND(IF(Metadata!G735="",FALSE,TRUE),exact(Metadata!G735,"1436733"))</f>
        <v>0</v>
      </c>
    </row>
    <row r="736" spans="1:23">
      <c r="A736" s="4">
        <f>IF(B736=" "," ",HYPERLINK(CONCATENATE("#metadata!",ADDRESS(INDEX($M$2:$M$1001,MATCH(ROWS($K$2:K736),$K$2:$K$1001,0),0),1)),INDEX($P$2:$P$1001,MATCH(ROWS($K$2:K736),$K$2:$K$1001,0),0)))</f>
        <v>0</v>
      </c>
      <c r="B736" s="3">
        <f>IF(OR(INDEX($L$2:$L$1001,MATCH(ROWS($K$2:K736),$K$2:$K$1001,0),1)&gt;=100000,INDEX($R$1005:$W$1005,1,MATCH(COLUMNS($R$1006:R1006),$R$1006:$W$1006,0))&gt;=100000), " ",IF(INDEX($R$2:$W$1001,MATCH(ROWS($K$2:K736),$K$2:$K$1001,0),MATCH(COLUMNS($R$1006:R1006),$R$1006:$W$1006,0)), HYPERLINK("#",""), HYPERLINK(CONCATENATE("#Metadata!", ADDRESS(INDEX($M$2:$M$1001,MATCH(ROWS($K$2:K736),$K$2:$K$1001,0),0), INDEX($R$1004:$W$1004,1,MATCH(COLUMNS($R$1006:R1006),$R$1006:$W$1006,0)))),"Fix")))</f>
        <v>0</v>
      </c>
      <c r="C736" s="3">
        <f>IF(OR(INDEX($L$2:$L$1001,MATCH(ROWS($K$2:K736),$K$2:$K$1001,0),1)&gt;=100000,INDEX($R$1005:$W$1005,1,MATCH(COLUMNS($R$1006:S1006),$R$1006:$W$1006,0))&gt;=100000), " ",IF(INDEX($R$2:$W$1001,MATCH(ROWS($K$2:K736),$K$2:$K$1001,0),MATCH(COLUMNS($R$1006:S1006),$R$1006:$W$1006,0)), HYPERLINK("#",""), HYPERLINK(CONCATENATE("#Metadata!", ADDRESS(INDEX($M$2:$M$1001,MATCH(ROWS($K$2:K736),$K$2:$K$1001,0),0), INDEX($R$1004:$W$1004,1,MATCH(COLUMNS($R$1006:S1006),$R$1006:$W$1006,0)))),"Fix")))</f>
        <v>0</v>
      </c>
      <c r="D736" s="3">
        <f>IF(OR(INDEX($L$2:$L$1001,MATCH(ROWS($K$2:K736),$K$2:$K$1001,0),1)&gt;=100000,INDEX($R$1005:$W$1005,1,MATCH(COLUMNS($R$1006:T1006),$R$1006:$W$1006,0))&gt;=100000), " ",IF(INDEX($R$2:$W$1001,MATCH(ROWS($K$2:K736),$K$2:$K$1001,0),MATCH(COLUMNS($R$1006:T1006),$R$1006:$W$1006,0)), HYPERLINK("#",""), HYPERLINK(CONCATENATE("#Metadata!", ADDRESS(INDEX($M$2:$M$1001,MATCH(ROWS($K$2:K736),$K$2:$K$1001,0),0), INDEX($R$1004:$W$1004,1,MATCH(COLUMNS($R$1006:T1006),$R$1006:$W$1006,0)))),"Fix")))</f>
        <v>0</v>
      </c>
      <c r="E736" s="3">
        <f>IF(OR(INDEX($L$2:$L$1001,MATCH(ROWS($K$2:K736),$K$2:$K$1001,0),1)&gt;=100000,INDEX($R$1005:$W$1005,1,MATCH(COLUMNS($R$1006:U1006),$R$1006:$W$1006,0))&gt;=100000), " ",IF(INDEX($R$2:$W$1001,MATCH(ROWS($K$2:K736),$K$2:$K$1001,0),MATCH(COLUMNS($R$1006:U1006),$R$1006:$W$1006,0)), HYPERLINK("#",""), HYPERLINK(CONCATENATE("#Metadata!", ADDRESS(INDEX($M$2:$M$1001,MATCH(ROWS($K$2:K736),$K$2:$K$1001,0),0), INDEX($R$1004:$W$1004,1,MATCH(COLUMNS($R$1006:U1006),$R$1006:$W$1006,0)))),"Fix")))</f>
        <v>0</v>
      </c>
      <c r="F736" s="3">
        <f>IF(OR(INDEX($L$2:$L$1001,MATCH(ROWS($K$2:K736),$K$2:$K$1001,0),1)&gt;=100000,INDEX($R$1005:$W$1005,1,MATCH(COLUMNS($R$1006:V1006),$R$1006:$W$1006,0))&gt;=100000), " ",IF(INDEX($R$2:$W$1001,MATCH(ROWS($K$2:K736),$K$2:$K$1001,0),MATCH(COLUMNS($R$1006:V1006),$R$1006:$W$1006,0)), HYPERLINK("#",""), HYPERLINK(CONCATENATE("#Metadata!", ADDRESS(INDEX($M$2:$M$1001,MATCH(ROWS($K$2:K736),$K$2:$K$1001,0),0), INDEX($R$1004:$W$1004,1,MATCH(COLUMNS($R$1006:V1006),$R$1006:$W$1006,0)))),"Fix")))</f>
        <v>0</v>
      </c>
      <c r="G736" s="3">
        <f>IF(OR(INDEX($L$2:$L$1001,MATCH(ROWS($K$2:K736),$K$2:$K$1001,0),1)&gt;=100000,INDEX($R$1005:$W$1005,1,MATCH(COLUMNS($R$1006:W1006),$R$1006:$W$1006,0))&gt;=100000), " ",IF(INDEX($R$2:$W$1001,MATCH(ROWS($K$2:K736),$K$2:$K$1001,0),MATCH(COLUMNS($R$1006:W1006),$R$1006:$W$1006,0)), HYPERLINK("#",""), HYPERLINK(CONCATENATE("#Metadata!", ADDRESS(INDEX($M$2:$M$1001,MATCH(ROWS($K$2:K736),$K$2:$K$1001,0),0), INDEX($R$1004:$W$1004,1,MATCH(COLUMNS($R$1006:W1006),$R$1006:$W$1006,0)))),"Fix")))</f>
        <v>0</v>
      </c>
      <c r="K736">
        <v>0</v>
      </c>
      <c r="L736">
        <v>0</v>
      </c>
      <c r="M736">
        <v>0</v>
      </c>
      <c r="N736">
        <f>IF(O736,TRUE,AND(R736:W736))</f>
        <v>0</v>
      </c>
      <c r="O736">
        <f>COUNTBLANK(Metadata!B736:G736)=COLUMNS(Metadata!B736:G736)</f>
        <v>0</v>
      </c>
      <c r="P736">
        <v>0</v>
      </c>
      <c r="R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S736">
        <f>IF(Metadata!C736="",FALSE,TRUE)</f>
        <v>0</v>
      </c>
      <c r="T736">
        <f>IF(Metadata!D736="",FALSE,TRUE)</f>
        <v>0</v>
      </c>
      <c r="U736">
        <f>IF(Metadata!E736="",FALSE,TRUE)</f>
        <v>0</v>
      </c>
      <c r="V736">
        <f>AND(IF(Metadata!F736="",FALSE,TRUE),exact(Metadata!F736,"rat gut metagenome"))</f>
        <v>0</v>
      </c>
      <c r="W736">
        <f>AND(IF(Metadata!G736="",FALSE,TRUE),exact(Metadata!G736,"1436733"))</f>
        <v>0</v>
      </c>
    </row>
    <row r="737" spans="1:23">
      <c r="A737" s="4">
        <f>IF(B737=" "," ",HYPERLINK(CONCATENATE("#metadata!",ADDRESS(INDEX($M$2:$M$1001,MATCH(ROWS($K$2:K737),$K$2:$K$1001,0),0),1)),INDEX($P$2:$P$1001,MATCH(ROWS($K$2:K737),$K$2:$K$1001,0),0)))</f>
        <v>0</v>
      </c>
      <c r="B737" s="3">
        <f>IF(OR(INDEX($L$2:$L$1001,MATCH(ROWS($K$2:K737),$K$2:$K$1001,0),1)&gt;=100000,INDEX($R$1005:$W$1005,1,MATCH(COLUMNS($R$1006:R1006),$R$1006:$W$1006,0))&gt;=100000), " ",IF(INDEX($R$2:$W$1001,MATCH(ROWS($K$2:K737),$K$2:$K$1001,0),MATCH(COLUMNS($R$1006:R1006),$R$1006:$W$1006,0)), HYPERLINK("#",""), HYPERLINK(CONCATENATE("#Metadata!", ADDRESS(INDEX($M$2:$M$1001,MATCH(ROWS($K$2:K737),$K$2:$K$1001,0),0), INDEX($R$1004:$W$1004,1,MATCH(COLUMNS($R$1006:R1006),$R$1006:$W$1006,0)))),"Fix")))</f>
        <v>0</v>
      </c>
      <c r="C737" s="3">
        <f>IF(OR(INDEX($L$2:$L$1001,MATCH(ROWS($K$2:K737),$K$2:$K$1001,0),1)&gt;=100000,INDEX($R$1005:$W$1005,1,MATCH(COLUMNS($R$1006:S1006),$R$1006:$W$1006,0))&gt;=100000), " ",IF(INDEX($R$2:$W$1001,MATCH(ROWS($K$2:K737),$K$2:$K$1001,0),MATCH(COLUMNS($R$1006:S1006),$R$1006:$W$1006,0)), HYPERLINK("#",""), HYPERLINK(CONCATENATE("#Metadata!", ADDRESS(INDEX($M$2:$M$1001,MATCH(ROWS($K$2:K737),$K$2:$K$1001,0),0), INDEX($R$1004:$W$1004,1,MATCH(COLUMNS($R$1006:S1006),$R$1006:$W$1006,0)))),"Fix")))</f>
        <v>0</v>
      </c>
      <c r="D737" s="3">
        <f>IF(OR(INDEX($L$2:$L$1001,MATCH(ROWS($K$2:K737),$K$2:$K$1001,0),1)&gt;=100000,INDEX($R$1005:$W$1005,1,MATCH(COLUMNS($R$1006:T1006),$R$1006:$W$1006,0))&gt;=100000), " ",IF(INDEX($R$2:$W$1001,MATCH(ROWS($K$2:K737),$K$2:$K$1001,0),MATCH(COLUMNS($R$1006:T1006),$R$1006:$W$1006,0)), HYPERLINK("#",""), HYPERLINK(CONCATENATE("#Metadata!", ADDRESS(INDEX($M$2:$M$1001,MATCH(ROWS($K$2:K737),$K$2:$K$1001,0),0), INDEX($R$1004:$W$1004,1,MATCH(COLUMNS($R$1006:T1006),$R$1006:$W$1006,0)))),"Fix")))</f>
        <v>0</v>
      </c>
      <c r="E737" s="3">
        <f>IF(OR(INDEX($L$2:$L$1001,MATCH(ROWS($K$2:K737),$K$2:$K$1001,0),1)&gt;=100000,INDEX($R$1005:$W$1005,1,MATCH(COLUMNS($R$1006:U1006),$R$1006:$W$1006,0))&gt;=100000), " ",IF(INDEX($R$2:$W$1001,MATCH(ROWS($K$2:K737),$K$2:$K$1001,0),MATCH(COLUMNS($R$1006:U1006),$R$1006:$W$1006,0)), HYPERLINK("#",""), HYPERLINK(CONCATENATE("#Metadata!", ADDRESS(INDEX($M$2:$M$1001,MATCH(ROWS($K$2:K737),$K$2:$K$1001,0),0), INDEX($R$1004:$W$1004,1,MATCH(COLUMNS($R$1006:U1006),$R$1006:$W$1006,0)))),"Fix")))</f>
        <v>0</v>
      </c>
      <c r="F737" s="3">
        <f>IF(OR(INDEX($L$2:$L$1001,MATCH(ROWS($K$2:K737),$K$2:$K$1001,0),1)&gt;=100000,INDEX($R$1005:$W$1005,1,MATCH(COLUMNS($R$1006:V1006),$R$1006:$W$1006,0))&gt;=100000), " ",IF(INDEX($R$2:$W$1001,MATCH(ROWS($K$2:K737),$K$2:$K$1001,0),MATCH(COLUMNS($R$1006:V1006),$R$1006:$W$1006,0)), HYPERLINK("#",""), HYPERLINK(CONCATENATE("#Metadata!", ADDRESS(INDEX($M$2:$M$1001,MATCH(ROWS($K$2:K737),$K$2:$K$1001,0),0), INDEX($R$1004:$W$1004,1,MATCH(COLUMNS($R$1006:V1006),$R$1006:$W$1006,0)))),"Fix")))</f>
        <v>0</v>
      </c>
      <c r="G737" s="3">
        <f>IF(OR(INDEX($L$2:$L$1001,MATCH(ROWS($K$2:K737),$K$2:$K$1001,0),1)&gt;=100000,INDEX($R$1005:$W$1005,1,MATCH(COLUMNS($R$1006:W1006),$R$1006:$W$1006,0))&gt;=100000), " ",IF(INDEX($R$2:$W$1001,MATCH(ROWS($K$2:K737),$K$2:$K$1001,0),MATCH(COLUMNS($R$1006:W1006),$R$1006:$W$1006,0)), HYPERLINK("#",""), HYPERLINK(CONCATENATE("#Metadata!", ADDRESS(INDEX($M$2:$M$1001,MATCH(ROWS($K$2:K737),$K$2:$K$1001,0),0), INDEX($R$1004:$W$1004,1,MATCH(COLUMNS($R$1006:W1006),$R$1006:$W$1006,0)))),"Fix")))</f>
        <v>0</v>
      </c>
      <c r="K737">
        <v>0</v>
      </c>
      <c r="L737">
        <v>0</v>
      </c>
      <c r="M737">
        <v>0</v>
      </c>
      <c r="N737">
        <f>IF(O737,TRUE,AND(R737:W737))</f>
        <v>0</v>
      </c>
      <c r="O737">
        <f>COUNTBLANK(Metadata!B737:G737)=COLUMNS(Metadata!B737:G737)</f>
        <v>0</v>
      </c>
      <c r="P737">
        <v>0</v>
      </c>
      <c r="R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S737">
        <f>IF(Metadata!C737="",FALSE,TRUE)</f>
        <v>0</v>
      </c>
      <c r="T737">
        <f>IF(Metadata!D737="",FALSE,TRUE)</f>
        <v>0</v>
      </c>
      <c r="U737">
        <f>IF(Metadata!E737="",FALSE,TRUE)</f>
        <v>0</v>
      </c>
      <c r="V737">
        <f>AND(IF(Metadata!F737="",FALSE,TRUE),exact(Metadata!F737,"rat gut metagenome"))</f>
        <v>0</v>
      </c>
      <c r="W737">
        <f>AND(IF(Metadata!G737="",FALSE,TRUE),exact(Metadata!G737,"1436733"))</f>
        <v>0</v>
      </c>
    </row>
    <row r="738" spans="1:23">
      <c r="A738" s="4">
        <f>IF(B738=" "," ",HYPERLINK(CONCATENATE("#metadata!",ADDRESS(INDEX($M$2:$M$1001,MATCH(ROWS($K$2:K738),$K$2:$K$1001,0),0),1)),INDEX($P$2:$P$1001,MATCH(ROWS($K$2:K738),$K$2:$K$1001,0),0)))</f>
        <v>0</v>
      </c>
      <c r="B738" s="3">
        <f>IF(OR(INDEX($L$2:$L$1001,MATCH(ROWS($K$2:K738),$K$2:$K$1001,0),1)&gt;=100000,INDEX($R$1005:$W$1005,1,MATCH(COLUMNS($R$1006:R1006),$R$1006:$W$1006,0))&gt;=100000), " ",IF(INDEX($R$2:$W$1001,MATCH(ROWS($K$2:K738),$K$2:$K$1001,0),MATCH(COLUMNS($R$1006:R1006),$R$1006:$W$1006,0)), HYPERLINK("#",""), HYPERLINK(CONCATENATE("#Metadata!", ADDRESS(INDEX($M$2:$M$1001,MATCH(ROWS($K$2:K738),$K$2:$K$1001,0),0), INDEX($R$1004:$W$1004,1,MATCH(COLUMNS($R$1006:R1006),$R$1006:$W$1006,0)))),"Fix")))</f>
        <v>0</v>
      </c>
      <c r="C738" s="3">
        <f>IF(OR(INDEX($L$2:$L$1001,MATCH(ROWS($K$2:K738),$K$2:$K$1001,0),1)&gt;=100000,INDEX($R$1005:$W$1005,1,MATCH(COLUMNS($R$1006:S1006),$R$1006:$W$1006,0))&gt;=100000), " ",IF(INDEX($R$2:$W$1001,MATCH(ROWS($K$2:K738),$K$2:$K$1001,0),MATCH(COLUMNS($R$1006:S1006),$R$1006:$W$1006,0)), HYPERLINK("#",""), HYPERLINK(CONCATENATE("#Metadata!", ADDRESS(INDEX($M$2:$M$1001,MATCH(ROWS($K$2:K738),$K$2:$K$1001,0),0), INDEX($R$1004:$W$1004,1,MATCH(COLUMNS($R$1006:S1006),$R$1006:$W$1006,0)))),"Fix")))</f>
        <v>0</v>
      </c>
      <c r="D738" s="3">
        <f>IF(OR(INDEX($L$2:$L$1001,MATCH(ROWS($K$2:K738),$K$2:$K$1001,0),1)&gt;=100000,INDEX($R$1005:$W$1005,1,MATCH(COLUMNS($R$1006:T1006),$R$1006:$W$1006,0))&gt;=100000), " ",IF(INDEX($R$2:$W$1001,MATCH(ROWS($K$2:K738),$K$2:$K$1001,0),MATCH(COLUMNS($R$1006:T1006),$R$1006:$W$1006,0)), HYPERLINK("#",""), HYPERLINK(CONCATENATE("#Metadata!", ADDRESS(INDEX($M$2:$M$1001,MATCH(ROWS($K$2:K738),$K$2:$K$1001,0),0), INDEX($R$1004:$W$1004,1,MATCH(COLUMNS($R$1006:T1006),$R$1006:$W$1006,0)))),"Fix")))</f>
        <v>0</v>
      </c>
      <c r="E738" s="3">
        <f>IF(OR(INDEX($L$2:$L$1001,MATCH(ROWS($K$2:K738),$K$2:$K$1001,0),1)&gt;=100000,INDEX($R$1005:$W$1005,1,MATCH(COLUMNS($R$1006:U1006),$R$1006:$W$1006,0))&gt;=100000), " ",IF(INDEX($R$2:$W$1001,MATCH(ROWS($K$2:K738),$K$2:$K$1001,0),MATCH(COLUMNS($R$1006:U1006),$R$1006:$W$1006,0)), HYPERLINK("#",""), HYPERLINK(CONCATENATE("#Metadata!", ADDRESS(INDEX($M$2:$M$1001,MATCH(ROWS($K$2:K738),$K$2:$K$1001,0),0), INDEX($R$1004:$W$1004,1,MATCH(COLUMNS($R$1006:U1006),$R$1006:$W$1006,0)))),"Fix")))</f>
        <v>0</v>
      </c>
      <c r="F738" s="3">
        <f>IF(OR(INDEX($L$2:$L$1001,MATCH(ROWS($K$2:K738),$K$2:$K$1001,0),1)&gt;=100000,INDEX($R$1005:$W$1005,1,MATCH(COLUMNS($R$1006:V1006),$R$1006:$W$1006,0))&gt;=100000), " ",IF(INDEX($R$2:$W$1001,MATCH(ROWS($K$2:K738),$K$2:$K$1001,0),MATCH(COLUMNS($R$1006:V1006),$R$1006:$W$1006,0)), HYPERLINK("#",""), HYPERLINK(CONCATENATE("#Metadata!", ADDRESS(INDEX($M$2:$M$1001,MATCH(ROWS($K$2:K738),$K$2:$K$1001,0),0), INDEX($R$1004:$W$1004,1,MATCH(COLUMNS($R$1006:V1006),$R$1006:$W$1006,0)))),"Fix")))</f>
        <v>0</v>
      </c>
      <c r="G738" s="3">
        <f>IF(OR(INDEX($L$2:$L$1001,MATCH(ROWS($K$2:K738),$K$2:$K$1001,0),1)&gt;=100000,INDEX($R$1005:$W$1005,1,MATCH(COLUMNS($R$1006:W1006),$R$1006:$W$1006,0))&gt;=100000), " ",IF(INDEX($R$2:$W$1001,MATCH(ROWS($K$2:K738),$K$2:$K$1001,0),MATCH(COLUMNS($R$1006:W1006),$R$1006:$W$1006,0)), HYPERLINK("#",""), HYPERLINK(CONCATENATE("#Metadata!", ADDRESS(INDEX($M$2:$M$1001,MATCH(ROWS($K$2:K738),$K$2:$K$1001,0),0), INDEX($R$1004:$W$1004,1,MATCH(COLUMNS($R$1006:W1006),$R$1006:$W$1006,0)))),"Fix")))</f>
        <v>0</v>
      </c>
      <c r="K738">
        <v>0</v>
      </c>
      <c r="L738">
        <v>0</v>
      </c>
      <c r="M738">
        <v>0</v>
      </c>
      <c r="N738">
        <f>IF(O738,TRUE,AND(R738:W738))</f>
        <v>0</v>
      </c>
      <c r="O738">
        <f>COUNTBLANK(Metadata!B738:G738)=COLUMNS(Metadata!B738:G738)</f>
        <v>0</v>
      </c>
      <c r="P738">
        <v>0</v>
      </c>
      <c r="R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S738">
        <f>IF(Metadata!C738="",FALSE,TRUE)</f>
        <v>0</v>
      </c>
      <c r="T738">
        <f>IF(Metadata!D738="",FALSE,TRUE)</f>
        <v>0</v>
      </c>
      <c r="U738">
        <f>IF(Metadata!E738="",FALSE,TRUE)</f>
        <v>0</v>
      </c>
      <c r="V738">
        <f>AND(IF(Metadata!F738="",FALSE,TRUE),exact(Metadata!F738,"rat gut metagenome"))</f>
        <v>0</v>
      </c>
      <c r="W738">
        <f>AND(IF(Metadata!G738="",FALSE,TRUE),exact(Metadata!G738,"1436733"))</f>
        <v>0</v>
      </c>
    </row>
    <row r="739" spans="1:23">
      <c r="A739" s="4">
        <f>IF(B739=" "," ",HYPERLINK(CONCATENATE("#metadata!",ADDRESS(INDEX($M$2:$M$1001,MATCH(ROWS($K$2:K739),$K$2:$K$1001,0),0),1)),INDEX($P$2:$P$1001,MATCH(ROWS($K$2:K739),$K$2:$K$1001,0),0)))</f>
        <v>0</v>
      </c>
      <c r="B739" s="3">
        <f>IF(OR(INDEX($L$2:$L$1001,MATCH(ROWS($K$2:K739),$K$2:$K$1001,0),1)&gt;=100000,INDEX($R$1005:$W$1005,1,MATCH(COLUMNS($R$1006:R1006),$R$1006:$W$1006,0))&gt;=100000), " ",IF(INDEX($R$2:$W$1001,MATCH(ROWS($K$2:K739),$K$2:$K$1001,0),MATCH(COLUMNS($R$1006:R1006),$R$1006:$W$1006,0)), HYPERLINK("#",""), HYPERLINK(CONCATENATE("#Metadata!", ADDRESS(INDEX($M$2:$M$1001,MATCH(ROWS($K$2:K739),$K$2:$K$1001,0),0), INDEX($R$1004:$W$1004,1,MATCH(COLUMNS($R$1006:R1006),$R$1006:$W$1006,0)))),"Fix")))</f>
        <v>0</v>
      </c>
      <c r="C739" s="3">
        <f>IF(OR(INDEX($L$2:$L$1001,MATCH(ROWS($K$2:K739),$K$2:$K$1001,0),1)&gt;=100000,INDEX($R$1005:$W$1005,1,MATCH(COLUMNS($R$1006:S1006),$R$1006:$W$1006,0))&gt;=100000), " ",IF(INDEX($R$2:$W$1001,MATCH(ROWS($K$2:K739),$K$2:$K$1001,0),MATCH(COLUMNS($R$1006:S1006),$R$1006:$W$1006,0)), HYPERLINK("#",""), HYPERLINK(CONCATENATE("#Metadata!", ADDRESS(INDEX($M$2:$M$1001,MATCH(ROWS($K$2:K739),$K$2:$K$1001,0),0), INDEX($R$1004:$W$1004,1,MATCH(COLUMNS($R$1006:S1006),$R$1006:$W$1006,0)))),"Fix")))</f>
        <v>0</v>
      </c>
      <c r="D739" s="3">
        <f>IF(OR(INDEX($L$2:$L$1001,MATCH(ROWS($K$2:K739),$K$2:$K$1001,0),1)&gt;=100000,INDEX($R$1005:$W$1005,1,MATCH(COLUMNS($R$1006:T1006),$R$1006:$W$1006,0))&gt;=100000), " ",IF(INDEX($R$2:$W$1001,MATCH(ROWS($K$2:K739),$K$2:$K$1001,0),MATCH(COLUMNS($R$1006:T1006),$R$1006:$W$1006,0)), HYPERLINK("#",""), HYPERLINK(CONCATENATE("#Metadata!", ADDRESS(INDEX($M$2:$M$1001,MATCH(ROWS($K$2:K739),$K$2:$K$1001,0),0), INDEX($R$1004:$W$1004,1,MATCH(COLUMNS($R$1006:T1006),$R$1006:$W$1006,0)))),"Fix")))</f>
        <v>0</v>
      </c>
      <c r="E739" s="3">
        <f>IF(OR(INDEX($L$2:$L$1001,MATCH(ROWS($K$2:K739),$K$2:$K$1001,0),1)&gt;=100000,INDEX($R$1005:$W$1005,1,MATCH(COLUMNS($R$1006:U1006),$R$1006:$W$1006,0))&gt;=100000), " ",IF(INDEX($R$2:$W$1001,MATCH(ROWS($K$2:K739),$K$2:$K$1001,0),MATCH(COLUMNS($R$1006:U1006),$R$1006:$W$1006,0)), HYPERLINK("#",""), HYPERLINK(CONCATENATE("#Metadata!", ADDRESS(INDEX($M$2:$M$1001,MATCH(ROWS($K$2:K739),$K$2:$K$1001,0),0), INDEX($R$1004:$W$1004,1,MATCH(COLUMNS($R$1006:U1006),$R$1006:$W$1006,0)))),"Fix")))</f>
        <v>0</v>
      </c>
      <c r="F739" s="3">
        <f>IF(OR(INDEX($L$2:$L$1001,MATCH(ROWS($K$2:K739),$K$2:$K$1001,0),1)&gt;=100000,INDEX($R$1005:$W$1005,1,MATCH(COLUMNS($R$1006:V1006),$R$1006:$W$1006,0))&gt;=100000), " ",IF(INDEX($R$2:$W$1001,MATCH(ROWS($K$2:K739),$K$2:$K$1001,0),MATCH(COLUMNS($R$1006:V1006),$R$1006:$W$1006,0)), HYPERLINK("#",""), HYPERLINK(CONCATENATE("#Metadata!", ADDRESS(INDEX($M$2:$M$1001,MATCH(ROWS($K$2:K739),$K$2:$K$1001,0),0), INDEX($R$1004:$W$1004,1,MATCH(COLUMNS($R$1006:V1006),$R$1006:$W$1006,0)))),"Fix")))</f>
        <v>0</v>
      </c>
      <c r="G739" s="3">
        <f>IF(OR(INDEX($L$2:$L$1001,MATCH(ROWS($K$2:K739),$K$2:$K$1001,0),1)&gt;=100000,INDEX($R$1005:$W$1005,1,MATCH(COLUMNS($R$1006:W1006),$R$1006:$W$1006,0))&gt;=100000), " ",IF(INDEX($R$2:$W$1001,MATCH(ROWS($K$2:K739),$K$2:$K$1001,0),MATCH(COLUMNS($R$1006:W1006),$R$1006:$W$1006,0)), HYPERLINK("#",""), HYPERLINK(CONCATENATE("#Metadata!", ADDRESS(INDEX($M$2:$M$1001,MATCH(ROWS($K$2:K739),$K$2:$K$1001,0),0), INDEX($R$1004:$W$1004,1,MATCH(COLUMNS($R$1006:W1006),$R$1006:$W$1006,0)))),"Fix")))</f>
        <v>0</v>
      </c>
      <c r="K739">
        <v>0</v>
      </c>
      <c r="L739">
        <v>0</v>
      </c>
      <c r="M739">
        <v>0</v>
      </c>
      <c r="N739">
        <f>IF(O739,TRUE,AND(R739:W739))</f>
        <v>0</v>
      </c>
      <c r="O739">
        <f>COUNTBLANK(Metadata!B739:G739)=COLUMNS(Metadata!B739:G739)</f>
        <v>0</v>
      </c>
      <c r="P739">
        <v>0</v>
      </c>
      <c r="R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S739">
        <f>IF(Metadata!C739="",FALSE,TRUE)</f>
        <v>0</v>
      </c>
      <c r="T739">
        <f>IF(Metadata!D739="",FALSE,TRUE)</f>
        <v>0</v>
      </c>
      <c r="U739">
        <f>IF(Metadata!E739="",FALSE,TRUE)</f>
        <v>0</v>
      </c>
      <c r="V739">
        <f>AND(IF(Metadata!F739="",FALSE,TRUE),exact(Metadata!F739,"rat gut metagenome"))</f>
        <v>0</v>
      </c>
      <c r="W739">
        <f>AND(IF(Metadata!G739="",FALSE,TRUE),exact(Metadata!G739,"1436733"))</f>
        <v>0</v>
      </c>
    </row>
    <row r="740" spans="1:23">
      <c r="A740" s="4">
        <f>IF(B740=" "," ",HYPERLINK(CONCATENATE("#metadata!",ADDRESS(INDEX($M$2:$M$1001,MATCH(ROWS($K$2:K740),$K$2:$K$1001,0),0),1)),INDEX($P$2:$P$1001,MATCH(ROWS($K$2:K740),$K$2:$K$1001,0),0)))</f>
        <v>0</v>
      </c>
      <c r="B740" s="3">
        <f>IF(OR(INDEX($L$2:$L$1001,MATCH(ROWS($K$2:K740),$K$2:$K$1001,0),1)&gt;=100000,INDEX($R$1005:$W$1005,1,MATCH(COLUMNS($R$1006:R1006),$R$1006:$W$1006,0))&gt;=100000), " ",IF(INDEX($R$2:$W$1001,MATCH(ROWS($K$2:K740),$K$2:$K$1001,0),MATCH(COLUMNS($R$1006:R1006),$R$1006:$W$1006,0)), HYPERLINK("#",""), HYPERLINK(CONCATENATE("#Metadata!", ADDRESS(INDEX($M$2:$M$1001,MATCH(ROWS($K$2:K740),$K$2:$K$1001,0),0), INDEX($R$1004:$W$1004,1,MATCH(COLUMNS($R$1006:R1006),$R$1006:$W$1006,0)))),"Fix")))</f>
        <v>0</v>
      </c>
      <c r="C740" s="3">
        <f>IF(OR(INDEX($L$2:$L$1001,MATCH(ROWS($K$2:K740),$K$2:$K$1001,0),1)&gt;=100000,INDEX($R$1005:$W$1005,1,MATCH(COLUMNS($R$1006:S1006),$R$1006:$W$1006,0))&gt;=100000), " ",IF(INDEX($R$2:$W$1001,MATCH(ROWS($K$2:K740),$K$2:$K$1001,0),MATCH(COLUMNS($R$1006:S1006),$R$1006:$W$1006,0)), HYPERLINK("#",""), HYPERLINK(CONCATENATE("#Metadata!", ADDRESS(INDEX($M$2:$M$1001,MATCH(ROWS($K$2:K740),$K$2:$K$1001,0),0), INDEX($R$1004:$W$1004,1,MATCH(COLUMNS($R$1006:S1006),$R$1006:$W$1006,0)))),"Fix")))</f>
        <v>0</v>
      </c>
      <c r="D740" s="3">
        <f>IF(OR(INDEX($L$2:$L$1001,MATCH(ROWS($K$2:K740),$K$2:$K$1001,0),1)&gt;=100000,INDEX($R$1005:$W$1005,1,MATCH(COLUMNS($R$1006:T1006),$R$1006:$W$1006,0))&gt;=100000), " ",IF(INDEX($R$2:$W$1001,MATCH(ROWS($K$2:K740),$K$2:$K$1001,0),MATCH(COLUMNS($R$1006:T1006),$R$1006:$W$1006,0)), HYPERLINK("#",""), HYPERLINK(CONCATENATE("#Metadata!", ADDRESS(INDEX($M$2:$M$1001,MATCH(ROWS($K$2:K740),$K$2:$K$1001,0),0), INDEX($R$1004:$W$1004,1,MATCH(COLUMNS($R$1006:T1006),$R$1006:$W$1006,0)))),"Fix")))</f>
        <v>0</v>
      </c>
      <c r="E740" s="3">
        <f>IF(OR(INDEX($L$2:$L$1001,MATCH(ROWS($K$2:K740),$K$2:$K$1001,0),1)&gt;=100000,INDEX($R$1005:$W$1005,1,MATCH(COLUMNS($R$1006:U1006),$R$1006:$W$1006,0))&gt;=100000), " ",IF(INDEX($R$2:$W$1001,MATCH(ROWS($K$2:K740),$K$2:$K$1001,0),MATCH(COLUMNS($R$1006:U1006),$R$1006:$W$1006,0)), HYPERLINK("#",""), HYPERLINK(CONCATENATE("#Metadata!", ADDRESS(INDEX($M$2:$M$1001,MATCH(ROWS($K$2:K740),$K$2:$K$1001,0),0), INDEX($R$1004:$W$1004,1,MATCH(COLUMNS($R$1006:U1006),$R$1006:$W$1006,0)))),"Fix")))</f>
        <v>0</v>
      </c>
      <c r="F740" s="3">
        <f>IF(OR(INDEX($L$2:$L$1001,MATCH(ROWS($K$2:K740),$K$2:$K$1001,0),1)&gt;=100000,INDEX($R$1005:$W$1005,1,MATCH(COLUMNS($R$1006:V1006),$R$1006:$W$1006,0))&gt;=100000), " ",IF(INDEX($R$2:$W$1001,MATCH(ROWS($K$2:K740),$K$2:$K$1001,0),MATCH(COLUMNS($R$1006:V1006),$R$1006:$W$1006,0)), HYPERLINK("#",""), HYPERLINK(CONCATENATE("#Metadata!", ADDRESS(INDEX($M$2:$M$1001,MATCH(ROWS($K$2:K740),$K$2:$K$1001,0),0), INDEX($R$1004:$W$1004,1,MATCH(COLUMNS($R$1006:V1006),$R$1006:$W$1006,0)))),"Fix")))</f>
        <v>0</v>
      </c>
      <c r="G740" s="3">
        <f>IF(OR(INDEX($L$2:$L$1001,MATCH(ROWS($K$2:K740),$K$2:$K$1001,0),1)&gt;=100000,INDEX($R$1005:$W$1005,1,MATCH(COLUMNS($R$1006:W1006),$R$1006:$W$1006,0))&gt;=100000), " ",IF(INDEX($R$2:$W$1001,MATCH(ROWS($K$2:K740),$K$2:$K$1001,0),MATCH(COLUMNS($R$1006:W1006),$R$1006:$W$1006,0)), HYPERLINK("#",""), HYPERLINK(CONCATENATE("#Metadata!", ADDRESS(INDEX($M$2:$M$1001,MATCH(ROWS($K$2:K740),$K$2:$K$1001,0),0), INDEX($R$1004:$W$1004,1,MATCH(COLUMNS($R$1006:W1006),$R$1006:$W$1006,0)))),"Fix")))</f>
        <v>0</v>
      </c>
      <c r="K740">
        <v>0</v>
      </c>
      <c r="L740">
        <v>0</v>
      </c>
      <c r="M740">
        <v>0</v>
      </c>
      <c r="N740">
        <f>IF(O740,TRUE,AND(R740:W740))</f>
        <v>0</v>
      </c>
      <c r="O740">
        <f>COUNTBLANK(Metadata!B740:G740)=COLUMNS(Metadata!B740:G740)</f>
        <v>0</v>
      </c>
      <c r="P740">
        <v>0</v>
      </c>
      <c r="R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S740">
        <f>IF(Metadata!C740="",FALSE,TRUE)</f>
        <v>0</v>
      </c>
      <c r="T740">
        <f>IF(Metadata!D740="",FALSE,TRUE)</f>
        <v>0</v>
      </c>
      <c r="U740">
        <f>IF(Metadata!E740="",FALSE,TRUE)</f>
        <v>0</v>
      </c>
      <c r="V740">
        <f>AND(IF(Metadata!F740="",FALSE,TRUE),exact(Metadata!F740,"rat gut metagenome"))</f>
        <v>0</v>
      </c>
      <c r="W740">
        <f>AND(IF(Metadata!G740="",FALSE,TRUE),exact(Metadata!G740,"1436733"))</f>
        <v>0</v>
      </c>
    </row>
    <row r="741" spans="1:23">
      <c r="A741" s="4">
        <f>IF(B741=" "," ",HYPERLINK(CONCATENATE("#metadata!",ADDRESS(INDEX($M$2:$M$1001,MATCH(ROWS($K$2:K741),$K$2:$K$1001,0),0),1)),INDEX($P$2:$P$1001,MATCH(ROWS($K$2:K741),$K$2:$K$1001,0),0)))</f>
        <v>0</v>
      </c>
      <c r="B741" s="3">
        <f>IF(OR(INDEX($L$2:$L$1001,MATCH(ROWS($K$2:K741),$K$2:$K$1001,0),1)&gt;=100000,INDEX($R$1005:$W$1005,1,MATCH(COLUMNS($R$1006:R1006),$R$1006:$W$1006,0))&gt;=100000), " ",IF(INDEX($R$2:$W$1001,MATCH(ROWS($K$2:K741),$K$2:$K$1001,0),MATCH(COLUMNS($R$1006:R1006),$R$1006:$W$1006,0)), HYPERLINK("#",""), HYPERLINK(CONCATENATE("#Metadata!", ADDRESS(INDEX($M$2:$M$1001,MATCH(ROWS($K$2:K741),$K$2:$K$1001,0),0), INDEX($R$1004:$W$1004,1,MATCH(COLUMNS($R$1006:R1006),$R$1006:$W$1006,0)))),"Fix")))</f>
        <v>0</v>
      </c>
      <c r="C741" s="3">
        <f>IF(OR(INDEX($L$2:$L$1001,MATCH(ROWS($K$2:K741),$K$2:$K$1001,0),1)&gt;=100000,INDEX($R$1005:$W$1005,1,MATCH(COLUMNS($R$1006:S1006),$R$1006:$W$1006,0))&gt;=100000), " ",IF(INDEX($R$2:$W$1001,MATCH(ROWS($K$2:K741),$K$2:$K$1001,0),MATCH(COLUMNS($R$1006:S1006),$R$1006:$W$1006,0)), HYPERLINK("#",""), HYPERLINK(CONCATENATE("#Metadata!", ADDRESS(INDEX($M$2:$M$1001,MATCH(ROWS($K$2:K741),$K$2:$K$1001,0),0), INDEX($R$1004:$W$1004,1,MATCH(COLUMNS($R$1006:S1006),$R$1006:$W$1006,0)))),"Fix")))</f>
        <v>0</v>
      </c>
      <c r="D741" s="3">
        <f>IF(OR(INDEX($L$2:$L$1001,MATCH(ROWS($K$2:K741),$K$2:$K$1001,0),1)&gt;=100000,INDEX($R$1005:$W$1005,1,MATCH(COLUMNS($R$1006:T1006),$R$1006:$W$1006,0))&gt;=100000), " ",IF(INDEX($R$2:$W$1001,MATCH(ROWS($K$2:K741),$K$2:$K$1001,0),MATCH(COLUMNS($R$1006:T1006),$R$1006:$W$1006,0)), HYPERLINK("#",""), HYPERLINK(CONCATENATE("#Metadata!", ADDRESS(INDEX($M$2:$M$1001,MATCH(ROWS($K$2:K741),$K$2:$K$1001,0),0), INDEX($R$1004:$W$1004,1,MATCH(COLUMNS($R$1006:T1006),$R$1006:$W$1006,0)))),"Fix")))</f>
        <v>0</v>
      </c>
      <c r="E741" s="3">
        <f>IF(OR(INDEX($L$2:$L$1001,MATCH(ROWS($K$2:K741),$K$2:$K$1001,0),1)&gt;=100000,INDEX($R$1005:$W$1005,1,MATCH(COLUMNS($R$1006:U1006),$R$1006:$W$1006,0))&gt;=100000), " ",IF(INDEX($R$2:$W$1001,MATCH(ROWS($K$2:K741),$K$2:$K$1001,0),MATCH(COLUMNS($R$1006:U1006),$R$1006:$W$1006,0)), HYPERLINK("#",""), HYPERLINK(CONCATENATE("#Metadata!", ADDRESS(INDEX($M$2:$M$1001,MATCH(ROWS($K$2:K741),$K$2:$K$1001,0),0), INDEX($R$1004:$W$1004,1,MATCH(COLUMNS($R$1006:U1006),$R$1006:$W$1006,0)))),"Fix")))</f>
        <v>0</v>
      </c>
      <c r="F741" s="3">
        <f>IF(OR(INDEX($L$2:$L$1001,MATCH(ROWS($K$2:K741),$K$2:$K$1001,0),1)&gt;=100000,INDEX($R$1005:$W$1005,1,MATCH(COLUMNS($R$1006:V1006),$R$1006:$W$1006,0))&gt;=100000), " ",IF(INDEX($R$2:$W$1001,MATCH(ROWS($K$2:K741),$K$2:$K$1001,0),MATCH(COLUMNS($R$1006:V1006),$R$1006:$W$1006,0)), HYPERLINK("#",""), HYPERLINK(CONCATENATE("#Metadata!", ADDRESS(INDEX($M$2:$M$1001,MATCH(ROWS($K$2:K741),$K$2:$K$1001,0),0), INDEX($R$1004:$W$1004,1,MATCH(COLUMNS($R$1006:V1006),$R$1006:$W$1006,0)))),"Fix")))</f>
        <v>0</v>
      </c>
      <c r="G741" s="3">
        <f>IF(OR(INDEX($L$2:$L$1001,MATCH(ROWS($K$2:K741),$K$2:$K$1001,0),1)&gt;=100000,INDEX($R$1005:$W$1005,1,MATCH(COLUMNS($R$1006:W1006),$R$1006:$W$1006,0))&gt;=100000), " ",IF(INDEX($R$2:$W$1001,MATCH(ROWS($K$2:K741),$K$2:$K$1001,0),MATCH(COLUMNS($R$1006:W1006),$R$1006:$W$1006,0)), HYPERLINK("#",""), HYPERLINK(CONCATENATE("#Metadata!", ADDRESS(INDEX($M$2:$M$1001,MATCH(ROWS($K$2:K741),$K$2:$K$1001,0),0), INDEX($R$1004:$W$1004,1,MATCH(COLUMNS($R$1006:W1006),$R$1006:$W$1006,0)))),"Fix")))</f>
        <v>0</v>
      </c>
      <c r="K741">
        <v>0</v>
      </c>
      <c r="L741">
        <v>0</v>
      </c>
      <c r="M741">
        <v>0</v>
      </c>
      <c r="N741">
        <f>IF(O741,TRUE,AND(R741:W741))</f>
        <v>0</v>
      </c>
      <c r="O741">
        <f>COUNTBLANK(Metadata!B741:G741)=COLUMNS(Metadata!B741:G741)</f>
        <v>0</v>
      </c>
      <c r="P741">
        <v>0</v>
      </c>
      <c r="R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S741">
        <f>IF(Metadata!C741="",FALSE,TRUE)</f>
        <v>0</v>
      </c>
      <c r="T741">
        <f>IF(Metadata!D741="",FALSE,TRUE)</f>
        <v>0</v>
      </c>
      <c r="U741">
        <f>IF(Metadata!E741="",FALSE,TRUE)</f>
        <v>0</v>
      </c>
      <c r="V741">
        <f>AND(IF(Metadata!F741="",FALSE,TRUE),exact(Metadata!F741,"rat gut metagenome"))</f>
        <v>0</v>
      </c>
      <c r="W741">
        <f>AND(IF(Metadata!G741="",FALSE,TRUE),exact(Metadata!G741,"1436733"))</f>
        <v>0</v>
      </c>
    </row>
    <row r="742" spans="1:23">
      <c r="A742" s="4">
        <f>IF(B742=" "," ",HYPERLINK(CONCATENATE("#metadata!",ADDRESS(INDEX($M$2:$M$1001,MATCH(ROWS($K$2:K742),$K$2:$K$1001,0),0),1)),INDEX($P$2:$P$1001,MATCH(ROWS($K$2:K742),$K$2:$K$1001,0),0)))</f>
        <v>0</v>
      </c>
      <c r="B742" s="3">
        <f>IF(OR(INDEX($L$2:$L$1001,MATCH(ROWS($K$2:K742),$K$2:$K$1001,0),1)&gt;=100000,INDEX($R$1005:$W$1005,1,MATCH(COLUMNS($R$1006:R1006),$R$1006:$W$1006,0))&gt;=100000), " ",IF(INDEX($R$2:$W$1001,MATCH(ROWS($K$2:K742),$K$2:$K$1001,0),MATCH(COLUMNS($R$1006:R1006),$R$1006:$W$1006,0)), HYPERLINK("#",""), HYPERLINK(CONCATENATE("#Metadata!", ADDRESS(INDEX($M$2:$M$1001,MATCH(ROWS($K$2:K742),$K$2:$K$1001,0),0), INDEX($R$1004:$W$1004,1,MATCH(COLUMNS($R$1006:R1006),$R$1006:$W$1006,0)))),"Fix")))</f>
        <v>0</v>
      </c>
      <c r="C742" s="3">
        <f>IF(OR(INDEX($L$2:$L$1001,MATCH(ROWS($K$2:K742),$K$2:$K$1001,0),1)&gt;=100000,INDEX($R$1005:$W$1005,1,MATCH(COLUMNS($R$1006:S1006),$R$1006:$W$1006,0))&gt;=100000), " ",IF(INDEX($R$2:$W$1001,MATCH(ROWS($K$2:K742),$K$2:$K$1001,0),MATCH(COLUMNS($R$1006:S1006),$R$1006:$W$1006,0)), HYPERLINK("#",""), HYPERLINK(CONCATENATE("#Metadata!", ADDRESS(INDEX($M$2:$M$1001,MATCH(ROWS($K$2:K742),$K$2:$K$1001,0),0), INDEX($R$1004:$W$1004,1,MATCH(COLUMNS($R$1006:S1006),$R$1006:$W$1006,0)))),"Fix")))</f>
        <v>0</v>
      </c>
      <c r="D742" s="3">
        <f>IF(OR(INDEX($L$2:$L$1001,MATCH(ROWS($K$2:K742),$K$2:$K$1001,0),1)&gt;=100000,INDEX($R$1005:$W$1005,1,MATCH(COLUMNS($R$1006:T1006),$R$1006:$W$1006,0))&gt;=100000), " ",IF(INDEX($R$2:$W$1001,MATCH(ROWS($K$2:K742),$K$2:$K$1001,0),MATCH(COLUMNS($R$1006:T1006),$R$1006:$W$1006,0)), HYPERLINK("#",""), HYPERLINK(CONCATENATE("#Metadata!", ADDRESS(INDEX($M$2:$M$1001,MATCH(ROWS($K$2:K742),$K$2:$K$1001,0),0), INDEX($R$1004:$W$1004,1,MATCH(COLUMNS($R$1006:T1006),$R$1006:$W$1006,0)))),"Fix")))</f>
        <v>0</v>
      </c>
      <c r="E742" s="3">
        <f>IF(OR(INDEX($L$2:$L$1001,MATCH(ROWS($K$2:K742),$K$2:$K$1001,0),1)&gt;=100000,INDEX($R$1005:$W$1005,1,MATCH(COLUMNS($R$1006:U1006),$R$1006:$W$1006,0))&gt;=100000), " ",IF(INDEX($R$2:$W$1001,MATCH(ROWS($K$2:K742),$K$2:$K$1001,0),MATCH(COLUMNS($R$1006:U1006),$R$1006:$W$1006,0)), HYPERLINK("#",""), HYPERLINK(CONCATENATE("#Metadata!", ADDRESS(INDEX($M$2:$M$1001,MATCH(ROWS($K$2:K742),$K$2:$K$1001,0),0), INDEX($R$1004:$W$1004,1,MATCH(COLUMNS($R$1006:U1006),$R$1006:$W$1006,0)))),"Fix")))</f>
        <v>0</v>
      </c>
      <c r="F742" s="3">
        <f>IF(OR(INDEX($L$2:$L$1001,MATCH(ROWS($K$2:K742),$K$2:$K$1001,0),1)&gt;=100000,INDEX($R$1005:$W$1005,1,MATCH(COLUMNS($R$1006:V1006),$R$1006:$W$1006,0))&gt;=100000), " ",IF(INDEX($R$2:$W$1001,MATCH(ROWS($K$2:K742),$K$2:$K$1001,0),MATCH(COLUMNS($R$1006:V1006),$R$1006:$W$1006,0)), HYPERLINK("#",""), HYPERLINK(CONCATENATE("#Metadata!", ADDRESS(INDEX($M$2:$M$1001,MATCH(ROWS($K$2:K742),$K$2:$K$1001,0),0), INDEX($R$1004:$W$1004,1,MATCH(COLUMNS($R$1006:V1006),$R$1006:$W$1006,0)))),"Fix")))</f>
        <v>0</v>
      </c>
      <c r="G742" s="3">
        <f>IF(OR(INDEX($L$2:$L$1001,MATCH(ROWS($K$2:K742),$K$2:$K$1001,0),1)&gt;=100000,INDEX($R$1005:$W$1005,1,MATCH(COLUMNS($R$1006:W1006),$R$1006:$W$1006,0))&gt;=100000), " ",IF(INDEX($R$2:$W$1001,MATCH(ROWS($K$2:K742),$K$2:$K$1001,0),MATCH(COLUMNS($R$1006:W1006),$R$1006:$W$1006,0)), HYPERLINK("#",""), HYPERLINK(CONCATENATE("#Metadata!", ADDRESS(INDEX($M$2:$M$1001,MATCH(ROWS($K$2:K742),$K$2:$K$1001,0),0), INDEX($R$1004:$W$1004,1,MATCH(COLUMNS($R$1006:W1006),$R$1006:$W$1006,0)))),"Fix")))</f>
        <v>0</v>
      </c>
      <c r="K742">
        <v>0</v>
      </c>
      <c r="L742">
        <v>0</v>
      </c>
      <c r="M742">
        <v>0</v>
      </c>
      <c r="N742">
        <f>IF(O742,TRUE,AND(R742:W742))</f>
        <v>0</v>
      </c>
      <c r="O742">
        <f>COUNTBLANK(Metadata!B742:G742)=COLUMNS(Metadata!B742:G742)</f>
        <v>0</v>
      </c>
      <c r="P742">
        <v>0</v>
      </c>
      <c r="R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S742">
        <f>IF(Metadata!C742="",FALSE,TRUE)</f>
        <v>0</v>
      </c>
      <c r="T742">
        <f>IF(Metadata!D742="",FALSE,TRUE)</f>
        <v>0</v>
      </c>
      <c r="U742">
        <f>IF(Metadata!E742="",FALSE,TRUE)</f>
        <v>0</v>
      </c>
      <c r="V742">
        <f>AND(IF(Metadata!F742="",FALSE,TRUE),exact(Metadata!F742,"rat gut metagenome"))</f>
        <v>0</v>
      </c>
      <c r="W742">
        <f>AND(IF(Metadata!G742="",FALSE,TRUE),exact(Metadata!G742,"1436733"))</f>
        <v>0</v>
      </c>
    </row>
    <row r="743" spans="1:23">
      <c r="A743" s="4">
        <f>IF(B743=" "," ",HYPERLINK(CONCATENATE("#metadata!",ADDRESS(INDEX($M$2:$M$1001,MATCH(ROWS($K$2:K743),$K$2:$K$1001,0),0),1)),INDEX($P$2:$P$1001,MATCH(ROWS($K$2:K743),$K$2:$K$1001,0),0)))</f>
        <v>0</v>
      </c>
      <c r="B743" s="3">
        <f>IF(OR(INDEX($L$2:$L$1001,MATCH(ROWS($K$2:K743),$K$2:$K$1001,0),1)&gt;=100000,INDEX($R$1005:$W$1005,1,MATCH(COLUMNS($R$1006:R1006),$R$1006:$W$1006,0))&gt;=100000), " ",IF(INDEX($R$2:$W$1001,MATCH(ROWS($K$2:K743),$K$2:$K$1001,0),MATCH(COLUMNS($R$1006:R1006),$R$1006:$W$1006,0)), HYPERLINK("#",""), HYPERLINK(CONCATENATE("#Metadata!", ADDRESS(INDEX($M$2:$M$1001,MATCH(ROWS($K$2:K743),$K$2:$K$1001,0),0), INDEX($R$1004:$W$1004,1,MATCH(COLUMNS($R$1006:R1006),$R$1006:$W$1006,0)))),"Fix")))</f>
        <v>0</v>
      </c>
      <c r="C743" s="3">
        <f>IF(OR(INDEX($L$2:$L$1001,MATCH(ROWS($K$2:K743),$K$2:$K$1001,0),1)&gt;=100000,INDEX($R$1005:$W$1005,1,MATCH(COLUMNS($R$1006:S1006),$R$1006:$W$1006,0))&gt;=100000), " ",IF(INDEX($R$2:$W$1001,MATCH(ROWS($K$2:K743),$K$2:$K$1001,0),MATCH(COLUMNS($R$1006:S1006),$R$1006:$W$1006,0)), HYPERLINK("#",""), HYPERLINK(CONCATENATE("#Metadata!", ADDRESS(INDEX($M$2:$M$1001,MATCH(ROWS($K$2:K743),$K$2:$K$1001,0),0), INDEX($R$1004:$W$1004,1,MATCH(COLUMNS($R$1006:S1006),$R$1006:$W$1006,0)))),"Fix")))</f>
        <v>0</v>
      </c>
      <c r="D743" s="3">
        <f>IF(OR(INDEX($L$2:$L$1001,MATCH(ROWS($K$2:K743),$K$2:$K$1001,0),1)&gt;=100000,INDEX($R$1005:$W$1005,1,MATCH(COLUMNS($R$1006:T1006),$R$1006:$W$1006,0))&gt;=100000), " ",IF(INDEX($R$2:$W$1001,MATCH(ROWS($K$2:K743),$K$2:$K$1001,0),MATCH(COLUMNS($R$1006:T1006),$R$1006:$W$1006,0)), HYPERLINK("#",""), HYPERLINK(CONCATENATE("#Metadata!", ADDRESS(INDEX($M$2:$M$1001,MATCH(ROWS($K$2:K743),$K$2:$K$1001,0),0), INDEX($R$1004:$W$1004,1,MATCH(COLUMNS($R$1006:T1006),$R$1006:$W$1006,0)))),"Fix")))</f>
        <v>0</v>
      </c>
      <c r="E743" s="3">
        <f>IF(OR(INDEX($L$2:$L$1001,MATCH(ROWS($K$2:K743),$K$2:$K$1001,0),1)&gt;=100000,INDEX($R$1005:$W$1005,1,MATCH(COLUMNS($R$1006:U1006),$R$1006:$W$1006,0))&gt;=100000), " ",IF(INDEX($R$2:$W$1001,MATCH(ROWS($K$2:K743),$K$2:$K$1001,0),MATCH(COLUMNS($R$1006:U1006),$R$1006:$W$1006,0)), HYPERLINK("#",""), HYPERLINK(CONCATENATE("#Metadata!", ADDRESS(INDEX($M$2:$M$1001,MATCH(ROWS($K$2:K743),$K$2:$K$1001,0),0), INDEX($R$1004:$W$1004,1,MATCH(COLUMNS($R$1006:U1006),$R$1006:$W$1006,0)))),"Fix")))</f>
        <v>0</v>
      </c>
      <c r="F743" s="3">
        <f>IF(OR(INDEX($L$2:$L$1001,MATCH(ROWS($K$2:K743),$K$2:$K$1001,0),1)&gt;=100000,INDEX($R$1005:$W$1005,1,MATCH(COLUMNS($R$1006:V1006),$R$1006:$W$1006,0))&gt;=100000), " ",IF(INDEX($R$2:$W$1001,MATCH(ROWS($K$2:K743),$K$2:$K$1001,0),MATCH(COLUMNS($R$1006:V1006),$R$1006:$W$1006,0)), HYPERLINK("#",""), HYPERLINK(CONCATENATE("#Metadata!", ADDRESS(INDEX($M$2:$M$1001,MATCH(ROWS($K$2:K743),$K$2:$K$1001,0),0), INDEX($R$1004:$W$1004,1,MATCH(COLUMNS($R$1006:V1006),$R$1006:$W$1006,0)))),"Fix")))</f>
        <v>0</v>
      </c>
      <c r="G743" s="3">
        <f>IF(OR(INDEX($L$2:$L$1001,MATCH(ROWS($K$2:K743),$K$2:$K$1001,0),1)&gt;=100000,INDEX($R$1005:$W$1005,1,MATCH(COLUMNS($R$1006:W1006),$R$1006:$W$1006,0))&gt;=100000), " ",IF(INDEX($R$2:$W$1001,MATCH(ROWS($K$2:K743),$K$2:$K$1001,0),MATCH(COLUMNS($R$1006:W1006),$R$1006:$W$1006,0)), HYPERLINK("#",""), HYPERLINK(CONCATENATE("#Metadata!", ADDRESS(INDEX($M$2:$M$1001,MATCH(ROWS($K$2:K743),$K$2:$K$1001,0),0), INDEX($R$1004:$W$1004,1,MATCH(COLUMNS($R$1006:W1006),$R$1006:$W$1006,0)))),"Fix")))</f>
        <v>0</v>
      </c>
      <c r="K743">
        <v>0</v>
      </c>
      <c r="L743">
        <v>0</v>
      </c>
      <c r="M743">
        <v>0</v>
      </c>
      <c r="N743">
        <f>IF(O743,TRUE,AND(R743:W743))</f>
        <v>0</v>
      </c>
      <c r="O743">
        <f>COUNTBLANK(Metadata!B743:G743)=COLUMNS(Metadata!B743:G743)</f>
        <v>0</v>
      </c>
      <c r="P743">
        <v>0</v>
      </c>
      <c r="R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S743">
        <f>IF(Metadata!C743="",FALSE,TRUE)</f>
        <v>0</v>
      </c>
      <c r="T743">
        <f>IF(Metadata!D743="",FALSE,TRUE)</f>
        <v>0</v>
      </c>
      <c r="U743">
        <f>IF(Metadata!E743="",FALSE,TRUE)</f>
        <v>0</v>
      </c>
      <c r="V743">
        <f>AND(IF(Metadata!F743="",FALSE,TRUE),exact(Metadata!F743,"rat gut metagenome"))</f>
        <v>0</v>
      </c>
      <c r="W743">
        <f>AND(IF(Metadata!G743="",FALSE,TRUE),exact(Metadata!G743,"1436733"))</f>
        <v>0</v>
      </c>
    </row>
    <row r="744" spans="1:23">
      <c r="A744" s="4">
        <f>IF(B744=" "," ",HYPERLINK(CONCATENATE("#metadata!",ADDRESS(INDEX($M$2:$M$1001,MATCH(ROWS($K$2:K744),$K$2:$K$1001,0),0),1)),INDEX($P$2:$P$1001,MATCH(ROWS($K$2:K744),$K$2:$K$1001,0),0)))</f>
        <v>0</v>
      </c>
      <c r="B744" s="3">
        <f>IF(OR(INDEX($L$2:$L$1001,MATCH(ROWS($K$2:K744),$K$2:$K$1001,0),1)&gt;=100000,INDEX($R$1005:$W$1005,1,MATCH(COLUMNS($R$1006:R1006),$R$1006:$W$1006,0))&gt;=100000), " ",IF(INDEX($R$2:$W$1001,MATCH(ROWS($K$2:K744),$K$2:$K$1001,0),MATCH(COLUMNS($R$1006:R1006),$R$1006:$W$1006,0)), HYPERLINK("#",""), HYPERLINK(CONCATENATE("#Metadata!", ADDRESS(INDEX($M$2:$M$1001,MATCH(ROWS($K$2:K744),$K$2:$K$1001,0),0), INDEX($R$1004:$W$1004,1,MATCH(COLUMNS($R$1006:R1006),$R$1006:$W$1006,0)))),"Fix")))</f>
        <v>0</v>
      </c>
      <c r="C744" s="3">
        <f>IF(OR(INDEX($L$2:$L$1001,MATCH(ROWS($K$2:K744),$K$2:$K$1001,0),1)&gt;=100000,INDEX($R$1005:$W$1005,1,MATCH(COLUMNS($R$1006:S1006),$R$1006:$W$1006,0))&gt;=100000), " ",IF(INDEX($R$2:$W$1001,MATCH(ROWS($K$2:K744),$K$2:$K$1001,0),MATCH(COLUMNS($R$1006:S1006),$R$1006:$W$1006,0)), HYPERLINK("#",""), HYPERLINK(CONCATENATE("#Metadata!", ADDRESS(INDEX($M$2:$M$1001,MATCH(ROWS($K$2:K744),$K$2:$K$1001,0),0), INDEX($R$1004:$W$1004,1,MATCH(COLUMNS($R$1006:S1006),$R$1006:$W$1006,0)))),"Fix")))</f>
        <v>0</v>
      </c>
      <c r="D744" s="3">
        <f>IF(OR(INDEX($L$2:$L$1001,MATCH(ROWS($K$2:K744),$K$2:$K$1001,0),1)&gt;=100000,INDEX($R$1005:$W$1005,1,MATCH(COLUMNS($R$1006:T1006),$R$1006:$W$1006,0))&gt;=100000), " ",IF(INDEX($R$2:$W$1001,MATCH(ROWS($K$2:K744),$K$2:$K$1001,0),MATCH(COLUMNS($R$1006:T1006),$R$1006:$W$1006,0)), HYPERLINK("#",""), HYPERLINK(CONCATENATE("#Metadata!", ADDRESS(INDEX($M$2:$M$1001,MATCH(ROWS($K$2:K744),$K$2:$K$1001,0),0), INDEX($R$1004:$W$1004,1,MATCH(COLUMNS($R$1006:T1006),$R$1006:$W$1006,0)))),"Fix")))</f>
        <v>0</v>
      </c>
      <c r="E744" s="3">
        <f>IF(OR(INDEX($L$2:$L$1001,MATCH(ROWS($K$2:K744),$K$2:$K$1001,0),1)&gt;=100000,INDEX($R$1005:$W$1005,1,MATCH(COLUMNS($R$1006:U1006),$R$1006:$W$1006,0))&gt;=100000), " ",IF(INDEX($R$2:$W$1001,MATCH(ROWS($K$2:K744),$K$2:$K$1001,0),MATCH(COLUMNS($R$1006:U1006),$R$1006:$W$1006,0)), HYPERLINK("#",""), HYPERLINK(CONCATENATE("#Metadata!", ADDRESS(INDEX($M$2:$M$1001,MATCH(ROWS($K$2:K744),$K$2:$K$1001,0),0), INDEX($R$1004:$W$1004,1,MATCH(COLUMNS($R$1006:U1006),$R$1006:$W$1006,0)))),"Fix")))</f>
        <v>0</v>
      </c>
      <c r="F744" s="3">
        <f>IF(OR(INDEX($L$2:$L$1001,MATCH(ROWS($K$2:K744),$K$2:$K$1001,0),1)&gt;=100000,INDEX($R$1005:$W$1005,1,MATCH(COLUMNS($R$1006:V1006),$R$1006:$W$1006,0))&gt;=100000), " ",IF(INDEX($R$2:$W$1001,MATCH(ROWS($K$2:K744),$K$2:$K$1001,0),MATCH(COLUMNS($R$1006:V1006),$R$1006:$W$1006,0)), HYPERLINK("#",""), HYPERLINK(CONCATENATE("#Metadata!", ADDRESS(INDEX($M$2:$M$1001,MATCH(ROWS($K$2:K744),$K$2:$K$1001,0),0), INDEX($R$1004:$W$1004,1,MATCH(COLUMNS($R$1006:V1006),$R$1006:$W$1006,0)))),"Fix")))</f>
        <v>0</v>
      </c>
      <c r="G744" s="3">
        <f>IF(OR(INDEX($L$2:$L$1001,MATCH(ROWS($K$2:K744),$K$2:$K$1001,0),1)&gt;=100000,INDEX($R$1005:$W$1005,1,MATCH(COLUMNS($R$1006:W1006),$R$1006:$W$1006,0))&gt;=100000), " ",IF(INDEX($R$2:$W$1001,MATCH(ROWS($K$2:K744),$K$2:$K$1001,0),MATCH(COLUMNS($R$1006:W1006),$R$1006:$W$1006,0)), HYPERLINK("#",""), HYPERLINK(CONCATENATE("#Metadata!", ADDRESS(INDEX($M$2:$M$1001,MATCH(ROWS($K$2:K744),$K$2:$K$1001,0),0), INDEX($R$1004:$W$1004,1,MATCH(COLUMNS($R$1006:W1006),$R$1006:$W$1006,0)))),"Fix")))</f>
        <v>0</v>
      </c>
      <c r="K744">
        <v>0</v>
      </c>
      <c r="L744">
        <v>0</v>
      </c>
      <c r="M744">
        <v>0</v>
      </c>
      <c r="N744">
        <f>IF(O744,TRUE,AND(R744:W744))</f>
        <v>0</v>
      </c>
      <c r="O744">
        <f>COUNTBLANK(Metadata!B744:G744)=COLUMNS(Metadata!B744:G744)</f>
        <v>0</v>
      </c>
      <c r="P744">
        <v>0</v>
      </c>
      <c r="R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S744">
        <f>IF(Metadata!C744="",FALSE,TRUE)</f>
        <v>0</v>
      </c>
      <c r="T744">
        <f>IF(Metadata!D744="",FALSE,TRUE)</f>
        <v>0</v>
      </c>
      <c r="U744">
        <f>IF(Metadata!E744="",FALSE,TRUE)</f>
        <v>0</v>
      </c>
      <c r="V744">
        <f>AND(IF(Metadata!F744="",FALSE,TRUE),exact(Metadata!F744,"rat gut metagenome"))</f>
        <v>0</v>
      </c>
      <c r="W744">
        <f>AND(IF(Metadata!G744="",FALSE,TRUE),exact(Metadata!G744,"1436733"))</f>
        <v>0</v>
      </c>
    </row>
    <row r="745" spans="1:23">
      <c r="A745" s="4">
        <f>IF(B745=" "," ",HYPERLINK(CONCATENATE("#metadata!",ADDRESS(INDEX($M$2:$M$1001,MATCH(ROWS($K$2:K745),$K$2:$K$1001,0),0),1)),INDEX($P$2:$P$1001,MATCH(ROWS($K$2:K745),$K$2:$K$1001,0),0)))</f>
        <v>0</v>
      </c>
      <c r="B745" s="3">
        <f>IF(OR(INDEX($L$2:$L$1001,MATCH(ROWS($K$2:K745),$K$2:$K$1001,0),1)&gt;=100000,INDEX($R$1005:$W$1005,1,MATCH(COLUMNS($R$1006:R1006),$R$1006:$W$1006,0))&gt;=100000), " ",IF(INDEX($R$2:$W$1001,MATCH(ROWS($K$2:K745),$K$2:$K$1001,0),MATCH(COLUMNS($R$1006:R1006),$R$1006:$W$1006,0)), HYPERLINK("#",""), HYPERLINK(CONCATENATE("#Metadata!", ADDRESS(INDEX($M$2:$M$1001,MATCH(ROWS($K$2:K745),$K$2:$K$1001,0),0), INDEX($R$1004:$W$1004,1,MATCH(COLUMNS($R$1006:R1006),$R$1006:$W$1006,0)))),"Fix")))</f>
        <v>0</v>
      </c>
      <c r="C745" s="3">
        <f>IF(OR(INDEX($L$2:$L$1001,MATCH(ROWS($K$2:K745),$K$2:$K$1001,0),1)&gt;=100000,INDEX($R$1005:$W$1005,1,MATCH(COLUMNS($R$1006:S1006),$R$1006:$W$1006,0))&gt;=100000), " ",IF(INDEX($R$2:$W$1001,MATCH(ROWS($K$2:K745),$K$2:$K$1001,0),MATCH(COLUMNS($R$1006:S1006),$R$1006:$W$1006,0)), HYPERLINK("#",""), HYPERLINK(CONCATENATE("#Metadata!", ADDRESS(INDEX($M$2:$M$1001,MATCH(ROWS($K$2:K745),$K$2:$K$1001,0),0), INDEX($R$1004:$W$1004,1,MATCH(COLUMNS($R$1006:S1006),$R$1006:$W$1006,0)))),"Fix")))</f>
        <v>0</v>
      </c>
      <c r="D745" s="3">
        <f>IF(OR(INDEX($L$2:$L$1001,MATCH(ROWS($K$2:K745),$K$2:$K$1001,0),1)&gt;=100000,INDEX($R$1005:$W$1005,1,MATCH(COLUMNS($R$1006:T1006),$R$1006:$W$1006,0))&gt;=100000), " ",IF(INDEX($R$2:$W$1001,MATCH(ROWS($K$2:K745),$K$2:$K$1001,0),MATCH(COLUMNS($R$1006:T1006),$R$1006:$W$1006,0)), HYPERLINK("#",""), HYPERLINK(CONCATENATE("#Metadata!", ADDRESS(INDEX($M$2:$M$1001,MATCH(ROWS($K$2:K745),$K$2:$K$1001,0),0), INDEX($R$1004:$W$1004,1,MATCH(COLUMNS($R$1006:T1006),$R$1006:$W$1006,0)))),"Fix")))</f>
        <v>0</v>
      </c>
      <c r="E745" s="3">
        <f>IF(OR(INDEX($L$2:$L$1001,MATCH(ROWS($K$2:K745),$K$2:$K$1001,0),1)&gt;=100000,INDEX($R$1005:$W$1005,1,MATCH(COLUMNS($R$1006:U1006),$R$1006:$W$1006,0))&gt;=100000), " ",IF(INDEX($R$2:$W$1001,MATCH(ROWS($K$2:K745),$K$2:$K$1001,0),MATCH(COLUMNS($R$1006:U1006),$R$1006:$W$1006,0)), HYPERLINK("#",""), HYPERLINK(CONCATENATE("#Metadata!", ADDRESS(INDEX($M$2:$M$1001,MATCH(ROWS($K$2:K745),$K$2:$K$1001,0),0), INDEX($R$1004:$W$1004,1,MATCH(COLUMNS($R$1006:U1006),$R$1006:$W$1006,0)))),"Fix")))</f>
        <v>0</v>
      </c>
      <c r="F745" s="3">
        <f>IF(OR(INDEX($L$2:$L$1001,MATCH(ROWS($K$2:K745),$K$2:$K$1001,0),1)&gt;=100000,INDEX($R$1005:$W$1005,1,MATCH(COLUMNS($R$1006:V1006),$R$1006:$W$1006,0))&gt;=100000), " ",IF(INDEX($R$2:$W$1001,MATCH(ROWS($K$2:K745),$K$2:$K$1001,0),MATCH(COLUMNS($R$1006:V1006),$R$1006:$W$1006,0)), HYPERLINK("#",""), HYPERLINK(CONCATENATE("#Metadata!", ADDRESS(INDEX($M$2:$M$1001,MATCH(ROWS($K$2:K745),$K$2:$K$1001,0),0), INDEX($R$1004:$W$1004,1,MATCH(COLUMNS($R$1006:V1006),$R$1006:$W$1006,0)))),"Fix")))</f>
        <v>0</v>
      </c>
      <c r="G745" s="3">
        <f>IF(OR(INDEX($L$2:$L$1001,MATCH(ROWS($K$2:K745),$K$2:$K$1001,0),1)&gt;=100000,INDEX($R$1005:$W$1005,1,MATCH(COLUMNS($R$1006:W1006),$R$1006:$W$1006,0))&gt;=100000), " ",IF(INDEX($R$2:$W$1001,MATCH(ROWS($K$2:K745),$K$2:$K$1001,0),MATCH(COLUMNS($R$1006:W1006),$R$1006:$W$1006,0)), HYPERLINK("#",""), HYPERLINK(CONCATENATE("#Metadata!", ADDRESS(INDEX($M$2:$M$1001,MATCH(ROWS($K$2:K745),$K$2:$K$1001,0),0), INDEX($R$1004:$W$1004,1,MATCH(COLUMNS($R$1006:W1006),$R$1006:$W$1006,0)))),"Fix")))</f>
        <v>0</v>
      </c>
      <c r="K745">
        <v>0</v>
      </c>
      <c r="L745">
        <v>0</v>
      </c>
      <c r="M745">
        <v>0</v>
      </c>
      <c r="N745">
        <f>IF(O745,TRUE,AND(R745:W745))</f>
        <v>0</v>
      </c>
      <c r="O745">
        <f>COUNTBLANK(Metadata!B745:G745)=COLUMNS(Metadata!B745:G745)</f>
        <v>0</v>
      </c>
      <c r="P745">
        <v>0</v>
      </c>
      <c r="R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S745">
        <f>IF(Metadata!C745="",FALSE,TRUE)</f>
        <v>0</v>
      </c>
      <c r="T745">
        <f>IF(Metadata!D745="",FALSE,TRUE)</f>
        <v>0</v>
      </c>
      <c r="U745">
        <f>IF(Metadata!E745="",FALSE,TRUE)</f>
        <v>0</v>
      </c>
      <c r="V745">
        <f>AND(IF(Metadata!F745="",FALSE,TRUE),exact(Metadata!F745,"rat gut metagenome"))</f>
        <v>0</v>
      </c>
      <c r="W745">
        <f>AND(IF(Metadata!G745="",FALSE,TRUE),exact(Metadata!G745,"1436733"))</f>
        <v>0</v>
      </c>
    </row>
    <row r="746" spans="1:23">
      <c r="A746" s="4">
        <f>IF(B746=" "," ",HYPERLINK(CONCATENATE("#metadata!",ADDRESS(INDEX($M$2:$M$1001,MATCH(ROWS($K$2:K746),$K$2:$K$1001,0),0),1)),INDEX($P$2:$P$1001,MATCH(ROWS($K$2:K746),$K$2:$K$1001,0),0)))</f>
        <v>0</v>
      </c>
      <c r="B746" s="3">
        <f>IF(OR(INDEX($L$2:$L$1001,MATCH(ROWS($K$2:K746),$K$2:$K$1001,0),1)&gt;=100000,INDEX($R$1005:$W$1005,1,MATCH(COLUMNS($R$1006:R1006),$R$1006:$W$1006,0))&gt;=100000), " ",IF(INDEX($R$2:$W$1001,MATCH(ROWS($K$2:K746),$K$2:$K$1001,0),MATCH(COLUMNS($R$1006:R1006),$R$1006:$W$1006,0)), HYPERLINK("#",""), HYPERLINK(CONCATENATE("#Metadata!", ADDRESS(INDEX($M$2:$M$1001,MATCH(ROWS($K$2:K746),$K$2:$K$1001,0),0), INDEX($R$1004:$W$1004,1,MATCH(COLUMNS($R$1006:R1006),$R$1006:$W$1006,0)))),"Fix")))</f>
        <v>0</v>
      </c>
      <c r="C746" s="3">
        <f>IF(OR(INDEX($L$2:$L$1001,MATCH(ROWS($K$2:K746),$K$2:$K$1001,0),1)&gt;=100000,INDEX($R$1005:$W$1005,1,MATCH(COLUMNS($R$1006:S1006),$R$1006:$W$1006,0))&gt;=100000), " ",IF(INDEX($R$2:$W$1001,MATCH(ROWS($K$2:K746),$K$2:$K$1001,0),MATCH(COLUMNS($R$1006:S1006),$R$1006:$W$1006,0)), HYPERLINK("#",""), HYPERLINK(CONCATENATE("#Metadata!", ADDRESS(INDEX($M$2:$M$1001,MATCH(ROWS($K$2:K746),$K$2:$K$1001,0),0), INDEX($R$1004:$W$1004,1,MATCH(COLUMNS($R$1006:S1006),$R$1006:$W$1006,0)))),"Fix")))</f>
        <v>0</v>
      </c>
      <c r="D746" s="3">
        <f>IF(OR(INDEX($L$2:$L$1001,MATCH(ROWS($K$2:K746),$K$2:$K$1001,0),1)&gt;=100000,INDEX($R$1005:$W$1005,1,MATCH(COLUMNS($R$1006:T1006),$R$1006:$W$1006,0))&gt;=100000), " ",IF(INDEX($R$2:$W$1001,MATCH(ROWS($K$2:K746),$K$2:$K$1001,0),MATCH(COLUMNS($R$1006:T1006),$R$1006:$W$1006,0)), HYPERLINK("#",""), HYPERLINK(CONCATENATE("#Metadata!", ADDRESS(INDEX($M$2:$M$1001,MATCH(ROWS($K$2:K746),$K$2:$K$1001,0),0), INDEX($R$1004:$W$1004,1,MATCH(COLUMNS($R$1006:T1006),$R$1006:$W$1006,0)))),"Fix")))</f>
        <v>0</v>
      </c>
      <c r="E746" s="3">
        <f>IF(OR(INDEX($L$2:$L$1001,MATCH(ROWS($K$2:K746),$K$2:$K$1001,0),1)&gt;=100000,INDEX($R$1005:$W$1005,1,MATCH(COLUMNS($R$1006:U1006),$R$1006:$W$1006,0))&gt;=100000), " ",IF(INDEX($R$2:$W$1001,MATCH(ROWS($K$2:K746),$K$2:$K$1001,0),MATCH(COLUMNS($R$1006:U1006),$R$1006:$W$1006,0)), HYPERLINK("#",""), HYPERLINK(CONCATENATE("#Metadata!", ADDRESS(INDEX($M$2:$M$1001,MATCH(ROWS($K$2:K746),$K$2:$K$1001,0),0), INDEX($R$1004:$W$1004,1,MATCH(COLUMNS($R$1006:U1006),$R$1006:$W$1006,0)))),"Fix")))</f>
        <v>0</v>
      </c>
      <c r="F746" s="3">
        <f>IF(OR(INDEX($L$2:$L$1001,MATCH(ROWS($K$2:K746),$K$2:$K$1001,0),1)&gt;=100000,INDEX($R$1005:$W$1005,1,MATCH(COLUMNS($R$1006:V1006),$R$1006:$W$1006,0))&gt;=100000), " ",IF(INDEX($R$2:$W$1001,MATCH(ROWS($K$2:K746),$K$2:$K$1001,0),MATCH(COLUMNS($R$1006:V1006),$R$1006:$W$1006,0)), HYPERLINK("#",""), HYPERLINK(CONCATENATE("#Metadata!", ADDRESS(INDEX($M$2:$M$1001,MATCH(ROWS($K$2:K746),$K$2:$K$1001,0),0), INDEX($R$1004:$W$1004,1,MATCH(COLUMNS($R$1006:V1006),$R$1006:$W$1006,0)))),"Fix")))</f>
        <v>0</v>
      </c>
      <c r="G746" s="3">
        <f>IF(OR(INDEX($L$2:$L$1001,MATCH(ROWS($K$2:K746),$K$2:$K$1001,0),1)&gt;=100000,INDEX($R$1005:$W$1005,1,MATCH(COLUMNS($R$1006:W1006),$R$1006:$W$1006,0))&gt;=100000), " ",IF(INDEX($R$2:$W$1001,MATCH(ROWS($K$2:K746),$K$2:$K$1001,0),MATCH(COLUMNS($R$1006:W1006),$R$1006:$W$1006,0)), HYPERLINK("#",""), HYPERLINK(CONCATENATE("#Metadata!", ADDRESS(INDEX($M$2:$M$1001,MATCH(ROWS($K$2:K746),$K$2:$K$1001,0),0), INDEX($R$1004:$W$1004,1,MATCH(COLUMNS($R$1006:W1006),$R$1006:$W$1006,0)))),"Fix")))</f>
        <v>0</v>
      </c>
      <c r="K746">
        <v>0</v>
      </c>
      <c r="L746">
        <v>0</v>
      </c>
      <c r="M746">
        <v>0</v>
      </c>
      <c r="N746">
        <f>IF(O746,TRUE,AND(R746:W746))</f>
        <v>0</v>
      </c>
      <c r="O746">
        <f>COUNTBLANK(Metadata!B746:G746)=COLUMNS(Metadata!B746:G746)</f>
        <v>0</v>
      </c>
      <c r="P746">
        <v>0</v>
      </c>
      <c r="R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S746">
        <f>IF(Metadata!C746="",FALSE,TRUE)</f>
        <v>0</v>
      </c>
      <c r="T746">
        <f>IF(Metadata!D746="",FALSE,TRUE)</f>
        <v>0</v>
      </c>
      <c r="U746">
        <f>IF(Metadata!E746="",FALSE,TRUE)</f>
        <v>0</v>
      </c>
      <c r="V746">
        <f>AND(IF(Metadata!F746="",FALSE,TRUE),exact(Metadata!F746,"rat gut metagenome"))</f>
        <v>0</v>
      </c>
      <c r="W746">
        <f>AND(IF(Metadata!G746="",FALSE,TRUE),exact(Metadata!G746,"1436733"))</f>
        <v>0</v>
      </c>
    </row>
    <row r="747" spans="1:23">
      <c r="A747" s="4">
        <f>IF(B747=" "," ",HYPERLINK(CONCATENATE("#metadata!",ADDRESS(INDEX($M$2:$M$1001,MATCH(ROWS($K$2:K747),$K$2:$K$1001,0),0),1)),INDEX($P$2:$P$1001,MATCH(ROWS($K$2:K747),$K$2:$K$1001,0),0)))</f>
        <v>0</v>
      </c>
      <c r="B747" s="3">
        <f>IF(OR(INDEX($L$2:$L$1001,MATCH(ROWS($K$2:K747),$K$2:$K$1001,0),1)&gt;=100000,INDEX($R$1005:$W$1005,1,MATCH(COLUMNS($R$1006:R1006),$R$1006:$W$1006,0))&gt;=100000), " ",IF(INDEX($R$2:$W$1001,MATCH(ROWS($K$2:K747),$K$2:$K$1001,0),MATCH(COLUMNS($R$1006:R1006),$R$1006:$W$1006,0)), HYPERLINK("#",""), HYPERLINK(CONCATENATE("#Metadata!", ADDRESS(INDEX($M$2:$M$1001,MATCH(ROWS($K$2:K747),$K$2:$K$1001,0),0), INDEX($R$1004:$W$1004,1,MATCH(COLUMNS($R$1006:R1006),$R$1006:$W$1006,0)))),"Fix")))</f>
        <v>0</v>
      </c>
      <c r="C747" s="3">
        <f>IF(OR(INDEX($L$2:$L$1001,MATCH(ROWS($K$2:K747),$K$2:$K$1001,0),1)&gt;=100000,INDEX($R$1005:$W$1005,1,MATCH(COLUMNS($R$1006:S1006),$R$1006:$W$1006,0))&gt;=100000), " ",IF(INDEX($R$2:$W$1001,MATCH(ROWS($K$2:K747),$K$2:$K$1001,0),MATCH(COLUMNS($R$1006:S1006),$R$1006:$W$1006,0)), HYPERLINK("#",""), HYPERLINK(CONCATENATE("#Metadata!", ADDRESS(INDEX($M$2:$M$1001,MATCH(ROWS($K$2:K747),$K$2:$K$1001,0),0), INDEX($R$1004:$W$1004,1,MATCH(COLUMNS($R$1006:S1006),$R$1006:$W$1006,0)))),"Fix")))</f>
        <v>0</v>
      </c>
      <c r="D747" s="3">
        <f>IF(OR(INDEX($L$2:$L$1001,MATCH(ROWS($K$2:K747),$K$2:$K$1001,0),1)&gt;=100000,INDEX($R$1005:$W$1005,1,MATCH(COLUMNS($R$1006:T1006),$R$1006:$W$1006,0))&gt;=100000), " ",IF(INDEX($R$2:$W$1001,MATCH(ROWS($K$2:K747),$K$2:$K$1001,0),MATCH(COLUMNS($R$1006:T1006),$R$1006:$W$1006,0)), HYPERLINK("#",""), HYPERLINK(CONCATENATE("#Metadata!", ADDRESS(INDEX($M$2:$M$1001,MATCH(ROWS($K$2:K747),$K$2:$K$1001,0),0), INDEX($R$1004:$W$1004,1,MATCH(COLUMNS($R$1006:T1006),$R$1006:$W$1006,0)))),"Fix")))</f>
        <v>0</v>
      </c>
      <c r="E747" s="3">
        <f>IF(OR(INDEX($L$2:$L$1001,MATCH(ROWS($K$2:K747),$K$2:$K$1001,0),1)&gt;=100000,INDEX($R$1005:$W$1005,1,MATCH(COLUMNS($R$1006:U1006),$R$1006:$W$1006,0))&gt;=100000), " ",IF(INDEX($R$2:$W$1001,MATCH(ROWS($K$2:K747),$K$2:$K$1001,0),MATCH(COLUMNS($R$1006:U1006),$R$1006:$W$1006,0)), HYPERLINK("#",""), HYPERLINK(CONCATENATE("#Metadata!", ADDRESS(INDEX($M$2:$M$1001,MATCH(ROWS($K$2:K747),$K$2:$K$1001,0),0), INDEX($R$1004:$W$1004,1,MATCH(COLUMNS($R$1006:U1006),$R$1006:$W$1006,0)))),"Fix")))</f>
        <v>0</v>
      </c>
      <c r="F747" s="3">
        <f>IF(OR(INDEX($L$2:$L$1001,MATCH(ROWS($K$2:K747),$K$2:$K$1001,0),1)&gt;=100000,INDEX($R$1005:$W$1005,1,MATCH(COLUMNS($R$1006:V1006),$R$1006:$W$1006,0))&gt;=100000), " ",IF(INDEX($R$2:$W$1001,MATCH(ROWS($K$2:K747),$K$2:$K$1001,0),MATCH(COLUMNS($R$1006:V1006),$R$1006:$W$1006,0)), HYPERLINK("#",""), HYPERLINK(CONCATENATE("#Metadata!", ADDRESS(INDEX($M$2:$M$1001,MATCH(ROWS($K$2:K747),$K$2:$K$1001,0),0), INDEX($R$1004:$W$1004,1,MATCH(COLUMNS($R$1006:V1006),$R$1006:$W$1006,0)))),"Fix")))</f>
        <v>0</v>
      </c>
      <c r="G747" s="3">
        <f>IF(OR(INDEX($L$2:$L$1001,MATCH(ROWS($K$2:K747),$K$2:$K$1001,0),1)&gt;=100000,INDEX($R$1005:$W$1005,1,MATCH(COLUMNS($R$1006:W1006),$R$1006:$W$1006,0))&gt;=100000), " ",IF(INDEX($R$2:$W$1001,MATCH(ROWS($K$2:K747),$K$2:$K$1001,0),MATCH(COLUMNS($R$1006:W1006),$R$1006:$W$1006,0)), HYPERLINK("#",""), HYPERLINK(CONCATENATE("#Metadata!", ADDRESS(INDEX($M$2:$M$1001,MATCH(ROWS($K$2:K747),$K$2:$K$1001,0),0), INDEX($R$1004:$W$1004,1,MATCH(COLUMNS($R$1006:W1006),$R$1006:$W$1006,0)))),"Fix")))</f>
        <v>0</v>
      </c>
      <c r="K747">
        <v>0</v>
      </c>
      <c r="L747">
        <v>0</v>
      </c>
      <c r="M747">
        <v>0</v>
      </c>
      <c r="N747">
        <f>IF(O747,TRUE,AND(R747:W747))</f>
        <v>0</v>
      </c>
      <c r="O747">
        <f>COUNTBLANK(Metadata!B747:G747)=COLUMNS(Metadata!B747:G747)</f>
        <v>0</v>
      </c>
      <c r="P747">
        <v>0</v>
      </c>
      <c r="R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S747">
        <f>IF(Metadata!C747="",FALSE,TRUE)</f>
        <v>0</v>
      </c>
      <c r="T747">
        <f>IF(Metadata!D747="",FALSE,TRUE)</f>
        <v>0</v>
      </c>
      <c r="U747">
        <f>IF(Metadata!E747="",FALSE,TRUE)</f>
        <v>0</v>
      </c>
      <c r="V747">
        <f>AND(IF(Metadata!F747="",FALSE,TRUE),exact(Metadata!F747,"rat gut metagenome"))</f>
        <v>0</v>
      </c>
      <c r="W747">
        <f>AND(IF(Metadata!G747="",FALSE,TRUE),exact(Metadata!G747,"1436733"))</f>
        <v>0</v>
      </c>
    </row>
    <row r="748" spans="1:23">
      <c r="A748" s="4">
        <f>IF(B748=" "," ",HYPERLINK(CONCATENATE("#metadata!",ADDRESS(INDEX($M$2:$M$1001,MATCH(ROWS($K$2:K748),$K$2:$K$1001,0),0),1)),INDEX($P$2:$P$1001,MATCH(ROWS($K$2:K748),$K$2:$K$1001,0),0)))</f>
        <v>0</v>
      </c>
      <c r="B748" s="3">
        <f>IF(OR(INDEX($L$2:$L$1001,MATCH(ROWS($K$2:K748),$K$2:$K$1001,0),1)&gt;=100000,INDEX($R$1005:$W$1005,1,MATCH(COLUMNS($R$1006:R1006),$R$1006:$W$1006,0))&gt;=100000), " ",IF(INDEX($R$2:$W$1001,MATCH(ROWS($K$2:K748),$K$2:$K$1001,0),MATCH(COLUMNS($R$1006:R1006),$R$1006:$W$1006,0)), HYPERLINK("#",""), HYPERLINK(CONCATENATE("#Metadata!", ADDRESS(INDEX($M$2:$M$1001,MATCH(ROWS($K$2:K748),$K$2:$K$1001,0),0), INDEX($R$1004:$W$1004,1,MATCH(COLUMNS($R$1006:R1006),$R$1006:$W$1006,0)))),"Fix")))</f>
        <v>0</v>
      </c>
      <c r="C748" s="3">
        <f>IF(OR(INDEX($L$2:$L$1001,MATCH(ROWS($K$2:K748),$K$2:$K$1001,0),1)&gt;=100000,INDEX($R$1005:$W$1005,1,MATCH(COLUMNS($R$1006:S1006),$R$1006:$W$1006,0))&gt;=100000), " ",IF(INDEX($R$2:$W$1001,MATCH(ROWS($K$2:K748),$K$2:$K$1001,0),MATCH(COLUMNS($R$1006:S1006),$R$1006:$W$1006,0)), HYPERLINK("#",""), HYPERLINK(CONCATENATE("#Metadata!", ADDRESS(INDEX($M$2:$M$1001,MATCH(ROWS($K$2:K748),$K$2:$K$1001,0),0), INDEX($R$1004:$W$1004,1,MATCH(COLUMNS($R$1006:S1006),$R$1006:$W$1006,0)))),"Fix")))</f>
        <v>0</v>
      </c>
      <c r="D748" s="3">
        <f>IF(OR(INDEX($L$2:$L$1001,MATCH(ROWS($K$2:K748),$K$2:$K$1001,0),1)&gt;=100000,INDEX($R$1005:$W$1005,1,MATCH(COLUMNS($R$1006:T1006),$R$1006:$W$1006,0))&gt;=100000), " ",IF(INDEX($R$2:$W$1001,MATCH(ROWS($K$2:K748),$K$2:$K$1001,0),MATCH(COLUMNS($R$1006:T1006),$R$1006:$W$1006,0)), HYPERLINK("#",""), HYPERLINK(CONCATENATE("#Metadata!", ADDRESS(INDEX($M$2:$M$1001,MATCH(ROWS($K$2:K748),$K$2:$K$1001,0),0), INDEX($R$1004:$W$1004,1,MATCH(COLUMNS($R$1006:T1006),$R$1006:$W$1006,0)))),"Fix")))</f>
        <v>0</v>
      </c>
      <c r="E748" s="3">
        <f>IF(OR(INDEX($L$2:$L$1001,MATCH(ROWS($K$2:K748),$K$2:$K$1001,0),1)&gt;=100000,INDEX($R$1005:$W$1005,1,MATCH(COLUMNS($R$1006:U1006),$R$1006:$W$1006,0))&gt;=100000), " ",IF(INDEX($R$2:$W$1001,MATCH(ROWS($K$2:K748),$K$2:$K$1001,0),MATCH(COLUMNS($R$1006:U1006),$R$1006:$W$1006,0)), HYPERLINK("#",""), HYPERLINK(CONCATENATE("#Metadata!", ADDRESS(INDEX($M$2:$M$1001,MATCH(ROWS($K$2:K748),$K$2:$K$1001,0),0), INDEX($R$1004:$W$1004,1,MATCH(COLUMNS($R$1006:U1006),$R$1006:$W$1006,0)))),"Fix")))</f>
        <v>0</v>
      </c>
      <c r="F748" s="3">
        <f>IF(OR(INDEX($L$2:$L$1001,MATCH(ROWS($K$2:K748),$K$2:$K$1001,0),1)&gt;=100000,INDEX($R$1005:$W$1005,1,MATCH(COLUMNS($R$1006:V1006),$R$1006:$W$1006,0))&gt;=100000), " ",IF(INDEX($R$2:$W$1001,MATCH(ROWS($K$2:K748),$K$2:$K$1001,0),MATCH(COLUMNS($R$1006:V1006),$R$1006:$W$1006,0)), HYPERLINK("#",""), HYPERLINK(CONCATENATE("#Metadata!", ADDRESS(INDEX($M$2:$M$1001,MATCH(ROWS($K$2:K748),$K$2:$K$1001,0),0), INDEX($R$1004:$W$1004,1,MATCH(COLUMNS($R$1006:V1006),$R$1006:$W$1006,0)))),"Fix")))</f>
        <v>0</v>
      </c>
      <c r="G748" s="3">
        <f>IF(OR(INDEX($L$2:$L$1001,MATCH(ROWS($K$2:K748),$K$2:$K$1001,0),1)&gt;=100000,INDEX($R$1005:$W$1005,1,MATCH(COLUMNS($R$1006:W1006),$R$1006:$W$1006,0))&gt;=100000), " ",IF(INDEX($R$2:$W$1001,MATCH(ROWS($K$2:K748),$K$2:$K$1001,0),MATCH(COLUMNS($R$1006:W1006),$R$1006:$W$1006,0)), HYPERLINK("#",""), HYPERLINK(CONCATENATE("#Metadata!", ADDRESS(INDEX($M$2:$M$1001,MATCH(ROWS($K$2:K748),$K$2:$K$1001,0),0), INDEX($R$1004:$W$1004,1,MATCH(COLUMNS($R$1006:W1006),$R$1006:$W$1006,0)))),"Fix")))</f>
        <v>0</v>
      </c>
      <c r="K748">
        <v>0</v>
      </c>
      <c r="L748">
        <v>0</v>
      </c>
      <c r="M748">
        <v>0</v>
      </c>
      <c r="N748">
        <f>IF(O748,TRUE,AND(R748:W748))</f>
        <v>0</v>
      </c>
      <c r="O748">
        <f>COUNTBLANK(Metadata!B748:G748)=COLUMNS(Metadata!B748:G748)</f>
        <v>0</v>
      </c>
      <c r="P748">
        <v>0</v>
      </c>
      <c r="R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S748">
        <f>IF(Metadata!C748="",FALSE,TRUE)</f>
        <v>0</v>
      </c>
      <c r="T748">
        <f>IF(Metadata!D748="",FALSE,TRUE)</f>
        <v>0</v>
      </c>
      <c r="U748">
        <f>IF(Metadata!E748="",FALSE,TRUE)</f>
        <v>0</v>
      </c>
      <c r="V748">
        <f>AND(IF(Metadata!F748="",FALSE,TRUE),exact(Metadata!F748,"rat gut metagenome"))</f>
        <v>0</v>
      </c>
      <c r="W748">
        <f>AND(IF(Metadata!G748="",FALSE,TRUE),exact(Metadata!G748,"1436733"))</f>
        <v>0</v>
      </c>
    </row>
    <row r="749" spans="1:23">
      <c r="A749" s="4">
        <f>IF(B749=" "," ",HYPERLINK(CONCATENATE("#metadata!",ADDRESS(INDEX($M$2:$M$1001,MATCH(ROWS($K$2:K749),$K$2:$K$1001,0),0),1)),INDEX($P$2:$P$1001,MATCH(ROWS($K$2:K749),$K$2:$K$1001,0),0)))</f>
        <v>0</v>
      </c>
      <c r="B749" s="3">
        <f>IF(OR(INDEX($L$2:$L$1001,MATCH(ROWS($K$2:K749),$K$2:$K$1001,0),1)&gt;=100000,INDEX($R$1005:$W$1005,1,MATCH(COLUMNS($R$1006:R1006),$R$1006:$W$1006,0))&gt;=100000), " ",IF(INDEX($R$2:$W$1001,MATCH(ROWS($K$2:K749),$K$2:$K$1001,0),MATCH(COLUMNS($R$1006:R1006),$R$1006:$W$1006,0)), HYPERLINK("#",""), HYPERLINK(CONCATENATE("#Metadata!", ADDRESS(INDEX($M$2:$M$1001,MATCH(ROWS($K$2:K749),$K$2:$K$1001,0),0), INDEX($R$1004:$W$1004,1,MATCH(COLUMNS($R$1006:R1006),$R$1006:$W$1006,0)))),"Fix")))</f>
        <v>0</v>
      </c>
      <c r="C749" s="3">
        <f>IF(OR(INDEX($L$2:$L$1001,MATCH(ROWS($K$2:K749),$K$2:$K$1001,0),1)&gt;=100000,INDEX($R$1005:$W$1005,1,MATCH(COLUMNS($R$1006:S1006),$R$1006:$W$1006,0))&gt;=100000), " ",IF(INDEX($R$2:$W$1001,MATCH(ROWS($K$2:K749),$K$2:$K$1001,0),MATCH(COLUMNS($R$1006:S1006),$R$1006:$W$1006,0)), HYPERLINK("#",""), HYPERLINK(CONCATENATE("#Metadata!", ADDRESS(INDEX($M$2:$M$1001,MATCH(ROWS($K$2:K749),$K$2:$K$1001,0),0), INDEX($R$1004:$W$1004,1,MATCH(COLUMNS($R$1006:S1006),$R$1006:$W$1006,0)))),"Fix")))</f>
        <v>0</v>
      </c>
      <c r="D749" s="3">
        <f>IF(OR(INDEX($L$2:$L$1001,MATCH(ROWS($K$2:K749),$K$2:$K$1001,0),1)&gt;=100000,INDEX($R$1005:$W$1005,1,MATCH(COLUMNS($R$1006:T1006),$R$1006:$W$1006,0))&gt;=100000), " ",IF(INDEX($R$2:$W$1001,MATCH(ROWS($K$2:K749),$K$2:$K$1001,0),MATCH(COLUMNS($R$1006:T1006),$R$1006:$W$1006,0)), HYPERLINK("#",""), HYPERLINK(CONCATENATE("#Metadata!", ADDRESS(INDEX($M$2:$M$1001,MATCH(ROWS($K$2:K749),$K$2:$K$1001,0),0), INDEX($R$1004:$W$1004,1,MATCH(COLUMNS($R$1006:T1006),$R$1006:$W$1006,0)))),"Fix")))</f>
        <v>0</v>
      </c>
      <c r="E749" s="3">
        <f>IF(OR(INDEX($L$2:$L$1001,MATCH(ROWS($K$2:K749),$K$2:$K$1001,0),1)&gt;=100000,INDEX($R$1005:$W$1005,1,MATCH(COLUMNS($R$1006:U1006),$R$1006:$W$1006,0))&gt;=100000), " ",IF(INDEX($R$2:$W$1001,MATCH(ROWS($K$2:K749),$K$2:$K$1001,0),MATCH(COLUMNS($R$1006:U1006),$R$1006:$W$1006,0)), HYPERLINK("#",""), HYPERLINK(CONCATENATE("#Metadata!", ADDRESS(INDEX($M$2:$M$1001,MATCH(ROWS($K$2:K749),$K$2:$K$1001,0),0), INDEX($R$1004:$W$1004,1,MATCH(COLUMNS($R$1006:U1006),$R$1006:$W$1006,0)))),"Fix")))</f>
        <v>0</v>
      </c>
      <c r="F749" s="3">
        <f>IF(OR(INDEX($L$2:$L$1001,MATCH(ROWS($K$2:K749),$K$2:$K$1001,0),1)&gt;=100000,INDEX($R$1005:$W$1005,1,MATCH(COLUMNS($R$1006:V1006),$R$1006:$W$1006,0))&gt;=100000), " ",IF(INDEX($R$2:$W$1001,MATCH(ROWS($K$2:K749),$K$2:$K$1001,0),MATCH(COLUMNS($R$1006:V1006),$R$1006:$W$1006,0)), HYPERLINK("#",""), HYPERLINK(CONCATENATE("#Metadata!", ADDRESS(INDEX($M$2:$M$1001,MATCH(ROWS($K$2:K749),$K$2:$K$1001,0),0), INDEX($R$1004:$W$1004,1,MATCH(COLUMNS($R$1006:V1006),$R$1006:$W$1006,0)))),"Fix")))</f>
        <v>0</v>
      </c>
      <c r="G749" s="3">
        <f>IF(OR(INDEX($L$2:$L$1001,MATCH(ROWS($K$2:K749),$K$2:$K$1001,0),1)&gt;=100000,INDEX($R$1005:$W$1005,1,MATCH(COLUMNS($R$1006:W1006),$R$1006:$W$1006,0))&gt;=100000), " ",IF(INDEX($R$2:$W$1001,MATCH(ROWS($K$2:K749),$K$2:$K$1001,0),MATCH(COLUMNS($R$1006:W1006),$R$1006:$W$1006,0)), HYPERLINK("#",""), HYPERLINK(CONCATENATE("#Metadata!", ADDRESS(INDEX($M$2:$M$1001,MATCH(ROWS($K$2:K749),$K$2:$K$1001,0),0), INDEX($R$1004:$W$1004,1,MATCH(COLUMNS($R$1006:W1006),$R$1006:$W$1006,0)))),"Fix")))</f>
        <v>0</v>
      </c>
      <c r="K749">
        <v>0</v>
      </c>
      <c r="L749">
        <v>0</v>
      </c>
      <c r="M749">
        <v>0</v>
      </c>
      <c r="N749">
        <f>IF(O749,TRUE,AND(R749:W749))</f>
        <v>0</v>
      </c>
      <c r="O749">
        <f>COUNTBLANK(Metadata!B749:G749)=COLUMNS(Metadata!B749:G749)</f>
        <v>0</v>
      </c>
      <c r="P749">
        <v>0</v>
      </c>
      <c r="R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S749">
        <f>IF(Metadata!C749="",FALSE,TRUE)</f>
        <v>0</v>
      </c>
      <c r="T749">
        <f>IF(Metadata!D749="",FALSE,TRUE)</f>
        <v>0</v>
      </c>
      <c r="U749">
        <f>IF(Metadata!E749="",FALSE,TRUE)</f>
        <v>0</v>
      </c>
      <c r="V749">
        <f>AND(IF(Metadata!F749="",FALSE,TRUE),exact(Metadata!F749,"rat gut metagenome"))</f>
        <v>0</v>
      </c>
      <c r="W749">
        <f>AND(IF(Metadata!G749="",FALSE,TRUE),exact(Metadata!G749,"1436733"))</f>
        <v>0</v>
      </c>
    </row>
    <row r="750" spans="1:23">
      <c r="A750" s="4">
        <f>IF(B750=" "," ",HYPERLINK(CONCATENATE("#metadata!",ADDRESS(INDEX($M$2:$M$1001,MATCH(ROWS($K$2:K750),$K$2:$K$1001,0),0),1)),INDEX($P$2:$P$1001,MATCH(ROWS($K$2:K750),$K$2:$K$1001,0),0)))</f>
        <v>0</v>
      </c>
      <c r="B750" s="3">
        <f>IF(OR(INDEX($L$2:$L$1001,MATCH(ROWS($K$2:K750),$K$2:$K$1001,0),1)&gt;=100000,INDEX($R$1005:$W$1005,1,MATCH(COLUMNS($R$1006:R1006),$R$1006:$W$1006,0))&gt;=100000), " ",IF(INDEX($R$2:$W$1001,MATCH(ROWS($K$2:K750),$K$2:$K$1001,0),MATCH(COLUMNS($R$1006:R1006),$R$1006:$W$1006,0)), HYPERLINK("#",""), HYPERLINK(CONCATENATE("#Metadata!", ADDRESS(INDEX($M$2:$M$1001,MATCH(ROWS($K$2:K750),$K$2:$K$1001,0),0), INDEX($R$1004:$W$1004,1,MATCH(COLUMNS($R$1006:R1006),$R$1006:$W$1006,0)))),"Fix")))</f>
        <v>0</v>
      </c>
      <c r="C750" s="3">
        <f>IF(OR(INDEX($L$2:$L$1001,MATCH(ROWS($K$2:K750),$K$2:$K$1001,0),1)&gt;=100000,INDEX($R$1005:$W$1005,1,MATCH(COLUMNS($R$1006:S1006),$R$1006:$W$1006,0))&gt;=100000), " ",IF(INDEX($R$2:$W$1001,MATCH(ROWS($K$2:K750),$K$2:$K$1001,0),MATCH(COLUMNS($R$1006:S1006),$R$1006:$W$1006,0)), HYPERLINK("#",""), HYPERLINK(CONCATENATE("#Metadata!", ADDRESS(INDEX($M$2:$M$1001,MATCH(ROWS($K$2:K750),$K$2:$K$1001,0),0), INDEX($R$1004:$W$1004,1,MATCH(COLUMNS($R$1006:S1006),$R$1006:$W$1006,0)))),"Fix")))</f>
        <v>0</v>
      </c>
      <c r="D750" s="3">
        <f>IF(OR(INDEX($L$2:$L$1001,MATCH(ROWS($K$2:K750),$K$2:$K$1001,0),1)&gt;=100000,INDEX($R$1005:$W$1005,1,MATCH(COLUMNS($R$1006:T1006),$R$1006:$W$1006,0))&gt;=100000), " ",IF(INDEX($R$2:$W$1001,MATCH(ROWS($K$2:K750),$K$2:$K$1001,0),MATCH(COLUMNS($R$1006:T1006),$R$1006:$W$1006,0)), HYPERLINK("#",""), HYPERLINK(CONCATENATE("#Metadata!", ADDRESS(INDEX($M$2:$M$1001,MATCH(ROWS($K$2:K750),$K$2:$K$1001,0),0), INDEX($R$1004:$W$1004,1,MATCH(COLUMNS($R$1006:T1006),$R$1006:$W$1006,0)))),"Fix")))</f>
        <v>0</v>
      </c>
      <c r="E750" s="3">
        <f>IF(OR(INDEX($L$2:$L$1001,MATCH(ROWS($K$2:K750),$K$2:$K$1001,0),1)&gt;=100000,INDEX($R$1005:$W$1005,1,MATCH(COLUMNS($R$1006:U1006),$R$1006:$W$1006,0))&gt;=100000), " ",IF(INDEX($R$2:$W$1001,MATCH(ROWS($K$2:K750),$K$2:$K$1001,0),MATCH(COLUMNS($R$1006:U1006),$R$1006:$W$1006,0)), HYPERLINK("#",""), HYPERLINK(CONCATENATE("#Metadata!", ADDRESS(INDEX($M$2:$M$1001,MATCH(ROWS($K$2:K750),$K$2:$K$1001,0),0), INDEX($R$1004:$W$1004,1,MATCH(COLUMNS($R$1006:U1006),$R$1006:$W$1006,0)))),"Fix")))</f>
        <v>0</v>
      </c>
      <c r="F750" s="3">
        <f>IF(OR(INDEX($L$2:$L$1001,MATCH(ROWS($K$2:K750),$K$2:$K$1001,0),1)&gt;=100000,INDEX($R$1005:$W$1005,1,MATCH(COLUMNS($R$1006:V1006),$R$1006:$W$1006,0))&gt;=100000), " ",IF(INDEX($R$2:$W$1001,MATCH(ROWS($K$2:K750),$K$2:$K$1001,0),MATCH(COLUMNS($R$1006:V1006),$R$1006:$W$1006,0)), HYPERLINK("#",""), HYPERLINK(CONCATENATE("#Metadata!", ADDRESS(INDEX($M$2:$M$1001,MATCH(ROWS($K$2:K750),$K$2:$K$1001,0),0), INDEX($R$1004:$W$1004,1,MATCH(COLUMNS($R$1006:V1006),$R$1006:$W$1006,0)))),"Fix")))</f>
        <v>0</v>
      </c>
      <c r="G750" s="3">
        <f>IF(OR(INDEX($L$2:$L$1001,MATCH(ROWS($K$2:K750),$K$2:$K$1001,0),1)&gt;=100000,INDEX($R$1005:$W$1005,1,MATCH(COLUMNS($R$1006:W1006),$R$1006:$W$1006,0))&gt;=100000), " ",IF(INDEX($R$2:$W$1001,MATCH(ROWS($K$2:K750),$K$2:$K$1001,0),MATCH(COLUMNS($R$1006:W1006),$R$1006:$W$1006,0)), HYPERLINK("#",""), HYPERLINK(CONCATENATE("#Metadata!", ADDRESS(INDEX($M$2:$M$1001,MATCH(ROWS($K$2:K750),$K$2:$K$1001,0),0), INDEX($R$1004:$W$1004,1,MATCH(COLUMNS($R$1006:W1006),$R$1006:$W$1006,0)))),"Fix")))</f>
        <v>0</v>
      </c>
      <c r="K750">
        <v>0</v>
      </c>
      <c r="L750">
        <v>0</v>
      </c>
      <c r="M750">
        <v>0</v>
      </c>
      <c r="N750">
        <f>IF(O750,TRUE,AND(R750:W750))</f>
        <v>0</v>
      </c>
      <c r="O750">
        <f>COUNTBLANK(Metadata!B750:G750)=COLUMNS(Metadata!B750:G750)</f>
        <v>0</v>
      </c>
      <c r="P750">
        <v>0</v>
      </c>
      <c r="R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S750">
        <f>IF(Metadata!C750="",FALSE,TRUE)</f>
        <v>0</v>
      </c>
      <c r="T750">
        <f>IF(Metadata!D750="",FALSE,TRUE)</f>
        <v>0</v>
      </c>
      <c r="U750">
        <f>IF(Metadata!E750="",FALSE,TRUE)</f>
        <v>0</v>
      </c>
      <c r="V750">
        <f>AND(IF(Metadata!F750="",FALSE,TRUE),exact(Metadata!F750,"rat gut metagenome"))</f>
        <v>0</v>
      </c>
      <c r="W750">
        <f>AND(IF(Metadata!G750="",FALSE,TRUE),exact(Metadata!G750,"1436733"))</f>
        <v>0</v>
      </c>
    </row>
    <row r="751" spans="1:23">
      <c r="A751" s="4">
        <f>IF(B751=" "," ",HYPERLINK(CONCATENATE("#metadata!",ADDRESS(INDEX($M$2:$M$1001,MATCH(ROWS($K$2:K751),$K$2:$K$1001,0),0),1)),INDEX($P$2:$P$1001,MATCH(ROWS($K$2:K751),$K$2:$K$1001,0),0)))</f>
        <v>0</v>
      </c>
      <c r="B751" s="3">
        <f>IF(OR(INDEX($L$2:$L$1001,MATCH(ROWS($K$2:K751),$K$2:$K$1001,0),1)&gt;=100000,INDEX($R$1005:$W$1005,1,MATCH(COLUMNS($R$1006:R1006),$R$1006:$W$1006,0))&gt;=100000), " ",IF(INDEX($R$2:$W$1001,MATCH(ROWS($K$2:K751),$K$2:$K$1001,0),MATCH(COLUMNS($R$1006:R1006),$R$1006:$W$1006,0)), HYPERLINK("#",""), HYPERLINK(CONCATENATE("#Metadata!", ADDRESS(INDEX($M$2:$M$1001,MATCH(ROWS($K$2:K751),$K$2:$K$1001,0),0), INDEX($R$1004:$W$1004,1,MATCH(COLUMNS($R$1006:R1006),$R$1006:$W$1006,0)))),"Fix")))</f>
        <v>0</v>
      </c>
      <c r="C751" s="3">
        <f>IF(OR(INDEX($L$2:$L$1001,MATCH(ROWS($K$2:K751),$K$2:$K$1001,0),1)&gt;=100000,INDEX($R$1005:$W$1005,1,MATCH(COLUMNS($R$1006:S1006),$R$1006:$W$1006,0))&gt;=100000), " ",IF(INDEX($R$2:$W$1001,MATCH(ROWS($K$2:K751),$K$2:$K$1001,0),MATCH(COLUMNS($R$1006:S1006),$R$1006:$W$1006,0)), HYPERLINK("#",""), HYPERLINK(CONCATENATE("#Metadata!", ADDRESS(INDEX($M$2:$M$1001,MATCH(ROWS($K$2:K751),$K$2:$K$1001,0),0), INDEX($R$1004:$W$1004,1,MATCH(COLUMNS($R$1006:S1006),$R$1006:$W$1006,0)))),"Fix")))</f>
        <v>0</v>
      </c>
      <c r="D751" s="3">
        <f>IF(OR(INDEX($L$2:$L$1001,MATCH(ROWS($K$2:K751),$K$2:$K$1001,0),1)&gt;=100000,INDEX($R$1005:$W$1005,1,MATCH(COLUMNS($R$1006:T1006),$R$1006:$W$1006,0))&gt;=100000), " ",IF(INDEX($R$2:$W$1001,MATCH(ROWS($K$2:K751),$K$2:$K$1001,0),MATCH(COLUMNS($R$1006:T1006),$R$1006:$W$1006,0)), HYPERLINK("#",""), HYPERLINK(CONCATENATE("#Metadata!", ADDRESS(INDEX($M$2:$M$1001,MATCH(ROWS($K$2:K751),$K$2:$K$1001,0),0), INDEX($R$1004:$W$1004,1,MATCH(COLUMNS($R$1006:T1006),$R$1006:$W$1006,0)))),"Fix")))</f>
        <v>0</v>
      </c>
      <c r="E751" s="3">
        <f>IF(OR(INDEX($L$2:$L$1001,MATCH(ROWS($K$2:K751),$K$2:$K$1001,0),1)&gt;=100000,INDEX($R$1005:$W$1005,1,MATCH(COLUMNS($R$1006:U1006),$R$1006:$W$1006,0))&gt;=100000), " ",IF(INDEX($R$2:$W$1001,MATCH(ROWS($K$2:K751),$K$2:$K$1001,0),MATCH(COLUMNS($R$1006:U1006),$R$1006:$W$1006,0)), HYPERLINK("#",""), HYPERLINK(CONCATENATE("#Metadata!", ADDRESS(INDEX($M$2:$M$1001,MATCH(ROWS($K$2:K751),$K$2:$K$1001,0),0), INDEX($R$1004:$W$1004,1,MATCH(COLUMNS($R$1006:U1006),$R$1006:$W$1006,0)))),"Fix")))</f>
        <v>0</v>
      </c>
      <c r="F751" s="3">
        <f>IF(OR(INDEX($L$2:$L$1001,MATCH(ROWS($K$2:K751),$K$2:$K$1001,0),1)&gt;=100000,INDEX($R$1005:$W$1005,1,MATCH(COLUMNS($R$1006:V1006),$R$1006:$W$1006,0))&gt;=100000), " ",IF(INDEX($R$2:$W$1001,MATCH(ROWS($K$2:K751),$K$2:$K$1001,0),MATCH(COLUMNS($R$1006:V1006),$R$1006:$W$1006,0)), HYPERLINK("#",""), HYPERLINK(CONCATENATE("#Metadata!", ADDRESS(INDEX($M$2:$M$1001,MATCH(ROWS($K$2:K751),$K$2:$K$1001,0),0), INDEX($R$1004:$W$1004,1,MATCH(COLUMNS($R$1006:V1006),$R$1006:$W$1006,0)))),"Fix")))</f>
        <v>0</v>
      </c>
      <c r="G751" s="3">
        <f>IF(OR(INDEX($L$2:$L$1001,MATCH(ROWS($K$2:K751),$K$2:$K$1001,0),1)&gt;=100000,INDEX($R$1005:$W$1005,1,MATCH(COLUMNS($R$1006:W1006),$R$1006:$W$1006,0))&gt;=100000), " ",IF(INDEX($R$2:$W$1001,MATCH(ROWS($K$2:K751),$K$2:$K$1001,0),MATCH(COLUMNS($R$1006:W1006),$R$1006:$W$1006,0)), HYPERLINK("#",""), HYPERLINK(CONCATENATE("#Metadata!", ADDRESS(INDEX($M$2:$M$1001,MATCH(ROWS($K$2:K751),$K$2:$K$1001,0),0), INDEX($R$1004:$W$1004,1,MATCH(COLUMNS($R$1006:W1006),$R$1006:$W$1006,0)))),"Fix")))</f>
        <v>0</v>
      </c>
      <c r="K751">
        <v>0</v>
      </c>
      <c r="L751">
        <v>0</v>
      </c>
      <c r="M751">
        <v>0</v>
      </c>
      <c r="N751">
        <f>IF(O751,TRUE,AND(R751:W751))</f>
        <v>0</v>
      </c>
      <c r="O751">
        <f>COUNTBLANK(Metadata!B751:G751)=COLUMNS(Metadata!B751:G751)</f>
        <v>0</v>
      </c>
      <c r="P751">
        <v>0</v>
      </c>
      <c r="R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S751">
        <f>IF(Metadata!C751="",FALSE,TRUE)</f>
        <v>0</v>
      </c>
      <c r="T751">
        <f>IF(Metadata!D751="",FALSE,TRUE)</f>
        <v>0</v>
      </c>
      <c r="U751">
        <f>IF(Metadata!E751="",FALSE,TRUE)</f>
        <v>0</v>
      </c>
      <c r="V751">
        <f>AND(IF(Metadata!F751="",FALSE,TRUE),exact(Metadata!F751,"rat gut metagenome"))</f>
        <v>0</v>
      </c>
      <c r="W751">
        <f>AND(IF(Metadata!G751="",FALSE,TRUE),exact(Metadata!G751,"1436733"))</f>
        <v>0</v>
      </c>
    </row>
    <row r="752" spans="1:23">
      <c r="A752" s="4">
        <f>IF(B752=" "," ",HYPERLINK(CONCATENATE("#metadata!",ADDRESS(INDEX($M$2:$M$1001,MATCH(ROWS($K$2:K752),$K$2:$K$1001,0),0),1)),INDEX($P$2:$P$1001,MATCH(ROWS($K$2:K752),$K$2:$K$1001,0),0)))</f>
        <v>0</v>
      </c>
      <c r="B752" s="3">
        <f>IF(OR(INDEX($L$2:$L$1001,MATCH(ROWS($K$2:K752),$K$2:$K$1001,0),1)&gt;=100000,INDEX($R$1005:$W$1005,1,MATCH(COLUMNS($R$1006:R1006),$R$1006:$W$1006,0))&gt;=100000), " ",IF(INDEX($R$2:$W$1001,MATCH(ROWS($K$2:K752),$K$2:$K$1001,0),MATCH(COLUMNS($R$1006:R1006),$R$1006:$W$1006,0)), HYPERLINK("#",""), HYPERLINK(CONCATENATE("#Metadata!", ADDRESS(INDEX($M$2:$M$1001,MATCH(ROWS($K$2:K752),$K$2:$K$1001,0),0), INDEX($R$1004:$W$1004,1,MATCH(COLUMNS($R$1006:R1006),$R$1006:$W$1006,0)))),"Fix")))</f>
        <v>0</v>
      </c>
      <c r="C752" s="3">
        <f>IF(OR(INDEX($L$2:$L$1001,MATCH(ROWS($K$2:K752),$K$2:$K$1001,0),1)&gt;=100000,INDEX($R$1005:$W$1005,1,MATCH(COLUMNS($R$1006:S1006),$R$1006:$W$1006,0))&gt;=100000), " ",IF(INDEX($R$2:$W$1001,MATCH(ROWS($K$2:K752),$K$2:$K$1001,0),MATCH(COLUMNS($R$1006:S1006),$R$1006:$W$1006,0)), HYPERLINK("#",""), HYPERLINK(CONCATENATE("#Metadata!", ADDRESS(INDEX($M$2:$M$1001,MATCH(ROWS($K$2:K752),$K$2:$K$1001,0),0), INDEX($R$1004:$W$1004,1,MATCH(COLUMNS($R$1006:S1006),$R$1006:$W$1006,0)))),"Fix")))</f>
        <v>0</v>
      </c>
      <c r="D752" s="3">
        <f>IF(OR(INDEX($L$2:$L$1001,MATCH(ROWS($K$2:K752),$K$2:$K$1001,0),1)&gt;=100000,INDEX($R$1005:$W$1005,1,MATCH(COLUMNS($R$1006:T1006),$R$1006:$W$1006,0))&gt;=100000), " ",IF(INDEX($R$2:$W$1001,MATCH(ROWS($K$2:K752),$K$2:$K$1001,0),MATCH(COLUMNS($R$1006:T1006),$R$1006:$W$1006,0)), HYPERLINK("#",""), HYPERLINK(CONCATENATE("#Metadata!", ADDRESS(INDEX($M$2:$M$1001,MATCH(ROWS($K$2:K752),$K$2:$K$1001,0),0), INDEX($R$1004:$W$1004,1,MATCH(COLUMNS($R$1006:T1006),$R$1006:$W$1006,0)))),"Fix")))</f>
        <v>0</v>
      </c>
      <c r="E752" s="3">
        <f>IF(OR(INDEX($L$2:$L$1001,MATCH(ROWS($K$2:K752),$K$2:$K$1001,0),1)&gt;=100000,INDEX($R$1005:$W$1005,1,MATCH(COLUMNS($R$1006:U1006),$R$1006:$W$1006,0))&gt;=100000), " ",IF(INDEX($R$2:$W$1001,MATCH(ROWS($K$2:K752),$K$2:$K$1001,0),MATCH(COLUMNS($R$1006:U1006),$R$1006:$W$1006,0)), HYPERLINK("#",""), HYPERLINK(CONCATENATE("#Metadata!", ADDRESS(INDEX($M$2:$M$1001,MATCH(ROWS($K$2:K752),$K$2:$K$1001,0),0), INDEX($R$1004:$W$1004,1,MATCH(COLUMNS($R$1006:U1006),$R$1006:$W$1006,0)))),"Fix")))</f>
        <v>0</v>
      </c>
      <c r="F752" s="3">
        <f>IF(OR(INDEX($L$2:$L$1001,MATCH(ROWS($K$2:K752),$K$2:$K$1001,0),1)&gt;=100000,INDEX($R$1005:$W$1005,1,MATCH(COLUMNS($R$1006:V1006),$R$1006:$W$1006,0))&gt;=100000), " ",IF(INDEX($R$2:$W$1001,MATCH(ROWS($K$2:K752),$K$2:$K$1001,0),MATCH(COLUMNS($R$1006:V1006),$R$1006:$W$1006,0)), HYPERLINK("#",""), HYPERLINK(CONCATENATE("#Metadata!", ADDRESS(INDEX($M$2:$M$1001,MATCH(ROWS($K$2:K752),$K$2:$K$1001,0),0), INDEX($R$1004:$W$1004,1,MATCH(COLUMNS($R$1006:V1006),$R$1006:$W$1006,0)))),"Fix")))</f>
        <v>0</v>
      </c>
      <c r="G752" s="3">
        <f>IF(OR(INDEX($L$2:$L$1001,MATCH(ROWS($K$2:K752),$K$2:$K$1001,0),1)&gt;=100000,INDEX($R$1005:$W$1005,1,MATCH(COLUMNS($R$1006:W1006),$R$1006:$W$1006,0))&gt;=100000), " ",IF(INDEX($R$2:$W$1001,MATCH(ROWS($K$2:K752),$K$2:$K$1001,0),MATCH(COLUMNS($R$1006:W1006),$R$1006:$W$1006,0)), HYPERLINK("#",""), HYPERLINK(CONCATENATE("#Metadata!", ADDRESS(INDEX($M$2:$M$1001,MATCH(ROWS($K$2:K752),$K$2:$K$1001,0),0), INDEX($R$1004:$W$1004,1,MATCH(COLUMNS($R$1006:W1006),$R$1006:$W$1006,0)))),"Fix")))</f>
        <v>0</v>
      </c>
      <c r="K752">
        <v>0</v>
      </c>
      <c r="L752">
        <v>0</v>
      </c>
      <c r="M752">
        <v>0</v>
      </c>
      <c r="N752">
        <f>IF(O752,TRUE,AND(R752:W752))</f>
        <v>0</v>
      </c>
      <c r="O752">
        <f>COUNTBLANK(Metadata!B752:G752)=COLUMNS(Metadata!B752:G752)</f>
        <v>0</v>
      </c>
      <c r="P752">
        <v>0</v>
      </c>
      <c r="R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S752">
        <f>IF(Metadata!C752="",FALSE,TRUE)</f>
        <v>0</v>
      </c>
      <c r="T752">
        <f>IF(Metadata!D752="",FALSE,TRUE)</f>
        <v>0</v>
      </c>
      <c r="U752">
        <f>IF(Metadata!E752="",FALSE,TRUE)</f>
        <v>0</v>
      </c>
      <c r="V752">
        <f>AND(IF(Metadata!F752="",FALSE,TRUE),exact(Metadata!F752,"rat gut metagenome"))</f>
        <v>0</v>
      </c>
      <c r="W752">
        <f>AND(IF(Metadata!G752="",FALSE,TRUE),exact(Metadata!G752,"1436733"))</f>
        <v>0</v>
      </c>
    </row>
    <row r="753" spans="1:23">
      <c r="A753" s="4">
        <f>IF(B753=" "," ",HYPERLINK(CONCATENATE("#metadata!",ADDRESS(INDEX($M$2:$M$1001,MATCH(ROWS($K$2:K753),$K$2:$K$1001,0),0),1)),INDEX($P$2:$P$1001,MATCH(ROWS($K$2:K753),$K$2:$K$1001,0),0)))</f>
        <v>0</v>
      </c>
      <c r="B753" s="3">
        <f>IF(OR(INDEX($L$2:$L$1001,MATCH(ROWS($K$2:K753),$K$2:$K$1001,0),1)&gt;=100000,INDEX($R$1005:$W$1005,1,MATCH(COLUMNS($R$1006:R1006),$R$1006:$W$1006,0))&gt;=100000), " ",IF(INDEX($R$2:$W$1001,MATCH(ROWS($K$2:K753),$K$2:$K$1001,0),MATCH(COLUMNS($R$1006:R1006),$R$1006:$W$1006,0)), HYPERLINK("#",""), HYPERLINK(CONCATENATE("#Metadata!", ADDRESS(INDEX($M$2:$M$1001,MATCH(ROWS($K$2:K753),$K$2:$K$1001,0),0), INDEX($R$1004:$W$1004,1,MATCH(COLUMNS($R$1006:R1006),$R$1006:$W$1006,0)))),"Fix")))</f>
        <v>0</v>
      </c>
      <c r="C753" s="3">
        <f>IF(OR(INDEX($L$2:$L$1001,MATCH(ROWS($K$2:K753),$K$2:$K$1001,0),1)&gt;=100000,INDEX($R$1005:$W$1005,1,MATCH(COLUMNS($R$1006:S1006),$R$1006:$W$1006,0))&gt;=100000), " ",IF(INDEX($R$2:$W$1001,MATCH(ROWS($K$2:K753),$K$2:$K$1001,0),MATCH(COLUMNS($R$1006:S1006),$R$1006:$W$1006,0)), HYPERLINK("#",""), HYPERLINK(CONCATENATE("#Metadata!", ADDRESS(INDEX($M$2:$M$1001,MATCH(ROWS($K$2:K753),$K$2:$K$1001,0),0), INDEX($R$1004:$W$1004,1,MATCH(COLUMNS($R$1006:S1006),$R$1006:$W$1006,0)))),"Fix")))</f>
        <v>0</v>
      </c>
      <c r="D753" s="3">
        <f>IF(OR(INDEX($L$2:$L$1001,MATCH(ROWS($K$2:K753),$K$2:$K$1001,0),1)&gt;=100000,INDEX($R$1005:$W$1005,1,MATCH(COLUMNS($R$1006:T1006),$R$1006:$W$1006,0))&gt;=100000), " ",IF(INDEX($R$2:$W$1001,MATCH(ROWS($K$2:K753),$K$2:$K$1001,0),MATCH(COLUMNS($R$1006:T1006),$R$1006:$W$1006,0)), HYPERLINK("#",""), HYPERLINK(CONCATENATE("#Metadata!", ADDRESS(INDEX($M$2:$M$1001,MATCH(ROWS($K$2:K753),$K$2:$K$1001,0),0), INDEX($R$1004:$W$1004,1,MATCH(COLUMNS($R$1006:T1006),$R$1006:$W$1006,0)))),"Fix")))</f>
        <v>0</v>
      </c>
      <c r="E753" s="3">
        <f>IF(OR(INDEX($L$2:$L$1001,MATCH(ROWS($K$2:K753),$K$2:$K$1001,0),1)&gt;=100000,INDEX($R$1005:$W$1005,1,MATCH(COLUMNS($R$1006:U1006),$R$1006:$W$1006,0))&gt;=100000), " ",IF(INDEX($R$2:$W$1001,MATCH(ROWS($K$2:K753),$K$2:$K$1001,0),MATCH(COLUMNS($R$1006:U1006),$R$1006:$W$1006,0)), HYPERLINK("#",""), HYPERLINK(CONCATENATE("#Metadata!", ADDRESS(INDEX($M$2:$M$1001,MATCH(ROWS($K$2:K753),$K$2:$K$1001,0),0), INDEX($R$1004:$W$1004,1,MATCH(COLUMNS($R$1006:U1006),$R$1006:$W$1006,0)))),"Fix")))</f>
        <v>0</v>
      </c>
      <c r="F753" s="3">
        <f>IF(OR(INDEX($L$2:$L$1001,MATCH(ROWS($K$2:K753),$K$2:$K$1001,0),1)&gt;=100000,INDEX($R$1005:$W$1005,1,MATCH(COLUMNS($R$1006:V1006),$R$1006:$W$1006,0))&gt;=100000), " ",IF(INDEX($R$2:$W$1001,MATCH(ROWS($K$2:K753),$K$2:$K$1001,0),MATCH(COLUMNS($R$1006:V1006),$R$1006:$W$1006,0)), HYPERLINK("#",""), HYPERLINK(CONCATENATE("#Metadata!", ADDRESS(INDEX($M$2:$M$1001,MATCH(ROWS($K$2:K753),$K$2:$K$1001,0),0), INDEX($R$1004:$W$1004,1,MATCH(COLUMNS($R$1006:V1006),$R$1006:$W$1006,0)))),"Fix")))</f>
        <v>0</v>
      </c>
      <c r="G753" s="3">
        <f>IF(OR(INDEX($L$2:$L$1001,MATCH(ROWS($K$2:K753),$K$2:$K$1001,0),1)&gt;=100000,INDEX($R$1005:$W$1005,1,MATCH(COLUMNS($R$1006:W1006),$R$1006:$W$1006,0))&gt;=100000), " ",IF(INDEX($R$2:$W$1001,MATCH(ROWS($K$2:K753),$K$2:$K$1001,0),MATCH(COLUMNS($R$1006:W1006),$R$1006:$W$1006,0)), HYPERLINK("#",""), HYPERLINK(CONCATENATE("#Metadata!", ADDRESS(INDEX($M$2:$M$1001,MATCH(ROWS($K$2:K753),$K$2:$K$1001,0),0), INDEX($R$1004:$W$1004,1,MATCH(COLUMNS($R$1006:W1006),$R$1006:$W$1006,0)))),"Fix")))</f>
        <v>0</v>
      </c>
      <c r="K753">
        <v>0</v>
      </c>
      <c r="L753">
        <v>0</v>
      </c>
      <c r="M753">
        <v>0</v>
      </c>
      <c r="N753">
        <f>IF(O753,TRUE,AND(R753:W753))</f>
        <v>0</v>
      </c>
      <c r="O753">
        <f>COUNTBLANK(Metadata!B753:G753)=COLUMNS(Metadata!B753:G753)</f>
        <v>0</v>
      </c>
      <c r="P753">
        <v>0</v>
      </c>
      <c r="R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S753">
        <f>IF(Metadata!C753="",FALSE,TRUE)</f>
        <v>0</v>
      </c>
      <c r="T753">
        <f>IF(Metadata!D753="",FALSE,TRUE)</f>
        <v>0</v>
      </c>
      <c r="U753">
        <f>IF(Metadata!E753="",FALSE,TRUE)</f>
        <v>0</v>
      </c>
      <c r="V753">
        <f>AND(IF(Metadata!F753="",FALSE,TRUE),exact(Metadata!F753,"rat gut metagenome"))</f>
        <v>0</v>
      </c>
      <c r="W753">
        <f>AND(IF(Metadata!G753="",FALSE,TRUE),exact(Metadata!G753,"1436733"))</f>
        <v>0</v>
      </c>
    </row>
    <row r="754" spans="1:23">
      <c r="A754" s="4">
        <f>IF(B754=" "," ",HYPERLINK(CONCATENATE("#metadata!",ADDRESS(INDEX($M$2:$M$1001,MATCH(ROWS($K$2:K754),$K$2:$K$1001,0),0),1)),INDEX($P$2:$P$1001,MATCH(ROWS($K$2:K754),$K$2:$K$1001,0),0)))</f>
        <v>0</v>
      </c>
      <c r="B754" s="3">
        <f>IF(OR(INDEX($L$2:$L$1001,MATCH(ROWS($K$2:K754),$K$2:$K$1001,0),1)&gt;=100000,INDEX($R$1005:$W$1005,1,MATCH(COLUMNS($R$1006:R1006),$R$1006:$W$1006,0))&gt;=100000), " ",IF(INDEX($R$2:$W$1001,MATCH(ROWS($K$2:K754),$K$2:$K$1001,0),MATCH(COLUMNS($R$1006:R1006),$R$1006:$W$1006,0)), HYPERLINK("#",""), HYPERLINK(CONCATENATE("#Metadata!", ADDRESS(INDEX($M$2:$M$1001,MATCH(ROWS($K$2:K754),$K$2:$K$1001,0),0), INDEX($R$1004:$W$1004,1,MATCH(COLUMNS($R$1006:R1006),$R$1006:$W$1006,0)))),"Fix")))</f>
        <v>0</v>
      </c>
      <c r="C754" s="3">
        <f>IF(OR(INDEX($L$2:$L$1001,MATCH(ROWS($K$2:K754),$K$2:$K$1001,0),1)&gt;=100000,INDEX($R$1005:$W$1005,1,MATCH(COLUMNS($R$1006:S1006),$R$1006:$W$1006,0))&gt;=100000), " ",IF(INDEX($R$2:$W$1001,MATCH(ROWS($K$2:K754),$K$2:$K$1001,0),MATCH(COLUMNS($R$1006:S1006),$R$1006:$W$1006,0)), HYPERLINK("#",""), HYPERLINK(CONCATENATE("#Metadata!", ADDRESS(INDEX($M$2:$M$1001,MATCH(ROWS($K$2:K754),$K$2:$K$1001,0),0), INDEX($R$1004:$W$1004,1,MATCH(COLUMNS($R$1006:S1006),$R$1006:$W$1006,0)))),"Fix")))</f>
        <v>0</v>
      </c>
      <c r="D754" s="3">
        <f>IF(OR(INDEX($L$2:$L$1001,MATCH(ROWS($K$2:K754),$K$2:$K$1001,0),1)&gt;=100000,INDEX($R$1005:$W$1005,1,MATCH(COLUMNS($R$1006:T1006),$R$1006:$W$1006,0))&gt;=100000), " ",IF(INDEX($R$2:$W$1001,MATCH(ROWS($K$2:K754),$K$2:$K$1001,0),MATCH(COLUMNS($R$1006:T1006),$R$1006:$W$1006,0)), HYPERLINK("#",""), HYPERLINK(CONCATENATE("#Metadata!", ADDRESS(INDEX($M$2:$M$1001,MATCH(ROWS($K$2:K754),$K$2:$K$1001,0),0), INDEX($R$1004:$W$1004,1,MATCH(COLUMNS($R$1006:T1006),$R$1006:$W$1006,0)))),"Fix")))</f>
        <v>0</v>
      </c>
      <c r="E754" s="3">
        <f>IF(OR(INDEX($L$2:$L$1001,MATCH(ROWS($K$2:K754),$K$2:$K$1001,0),1)&gt;=100000,INDEX($R$1005:$W$1005,1,MATCH(COLUMNS($R$1006:U1006),$R$1006:$W$1006,0))&gt;=100000), " ",IF(INDEX($R$2:$W$1001,MATCH(ROWS($K$2:K754),$K$2:$K$1001,0),MATCH(COLUMNS($R$1006:U1006),$R$1006:$W$1006,0)), HYPERLINK("#",""), HYPERLINK(CONCATENATE("#Metadata!", ADDRESS(INDEX($M$2:$M$1001,MATCH(ROWS($K$2:K754),$K$2:$K$1001,0),0), INDEX($R$1004:$W$1004,1,MATCH(COLUMNS($R$1006:U1006),$R$1006:$W$1006,0)))),"Fix")))</f>
        <v>0</v>
      </c>
      <c r="F754" s="3">
        <f>IF(OR(INDEX($L$2:$L$1001,MATCH(ROWS($K$2:K754),$K$2:$K$1001,0),1)&gt;=100000,INDEX($R$1005:$W$1005,1,MATCH(COLUMNS($R$1006:V1006),$R$1006:$W$1006,0))&gt;=100000), " ",IF(INDEX($R$2:$W$1001,MATCH(ROWS($K$2:K754),$K$2:$K$1001,0),MATCH(COLUMNS($R$1006:V1006),$R$1006:$W$1006,0)), HYPERLINK("#",""), HYPERLINK(CONCATENATE("#Metadata!", ADDRESS(INDEX($M$2:$M$1001,MATCH(ROWS($K$2:K754),$K$2:$K$1001,0),0), INDEX($R$1004:$W$1004,1,MATCH(COLUMNS($R$1006:V1006),$R$1006:$W$1006,0)))),"Fix")))</f>
        <v>0</v>
      </c>
      <c r="G754" s="3">
        <f>IF(OR(INDEX($L$2:$L$1001,MATCH(ROWS($K$2:K754),$K$2:$K$1001,0),1)&gt;=100000,INDEX($R$1005:$W$1005,1,MATCH(COLUMNS($R$1006:W1006),$R$1006:$W$1006,0))&gt;=100000), " ",IF(INDEX($R$2:$W$1001,MATCH(ROWS($K$2:K754),$K$2:$K$1001,0),MATCH(COLUMNS($R$1006:W1006),$R$1006:$W$1006,0)), HYPERLINK("#",""), HYPERLINK(CONCATENATE("#Metadata!", ADDRESS(INDEX($M$2:$M$1001,MATCH(ROWS($K$2:K754),$K$2:$K$1001,0),0), INDEX($R$1004:$W$1004,1,MATCH(COLUMNS($R$1006:W1006),$R$1006:$W$1006,0)))),"Fix")))</f>
        <v>0</v>
      </c>
      <c r="K754">
        <v>0</v>
      </c>
      <c r="L754">
        <v>0</v>
      </c>
      <c r="M754">
        <v>0</v>
      </c>
      <c r="N754">
        <f>IF(O754,TRUE,AND(R754:W754))</f>
        <v>0</v>
      </c>
      <c r="O754">
        <f>COUNTBLANK(Metadata!B754:G754)=COLUMNS(Metadata!B754:G754)</f>
        <v>0</v>
      </c>
      <c r="P754">
        <v>0</v>
      </c>
      <c r="R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S754">
        <f>IF(Metadata!C754="",FALSE,TRUE)</f>
        <v>0</v>
      </c>
      <c r="T754">
        <f>IF(Metadata!D754="",FALSE,TRUE)</f>
        <v>0</v>
      </c>
      <c r="U754">
        <f>IF(Metadata!E754="",FALSE,TRUE)</f>
        <v>0</v>
      </c>
      <c r="V754">
        <f>AND(IF(Metadata!F754="",FALSE,TRUE),exact(Metadata!F754,"rat gut metagenome"))</f>
        <v>0</v>
      </c>
      <c r="W754">
        <f>AND(IF(Metadata!G754="",FALSE,TRUE),exact(Metadata!G754,"1436733"))</f>
        <v>0</v>
      </c>
    </row>
    <row r="755" spans="1:23">
      <c r="A755" s="4">
        <f>IF(B755=" "," ",HYPERLINK(CONCATENATE("#metadata!",ADDRESS(INDEX($M$2:$M$1001,MATCH(ROWS($K$2:K755),$K$2:$K$1001,0),0),1)),INDEX($P$2:$P$1001,MATCH(ROWS($K$2:K755),$K$2:$K$1001,0),0)))</f>
        <v>0</v>
      </c>
      <c r="B755" s="3">
        <f>IF(OR(INDEX($L$2:$L$1001,MATCH(ROWS($K$2:K755),$K$2:$K$1001,0),1)&gt;=100000,INDEX($R$1005:$W$1005,1,MATCH(COLUMNS($R$1006:R1006),$R$1006:$W$1006,0))&gt;=100000), " ",IF(INDEX($R$2:$W$1001,MATCH(ROWS($K$2:K755),$K$2:$K$1001,0),MATCH(COLUMNS($R$1006:R1006),$R$1006:$W$1006,0)), HYPERLINK("#",""), HYPERLINK(CONCATENATE("#Metadata!", ADDRESS(INDEX($M$2:$M$1001,MATCH(ROWS($K$2:K755),$K$2:$K$1001,0),0), INDEX($R$1004:$W$1004,1,MATCH(COLUMNS($R$1006:R1006),$R$1006:$W$1006,0)))),"Fix")))</f>
        <v>0</v>
      </c>
      <c r="C755" s="3">
        <f>IF(OR(INDEX($L$2:$L$1001,MATCH(ROWS($K$2:K755),$K$2:$K$1001,0),1)&gt;=100000,INDEX($R$1005:$W$1005,1,MATCH(COLUMNS($R$1006:S1006),$R$1006:$W$1006,0))&gt;=100000), " ",IF(INDEX($R$2:$W$1001,MATCH(ROWS($K$2:K755),$K$2:$K$1001,0),MATCH(COLUMNS($R$1006:S1006),$R$1006:$W$1006,0)), HYPERLINK("#",""), HYPERLINK(CONCATENATE("#Metadata!", ADDRESS(INDEX($M$2:$M$1001,MATCH(ROWS($K$2:K755),$K$2:$K$1001,0),0), INDEX($R$1004:$W$1004,1,MATCH(COLUMNS($R$1006:S1006),$R$1006:$W$1006,0)))),"Fix")))</f>
        <v>0</v>
      </c>
      <c r="D755" s="3">
        <f>IF(OR(INDEX($L$2:$L$1001,MATCH(ROWS($K$2:K755),$K$2:$K$1001,0),1)&gt;=100000,INDEX($R$1005:$W$1005,1,MATCH(COLUMNS($R$1006:T1006),$R$1006:$W$1006,0))&gt;=100000), " ",IF(INDEX($R$2:$W$1001,MATCH(ROWS($K$2:K755),$K$2:$K$1001,0),MATCH(COLUMNS($R$1006:T1006),$R$1006:$W$1006,0)), HYPERLINK("#",""), HYPERLINK(CONCATENATE("#Metadata!", ADDRESS(INDEX($M$2:$M$1001,MATCH(ROWS($K$2:K755),$K$2:$K$1001,0),0), INDEX($R$1004:$W$1004,1,MATCH(COLUMNS($R$1006:T1006),$R$1006:$W$1006,0)))),"Fix")))</f>
        <v>0</v>
      </c>
      <c r="E755" s="3">
        <f>IF(OR(INDEX($L$2:$L$1001,MATCH(ROWS($K$2:K755),$K$2:$K$1001,0),1)&gt;=100000,INDEX($R$1005:$W$1005,1,MATCH(COLUMNS($R$1006:U1006),$R$1006:$W$1006,0))&gt;=100000), " ",IF(INDEX($R$2:$W$1001,MATCH(ROWS($K$2:K755),$K$2:$K$1001,0),MATCH(COLUMNS($R$1006:U1006),$R$1006:$W$1006,0)), HYPERLINK("#",""), HYPERLINK(CONCATENATE("#Metadata!", ADDRESS(INDEX($M$2:$M$1001,MATCH(ROWS($K$2:K755),$K$2:$K$1001,0),0), INDEX($R$1004:$W$1004,1,MATCH(COLUMNS($R$1006:U1006),$R$1006:$W$1006,0)))),"Fix")))</f>
        <v>0</v>
      </c>
      <c r="F755" s="3">
        <f>IF(OR(INDEX($L$2:$L$1001,MATCH(ROWS($K$2:K755),$K$2:$K$1001,0),1)&gt;=100000,INDEX($R$1005:$W$1005,1,MATCH(COLUMNS($R$1006:V1006),$R$1006:$W$1006,0))&gt;=100000), " ",IF(INDEX($R$2:$W$1001,MATCH(ROWS($K$2:K755),$K$2:$K$1001,0),MATCH(COLUMNS($R$1006:V1006),$R$1006:$W$1006,0)), HYPERLINK("#",""), HYPERLINK(CONCATENATE("#Metadata!", ADDRESS(INDEX($M$2:$M$1001,MATCH(ROWS($K$2:K755),$K$2:$K$1001,0),0), INDEX($R$1004:$W$1004,1,MATCH(COLUMNS($R$1006:V1006),$R$1006:$W$1006,0)))),"Fix")))</f>
        <v>0</v>
      </c>
      <c r="G755" s="3">
        <f>IF(OR(INDEX($L$2:$L$1001,MATCH(ROWS($K$2:K755),$K$2:$K$1001,0),1)&gt;=100000,INDEX($R$1005:$W$1005,1,MATCH(COLUMNS($R$1006:W1006),$R$1006:$W$1006,0))&gt;=100000), " ",IF(INDEX($R$2:$W$1001,MATCH(ROWS($K$2:K755),$K$2:$K$1001,0),MATCH(COLUMNS($R$1006:W1006),$R$1006:$W$1006,0)), HYPERLINK("#",""), HYPERLINK(CONCATENATE("#Metadata!", ADDRESS(INDEX($M$2:$M$1001,MATCH(ROWS($K$2:K755),$K$2:$K$1001,0),0), INDEX($R$1004:$W$1004,1,MATCH(COLUMNS($R$1006:W1006),$R$1006:$W$1006,0)))),"Fix")))</f>
        <v>0</v>
      </c>
      <c r="K755">
        <v>0</v>
      </c>
      <c r="L755">
        <v>0</v>
      </c>
      <c r="M755">
        <v>0</v>
      </c>
      <c r="N755">
        <f>IF(O755,TRUE,AND(R755:W755))</f>
        <v>0</v>
      </c>
      <c r="O755">
        <f>COUNTBLANK(Metadata!B755:G755)=COLUMNS(Metadata!B755:G755)</f>
        <v>0</v>
      </c>
      <c r="P755">
        <v>0</v>
      </c>
      <c r="R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S755">
        <f>IF(Metadata!C755="",FALSE,TRUE)</f>
        <v>0</v>
      </c>
      <c r="T755">
        <f>IF(Metadata!D755="",FALSE,TRUE)</f>
        <v>0</v>
      </c>
      <c r="U755">
        <f>IF(Metadata!E755="",FALSE,TRUE)</f>
        <v>0</v>
      </c>
      <c r="V755">
        <f>AND(IF(Metadata!F755="",FALSE,TRUE),exact(Metadata!F755,"rat gut metagenome"))</f>
        <v>0</v>
      </c>
      <c r="W755">
        <f>AND(IF(Metadata!G755="",FALSE,TRUE),exact(Metadata!G755,"1436733"))</f>
        <v>0</v>
      </c>
    </row>
    <row r="756" spans="1:23">
      <c r="A756" s="4">
        <f>IF(B756=" "," ",HYPERLINK(CONCATENATE("#metadata!",ADDRESS(INDEX($M$2:$M$1001,MATCH(ROWS($K$2:K756),$K$2:$K$1001,0),0),1)),INDEX($P$2:$P$1001,MATCH(ROWS($K$2:K756),$K$2:$K$1001,0),0)))</f>
        <v>0</v>
      </c>
      <c r="B756" s="3">
        <f>IF(OR(INDEX($L$2:$L$1001,MATCH(ROWS($K$2:K756),$K$2:$K$1001,0),1)&gt;=100000,INDEX($R$1005:$W$1005,1,MATCH(COLUMNS($R$1006:R1006),$R$1006:$W$1006,0))&gt;=100000), " ",IF(INDEX($R$2:$W$1001,MATCH(ROWS($K$2:K756),$K$2:$K$1001,0),MATCH(COLUMNS($R$1006:R1006),$R$1006:$W$1006,0)), HYPERLINK("#",""), HYPERLINK(CONCATENATE("#Metadata!", ADDRESS(INDEX($M$2:$M$1001,MATCH(ROWS($K$2:K756),$K$2:$K$1001,0),0), INDEX($R$1004:$W$1004,1,MATCH(COLUMNS($R$1006:R1006),$R$1006:$W$1006,0)))),"Fix")))</f>
        <v>0</v>
      </c>
      <c r="C756" s="3">
        <f>IF(OR(INDEX($L$2:$L$1001,MATCH(ROWS($K$2:K756),$K$2:$K$1001,0),1)&gt;=100000,INDEX($R$1005:$W$1005,1,MATCH(COLUMNS($R$1006:S1006),$R$1006:$W$1006,0))&gt;=100000), " ",IF(INDEX($R$2:$W$1001,MATCH(ROWS($K$2:K756),$K$2:$K$1001,0),MATCH(COLUMNS($R$1006:S1006),$R$1006:$W$1006,0)), HYPERLINK("#",""), HYPERLINK(CONCATENATE("#Metadata!", ADDRESS(INDEX($M$2:$M$1001,MATCH(ROWS($K$2:K756),$K$2:$K$1001,0),0), INDEX($R$1004:$W$1004,1,MATCH(COLUMNS($R$1006:S1006),$R$1006:$W$1006,0)))),"Fix")))</f>
        <v>0</v>
      </c>
      <c r="D756" s="3">
        <f>IF(OR(INDEX($L$2:$L$1001,MATCH(ROWS($K$2:K756),$K$2:$K$1001,0),1)&gt;=100000,INDEX($R$1005:$W$1005,1,MATCH(COLUMNS($R$1006:T1006),$R$1006:$W$1006,0))&gt;=100000), " ",IF(INDEX($R$2:$W$1001,MATCH(ROWS($K$2:K756),$K$2:$K$1001,0),MATCH(COLUMNS($R$1006:T1006),$R$1006:$W$1006,0)), HYPERLINK("#",""), HYPERLINK(CONCATENATE("#Metadata!", ADDRESS(INDEX($M$2:$M$1001,MATCH(ROWS($K$2:K756),$K$2:$K$1001,0),0), INDEX($R$1004:$W$1004,1,MATCH(COLUMNS($R$1006:T1006),$R$1006:$W$1006,0)))),"Fix")))</f>
        <v>0</v>
      </c>
      <c r="E756" s="3">
        <f>IF(OR(INDEX($L$2:$L$1001,MATCH(ROWS($K$2:K756),$K$2:$K$1001,0),1)&gt;=100000,INDEX($R$1005:$W$1005,1,MATCH(COLUMNS($R$1006:U1006),$R$1006:$W$1006,0))&gt;=100000), " ",IF(INDEX($R$2:$W$1001,MATCH(ROWS($K$2:K756),$K$2:$K$1001,0),MATCH(COLUMNS($R$1006:U1006),$R$1006:$W$1006,0)), HYPERLINK("#",""), HYPERLINK(CONCATENATE("#Metadata!", ADDRESS(INDEX($M$2:$M$1001,MATCH(ROWS($K$2:K756),$K$2:$K$1001,0),0), INDEX($R$1004:$W$1004,1,MATCH(COLUMNS($R$1006:U1006),$R$1006:$W$1006,0)))),"Fix")))</f>
        <v>0</v>
      </c>
      <c r="F756" s="3">
        <f>IF(OR(INDEX($L$2:$L$1001,MATCH(ROWS($K$2:K756),$K$2:$K$1001,0),1)&gt;=100000,INDEX($R$1005:$W$1005,1,MATCH(COLUMNS($R$1006:V1006),$R$1006:$W$1006,0))&gt;=100000), " ",IF(INDEX($R$2:$W$1001,MATCH(ROWS($K$2:K756),$K$2:$K$1001,0),MATCH(COLUMNS($R$1006:V1006),$R$1006:$W$1006,0)), HYPERLINK("#",""), HYPERLINK(CONCATENATE("#Metadata!", ADDRESS(INDEX($M$2:$M$1001,MATCH(ROWS($K$2:K756),$K$2:$K$1001,0),0), INDEX($R$1004:$W$1004,1,MATCH(COLUMNS($R$1006:V1006),$R$1006:$W$1006,0)))),"Fix")))</f>
        <v>0</v>
      </c>
      <c r="G756" s="3">
        <f>IF(OR(INDEX($L$2:$L$1001,MATCH(ROWS($K$2:K756),$K$2:$K$1001,0),1)&gt;=100000,INDEX($R$1005:$W$1005,1,MATCH(COLUMNS($R$1006:W1006),$R$1006:$W$1006,0))&gt;=100000), " ",IF(INDEX($R$2:$W$1001,MATCH(ROWS($K$2:K756),$K$2:$K$1001,0),MATCH(COLUMNS($R$1006:W1006),$R$1006:$W$1006,0)), HYPERLINK("#",""), HYPERLINK(CONCATENATE("#Metadata!", ADDRESS(INDEX($M$2:$M$1001,MATCH(ROWS($K$2:K756),$K$2:$K$1001,0),0), INDEX($R$1004:$W$1004,1,MATCH(COLUMNS($R$1006:W1006),$R$1006:$W$1006,0)))),"Fix")))</f>
        <v>0</v>
      </c>
      <c r="K756">
        <v>0</v>
      </c>
      <c r="L756">
        <v>0</v>
      </c>
      <c r="M756">
        <v>0</v>
      </c>
      <c r="N756">
        <f>IF(O756,TRUE,AND(R756:W756))</f>
        <v>0</v>
      </c>
      <c r="O756">
        <f>COUNTBLANK(Metadata!B756:G756)=COLUMNS(Metadata!B756:G756)</f>
        <v>0</v>
      </c>
      <c r="P756">
        <v>0</v>
      </c>
      <c r="R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S756">
        <f>IF(Metadata!C756="",FALSE,TRUE)</f>
        <v>0</v>
      </c>
      <c r="T756">
        <f>IF(Metadata!D756="",FALSE,TRUE)</f>
        <v>0</v>
      </c>
      <c r="U756">
        <f>IF(Metadata!E756="",FALSE,TRUE)</f>
        <v>0</v>
      </c>
      <c r="V756">
        <f>AND(IF(Metadata!F756="",FALSE,TRUE),exact(Metadata!F756,"rat gut metagenome"))</f>
        <v>0</v>
      </c>
      <c r="W756">
        <f>AND(IF(Metadata!G756="",FALSE,TRUE),exact(Metadata!G756,"1436733"))</f>
        <v>0</v>
      </c>
    </row>
    <row r="757" spans="1:23">
      <c r="A757" s="4">
        <f>IF(B757=" "," ",HYPERLINK(CONCATENATE("#metadata!",ADDRESS(INDEX($M$2:$M$1001,MATCH(ROWS($K$2:K757),$K$2:$K$1001,0),0),1)),INDEX($P$2:$P$1001,MATCH(ROWS($K$2:K757),$K$2:$K$1001,0),0)))</f>
        <v>0</v>
      </c>
      <c r="B757" s="3">
        <f>IF(OR(INDEX($L$2:$L$1001,MATCH(ROWS($K$2:K757),$K$2:$K$1001,0),1)&gt;=100000,INDEX($R$1005:$W$1005,1,MATCH(COLUMNS($R$1006:R1006),$R$1006:$W$1006,0))&gt;=100000), " ",IF(INDEX($R$2:$W$1001,MATCH(ROWS($K$2:K757),$K$2:$K$1001,0),MATCH(COLUMNS($R$1006:R1006),$R$1006:$W$1006,0)), HYPERLINK("#",""), HYPERLINK(CONCATENATE("#Metadata!", ADDRESS(INDEX($M$2:$M$1001,MATCH(ROWS($K$2:K757),$K$2:$K$1001,0),0), INDEX($R$1004:$W$1004,1,MATCH(COLUMNS($R$1006:R1006),$R$1006:$W$1006,0)))),"Fix")))</f>
        <v>0</v>
      </c>
      <c r="C757" s="3">
        <f>IF(OR(INDEX($L$2:$L$1001,MATCH(ROWS($K$2:K757),$K$2:$K$1001,0),1)&gt;=100000,INDEX($R$1005:$W$1005,1,MATCH(COLUMNS($R$1006:S1006),$R$1006:$W$1006,0))&gt;=100000), " ",IF(INDEX($R$2:$W$1001,MATCH(ROWS($K$2:K757),$K$2:$K$1001,0),MATCH(COLUMNS($R$1006:S1006),$R$1006:$W$1006,0)), HYPERLINK("#",""), HYPERLINK(CONCATENATE("#Metadata!", ADDRESS(INDEX($M$2:$M$1001,MATCH(ROWS($K$2:K757),$K$2:$K$1001,0),0), INDEX($R$1004:$W$1004,1,MATCH(COLUMNS($R$1006:S1006),$R$1006:$W$1006,0)))),"Fix")))</f>
        <v>0</v>
      </c>
      <c r="D757" s="3">
        <f>IF(OR(INDEX($L$2:$L$1001,MATCH(ROWS($K$2:K757),$K$2:$K$1001,0),1)&gt;=100000,INDEX($R$1005:$W$1005,1,MATCH(COLUMNS($R$1006:T1006),$R$1006:$W$1006,0))&gt;=100000), " ",IF(INDEX($R$2:$W$1001,MATCH(ROWS($K$2:K757),$K$2:$K$1001,0),MATCH(COLUMNS($R$1006:T1006),$R$1006:$W$1006,0)), HYPERLINK("#",""), HYPERLINK(CONCATENATE("#Metadata!", ADDRESS(INDEX($M$2:$M$1001,MATCH(ROWS($K$2:K757),$K$2:$K$1001,0),0), INDEX($R$1004:$W$1004,1,MATCH(COLUMNS($R$1006:T1006),$R$1006:$W$1006,0)))),"Fix")))</f>
        <v>0</v>
      </c>
      <c r="E757" s="3">
        <f>IF(OR(INDEX($L$2:$L$1001,MATCH(ROWS($K$2:K757),$K$2:$K$1001,0),1)&gt;=100000,INDEX($R$1005:$W$1005,1,MATCH(COLUMNS($R$1006:U1006),$R$1006:$W$1006,0))&gt;=100000), " ",IF(INDEX($R$2:$W$1001,MATCH(ROWS($K$2:K757),$K$2:$K$1001,0),MATCH(COLUMNS($R$1006:U1006),$R$1006:$W$1006,0)), HYPERLINK("#",""), HYPERLINK(CONCATENATE("#Metadata!", ADDRESS(INDEX($M$2:$M$1001,MATCH(ROWS($K$2:K757),$K$2:$K$1001,0),0), INDEX($R$1004:$W$1004,1,MATCH(COLUMNS($R$1006:U1006),$R$1006:$W$1006,0)))),"Fix")))</f>
        <v>0</v>
      </c>
      <c r="F757" s="3">
        <f>IF(OR(INDEX($L$2:$L$1001,MATCH(ROWS($K$2:K757),$K$2:$K$1001,0),1)&gt;=100000,INDEX($R$1005:$W$1005,1,MATCH(COLUMNS($R$1006:V1006),$R$1006:$W$1006,0))&gt;=100000), " ",IF(INDEX($R$2:$W$1001,MATCH(ROWS($K$2:K757),$K$2:$K$1001,0),MATCH(COLUMNS($R$1006:V1006),$R$1006:$W$1006,0)), HYPERLINK("#",""), HYPERLINK(CONCATENATE("#Metadata!", ADDRESS(INDEX($M$2:$M$1001,MATCH(ROWS($K$2:K757),$K$2:$K$1001,0),0), INDEX($R$1004:$W$1004,1,MATCH(COLUMNS($R$1006:V1006),$R$1006:$W$1006,0)))),"Fix")))</f>
        <v>0</v>
      </c>
      <c r="G757" s="3">
        <f>IF(OR(INDEX($L$2:$L$1001,MATCH(ROWS($K$2:K757),$K$2:$K$1001,0),1)&gt;=100000,INDEX($R$1005:$W$1005,1,MATCH(COLUMNS($R$1006:W1006),$R$1006:$W$1006,0))&gt;=100000), " ",IF(INDEX($R$2:$W$1001,MATCH(ROWS($K$2:K757),$K$2:$K$1001,0),MATCH(COLUMNS($R$1006:W1006),$R$1006:$W$1006,0)), HYPERLINK("#",""), HYPERLINK(CONCATENATE("#Metadata!", ADDRESS(INDEX($M$2:$M$1001,MATCH(ROWS($K$2:K757),$K$2:$K$1001,0),0), INDEX($R$1004:$W$1004,1,MATCH(COLUMNS($R$1006:W1006),$R$1006:$W$1006,0)))),"Fix")))</f>
        <v>0</v>
      </c>
      <c r="K757">
        <v>0</v>
      </c>
      <c r="L757">
        <v>0</v>
      </c>
      <c r="M757">
        <v>0</v>
      </c>
      <c r="N757">
        <f>IF(O757,TRUE,AND(R757:W757))</f>
        <v>0</v>
      </c>
      <c r="O757">
        <f>COUNTBLANK(Metadata!B757:G757)=COLUMNS(Metadata!B757:G757)</f>
        <v>0</v>
      </c>
      <c r="P757">
        <v>0</v>
      </c>
      <c r="R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S757">
        <f>IF(Metadata!C757="",FALSE,TRUE)</f>
        <v>0</v>
      </c>
      <c r="T757">
        <f>IF(Metadata!D757="",FALSE,TRUE)</f>
        <v>0</v>
      </c>
      <c r="U757">
        <f>IF(Metadata!E757="",FALSE,TRUE)</f>
        <v>0</v>
      </c>
      <c r="V757">
        <f>AND(IF(Metadata!F757="",FALSE,TRUE),exact(Metadata!F757,"rat gut metagenome"))</f>
        <v>0</v>
      </c>
      <c r="W757">
        <f>AND(IF(Metadata!G757="",FALSE,TRUE),exact(Metadata!G757,"1436733"))</f>
        <v>0</v>
      </c>
    </row>
    <row r="758" spans="1:23">
      <c r="A758" s="4">
        <f>IF(B758=" "," ",HYPERLINK(CONCATENATE("#metadata!",ADDRESS(INDEX($M$2:$M$1001,MATCH(ROWS($K$2:K758),$K$2:$K$1001,0),0),1)),INDEX($P$2:$P$1001,MATCH(ROWS($K$2:K758),$K$2:$K$1001,0),0)))</f>
        <v>0</v>
      </c>
      <c r="B758" s="3">
        <f>IF(OR(INDEX($L$2:$L$1001,MATCH(ROWS($K$2:K758),$K$2:$K$1001,0),1)&gt;=100000,INDEX($R$1005:$W$1005,1,MATCH(COLUMNS($R$1006:R1006),$R$1006:$W$1006,0))&gt;=100000), " ",IF(INDEX($R$2:$W$1001,MATCH(ROWS($K$2:K758),$K$2:$K$1001,0),MATCH(COLUMNS($R$1006:R1006),$R$1006:$W$1006,0)), HYPERLINK("#",""), HYPERLINK(CONCATENATE("#Metadata!", ADDRESS(INDEX($M$2:$M$1001,MATCH(ROWS($K$2:K758),$K$2:$K$1001,0),0), INDEX($R$1004:$W$1004,1,MATCH(COLUMNS($R$1006:R1006),$R$1006:$W$1006,0)))),"Fix")))</f>
        <v>0</v>
      </c>
      <c r="C758" s="3">
        <f>IF(OR(INDEX($L$2:$L$1001,MATCH(ROWS($K$2:K758),$K$2:$K$1001,0),1)&gt;=100000,INDEX($R$1005:$W$1005,1,MATCH(COLUMNS($R$1006:S1006),$R$1006:$W$1006,0))&gt;=100000), " ",IF(INDEX($R$2:$W$1001,MATCH(ROWS($K$2:K758),$K$2:$K$1001,0),MATCH(COLUMNS($R$1006:S1006),$R$1006:$W$1006,0)), HYPERLINK("#",""), HYPERLINK(CONCATENATE("#Metadata!", ADDRESS(INDEX($M$2:$M$1001,MATCH(ROWS($K$2:K758),$K$2:$K$1001,0),0), INDEX($R$1004:$W$1004,1,MATCH(COLUMNS($R$1006:S1006),$R$1006:$W$1006,0)))),"Fix")))</f>
        <v>0</v>
      </c>
      <c r="D758" s="3">
        <f>IF(OR(INDEX($L$2:$L$1001,MATCH(ROWS($K$2:K758),$K$2:$K$1001,0),1)&gt;=100000,INDEX($R$1005:$W$1005,1,MATCH(COLUMNS($R$1006:T1006),$R$1006:$W$1006,0))&gt;=100000), " ",IF(INDEX($R$2:$W$1001,MATCH(ROWS($K$2:K758),$K$2:$K$1001,0),MATCH(COLUMNS($R$1006:T1006),$R$1006:$W$1006,0)), HYPERLINK("#",""), HYPERLINK(CONCATENATE("#Metadata!", ADDRESS(INDEX($M$2:$M$1001,MATCH(ROWS($K$2:K758),$K$2:$K$1001,0),0), INDEX($R$1004:$W$1004,1,MATCH(COLUMNS($R$1006:T1006),$R$1006:$W$1006,0)))),"Fix")))</f>
        <v>0</v>
      </c>
      <c r="E758" s="3">
        <f>IF(OR(INDEX($L$2:$L$1001,MATCH(ROWS($K$2:K758),$K$2:$K$1001,0),1)&gt;=100000,INDEX($R$1005:$W$1005,1,MATCH(COLUMNS($R$1006:U1006),$R$1006:$W$1006,0))&gt;=100000), " ",IF(INDEX($R$2:$W$1001,MATCH(ROWS($K$2:K758),$K$2:$K$1001,0),MATCH(COLUMNS($R$1006:U1006),$R$1006:$W$1006,0)), HYPERLINK("#",""), HYPERLINK(CONCATENATE("#Metadata!", ADDRESS(INDEX($M$2:$M$1001,MATCH(ROWS($K$2:K758),$K$2:$K$1001,0),0), INDEX($R$1004:$W$1004,1,MATCH(COLUMNS($R$1006:U1006),$R$1006:$W$1006,0)))),"Fix")))</f>
        <v>0</v>
      </c>
      <c r="F758" s="3">
        <f>IF(OR(INDEX($L$2:$L$1001,MATCH(ROWS($K$2:K758),$K$2:$K$1001,0),1)&gt;=100000,INDEX($R$1005:$W$1005,1,MATCH(COLUMNS($R$1006:V1006),$R$1006:$W$1006,0))&gt;=100000), " ",IF(INDEX($R$2:$W$1001,MATCH(ROWS($K$2:K758),$K$2:$K$1001,0),MATCH(COLUMNS($R$1006:V1006),$R$1006:$W$1006,0)), HYPERLINK("#",""), HYPERLINK(CONCATENATE("#Metadata!", ADDRESS(INDEX($M$2:$M$1001,MATCH(ROWS($K$2:K758),$K$2:$K$1001,0),0), INDEX($R$1004:$W$1004,1,MATCH(COLUMNS($R$1006:V1006),$R$1006:$W$1006,0)))),"Fix")))</f>
        <v>0</v>
      </c>
      <c r="G758" s="3">
        <f>IF(OR(INDEX($L$2:$L$1001,MATCH(ROWS($K$2:K758),$K$2:$K$1001,0),1)&gt;=100000,INDEX($R$1005:$W$1005,1,MATCH(COLUMNS($R$1006:W1006),$R$1006:$W$1006,0))&gt;=100000), " ",IF(INDEX($R$2:$W$1001,MATCH(ROWS($K$2:K758),$K$2:$K$1001,0),MATCH(COLUMNS($R$1006:W1006),$R$1006:$W$1006,0)), HYPERLINK("#",""), HYPERLINK(CONCATENATE("#Metadata!", ADDRESS(INDEX($M$2:$M$1001,MATCH(ROWS($K$2:K758),$K$2:$K$1001,0),0), INDEX($R$1004:$W$1004,1,MATCH(COLUMNS($R$1006:W1006),$R$1006:$W$1006,0)))),"Fix")))</f>
        <v>0</v>
      </c>
      <c r="K758">
        <v>0</v>
      </c>
      <c r="L758">
        <v>0</v>
      </c>
      <c r="M758">
        <v>0</v>
      </c>
      <c r="N758">
        <f>IF(O758,TRUE,AND(R758:W758))</f>
        <v>0</v>
      </c>
      <c r="O758">
        <f>COUNTBLANK(Metadata!B758:G758)=COLUMNS(Metadata!B758:G758)</f>
        <v>0</v>
      </c>
      <c r="P758">
        <v>0</v>
      </c>
      <c r="R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S758">
        <f>IF(Metadata!C758="",FALSE,TRUE)</f>
        <v>0</v>
      </c>
      <c r="T758">
        <f>IF(Metadata!D758="",FALSE,TRUE)</f>
        <v>0</v>
      </c>
      <c r="U758">
        <f>IF(Metadata!E758="",FALSE,TRUE)</f>
        <v>0</v>
      </c>
      <c r="V758">
        <f>AND(IF(Metadata!F758="",FALSE,TRUE),exact(Metadata!F758,"rat gut metagenome"))</f>
        <v>0</v>
      </c>
      <c r="W758">
        <f>AND(IF(Metadata!G758="",FALSE,TRUE),exact(Metadata!G758,"1436733"))</f>
        <v>0</v>
      </c>
    </row>
    <row r="759" spans="1:23">
      <c r="A759" s="4">
        <f>IF(B759=" "," ",HYPERLINK(CONCATENATE("#metadata!",ADDRESS(INDEX($M$2:$M$1001,MATCH(ROWS($K$2:K759),$K$2:$K$1001,0),0),1)),INDEX($P$2:$P$1001,MATCH(ROWS($K$2:K759),$K$2:$K$1001,0),0)))</f>
        <v>0</v>
      </c>
      <c r="B759" s="3">
        <f>IF(OR(INDEX($L$2:$L$1001,MATCH(ROWS($K$2:K759),$K$2:$K$1001,0),1)&gt;=100000,INDEX($R$1005:$W$1005,1,MATCH(COLUMNS($R$1006:R1006),$R$1006:$W$1006,0))&gt;=100000), " ",IF(INDEX($R$2:$W$1001,MATCH(ROWS($K$2:K759),$K$2:$K$1001,0),MATCH(COLUMNS($R$1006:R1006),$R$1006:$W$1006,0)), HYPERLINK("#",""), HYPERLINK(CONCATENATE("#Metadata!", ADDRESS(INDEX($M$2:$M$1001,MATCH(ROWS($K$2:K759),$K$2:$K$1001,0),0), INDEX($R$1004:$W$1004,1,MATCH(COLUMNS($R$1006:R1006),$R$1006:$W$1006,0)))),"Fix")))</f>
        <v>0</v>
      </c>
      <c r="C759" s="3">
        <f>IF(OR(INDEX($L$2:$L$1001,MATCH(ROWS($K$2:K759),$K$2:$K$1001,0),1)&gt;=100000,INDEX($R$1005:$W$1005,1,MATCH(COLUMNS($R$1006:S1006),$R$1006:$W$1006,0))&gt;=100000), " ",IF(INDEX($R$2:$W$1001,MATCH(ROWS($K$2:K759),$K$2:$K$1001,0),MATCH(COLUMNS($R$1006:S1006),$R$1006:$W$1006,0)), HYPERLINK("#",""), HYPERLINK(CONCATENATE("#Metadata!", ADDRESS(INDEX($M$2:$M$1001,MATCH(ROWS($K$2:K759),$K$2:$K$1001,0),0), INDEX($R$1004:$W$1004,1,MATCH(COLUMNS($R$1006:S1006),$R$1006:$W$1006,0)))),"Fix")))</f>
        <v>0</v>
      </c>
      <c r="D759" s="3">
        <f>IF(OR(INDEX($L$2:$L$1001,MATCH(ROWS($K$2:K759),$K$2:$K$1001,0),1)&gt;=100000,INDEX($R$1005:$W$1005,1,MATCH(COLUMNS($R$1006:T1006),$R$1006:$W$1006,0))&gt;=100000), " ",IF(INDEX($R$2:$W$1001,MATCH(ROWS($K$2:K759),$K$2:$K$1001,0),MATCH(COLUMNS($R$1006:T1006),$R$1006:$W$1006,0)), HYPERLINK("#",""), HYPERLINK(CONCATENATE("#Metadata!", ADDRESS(INDEX($M$2:$M$1001,MATCH(ROWS($K$2:K759),$K$2:$K$1001,0),0), INDEX($R$1004:$W$1004,1,MATCH(COLUMNS($R$1006:T1006),$R$1006:$W$1006,0)))),"Fix")))</f>
        <v>0</v>
      </c>
      <c r="E759" s="3">
        <f>IF(OR(INDEX($L$2:$L$1001,MATCH(ROWS($K$2:K759),$K$2:$K$1001,0),1)&gt;=100000,INDEX($R$1005:$W$1005,1,MATCH(COLUMNS($R$1006:U1006),$R$1006:$W$1006,0))&gt;=100000), " ",IF(INDEX($R$2:$W$1001,MATCH(ROWS($K$2:K759),$K$2:$K$1001,0),MATCH(COLUMNS($R$1006:U1006),$R$1006:$W$1006,0)), HYPERLINK("#",""), HYPERLINK(CONCATENATE("#Metadata!", ADDRESS(INDEX($M$2:$M$1001,MATCH(ROWS($K$2:K759),$K$2:$K$1001,0),0), INDEX($R$1004:$W$1004,1,MATCH(COLUMNS($R$1006:U1006),$R$1006:$W$1006,0)))),"Fix")))</f>
        <v>0</v>
      </c>
      <c r="F759" s="3">
        <f>IF(OR(INDEX($L$2:$L$1001,MATCH(ROWS($K$2:K759),$K$2:$K$1001,0),1)&gt;=100000,INDEX($R$1005:$W$1005,1,MATCH(COLUMNS($R$1006:V1006),$R$1006:$W$1006,0))&gt;=100000), " ",IF(INDEX($R$2:$W$1001,MATCH(ROWS($K$2:K759),$K$2:$K$1001,0),MATCH(COLUMNS($R$1006:V1006),$R$1006:$W$1006,0)), HYPERLINK("#",""), HYPERLINK(CONCATENATE("#Metadata!", ADDRESS(INDEX($M$2:$M$1001,MATCH(ROWS($K$2:K759),$K$2:$K$1001,0),0), INDEX($R$1004:$W$1004,1,MATCH(COLUMNS($R$1006:V1006),$R$1006:$W$1006,0)))),"Fix")))</f>
        <v>0</v>
      </c>
      <c r="G759" s="3">
        <f>IF(OR(INDEX($L$2:$L$1001,MATCH(ROWS($K$2:K759),$K$2:$K$1001,0),1)&gt;=100000,INDEX($R$1005:$W$1005,1,MATCH(COLUMNS($R$1006:W1006),$R$1006:$W$1006,0))&gt;=100000), " ",IF(INDEX($R$2:$W$1001,MATCH(ROWS($K$2:K759),$K$2:$K$1001,0),MATCH(COLUMNS($R$1006:W1006),$R$1006:$W$1006,0)), HYPERLINK("#",""), HYPERLINK(CONCATENATE("#Metadata!", ADDRESS(INDEX($M$2:$M$1001,MATCH(ROWS($K$2:K759),$K$2:$K$1001,0),0), INDEX($R$1004:$W$1004,1,MATCH(COLUMNS($R$1006:W1006),$R$1006:$W$1006,0)))),"Fix")))</f>
        <v>0</v>
      </c>
      <c r="K759">
        <v>0</v>
      </c>
      <c r="L759">
        <v>0</v>
      </c>
      <c r="M759">
        <v>0</v>
      </c>
      <c r="N759">
        <f>IF(O759,TRUE,AND(R759:W759))</f>
        <v>0</v>
      </c>
      <c r="O759">
        <f>COUNTBLANK(Metadata!B759:G759)=COLUMNS(Metadata!B759:G759)</f>
        <v>0</v>
      </c>
      <c r="P759">
        <v>0</v>
      </c>
      <c r="R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S759">
        <f>IF(Metadata!C759="",FALSE,TRUE)</f>
        <v>0</v>
      </c>
      <c r="T759">
        <f>IF(Metadata!D759="",FALSE,TRUE)</f>
        <v>0</v>
      </c>
      <c r="U759">
        <f>IF(Metadata!E759="",FALSE,TRUE)</f>
        <v>0</v>
      </c>
      <c r="V759">
        <f>AND(IF(Metadata!F759="",FALSE,TRUE),exact(Metadata!F759,"rat gut metagenome"))</f>
        <v>0</v>
      </c>
      <c r="W759">
        <f>AND(IF(Metadata!G759="",FALSE,TRUE),exact(Metadata!G759,"1436733"))</f>
        <v>0</v>
      </c>
    </row>
    <row r="760" spans="1:23">
      <c r="A760" s="4">
        <f>IF(B760=" "," ",HYPERLINK(CONCATENATE("#metadata!",ADDRESS(INDEX($M$2:$M$1001,MATCH(ROWS($K$2:K760),$K$2:$K$1001,0),0),1)),INDEX($P$2:$P$1001,MATCH(ROWS($K$2:K760),$K$2:$K$1001,0),0)))</f>
        <v>0</v>
      </c>
      <c r="B760" s="3">
        <f>IF(OR(INDEX($L$2:$L$1001,MATCH(ROWS($K$2:K760),$K$2:$K$1001,0),1)&gt;=100000,INDEX($R$1005:$W$1005,1,MATCH(COLUMNS($R$1006:R1006),$R$1006:$W$1006,0))&gt;=100000), " ",IF(INDEX($R$2:$W$1001,MATCH(ROWS($K$2:K760),$K$2:$K$1001,0),MATCH(COLUMNS($R$1006:R1006),$R$1006:$W$1006,0)), HYPERLINK("#",""), HYPERLINK(CONCATENATE("#Metadata!", ADDRESS(INDEX($M$2:$M$1001,MATCH(ROWS($K$2:K760),$K$2:$K$1001,0),0), INDEX($R$1004:$W$1004,1,MATCH(COLUMNS($R$1006:R1006),$R$1006:$W$1006,0)))),"Fix")))</f>
        <v>0</v>
      </c>
      <c r="C760" s="3">
        <f>IF(OR(INDEX($L$2:$L$1001,MATCH(ROWS($K$2:K760),$K$2:$K$1001,0),1)&gt;=100000,INDEX($R$1005:$W$1005,1,MATCH(COLUMNS($R$1006:S1006),$R$1006:$W$1006,0))&gt;=100000), " ",IF(INDEX($R$2:$W$1001,MATCH(ROWS($K$2:K760),$K$2:$K$1001,0),MATCH(COLUMNS($R$1006:S1006),$R$1006:$W$1006,0)), HYPERLINK("#",""), HYPERLINK(CONCATENATE("#Metadata!", ADDRESS(INDEX($M$2:$M$1001,MATCH(ROWS($K$2:K760),$K$2:$K$1001,0),0), INDEX($R$1004:$W$1004,1,MATCH(COLUMNS($R$1006:S1006),$R$1006:$W$1006,0)))),"Fix")))</f>
        <v>0</v>
      </c>
      <c r="D760" s="3">
        <f>IF(OR(INDEX($L$2:$L$1001,MATCH(ROWS($K$2:K760),$K$2:$K$1001,0),1)&gt;=100000,INDEX($R$1005:$W$1005,1,MATCH(COLUMNS($R$1006:T1006),$R$1006:$W$1006,0))&gt;=100000), " ",IF(INDEX($R$2:$W$1001,MATCH(ROWS($K$2:K760),$K$2:$K$1001,0),MATCH(COLUMNS($R$1006:T1006),$R$1006:$W$1006,0)), HYPERLINK("#",""), HYPERLINK(CONCATENATE("#Metadata!", ADDRESS(INDEX($M$2:$M$1001,MATCH(ROWS($K$2:K760),$K$2:$K$1001,0),0), INDEX($R$1004:$W$1004,1,MATCH(COLUMNS($R$1006:T1006),$R$1006:$W$1006,0)))),"Fix")))</f>
        <v>0</v>
      </c>
      <c r="E760" s="3">
        <f>IF(OR(INDEX($L$2:$L$1001,MATCH(ROWS($K$2:K760),$K$2:$K$1001,0),1)&gt;=100000,INDEX($R$1005:$W$1005,1,MATCH(COLUMNS($R$1006:U1006),$R$1006:$W$1006,0))&gt;=100000), " ",IF(INDEX($R$2:$W$1001,MATCH(ROWS($K$2:K760),$K$2:$K$1001,0),MATCH(COLUMNS($R$1006:U1006),$R$1006:$W$1006,0)), HYPERLINK("#",""), HYPERLINK(CONCATENATE("#Metadata!", ADDRESS(INDEX($M$2:$M$1001,MATCH(ROWS($K$2:K760),$K$2:$K$1001,0),0), INDEX($R$1004:$W$1004,1,MATCH(COLUMNS($R$1006:U1006),$R$1006:$W$1006,0)))),"Fix")))</f>
        <v>0</v>
      </c>
      <c r="F760" s="3">
        <f>IF(OR(INDEX($L$2:$L$1001,MATCH(ROWS($K$2:K760),$K$2:$K$1001,0),1)&gt;=100000,INDEX($R$1005:$W$1005,1,MATCH(COLUMNS($R$1006:V1006),$R$1006:$W$1006,0))&gt;=100000), " ",IF(INDEX($R$2:$W$1001,MATCH(ROWS($K$2:K760),$K$2:$K$1001,0),MATCH(COLUMNS($R$1006:V1006),$R$1006:$W$1006,0)), HYPERLINK("#",""), HYPERLINK(CONCATENATE("#Metadata!", ADDRESS(INDEX($M$2:$M$1001,MATCH(ROWS($K$2:K760),$K$2:$K$1001,0),0), INDEX($R$1004:$W$1004,1,MATCH(COLUMNS($R$1006:V1006),$R$1006:$W$1006,0)))),"Fix")))</f>
        <v>0</v>
      </c>
      <c r="G760" s="3">
        <f>IF(OR(INDEX($L$2:$L$1001,MATCH(ROWS($K$2:K760),$K$2:$K$1001,0),1)&gt;=100000,INDEX($R$1005:$W$1005,1,MATCH(COLUMNS($R$1006:W1006),$R$1006:$W$1006,0))&gt;=100000), " ",IF(INDEX($R$2:$W$1001,MATCH(ROWS($K$2:K760),$K$2:$K$1001,0),MATCH(COLUMNS($R$1006:W1006),$R$1006:$W$1006,0)), HYPERLINK("#",""), HYPERLINK(CONCATENATE("#Metadata!", ADDRESS(INDEX($M$2:$M$1001,MATCH(ROWS($K$2:K760),$K$2:$K$1001,0),0), INDEX($R$1004:$W$1004,1,MATCH(COLUMNS($R$1006:W1006),$R$1006:$W$1006,0)))),"Fix")))</f>
        <v>0</v>
      </c>
      <c r="K760">
        <v>0</v>
      </c>
      <c r="L760">
        <v>0</v>
      </c>
      <c r="M760">
        <v>0</v>
      </c>
      <c r="N760">
        <f>IF(O760,TRUE,AND(R760:W760))</f>
        <v>0</v>
      </c>
      <c r="O760">
        <f>COUNTBLANK(Metadata!B760:G760)=COLUMNS(Metadata!B760:G760)</f>
        <v>0</v>
      </c>
      <c r="P760">
        <v>0</v>
      </c>
      <c r="R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S760">
        <f>IF(Metadata!C760="",FALSE,TRUE)</f>
        <v>0</v>
      </c>
      <c r="T760">
        <f>IF(Metadata!D760="",FALSE,TRUE)</f>
        <v>0</v>
      </c>
      <c r="U760">
        <f>IF(Metadata!E760="",FALSE,TRUE)</f>
        <v>0</v>
      </c>
      <c r="V760">
        <f>AND(IF(Metadata!F760="",FALSE,TRUE),exact(Metadata!F760,"rat gut metagenome"))</f>
        <v>0</v>
      </c>
      <c r="W760">
        <f>AND(IF(Metadata!G760="",FALSE,TRUE),exact(Metadata!G760,"1436733"))</f>
        <v>0</v>
      </c>
    </row>
    <row r="761" spans="1:23">
      <c r="A761" s="4">
        <f>IF(B761=" "," ",HYPERLINK(CONCATENATE("#metadata!",ADDRESS(INDEX($M$2:$M$1001,MATCH(ROWS($K$2:K761),$K$2:$K$1001,0),0),1)),INDEX($P$2:$P$1001,MATCH(ROWS($K$2:K761),$K$2:$K$1001,0),0)))</f>
        <v>0</v>
      </c>
      <c r="B761" s="3">
        <f>IF(OR(INDEX($L$2:$L$1001,MATCH(ROWS($K$2:K761),$K$2:$K$1001,0),1)&gt;=100000,INDEX($R$1005:$W$1005,1,MATCH(COLUMNS($R$1006:R1006),$R$1006:$W$1006,0))&gt;=100000), " ",IF(INDEX($R$2:$W$1001,MATCH(ROWS($K$2:K761),$K$2:$K$1001,0),MATCH(COLUMNS($R$1006:R1006),$R$1006:$W$1006,0)), HYPERLINK("#",""), HYPERLINK(CONCATENATE("#Metadata!", ADDRESS(INDEX($M$2:$M$1001,MATCH(ROWS($K$2:K761),$K$2:$K$1001,0),0), INDEX($R$1004:$W$1004,1,MATCH(COLUMNS($R$1006:R1006),$R$1006:$W$1006,0)))),"Fix")))</f>
        <v>0</v>
      </c>
      <c r="C761" s="3">
        <f>IF(OR(INDEX($L$2:$L$1001,MATCH(ROWS($K$2:K761),$K$2:$K$1001,0),1)&gt;=100000,INDEX($R$1005:$W$1005,1,MATCH(COLUMNS($R$1006:S1006),$R$1006:$W$1006,0))&gt;=100000), " ",IF(INDEX($R$2:$W$1001,MATCH(ROWS($K$2:K761),$K$2:$K$1001,0),MATCH(COLUMNS($R$1006:S1006),$R$1006:$W$1006,0)), HYPERLINK("#",""), HYPERLINK(CONCATENATE("#Metadata!", ADDRESS(INDEX($M$2:$M$1001,MATCH(ROWS($K$2:K761),$K$2:$K$1001,0),0), INDEX($R$1004:$W$1004,1,MATCH(COLUMNS($R$1006:S1006),$R$1006:$W$1006,0)))),"Fix")))</f>
        <v>0</v>
      </c>
      <c r="D761" s="3">
        <f>IF(OR(INDEX($L$2:$L$1001,MATCH(ROWS($K$2:K761),$K$2:$K$1001,0),1)&gt;=100000,INDEX($R$1005:$W$1005,1,MATCH(COLUMNS($R$1006:T1006),$R$1006:$W$1006,0))&gt;=100000), " ",IF(INDEX($R$2:$W$1001,MATCH(ROWS($K$2:K761),$K$2:$K$1001,0),MATCH(COLUMNS($R$1006:T1006),$R$1006:$W$1006,0)), HYPERLINK("#",""), HYPERLINK(CONCATENATE("#Metadata!", ADDRESS(INDEX($M$2:$M$1001,MATCH(ROWS($K$2:K761),$K$2:$K$1001,0),0), INDEX($R$1004:$W$1004,1,MATCH(COLUMNS($R$1006:T1006),$R$1006:$W$1006,0)))),"Fix")))</f>
        <v>0</v>
      </c>
      <c r="E761" s="3">
        <f>IF(OR(INDEX($L$2:$L$1001,MATCH(ROWS($K$2:K761),$K$2:$K$1001,0),1)&gt;=100000,INDEX($R$1005:$W$1005,1,MATCH(COLUMNS($R$1006:U1006),$R$1006:$W$1006,0))&gt;=100000), " ",IF(INDEX($R$2:$W$1001,MATCH(ROWS($K$2:K761),$K$2:$K$1001,0),MATCH(COLUMNS($R$1006:U1006),$R$1006:$W$1006,0)), HYPERLINK("#",""), HYPERLINK(CONCATENATE("#Metadata!", ADDRESS(INDEX($M$2:$M$1001,MATCH(ROWS($K$2:K761),$K$2:$K$1001,0),0), INDEX($R$1004:$W$1004,1,MATCH(COLUMNS($R$1006:U1006),$R$1006:$W$1006,0)))),"Fix")))</f>
        <v>0</v>
      </c>
      <c r="F761" s="3">
        <f>IF(OR(INDEX($L$2:$L$1001,MATCH(ROWS($K$2:K761),$K$2:$K$1001,0),1)&gt;=100000,INDEX($R$1005:$W$1005,1,MATCH(COLUMNS($R$1006:V1006),$R$1006:$W$1006,0))&gt;=100000), " ",IF(INDEX($R$2:$W$1001,MATCH(ROWS($K$2:K761),$K$2:$K$1001,0),MATCH(COLUMNS($R$1006:V1006),$R$1006:$W$1006,0)), HYPERLINK("#",""), HYPERLINK(CONCATENATE("#Metadata!", ADDRESS(INDEX($M$2:$M$1001,MATCH(ROWS($K$2:K761),$K$2:$K$1001,0),0), INDEX($R$1004:$W$1004,1,MATCH(COLUMNS($R$1006:V1006),$R$1006:$W$1006,0)))),"Fix")))</f>
        <v>0</v>
      </c>
      <c r="G761" s="3">
        <f>IF(OR(INDEX($L$2:$L$1001,MATCH(ROWS($K$2:K761),$K$2:$K$1001,0),1)&gt;=100000,INDEX($R$1005:$W$1005,1,MATCH(COLUMNS($R$1006:W1006),$R$1006:$W$1006,0))&gt;=100000), " ",IF(INDEX($R$2:$W$1001,MATCH(ROWS($K$2:K761),$K$2:$K$1001,0),MATCH(COLUMNS($R$1006:W1006),$R$1006:$W$1006,0)), HYPERLINK("#",""), HYPERLINK(CONCATENATE("#Metadata!", ADDRESS(INDEX($M$2:$M$1001,MATCH(ROWS($K$2:K761),$K$2:$K$1001,0),0), INDEX($R$1004:$W$1004,1,MATCH(COLUMNS($R$1006:W1006),$R$1006:$W$1006,0)))),"Fix")))</f>
        <v>0</v>
      </c>
      <c r="K761">
        <v>0</v>
      </c>
      <c r="L761">
        <v>0</v>
      </c>
      <c r="M761">
        <v>0</v>
      </c>
      <c r="N761">
        <f>IF(O761,TRUE,AND(R761:W761))</f>
        <v>0</v>
      </c>
      <c r="O761">
        <f>COUNTBLANK(Metadata!B761:G761)=COLUMNS(Metadata!B761:G761)</f>
        <v>0</v>
      </c>
      <c r="P761">
        <v>0</v>
      </c>
      <c r="R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S761">
        <f>IF(Metadata!C761="",FALSE,TRUE)</f>
        <v>0</v>
      </c>
      <c r="T761">
        <f>IF(Metadata!D761="",FALSE,TRUE)</f>
        <v>0</v>
      </c>
      <c r="U761">
        <f>IF(Metadata!E761="",FALSE,TRUE)</f>
        <v>0</v>
      </c>
      <c r="V761">
        <f>AND(IF(Metadata!F761="",FALSE,TRUE),exact(Metadata!F761,"rat gut metagenome"))</f>
        <v>0</v>
      </c>
      <c r="W761">
        <f>AND(IF(Metadata!G761="",FALSE,TRUE),exact(Metadata!G761,"1436733"))</f>
        <v>0</v>
      </c>
    </row>
    <row r="762" spans="1:23">
      <c r="A762" s="4">
        <f>IF(B762=" "," ",HYPERLINK(CONCATENATE("#metadata!",ADDRESS(INDEX($M$2:$M$1001,MATCH(ROWS($K$2:K762),$K$2:$K$1001,0),0),1)),INDEX($P$2:$P$1001,MATCH(ROWS($K$2:K762),$K$2:$K$1001,0),0)))</f>
        <v>0</v>
      </c>
      <c r="B762" s="3">
        <f>IF(OR(INDEX($L$2:$L$1001,MATCH(ROWS($K$2:K762),$K$2:$K$1001,0),1)&gt;=100000,INDEX($R$1005:$W$1005,1,MATCH(COLUMNS($R$1006:R1006),$R$1006:$W$1006,0))&gt;=100000), " ",IF(INDEX($R$2:$W$1001,MATCH(ROWS($K$2:K762),$K$2:$K$1001,0),MATCH(COLUMNS($R$1006:R1006),$R$1006:$W$1006,0)), HYPERLINK("#",""), HYPERLINK(CONCATENATE("#Metadata!", ADDRESS(INDEX($M$2:$M$1001,MATCH(ROWS($K$2:K762),$K$2:$K$1001,0),0), INDEX($R$1004:$W$1004,1,MATCH(COLUMNS($R$1006:R1006),$R$1006:$W$1006,0)))),"Fix")))</f>
        <v>0</v>
      </c>
      <c r="C762" s="3">
        <f>IF(OR(INDEX($L$2:$L$1001,MATCH(ROWS($K$2:K762),$K$2:$K$1001,0),1)&gt;=100000,INDEX($R$1005:$W$1005,1,MATCH(COLUMNS($R$1006:S1006),$R$1006:$W$1006,0))&gt;=100000), " ",IF(INDEX($R$2:$W$1001,MATCH(ROWS($K$2:K762),$K$2:$K$1001,0),MATCH(COLUMNS($R$1006:S1006),$R$1006:$W$1006,0)), HYPERLINK("#",""), HYPERLINK(CONCATENATE("#Metadata!", ADDRESS(INDEX($M$2:$M$1001,MATCH(ROWS($K$2:K762),$K$2:$K$1001,0),0), INDEX($R$1004:$W$1004,1,MATCH(COLUMNS($R$1006:S1006),$R$1006:$W$1006,0)))),"Fix")))</f>
        <v>0</v>
      </c>
      <c r="D762" s="3">
        <f>IF(OR(INDEX($L$2:$L$1001,MATCH(ROWS($K$2:K762),$K$2:$K$1001,0),1)&gt;=100000,INDEX($R$1005:$W$1005,1,MATCH(COLUMNS($R$1006:T1006),$R$1006:$W$1006,0))&gt;=100000), " ",IF(INDEX($R$2:$W$1001,MATCH(ROWS($K$2:K762),$K$2:$K$1001,0),MATCH(COLUMNS($R$1006:T1006),$R$1006:$W$1006,0)), HYPERLINK("#",""), HYPERLINK(CONCATENATE("#Metadata!", ADDRESS(INDEX($M$2:$M$1001,MATCH(ROWS($K$2:K762),$K$2:$K$1001,0),0), INDEX($R$1004:$W$1004,1,MATCH(COLUMNS($R$1006:T1006),$R$1006:$W$1006,0)))),"Fix")))</f>
        <v>0</v>
      </c>
      <c r="E762" s="3">
        <f>IF(OR(INDEX($L$2:$L$1001,MATCH(ROWS($K$2:K762),$K$2:$K$1001,0),1)&gt;=100000,INDEX($R$1005:$W$1005,1,MATCH(COLUMNS($R$1006:U1006),$R$1006:$W$1006,0))&gt;=100000), " ",IF(INDEX($R$2:$W$1001,MATCH(ROWS($K$2:K762),$K$2:$K$1001,0),MATCH(COLUMNS($R$1006:U1006),$R$1006:$W$1006,0)), HYPERLINK("#",""), HYPERLINK(CONCATENATE("#Metadata!", ADDRESS(INDEX($M$2:$M$1001,MATCH(ROWS($K$2:K762),$K$2:$K$1001,0),0), INDEX($R$1004:$W$1004,1,MATCH(COLUMNS($R$1006:U1006),$R$1006:$W$1006,0)))),"Fix")))</f>
        <v>0</v>
      </c>
      <c r="F762" s="3">
        <f>IF(OR(INDEX($L$2:$L$1001,MATCH(ROWS($K$2:K762),$K$2:$K$1001,0),1)&gt;=100000,INDEX($R$1005:$W$1005,1,MATCH(COLUMNS($R$1006:V1006),$R$1006:$W$1006,0))&gt;=100000), " ",IF(INDEX($R$2:$W$1001,MATCH(ROWS($K$2:K762),$K$2:$K$1001,0),MATCH(COLUMNS($R$1006:V1006),$R$1006:$W$1006,0)), HYPERLINK("#",""), HYPERLINK(CONCATENATE("#Metadata!", ADDRESS(INDEX($M$2:$M$1001,MATCH(ROWS($K$2:K762),$K$2:$K$1001,0),0), INDEX($R$1004:$W$1004,1,MATCH(COLUMNS($R$1006:V1006),$R$1006:$W$1006,0)))),"Fix")))</f>
        <v>0</v>
      </c>
      <c r="G762" s="3">
        <f>IF(OR(INDEX($L$2:$L$1001,MATCH(ROWS($K$2:K762),$K$2:$K$1001,0),1)&gt;=100000,INDEX($R$1005:$W$1005,1,MATCH(COLUMNS($R$1006:W1006),$R$1006:$W$1006,0))&gt;=100000), " ",IF(INDEX($R$2:$W$1001,MATCH(ROWS($K$2:K762),$K$2:$K$1001,0),MATCH(COLUMNS($R$1006:W1006),$R$1006:$W$1006,0)), HYPERLINK("#",""), HYPERLINK(CONCATENATE("#Metadata!", ADDRESS(INDEX($M$2:$M$1001,MATCH(ROWS($K$2:K762),$K$2:$K$1001,0),0), INDEX($R$1004:$W$1004,1,MATCH(COLUMNS($R$1006:W1006),$R$1006:$W$1006,0)))),"Fix")))</f>
        <v>0</v>
      </c>
      <c r="K762">
        <v>0</v>
      </c>
      <c r="L762">
        <v>0</v>
      </c>
      <c r="M762">
        <v>0</v>
      </c>
      <c r="N762">
        <f>IF(O762,TRUE,AND(R762:W762))</f>
        <v>0</v>
      </c>
      <c r="O762">
        <f>COUNTBLANK(Metadata!B762:G762)=COLUMNS(Metadata!B762:G762)</f>
        <v>0</v>
      </c>
      <c r="P762">
        <v>0</v>
      </c>
      <c r="R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S762">
        <f>IF(Metadata!C762="",FALSE,TRUE)</f>
        <v>0</v>
      </c>
      <c r="T762">
        <f>IF(Metadata!D762="",FALSE,TRUE)</f>
        <v>0</v>
      </c>
      <c r="U762">
        <f>IF(Metadata!E762="",FALSE,TRUE)</f>
        <v>0</v>
      </c>
      <c r="V762">
        <f>AND(IF(Metadata!F762="",FALSE,TRUE),exact(Metadata!F762,"rat gut metagenome"))</f>
        <v>0</v>
      </c>
      <c r="W762">
        <f>AND(IF(Metadata!G762="",FALSE,TRUE),exact(Metadata!G762,"1436733"))</f>
        <v>0</v>
      </c>
    </row>
    <row r="763" spans="1:23">
      <c r="A763" s="4">
        <f>IF(B763=" "," ",HYPERLINK(CONCATENATE("#metadata!",ADDRESS(INDEX($M$2:$M$1001,MATCH(ROWS($K$2:K763),$K$2:$K$1001,0),0),1)),INDEX($P$2:$P$1001,MATCH(ROWS($K$2:K763),$K$2:$K$1001,0),0)))</f>
        <v>0</v>
      </c>
      <c r="B763" s="3">
        <f>IF(OR(INDEX($L$2:$L$1001,MATCH(ROWS($K$2:K763),$K$2:$K$1001,0),1)&gt;=100000,INDEX($R$1005:$W$1005,1,MATCH(COLUMNS($R$1006:R1006),$R$1006:$W$1006,0))&gt;=100000), " ",IF(INDEX($R$2:$W$1001,MATCH(ROWS($K$2:K763),$K$2:$K$1001,0),MATCH(COLUMNS($R$1006:R1006),$R$1006:$W$1006,0)), HYPERLINK("#",""), HYPERLINK(CONCATENATE("#Metadata!", ADDRESS(INDEX($M$2:$M$1001,MATCH(ROWS($K$2:K763),$K$2:$K$1001,0),0), INDEX($R$1004:$W$1004,1,MATCH(COLUMNS($R$1006:R1006),$R$1006:$W$1006,0)))),"Fix")))</f>
        <v>0</v>
      </c>
      <c r="C763" s="3">
        <f>IF(OR(INDEX($L$2:$L$1001,MATCH(ROWS($K$2:K763),$K$2:$K$1001,0),1)&gt;=100000,INDEX($R$1005:$W$1005,1,MATCH(COLUMNS($R$1006:S1006),$R$1006:$W$1006,0))&gt;=100000), " ",IF(INDEX($R$2:$W$1001,MATCH(ROWS($K$2:K763),$K$2:$K$1001,0),MATCH(COLUMNS($R$1006:S1006),$R$1006:$W$1006,0)), HYPERLINK("#",""), HYPERLINK(CONCATENATE("#Metadata!", ADDRESS(INDEX($M$2:$M$1001,MATCH(ROWS($K$2:K763),$K$2:$K$1001,0),0), INDEX($R$1004:$W$1004,1,MATCH(COLUMNS($R$1006:S1006),$R$1006:$W$1006,0)))),"Fix")))</f>
        <v>0</v>
      </c>
      <c r="D763" s="3">
        <f>IF(OR(INDEX($L$2:$L$1001,MATCH(ROWS($K$2:K763),$K$2:$K$1001,0),1)&gt;=100000,INDEX($R$1005:$W$1005,1,MATCH(COLUMNS($R$1006:T1006),$R$1006:$W$1006,0))&gt;=100000), " ",IF(INDEX($R$2:$W$1001,MATCH(ROWS($K$2:K763),$K$2:$K$1001,0),MATCH(COLUMNS($R$1006:T1006),$R$1006:$W$1006,0)), HYPERLINK("#",""), HYPERLINK(CONCATENATE("#Metadata!", ADDRESS(INDEX($M$2:$M$1001,MATCH(ROWS($K$2:K763),$K$2:$K$1001,0),0), INDEX($R$1004:$W$1004,1,MATCH(COLUMNS($R$1006:T1006),$R$1006:$W$1006,0)))),"Fix")))</f>
        <v>0</v>
      </c>
      <c r="E763" s="3">
        <f>IF(OR(INDEX($L$2:$L$1001,MATCH(ROWS($K$2:K763),$K$2:$K$1001,0),1)&gt;=100000,INDEX($R$1005:$W$1005,1,MATCH(COLUMNS($R$1006:U1006),$R$1006:$W$1006,0))&gt;=100000), " ",IF(INDEX($R$2:$W$1001,MATCH(ROWS($K$2:K763),$K$2:$K$1001,0),MATCH(COLUMNS($R$1006:U1006),$R$1006:$W$1006,0)), HYPERLINK("#",""), HYPERLINK(CONCATENATE("#Metadata!", ADDRESS(INDEX($M$2:$M$1001,MATCH(ROWS($K$2:K763),$K$2:$K$1001,0),0), INDEX($R$1004:$W$1004,1,MATCH(COLUMNS($R$1006:U1006),$R$1006:$W$1006,0)))),"Fix")))</f>
        <v>0</v>
      </c>
      <c r="F763" s="3">
        <f>IF(OR(INDEX($L$2:$L$1001,MATCH(ROWS($K$2:K763),$K$2:$K$1001,0),1)&gt;=100000,INDEX($R$1005:$W$1005,1,MATCH(COLUMNS($R$1006:V1006),$R$1006:$W$1006,0))&gt;=100000), " ",IF(INDEX($R$2:$W$1001,MATCH(ROWS($K$2:K763),$K$2:$K$1001,0),MATCH(COLUMNS($R$1006:V1006),$R$1006:$W$1006,0)), HYPERLINK("#",""), HYPERLINK(CONCATENATE("#Metadata!", ADDRESS(INDEX($M$2:$M$1001,MATCH(ROWS($K$2:K763),$K$2:$K$1001,0),0), INDEX($R$1004:$W$1004,1,MATCH(COLUMNS($R$1006:V1006),$R$1006:$W$1006,0)))),"Fix")))</f>
        <v>0</v>
      </c>
      <c r="G763" s="3">
        <f>IF(OR(INDEX($L$2:$L$1001,MATCH(ROWS($K$2:K763),$K$2:$K$1001,0),1)&gt;=100000,INDEX($R$1005:$W$1005,1,MATCH(COLUMNS($R$1006:W1006),$R$1006:$W$1006,0))&gt;=100000), " ",IF(INDEX($R$2:$W$1001,MATCH(ROWS($K$2:K763),$K$2:$K$1001,0),MATCH(COLUMNS($R$1006:W1006),$R$1006:$W$1006,0)), HYPERLINK("#",""), HYPERLINK(CONCATENATE("#Metadata!", ADDRESS(INDEX($M$2:$M$1001,MATCH(ROWS($K$2:K763),$K$2:$K$1001,0),0), INDEX($R$1004:$W$1004,1,MATCH(COLUMNS($R$1006:W1006),$R$1006:$W$1006,0)))),"Fix")))</f>
        <v>0</v>
      </c>
      <c r="K763">
        <v>0</v>
      </c>
      <c r="L763">
        <v>0</v>
      </c>
      <c r="M763">
        <v>0</v>
      </c>
      <c r="N763">
        <f>IF(O763,TRUE,AND(R763:W763))</f>
        <v>0</v>
      </c>
      <c r="O763">
        <f>COUNTBLANK(Metadata!B763:G763)=COLUMNS(Metadata!B763:G763)</f>
        <v>0</v>
      </c>
      <c r="P763">
        <v>0</v>
      </c>
      <c r="R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S763">
        <f>IF(Metadata!C763="",FALSE,TRUE)</f>
        <v>0</v>
      </c>
      <c r="T763">
        <f>IF(Metadata!D763="",FALSE,TRUE)</f>
        <v>0</v>
      </c>
      <c r="U763">
        <f>IF(Metadata!E763="",FALSE,TRUE)</f>
        <v>0</v>
      </c>
      <c r="V763">
        <f>AND(IF(Metadata!F763="",FALSE,TRUE),exact(Metadata!F763,"rat gut metagenome"))</f>
        <v>0</v>
      </c>
      <c r="W763">
        <f>AND(IF(Metadata!G763="",FALSE,TRUE),exact(Metadata!G763,"1436733"))</f>
        <v>0</v>
      </c>
    </row>
    <row r="764" spans="1:23">
      <c r="A764" s="4">
        <f>IF(B764=" "," ",HYPERLINK(CONCATENATE("#metadata!",ADDRESS(INDEX($M$2:$M$1001,MATCH(ROWS($K$2:K764),$K$2:$K$1001,0),0),1)),INDEX($P$2:$P$1001,MATCH(ROWS($K$2:K764),$K$2:$K$1001,0),0)))</f>
        <v>0</v>
      </c>
      <c r="B764" s="3">
        <f>IF(OR(INDEX($L$2:$L$1001,MATCH(ROWS($K$2:K764),$K$2:$K$1001,0),1)&gt;=100000,INDEX($R$1005:$W$1005,1,MATCH(COLUMNS($R$1006:R1006),$R$1006:$W$1006,0))&gt;=100000), " ",IF(INDEX($R$2:$W$1001,MATCH(ROWS($K$2:K764),$K$2:$K$1001,0),MATCH(COLUMNS($R$1006:R1006),$R$1006:$W$1006,0)), HYPERLINK("#",""), HYPERLINK(CONCATENATE("#Metadata!", ADDRESS(INDEX($M$2:$M$1001,MATCH(ROWS($K$2:K764),$K$2:$K$1001,0),0), INDEX($R$1004:$W$1004,1,MATCH(COLUMNS($R$1006:R1006),$R$1006:$W$1006,0)))),"Fix")))</f>
        <v>0</v>
      </c>
      <c r="C764" s="3">
        <f>IF(OR(INDEX($L$2:$L$1001,MATCH(ROWS($K$2:K764),$K$2:$K$1001,0),1)&gt;=100000,INDEX($R$1005:$W$1005,1,MATCH(COLUMNS($R$1006:S1006),$R$1006:$W$1006,0))&gt;=100000), " ",IF(INDEX($R$2:$W$1001,MATCH(ROWS($K$2:K764),$K$2:$K$1001,0),MATCH(COLUMNS($R$1006:S1006),$R$1006:$W$1006,0)), HYPERLINK("#",""), HYPERLINK(CONCATENATE("#Metadata!", ADDRESS(INDEX($M$2:$M$1001,MATCH(ROWS($K$2:K764),$K$2:$K$1001,0),0), INDEX($R$1004:$W$1004,1,MATCH(COLUMNS($R$1006:S1006),$R$1006:$W$1006,0)))),"Fix")))</f>
        <v>0</v>
      </c>
      <c r="D764" s="3">
        <f>IF(OR(INDEX($L$2:$L$1001,MATCH(ROWS($K$2:K764),$K$2:$K$1001,0),1)&gt;=100000,INDEX($R$1005:$W$1005,1,MATCH(COLUMNS($R$1006:T1006),$R$1006:$W$1006,0))&gt;=100000), " ",IF(INDEX($R$2:$W$1001,MATCH(ROWS($K$2:K764),$K$2:$K$1001,0),MATCH(COLUMNS($R$1006:T1006),$R$1006:$W$1006,0)), HYPERLINK("#",""), HYPERLINK(CONCATENATE("#Metadata!", ADDRESS(INDEX($M$2:$M$1001,MATCH(ROWS($K$2:K764),$K$2:$K$1001,0),0), INDEX($R$1004:$W$1004,1,MATCH(COLUMNS($R$1006:T1006),$R$1006:$W$1006,0)))),"Fix")))</f>
        <v>0</v>
      </c>
      <c r="E764" s="3">
        <f>IF(OR(INDEX($L$2:$L$1001,MATCH(ROWS($K$2:K764),$K$2:$K$1001,0),1)&gt;=100000,INDEX($R$1005:$W$1005,1,MATCH(COLUMNS($R$1006:U1006),$R$1006:$W$1006,0))&gt;=100000), " ",IF(INDEX($R$2:$W$1001,MATCH(ROWS($K$2:K764),$K$2:$K$1001,0),MATCH(COLUMNS($R$1006:U1006),$R$1006:$W$1006,0)), HYPERLINK("#",""), HYPERLINK(CONCATENATE("#Metadata!", ADDRESS(INDEX($M$2:$M$1001,MATCH(ROWS($K$2:K764),$K$2:$K$1001,0),0), INDEX($R$1004:$W$1004,1,MATCH(COLUMNS($R$1006:U1006),$R$1006:$W$1006,0)))),"Fix")))</f>
        <v>0</v>
      </c>
      <c r="F764" s="3">
        <f>IF(OR(INDEX($L$2:$L$1001,MATCH(ROWS($K$2:K764),$K$2:$K$1001,0),1)&gt;=100000,INDEX($R$1005:$W$1005,1,MATCH(COLUMNS($R$1006:V1006),$R$1006:$W$1006,0))&gt;=100000), " ",IF(INDEX($R$2:$W$1001,MATCH(ROWS($K$2:K764),$K$2:$K$1001,0),MATCH(COLUMNS($R$1006:V1006),$R$1006:$W$1006,0)), HYPERLINK("#",""), HYPERLINK(CONCATENATE("#Metadata!", ADDRESS(INDEX($M$2:$M$1001,MATCH(ROWS($K$2:K764),$K$2:$K$1001,0),0), INDEX($R$1004:$W$1004,1,MATCH(COLUMNS($R$1006:V1006),$R$1006:$W$1006,0)))),"Fix")))</f>
        <v>0</v>
      </c>
      <c r="G764" s="3">
        <f>IF(OR(INDEX($L$2:$L$1001,MATCH(ROWS($K$2:K764),$K$2:$K$1001,0),1)&gt;=100000,INDEX($R$1005:$W$1005,1,MATCH(COLUMNS($R$1006:W1006),$R$1006:$W$1006,0))&gt;=100000), " ",IF(INDEX($R$2:$W$1001,MATCH(ROWS($K$2:K764),$K$2:$K$1001,0),MATCH(COLUMNS($R$1006:W1006),$R$1006:$W$1006,0)), HYPERLINK("#",""), HYPERLINK(CONCATENATE("#Metadata!", ADDRESS(INDEX($M$2:$M$1001,MATCH(ROWS($K$2:K764),$K$2:$K$1001,0),0), INDEX($R$1004:$W$1004,1,MATCH(COLUMNS($R$1006:W1006),$R$1006:$W$1006,0)))),"Fix")))</f>
        <v>0</v>
      </c>
      <c r="K764">
        <v>0</v>
      </c>
      <c r="L764">
        <v>0</v>
      </c>
      <c r="M764">
        <v>0</v>
      </c>
      <c r="N764">
        <f>IF(O764,TRUE,AND(R764:W764))</f>
        <v>0</v>
      </c>
      <c r="O764">
        <f>COUNTBLANK(Metadata!B764:G764)=COLUMNS(Metadata!B764:G764)</f>
        <v>0</v>
      </c>
      <c r="P764">
        <v>0</v>
      </c>
      <c r="R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S764">
        <f>IF(Metadata!C764="",FALSE,TRUE)</f>
        <v>0</v>
      </c>
      <c r="T764">
        <f>IF(Metadata!D764="",FALSE,TRUE)</f>
        <v>0</v>
      </c>
      <c r="U764">
        <f>IF(Metadata!E764="",FALSE,TRUE)</f>
        <v>0</v>
      </c>
      <c r="V764">
        <f>AND(IF(Metadata!F764="",FALSE,TRUE),exact(Metadata!F764,"rat gut metagenome"))</f>
        <v>0</v>
      </c>
      <c r="W764">
        <f>AND(IF(Metadata!G764="",FALSE,TRUE),exact(Metadata!G764,"1436733"))</f>
        <v>0</v>
      </c>
    </row>
    <row r="765" spans="1:23">
      <c r="A765" s="4">
        <f>IF(B765=" "," ",HYPERLINK(CONCATENATE("#metadata!",ADDRESS(INDEX($M$2:$M$1001,MATCH(ROWS($K$2:K765),$K$2:$K$1001,0),0),1)),INDEX($P$2:$P$1001,MATCH(ROWS($K$2:K765),$K$2:$K$1001,0),0)))</f>
        <v>0</v>
      </c>
      <c r="B765" s="3">
        <f>IF(OR(INDEX($L$2:$L$1001,MATCH(ROWS($K$2:K765),$K$2:$K$1001,0),1)&gt;=100000,INDEX($R$1005:$W$1005,1,MATCH(COLUMNS($R$1006:R1006),$R$1006:$W$1006,0))&gt;=100000), " ",IF(INDEX($R$2:$W$1001,MATCH(ROWS($K$2:K765),$K$2:$K$1001,0),MATCH(COLUMNS($R$1006:R1006),$R$1006:$W$1006,0)), HYPERLINK("#",""), HYPERLINK(CONCATENATE("#Metadata!", ADDRESS(INDEX($M$2:$M$1001,MATCH(ROWS($K$2:K765),$K$2:$K$1001,0),0), INDEX($R$1004:$W$1004,1,MATCH(COLUMNS($R$1006:R1006),$R$1006:$W$1006,0)))),"Fix")))</f>
        <v>0</v>
      </c>
      <c r="C765" s="3">
        <f>IF(OR(INDEX($L$2:$L$1001,MATCH(ROWS($K$2:K765),$K$2:$K$1001,0),1)&gt;=100000,INDEX($R$1005:$W$1005,1,MATCH(COLUMNS($R$1006:S1006),$R$1006:$W$1006,0))&gt;=100000), " ",IF(INDEX($R$2:$W$1001,MATCH(ROWS($K$2:K765),$K$2:$K$1001,0),MATCH(COLUMNS($R$1006:S1006),$R$1006:$W$1006,0)), HYPERLINK("#",""), HYPERLINK(CONCATENATE("#Metadata!", ADDRESS(INDEX($M$2:$M$1001,MATCH(ROWS($K$2:K765),$K$2:$K$1001,0),0), INDEX($R$1004:$W$1004,1,MATCH(COLUMNS($R$1006:S1006),$R$1006:$W$1006,0)))),"Fix")))</f>
        <v>0</v>
      </c>
      <c r="D765" s="3">
        <f>IF(OR(INDEX($L$2:$L$1001,MATCH(ROWS($K$2:K765),$K$2:$K$1001,0),1)&gt;=100000,INDEX($R$1005:$W$1005,1,MATCH(COLUMNS($R$1006:T1006),$R$1006:$W$1006,0))&gt;=100000), " ",IF(INDEX($R$2:$W$1001,MATCH(ROWS($K$2:K765),$K$2:$K$1001,0),MATCH(COLUMNS($R$1006:T1006),$R$1006:$W$1006,0)), HYPERLINK("#",""), HYPERLINK(CONCATENATE("#Metadata!", ADDRESS(INDEX($M$2:$M$1001,MATCH(ROWS($K$2:K765),$K$2:$K$1001,0),0), INDEX($R$1004:$W$1004,1,MATCH(COLUMNS($R$1006:T1006),$R$1006:$W$1006,0)))),"Fix")))</f>
        <v>0</v>
      </c>
      <c r="E765" s="3">
        <f>IF(OR(INDEX($L$2:$L$1001,MATCH(ROWS($K$2:K765),$K$2:$K$1001,0),1)&gt;=100000,INDEX($R$1005:$W$1005,1,MATCH(COLUMNS($R$1006:U1006),$R$1006:$W$1006,0))&gt;=100000), " ",IF(INDEX($R$2:$W$1001,MATCH(ROWS($K$2:K765),$K$2:$K$1001,0),MATCH(COLUMNS($R$1006:U1006),$R$1006:$W$1006,0)), HYPERLINK("#",""), HYPERLINK(CONCATENATE("#Metadata!", ADDRESS(INDEX($M$2:$M$1001,MATCH(ROWS($K$2:K765),$K$2:$K$1001,0),0), INDEX($R$1004:$W$1004,1,MATCH(COLUMNS($R$1006:U1006),$R$1006:$W$1006,0)))),"Fix")))</f>
        <v>0</v>
      </c>
      <c r="F765" s="3">
        <f>IF(OR(INDEX($L$2:$L$1001,MATCH(ROWS($K$2:K765),$K$2:$K$1001,0),1)&gt;=100000,INDEX($R$1005:$W$1005,1,MATCH(COLUMNS($R$1006:V1006),$R$1006:$W$1006,0))&gt;=100000), " ",IF(INDEX($R$2:$W$1001,MATCH(ROWS($K$2:K765),$K$2:$K$1001,0),MATCH(COLUMNS($R$1006:V1006),$R$1006:$W$1006,0)), HYPERLINK("#",""), HYPERLINK(CONCATENATE("#Metadata!", ADDRESS(INDEX($M$2:$M$1001,MATCH(ROWS($K$2:K765),$K$2:$K$1001,0),0), INDEX($R$1004:$W$1004,1,MATCH(COLUMNS($R$1006:V1006),$R$1006:$W$1006,0)))),"Fix")))</f>
        <v>0</v>
      </c>
      <c r="G765" s="3">
        <f>IF(OR(INDEX($L$2:$L$1001,MATCH(ROWS($K$2:K765),$K$2:$K$1001,0),1)&gt;=100000,INDEX($R$1005:$W$1005,1,MATCH(COLUMNS($R$1006:W1006),$R$1006:$W$1006,0))&gt;=100000), " ",IF(INDEX($R$2:$W$1001,MATCH(ROWS($K$2:K765),$K$2:$K$1001,0),MATCH(COLUMNS($R$1006:W1006),$R$1006:$W$1006,0)), HYPERLINK("#",""), HYPERLINK(CONCATENATE("#Metadata!", ADDRESS(INDEX($M$2:$M$1001,MATCH(ROWS($K$2:K765),$K$2:$K$1001,0),0), INDEX($R$1004:$W$1004,1,MATCH(COLUMNS($R$1006:W1006),$R$1006:$W$1006,0)))),"Fix")))</f>
        <v>0</v>
      </c>
      <c r="K765">
        <v>0</v>
      </c>
      <c r="L765">
        <v>0</v>
      </c>
      <c r="M765">
        <v>0</v>
      </c>
      <c r="N765">
        <f>IF(O765,TRUE,AND(R765:W765))</f>
        <v>0</v>
      </c>
      <c r="O765">
        <f>COUNTBLANK(Metadata!B765:G765)=COLUMNS(Metadata!B765:G765)</f>
        <v>0</v>
      </c>
      <c r="P765">
        <v>0</v>
      </c>
      <c r="R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S765">
        <f>IF(Metadata!C765="",FALSE,TRUE)</f>
        <v>0</v>
      </c>
      <c r="T765">
        <f>IF(Metadata!D765="",FALSE,TRUE)</f>
        <v>0</v>
      </c>
      <c r="U765">
        <f>IF(Metadata!E765="",FALSE,TRUE)</f>
        <v>0</v>
      </c>
      <c r="V765">
        <f>AND(IF(Metadata!F765="",FALSE,TRUE),exact(Metadata!F765,"rat gut metagenome"))</f>
        <v>0</v>
      </c>
      <c r="W765">
        <f>AND(IF(Metadata!G765="",FALSE,TRUE),exact(Metadata!G765,"1436733"))</f>
        <v>0</v>
      </c>
    </row>
    <row r="766" spans="1:23">
      <c r="A766" s="4">
        <f>IF(B766=" "," ",HYPERLINK(CONCATENATE("#metadata!",ADDRESS(INDEX($M$2:$M$1001,MATCH(ROWS($K$2:K766),$K$2:$K$1001,0),0),1)),INDEX($P$2:$P$1001,MATCH(ROWS($K$2:K766),$K$2:$K$1001,0),0)))</f>
        <v>0</v>
      </c>
      <c r="B766" s="3">
        <f>IF(OR(INDEX($L$2:$L$1001,MATCH(ROWS($K$2:K766),$K$2:$K$1001,0),1)&gt;=100000,INDEX($R$1005:$W$1005,1,MATCH(COLUMNS($R$1006:R1006),$R$1006:$W$1006,0))&gt;=100000), " ",IF(INDEX($R$2:$W$1001,MATCH(ROWS($K$2:K766),$K$2:$K$1001,0),MATCH(COLUMNS($R$1006:R1006),$R$1006:$W$1006,0)), HYPERLINK("#",""), HYPERLINK(CONCATENATE("#Metadata!", ADDRESS(INDEX($M$2:$M$1001,MATCH(ROWS($K$2:K766),$K$2:$K$1001,0),0), INDEX($R$1004:$W$1004,1,MATCH(COLUMNS($R$1006:R1006),$R$1006:$W$1006,0)))),"Fix")))</f>
        <v>0</v>
      </c>
      <c r="C766" s="3">
        <f>IF(OR(INDEX($L$2:$L$1001,MATCH(ROWS($K$2:K766),$K$2:$K$1001,0),1)&gt;=100000,INDEX($R$1005:$W$1005,1,MATCH(COLUMNS($R$1006:S1006),$R$1006:$W$1006,0))&gt;=100000), " ",IF(INDEX($R$2:$W$1001,MATCH(ROWS($K$2:K766),$K$2:$K$1001,0),MATCH(COLUMNS($R$1006:S1006),$R$1006:$W$1006,0)), HYPERLINK("#",""), HYPERLINK(CONCATENATE("#Metadata!", ADDRESS(INDEX($M$2:$M$1001,MATCH(ROWS($K$2:K766),$K$2:$K$1001,0),0), INDEX($R$1004:$W$1004,1,MATCH(COLUMNS($R$1006:S1006),$R$1006:$W$1006,0)))),"Fix")))</f>
        <v>0</v>
      </c>
      <c r="D766" s="3">
        <f>IF(OR(INDEX($L$2:$L$1001,MATCH(ROWS($K$2:K766),$K$2:$K$1001,0),1)&gt;=100000,INDEX($R$1005:$W$1005,1,MATCH(COLUMNS($R$1006:T1006),$R$1006:$W$1006,0))&gt;=100000), " ",IF(INDEX($R$2:$W$1001,MATCH(ROWS($K$2:K766),$K$2:$K$1001,0),MATCH(COLUMNS($R$1006:T1006),$R$1006:$W$1006,0)), HYPERLINK("#",""), HYPERLINK(CONCATENATE("#Metadata!", ADDRESS(INDEX($M$2:$M$1001,MATCH(ROWS($K$2:K766),$K$2:$K$1001,0),0), INDEX($R$1004:$W$1004,1,MATCH(COLUMNS($R$1006:T1006),$R$1006:$W$1006,0)))),"Fix")))</f>
        <v>0</v>
      </c>
      <c r="E766" s="3">
        <f>IF(OR(INDEX($L$2:$L$1001,MATCH(ROWS($K$2:K766),$K$2:$K$1001,0),1)&gt;=100000,INDEX($R$1005:$W$1005,1,MATCH(COLUMNS($R$1006:U1006),$R$1006:$W$1006,0))&gt;=100000), " ",IF(INDEX($R$2:$W$1001,MATCH(ROWS($K$2:K766),$K$2:$K$1001,0),MATCH(COLUMNS($R$1006:U1006),$R$1006:$W$1006,0)), HYPERLINK("#",""), HYPERLINK(CONCATENATE("#Metadata!", ADDRESS(INDEX($M$2:$M$1001,MATCH(ROWS($K$2:K766),$K$2:$K$1001,0),0), INDEX($R$1004:$W$1004,1,MATCH(COLUMNS($R$1006:U1006),$R$1006:$W$1006,0)))),"Fix")))</f>
        <v>0</v>
      </c>
      <c r="F766" s="3">
        <f>IF(OR(INDEX($L$2:$L$1001,MATCH(ROWS($K$2:K766),$K$2:$K$1001,0),1)&gt;=100000,INDEX($R$1005:$W$1005,1,MATCH(COLUMNS($R$1006:V1006),$R$1006:$W$1006,0))&gt;=100000), " ",IF(INDEX($R$2:$W$1001,MATCH(ROWS($K$2:K766),$K$2:$K$1001,0),MATCH(COLUMNS($R$1006:V1006),$R$1006:$W$1006,0)), HYPERLINK("#",""), HYPERLINK(CONCATENATE("#Metadata!", ADDRESS(INDEX($M$2:$M$1001,MATCH(ROWS($K$2:K766),$K$2:$K$1001,0),0), INDEX($R$1004:$W$1004,1,MATCH(COLUMNS($R$1006:V1006),$R$1006:$W$1006,0)))),"Fix")))</f>
        <v>0</v>
      </c>
      <c r="G766" s="3">
        <f>IF(OR(INDEX($L$2:$L$1001,MATCH(ROWS($K$2:K766),$K$2:$K$1001,0),1)&gt;=100000,INDEX($R$1005:$W$1005,1,MATCH(COLUMNS($R$1006:W1006),$R$1006:$W$1006,0))&gt;=100000), " ",IF(INDEX($R$2:$W$1001,MATCH(ROWS($K$2:K766),$K$2:$K$1001,0),MATCH(COLUMNS($R$1006:W1006),$R$1006:$W$1006,0)), HYPERLINK("#",""), HYPERLINK(CONCATENATE("#Metadata!", ADDRESS(INDEX($M$2:$M$1001,MATCH(ROWS($K$2:K766),$K$2:$K$1001,0),0), INDEX($R$1004:$W$1004,1,MATCH(COLUMNS($R$1006:W1006),$R$1006:$W$1006,0)))),"Fix")))</f>
        <v>0</v>
      </c>
      <c r="K766">
        <v>0</v>
      </c>
      <c r="L766">
        <v>0</v>
      </c>
      <c r="M766">
        <v>0</v>
      </c>
      <c r="N766">
        <f>IF(O766,TRUE,AND(R766:W766))</f>
        <v>0</v>
      </c>
      <c r="O766">
        <f>COUNTBLANK(Metadata!B766:G766)=COLUMNS(Metadata!B766:G766)</f>
        <v>0</v>
      </c>
      <c r="P766">
        <v>0</v>
      </c>
      <c r="R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S766">
        <f>IF(Metadata!C766="",FALSE,TRUE)</f>
        <v>0</v>
      </c>
      <c r="T766">
        <f>IF(Metadata!D766="",FALSE,TRUE)</f>
        <v>0</v>
      </c>
      <c r="U766">
        <f>IF(Metadata!E766="",FALSE,TRUE)</f>
        <v>0</v>
      </c>
      <c r="V766">
        <f>AND(IF(Metadata!F766="",FALSE,TRUE),exact(Metadata!F766,"rat gut metagenome"))</f>
        <v>0</v>
      </c>
      <c r="W766">
        <f>AND(IF(Metadata!G766="",FALSE,TRUE),exact(Metadata!G766,"1436733"))</f>
        <v>0</v>
      </c>
    </row>
    <row r="767" spans="1:23">
      <c r="A767" s="4">
        <f>IF(B767=" "," ",HYPERLINK(CONCATENATE("#metadata!",ADDRESS(INDEX($M$2:$M$1001,MATCH(ROWS($K$2:K767),$K$2:$K$1001,0),0),1)),INDEX($P$2:$P$1001,MATCH(ROWS($K$2:K767),$K$2:$K$1001,0),0)))</f>
        <v>0</v>
      </c>
      <c r="B767" s="3">
        <f>IF(OR(INDEX($L$2:$L$1001,MATCH(ROWS($K$2:K767),$K$2:$K$1001,0),1)&gt;=100000,INDEX($R$1005:$W$1005,1,MATCH(COLUMNS($R$1006:R1006),$R$1006:$W$1006,0))&gt;=100000), " ",IF(INDEX($R$2:$W$1001,MATCH(ROWS($K$2:K767),$K$2:$K$1001,0),MATCH(COLUMNS($R$1006:R1006),$R$1006:$W$1006,0)), HYPERLINK("#",""), HYPERLINK(CONCATENATE("#Metadata!", ADDRESS(INDEX($M$2:$M$1001,MATCH(ROWS($K$2:K767),$K$2:$K$1001,0),0), INDEX($R$1004:$W$1004,1,MATCH(COLUMNS($R$1006:R1006),$R$1006:$W$1006,0)))),"Fix")))</f>
        <v>0</v>
      </c>
      <c r="C767" s="3">
        <f>IF(OR(INDEX($L$2:$L$1001,MATCH(ROWS($K$2:K767),$K$2:$K$1001,0),1)&gt;=100000,INDEX($R$1005:$W$1005,1,MATCH(COLUMNS($R$1006:S1006),$R$1006:$W$1006,0))&gt;=100000), " ",IF(INDEX($R$2:$W$1001,MATCH(ROWS($K$2:K767),$K$2:$K$1001,0),MATCH(COLUMNS($R$1006:S1006),$R$1006:$W$1006,0)), HYPERLINK("#",""), HYPERLINK(CONCATENATE("#Metadata!", ADDRESS(INDEX($M$2:$M$1001,MATCH(ROWS($K$2:K767),$K$2:$K$1001,0),0), INDEX($R$1004:$W$1004,1,MATCH(COLUMNS($R$1006:S1006),$R$1006:$W$1006,0)))),"Fix")))</f>
        <v>0</v>
      </c>
      <c r="D767" s="3">
        <f>IF(OR(INDEX($L$2:$L$1001,MATCH(ROWS($K$2:K767),$K$2:$K$1001,0),1)&gt;=100000,INDEX($R$1005:$W$1005,1,MATCH(COLUMNS($R$1006:T1006),$R$1006:$W$1006,0))&gt;=100000), " ",IF(INDEX($R$2:$W$1001,MATCH(ROWS($K$2:K767),$K$2:$K$1001,0),MATCH(COLUMNS($R$1006:T1006),$R$1006:$W$1006,0)), HYPERLINK("#",""), HYPERLINK(CONCATENATE("#Metadata!", ADDRESS(INDEX($M$2:$M$1001,MATCH(ROWS($K$2:K767),$K$2:$K$1001,0),0), INDEX($R$1004:$W$1004,1,MATCH(COLUMNS($R$1006:T1006),$R$1006:$W$1006,0)))),"Fix")))</f>
        <v>0</v>
      </c>
      <c r="E767" s="3">
        <f>IF(OR(INDEX($L$2:$L$1001,MATCH(ROWS($K$2:K767),$K$2:$K$1001,0),1)&gt;=100000,INDEX($R$1005:$W$1005,1,MATCH(COLUMNS($R$1006:U1006),$R$1006:$W$1006,0))&gt;=100000), " ",IF(INDEX($R$2:$W$1001,MATCH(ROWS($K$2:K767),$K$2:$K$1001,0),MATCH(COLUMNS($R$1006:U1006),$R$1006:$W$1006,0)), HYPERLINK("#",""), HYPERLINK(CONCATENATE("#Metadata!", ADDRESS(INDEX($M$2:$M$1001,MATCH(ROWS($K$2:K767),$K$2:$K$1001,0),0), INDEX($R$1004:$W$1004,1,MATCH(COLUMNS($R$1006:U1006),$R$1006:$W$1006,0)))),"Fix")))</f>
        <v>0</v>
      </c>
      <c r="F767" s="3">
        <f>IF(OR(INDEX($L$2:$L$1001,MATCH(ROWS($K$2:K767),$K$2:$K$1001,0),1)&gt;=100000,INDEX($R$1005:$W$1005,1,MATCH(COLUMNS($R$1006:V1006),$R$1006:$W$1006,0))&gt;=100000), " ",IF(INDEX($R$2:$W$1001,MATCH(ROWS($K$2:K767),$K$2:$K$1001,0),MATCH(COLUMNS($R$1006:V1006),$R$1006:$W$1006,0)), HYPERLINK("#",""), HYPERLINK(CONCATENATE("#Metadata!", ADDRESS(INDEX($M$2:$M$1001,MATCH(ROWS($K$2:K767),$K$2:$K$1001,0),0), INDEX($R$1004:$W$1004,1,MATCH(COLUMNS($R$1006:V1006),$R$1006:$W$1006,0)))),"Fix")))</f>
        <v>0</v>
      </c>
      <c r="G767" s="3">
        <f>IF(OR(INDEX($L$2:$L$1001,MATCH(ROWS($K$2:K767),$K$2:$K$1001,0),1)&gt;=100000,INDEX($R$1005:$W$1005,1,MATCH(COLUMNS($R$1006:W1006),$R$1006:$W$1006,0))&gt;=100000), " ",IF(INDEX($R$2:$W$1001,MATCH(ROWS($K$2:K767),$K$2:$K$1001,0),MATCH(COLUMNS($R$1006:W1006),$R$1006:$W$1006,0)), HYPERLINK("#",""), HYPERLINK(CONCATENATE("#Metadata!", ADDRESS(INDEX($M$2:$M$1001,MATCH(ROWS($K$2:K767),$K$2:$K$1001,0),0), INDEX($R$1004:$W$1004,1,MATCH(COLUMNS($R$1006:W1006),$R$1006:$W$1006,0)))),"Fix")))</f>
        <v>0</v>
      </c>
      <c r="K767">
        <v>0</v>
      </c>
      <c r="L767">
        <v>0</v>
      </c>
      <c r="M767">
        <v>0</v>
      </c>
      <c r="N767">
        <f>IF(O767,TRUE,AND(R767:W767))</f>
        <v>0</v>
      </c>
      <c r="O767">
        <f>COUNTBLANK(Metadata!B767:G767)=COLUMNS(Metadata!B767:G767)</f>
        <v>0</v>
      </c>
      <c r="P767">
        <v>0</v>
      </c>
      <c r="R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S767">
        <f>IF(Metadata!C767="",FALSE,TRUE)</f>
        <v>0</v>
      </c>
      <c r="T767">
        <f>IF(Metadata!D767="",FALSE,TRUE)</f>
        <v>0</v>
      </c>
      <c r="U767">
        <f>IF(Metadata!E767="",FALSE,TRUE)</f>
        <v>0</v>
      </c>
      <c r="V767">
        <f>AND(IF(Metadata!F767="",FALSE,TRUE),exact(Metadata!F767,"rat gut metagenome"))</f>
        <v>0</v>
      </c>
      <c r="W767">
        <f>AND(IF(Metadata!G767="",FALSE,TRUE),exact(Metadata!G767,"1436733"))</f>
        <v>0</v>
      </c>
    </row>
    <row r="768" spans="1:23">
      <c r="A768" s="4">
        <f>IF(B768=" "," ",HYPERLINK(CONCATENATE("#metadata!",ADDRESS(INDEX($M$2:$M$1001,MATCH(ROWS($K$2:K768),$K$2:$K$1001,0),0),1)),INDEX($P$2:$P$1001,MATCH(ROWS($K$2:K768),$K$2:$K$1001,0),0)))</f>
        <v>0</v>
      </c>
      <c r="B768" s="3">
        <f>IF(OR(INDEX($L$2:$L$1001,MATCH(ROWS($K$2:K768),$K$2:$K$1001,0),1)&gt;=100000,INDEX($R$1005:$W$1005,1,MATCH(COLUMNS($R$1006:R1006),$R$1006:$W$1006,0))&gt;=100000), " ",IF(INDEX($R$2:$W$1001,MATCH(ROWS($K$2:K768),$K$2:$K$1001,0),MATCH(COLUMNS($R$1006:R1006),$R$1006:$W$1006,0)), HYPERLINK("#",""), HYPERLINK(CONCATENATE("#Metadata!", ADDRESS(INDEX($M$2:$M$1001,MATCH(ROWS($K$2:K768),$K$2:$K$1001,0),0), INDEX($R$1004:$W$1004,1,MATCH(COLUMNS($R$1006:R1006),$R$1006:$W$1006,0)))),"Fix")))</f>
        <v>0</v>
      </c>
      <c r="C768" s="3">
        <f>IF(OR(INDEX($L$2:$L$1001,MATCH(ROWS($K$2:K768),$K$2:$K$1001,0),1)&gt;=100000,INDEX($R$1005:$W$1005,1,MATCH(COLUMNS($R$1006:S1006),$R$1006:$W$1006,0))&gt;=100000), " ",IF(INDEX($R$2:$W$1001,MATCH(ROWS($K$2:K768),$K$2:$K$1001,0),MATCH(COLUMNS($R$1006:S1006),$R$1006:$W$1006,0)), HYPERLINK("#",""), HYPERLINK(CONCATENATE("#Metadata!", ADDRESS(INDEX($M$2:$M$1001,MATCH(ROWS($K$2:K768),$K$2:$K$1001,0),0), INDEX($R$1004:$W$1004,1,MATCH(COLUMNS($R$1006:S1006),$R$1006:$W$1006,0)))),"Fix")))</f>
        <v>0</v>
      </c>
      <c r="D768" s="3">
        <f>IF(OR(INDEX($L$2:$L$1001,MATCH(ROWS($K$2:K768),$K$2:$K$1001,0),1)&gt;=100000,INDEX($R$1005:$W$1005,1,MATCH(COLUMNS($R$1006:T1006),$R$1006:$W$1006,0))&gt;=100000), " ",IF(INDEX($R$2:$W$1001,MATCH(ROWS($K$2:K768),$K$2:$K$1001,0),MATCH(COLUMNS($R$1006:T1006),$R$1006:$W$1006,0)), HYPERLINK("#",""), HYPERLINK(CONCATENATE("#Metadata!", ADDRESS(INDEX($M$2:$M$1001,MATCH(ROWS($K$2:K768),$K$2:$K$1001,0),0), INDEX($R$1004:$W$1004,1,MATCH(COLUMNS($R$1006:T1006),$R$1006:$W$1006,0)))),"Fix")))</f>
        <v>0</v>
      </c>
      <c r="E768" s="3">
        <f>IF(OR(INDEX($L$2:$L$1001,MATCH(ROWS($K$2:K768),$K$2:$K$1001,0),1)&gt;=100000,INDEX($R$1005:$W$1005,1,MATCH(COLUMNS($R$1006:U1006),$R$1006:$W$1006,0))&gt;=100000), " ",IF(INDEX($R$2:$W$1001,MATCH(ROWS($K$2:K768),$K$2:$K$1001,0),MATCH(COLUMNS($R$1006:U1006),$R$1006:$W$1006,0)), HYPERLINK("#",""), HYPERLINK(CONCATENATE("#Metadata!", ADDRESS(INDEX($M$2:$M$1001,MATCH(ROWS($K$2:K768),$K$2:$K$1001,0),0), INDEX($R$1004:$W$1004,1,MATCH(COLUMNS($R$1006:U1006),$R$1006:$W$1006,0)))),"Fix")))</f>
        <v>0</v>
      </c>
      <c r="F768" s="3">
        <f>IF(OR(INDEX($L$2:$L$1001,MATCH(ROWS($K$2:K768),$K$2:$K$1001,0),1)&gt;=100000,INDEX($R$1005:$W$1005,1,MATCH(COLUMNS($R$1006:V1006),$R$1006:$W$1006,0))&gt;=100000), " ",IF(INDEX($R$2:$W$1001,MATCH(ROWS($K$2:K768),$K$2:$K$1001,0),MATCH(COLUMNS($R$1006:V1006),$R$1006:$W$1006,0)), HYPERLINK("#",""), HYPERLINK(CONCATENATE("#Metadata!", ADDRESS(INDEX($M$2:$M$1001,MATCH(ROWS($K$2:K768),$K$2:$K$1001,0),0), INDEX($R$1004:$W$1004,1,MATCH(COLUMNS($R$1006:V1006),$R$1006:$W$1006,0)))),"Fix")))</f>
        <v>0</v>
      </c>
      <c r="G768" s="3">
        <f>IF(OR(INDEX($L$2:$L$1001,MATCH(ROWS($K$2:K768),$K$2:$K$1001,0),1)&gt;=100000,INDEX($R$1005:$W$1005,1,MATCH(COLUMNS($R$1006:W1006),$R$1006:$W$1006,0))&gt;=100000), " ",IF(INDEX($R$2:$W$1001,MATCH(ROWS($K$2:K768),$K$2:$K$1001,0),MATCH(COLUMNS($R$1006:W1006),$R$1006:$W$1006,0)), HYPERLINK("#",""), HYPERLINK(CONCATENATE("#Metadata!", ADDRESS(INDEX($M$2:$M$1001,MATCH(ROWS($K$2:K768),$K$2:$K$1001,0),0), INDEX($R$1004:$W$1004,1,MATCH(COLUMNS($R$1006:W1006),$R$1006:$W$1006,0)))),"Fix")))</f>
        <v>0</v>
      </c>
      <c r="K768">
        <v>0</v>
      </c>
      <c r="L768">
        <v>0</v>
      </c>
      <c r="M768">
        <v>0</v>
      </c>
      <c r="N768">
        <f>IF(O768,TRUE,AND(R768:W768))</f>
        <v>0</v>
      </c>
      <c r="O768">
        <f>COUNTBLANK(Metadata!B768:G768)=COLUMNS(Metadata!B768:G768)</f>
        <v>0</v>
      </c>
      <c r="P768">
        <v>0</v>
      </c>
      <c r="R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S768">
        <f>IF(Metadata!C768="",FALSE,TRUE)</f>
        <v>0</v>
      </c>
      <c r="T768">
        <f>IF(Metadata!D768="",FALSE,TRUE)</f>
        <v>0</v>
      </c>
      <c r="U768">
        <f>IF(Metadata!E768="",FALSE,TRUE)</f>
        <v>0</v>
      </c>
      <c r="V768">
        <f>AND(IF(Metadata!F768="",FALSE,TRUE),exact(Metadata!F768,"rat gut metagenome"))</f>
        <v>0</v>
      </c>
      <c r="W768">
        <f>AND(IF(Metadata!G768="",FALSE,TRUE),exact(Metadata!G768,"1436733"))</f>
        <v>0</v>
      </c>
    </row>
    <row r="769" spans="1:23">
      <c r="A769" s="4">
        <f>IF(B769=" "," ",HYPERLINK(CONCATENATE("#metadata!",ADDRESS(INDEX($M$2:$M$1001,MATCH(ROWS($K$2:K769),$K$2:$K$1001,0),0),1)),INDEX($P$2:$P$1001,MATCH(ROWS($K$2:K769),$K$2:$K$1001,0),0)))</f>
        <v>0</v>
      </c>
      <c r="B769" s="3">
        <f>IF(OR(INDEX($L$2:$L$1001,MATCH(ROWS($K$2:K769),$K$2:$K$1001,0),1)&gt;=100000,INDEX($R$1005:$W$1005,1,MATCH(COLUMNS($R$1006:R1006),$R$1006:$W$1006,0))&gt;=100000), " ",IF(INDEX($R$2:$W$1001,MATCH(ROWS($K$2:K769),$K$2:$K$1001,0),MATCH(COLUMNS($R$1006:R1006),$R$1006:$W$1006,0)), HYPERLINK("#",""), HYPERLINK(CONCATENATE("#Metadata!", ADDRESS(INDEX($M$2:$M$1001,MATCH(ROWS($K$2:K769),$K$2:$K$1001,0),0), INDEX($R$1004:$W$1004,1,MATCH(COLUMNS($R$1006:R1006),$R$1006:$W$1006,0)))),"Fix")))</f>
        <v>0</v>
      </c>
      <c r="C769" s="3">
        <f>IF(OR(INDEX($L$2:$L$1001,MATCH(ROWS($K$2:K769),$K$2:$K$1001,0),1)&gt;=100000,INDEX($R$1005:$W$1005,1,MATCH(COLUMNS($R$1006:S1006),$R$1006:$W$1006,0))&gt;=100000), " ",IF(INDEX($R$2:$W$1001,MATCH(ROWS($K$2:K769),$K$2:$K$1001,0),MATCH(COLUMNS($R$1006:S1006),$R$1006:$W$1006,0)), HYPERLINK("#",""), HYPERLINK(CONCATENATE("#Metadata!", ADDRESS(INDEX($M$2:$M$1001,MATCH(ROWS($K$2:K769),$K$2:$K$1001,0),0), INDEX($R$1004:$W$1004,1,MATCH(COLUMNS($R$1006:S1006),$R$1006:$W$1006,0)))),"Fix")))</f>
        <v>0</v>
      </c>
      <c r="D769" s="3">
        <f>IF(OR(INDEX($L$2:$L$1001,MATCH(ROWS($K$2:K769),$K$2:$K$1001,0),1)&gt;=100000,INDEX($R$1005:$W$1005,1,MATCH(COLUMNS($R$1006:T1006),$R$1006:$W$1006,0))&gt;=100000), " ",IF(INDEX($R$2:$W$1001,MATCH(ROWS($K$2:K769),$K$2:$K$1001,0),MATCH(COLUMNS($R$1006:T1006),$R$1006:$W$1006,0)), HYPERLINK("#",""), HYPERLINK(CONCATENATE("#Metadata!", ADDRESS(INDEX($M$2:$M$1001,MATCH(ROWS($K$2:K769),$K$2:$K$1001,0),0), INDEX($R$1004:$W$1004,1,MATCH(COLUMNS($R$1006:T1006),$R$1006:$W$1006,0)))),"Fix")))</f>
        <v>0</v>
      </c>
      <c r="E769" s="3">
        <f>IF(OR(INDEX($L$2:$L$1001,MATCH(ROWS($K$2:K769),$K$2:$K$1001,0),1)&gt;=100000,INDEX($R$1005:$W$1005,1,MATCH(COLUMNS($R$1006:U1006),$R$1006:$W$1006,0))&gt;=100000), " ",IF(INDEX($R$2:$W$1001,MATCH(ROWS($K$2:K769),$K$2:$K$1001,0),MATCH(COLUMNS($R$1006:U1006),$R$1006:$W$1006,0)), HYPERLINK("#",""), HYPERLINK(CONCATENATE("#Metadata!", ADDRESS(INDEX($M$2:$M$1001,MATCH(ROWS($K$2:K769),$K$2:$K$1001,0),0), INDEX($R$1004:$W$1004,1,MATCH(COLUMNS($R$1006:U1006),$R$1006:$W$1006,0)))),"Fix")))</f>
        <v>0</v>
      </c>
      <c r="F769" s="3">
        <f>IF(OR(INDEX($L$2:$L$1001,MATCH(ROWS($K$2:K769),$K$2:$K$1001,0),1)&gt;=100000,INDEX($R$1005:$W$1005,1,MATCH(COLUMNS($R$1006:V1006),$R$1006:$W$1006,0))&gt;=100000), " ",IF(INDEX($R$2:$W$1001,MATCH(ROWS($K$2:K769),$K$2:$K$1001,0),MATCH(COLUMNS($R$1006:V1006),$R$1006:$W$1006,0)), HYPERLINK("#",""), HYPERLINK(CONCATENATE("#Metadata!", ADDRESS(INDEX($M$2:$M$1001,MATCH(ROWS($K$2:K769),$K$2:$K$1001,0),0), INDEX($R$1004:$W$1004,1,MATCH(COLUMNS($R$1006:V1006),$R$1006:$W$1006,0)))),"Fix")))</f>
        <v>0</v>
      </c>
      <c r="G769" s="3">
        <f>IF(OR(INDEX($L$2:$L$1001,MATCH(ROWS($K$2:K769),$K$2:$K$1001,0),1)&gt;=100000,INDEX($R$1005:$W$1005,1,MATCH(COLUMNS($R$1006:W1006),$R$1006:$W$1006,0))&gt;=100000), " ",IF(INDEX($R$2:$W$1001,MATCH(ROWS($K$2:K769),$K$2:$K$1001,0),MATCH(COLUMNS($R$1006:W1006),$R$1006:$W$1006,0)), HYPERLINK("#",""), HYPERLINK(CONCATENATE("#Metadata!", ADDRESS(INDEX($M$2:$M$1001,MATCH(ROWS($K$2:K769),$K$2:$K$1001,0),0), INDEX($R$1004:$W$1004,1,MATCH(COLUMNS($R$1006:W1006),$R$1006:$W$1006,0)))),"Fix")))</f>
        <v>0</v>
      </c>
      <c r="K769">
        <v>0</v>
      </c>
      <c r="L769">
        <v>0</v>
      </c>
      <c r="M769">
        <v>0</v>
      </c>
      <c r="N769">
        <f>IF(O769,TRUE,AND(R769:W769))</f>
        <v>0</v>
      </c>
      <c r="O769">
        <f>COUNTBLANK(Metadata!B769:G769)=COLUMNS(Metadata!B769:G769)</f>
        <v>0</v>
      </c>
      <c r="P769">
        <v>0</v>
      </c>
      <c r="R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S769">
        <f>IF(Metadata!C769="",FALSE,TRUE)</f>
        <v>0</v>
      </c>
      <c r="T769">
        <f>IF(Metadata!D769="",FALSE,TRUE)</f>
        <v>0</v>
      </c>
      <c r="U769">
        <f>IF(Metadata!E769="",FALSE,TRUE)</f>
        <v>0</v>
      </c>
      <c r="V769">
        <f>AND(IF(Metadata!F769="",FALSE,TRUE),exact(Metadata!F769,"rat gut metagenome"))</f>
        <v>0</v>
      </c>
      <c r="W769">
        <f>AND(IF(Metadata!G769="",FALSE,TRUE),exact(Metadata!G769,"1436733"))</f>
        <v>0</v>
      </c>
    </row>
    <row r="770" spans="1:23">
      <c r="A770" s="4">
        <f>IF(B770=" "," ",HYPERLINK(CONCATENATE("#metadata!",ADDRESS(INDEX($M$2:$M$1001,MATCH(ROWS($K$2:K770),$K$2:$K$1001,0),0),1)),INDEX($P$2:$P$1001,MATCH(ROWS($K$2:K770),$K$2:$K$1001,0),0)))</f>
        <v>0</v>
      </c>
      <c r="B770" s="3">
        <f>IF(OR(INDEX($L$2:$L$1001,MATCH(ROWS($K$2:K770),$K$2:$K$1001,0),1)&gt;=100000,INDEX($R$1005:$W$1005,1,MATCH(COLUMNS($R$1006:R1006),$R$1006:$W$1006,0))&gt;=100000), " ",IF(INDEX($R$2:$W$1001,MATCH(ROWS($K$2:K770),$K$2:$K$1001,0),MATCH(COLUMNS($R$1006:R1006),$R$1006:$W$1006,0)), HYPERLINK("#",""), HYPERLINK(CONCATENATE("#Metadata!", ADDRESS(INDEX($M$2:$M$1001,MATCH(ROWS($K$2:K770),$K$2:$K$1001,0),0), INDEX($R$1004:$W$1004,1,MATCH(COLUMNS($R$1006:R1006),$R$1006:$W$1006,0)))),"Fix")))</f>
        <v>0</v>
      </c>
      <c r="C770" s="3">
        <f>IF(OR(INDEX($L$2:$L$1001,MATCH(ROWS($K$2:K770),$K$2:$K$1001,0),1)&gt;=100000,INDEX($R$1005:$W$1005,1,MATCH(COLUMNS($R$1006:S1006),$R$1006:$W$1006,0))&gt;=100000), " ",IF(INDEX($R$2:$W$1001,MATCH(ROWS($K$2:K770),$K$2:$K$1001,0),MATCH(COLUMNS($R$1006:S1006),$R$1006:$W$1006,0)), HYPERLINK("#",""), HYPERLINK(CONCATENATE("#Metadata!", ADDRESS(INDEX($M$2:$M$1001,MATCH(ROWS($K$2:K770),$K$2:$K$1001,0),0), INDEX($R$1004:$W$1004,1,MATCH(COLUMNS($R$1006:S1006),$R$1006:$W$1006,0)))),"Fix")))</f>
        <v>0</v>
      </c>
      <c r="D770" s="3">
        <f>IF(OR(INDEX($L$2:$L$1001,MATCH(ROWS($K$2:K770),$K$2:$K$1001,0),1)&gt;=100000,INDEX($R$1005:$W$1005,1,MATCH(COLUMNS($R$1006:T1006),$R$1006:$W$1006,0))&gt;=100000), " ",IF(INDEX($R$2:$W$1001,MATCH(ROWS($K$2:K770),$K$2:$K$1001,0),MATCH(COLUMNS($R$1006:T1006),$R$1006:$W$1006,0)), HYPERLINK("#",""), HYPERLINK(CONCATENATE("#Metadata!", ADDRESS(INDEX($M$2:$M$1001,MATCH(ROWS($K$2:K770),$K$2:$K$1001,0),0), INDEX($R$1004:$W$1004,1,MATCH(COLUMNS($R$1006:T1006),$R$1006:$W$1006,0)))),"Fix")))</f>
        <v>0</v>
      </c>
      <c r="E770" s="3">
        <f>IF(OR(INDEX($L$2:$L$1001,MATCH(ROWS($K$2:K770),$K$2:$K$1001,0),1)&gt;=100000,INDEX($R$1005:$W$1005,1,MATCH(COLUMNS($R$1006:U1006),$R$1006:$W$1006,0))&gt;=100000), " ",IF(INDEX($R$2:$W$1001,MATCH(ROWS($K$2:K770),$K$2:$K$1001,0),MATCH(COLUMNS($R$1006:U1006),$R$1006:$W$1006,0)), HYPERLINK("#",""), HYPERLINK(CONCATENATE("#Metadata!", ADDRESS(INDEX($M$2:$M$1001,MATCH(ROWS($K$2:K770),$K$2:$K$1001,0),0), INDEX($R$1004:$W$1004,1,MATCH(COLUMNS($R$1006:U1006),$R$1006:$W$1006,0)))),"Fix")))</f>
        <v>0</v>
      </c>
      <c r="F770" s="3">
        <f>IF(OR(INDEX($L$2:$L$1001,MATCH(ROWS($K$2:K770),$K$2:$K$1001,0),1)&gt;=100000,INDEX($R$1005:$W$1005,1,MATCH(COLUMNS($R$1006:V1006),$R$1006:$W$1006,0))&gt;=100000), " ",IF(INDEX($R$2:$W$1001,MATCH(ROWS($K$2:K770),$K$2:$K$1001,0),MATCH(COLUMNS($R$1006:V1006),$R$1006:$W$1006,0)), HYPERLINK("#",""), HYPERLINK(CONCATENATE("#Metadata!", ADDRESS(INDEX($M$2:$M$1001,MATCH(ROWS($K$2:K770),$K$2:$K$1001,0),0), INDEX($R$1004:$W$1004,1,MATCH(COLUMNS($R$1006:V1006),$R$1006:$W$1006,0)))),"Fix")))</f>
        <v>0</v>
      </c>
      <c r="G770" s="3">
        <f>IF(OR(INDEX($L$2:$L$1001,MATCH(ROWS($K$2:K770),$K$2:$K$1001,0),1)&gt;=100000,INDEX($R$1005:$W$1005,1,MATCH(COLUMNS($R$1006:W1006),$R$1006:$W$1006,0))&gt;=100000), " ",IF(INDEX($R$2:$W$1001,MATCH(ROWS($K$2:K770),$K$2:$K$1001,0),MATCH(COLUMNS($R$1006:W1006),$R$1006:$W$1006,0)), HYPERLINK("#",""), HYPERLINK(CONCATENATE("#Metadata!", ADDRESS(INDEX($M$2:$M$1001,MATCH(ROWS($K$2:K770),$K$2:$K$1001,0),0), INDEX($R$1004:$W$1004,1,MATCH(COLUMNS($R$1006:W1006),$R$1006:$W$1006,0)))),"Fix")))</f>
        <v>0</v>
      </c>
      <c r="K770">
        <v>0</v>
      </c>
      <c r="L770">
        <v>0</v>
      </c>
      <c r="M770">
        <v>0</v>
      </c>
      <c r="N770">
        <f>IF(O770,TRUE,AND(R770:W770))</f>
        <v>0</v>
      </c>
      <c r="O770">
        <f>COUNTBLANK(Metadata!B770:G770)=COLUMNS(Metadata!B770:G770)</f>
        <v>0</v>
      </c>
      <c r="P770">
        <v>0</v>
      </c>
      <c r="R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S770">
        <f>IF(Metadata!C770="",FALSE,TRUE)</f>
        <v>0</v>
      </c>
      <c r="T770">
        <f>IF(Metadata!D770="",FALSE,TRUE)</f>
        <v>0</v>
      </c>
      <c r="U770">
        <f>IF(Metadata!E770="",FALSE,TRUE)</f>
        <v>0</v>
      </c>
      <c r="V770">
        <f>AND(IF(Metadata!F770="",FALSE,TRUE),exact(Metadata!F770,"rat gut metagenome"))</f>
        <v>0</v>
      </c>
      <c r="W770">
        <f>AND(IF(Metadata!G770="",FALSE,TRUE),exact(Metadata!G770,"1436733"))</f>
        <v>0</v>
      </c>
    </row>
    <row r="771" spans="1:23">
      <c r="A771" s="4">
        <f>IF(B771=" "," ",HYPERLINK(CONCATENATE("#metadata!",ADDRESS(INDEX($M$2:$M$1001,MATCH(ROWS($K$2:K771),$K$2:$K$1001,0),0),1)),INDEX($P$2:$P$1001,MATCH(ROWS($K$2:K771),$K$2:$K$1001,0),0)))</f>
        <v>0</v>
      </c>
      <c r="B771" s="3">
        <f>IF(OR(INDEX($L$2:$L$1001,MATCH(ROWS($K$2:K771),$K$2:$K$1001,0),1)&gt;=100000,INDEX($R$1005:$W$1005,1,MATCH(COLUMNS($R$1006:R1006),$R$1006:$W$1006,0))&gt;=100000), " ",IF(INDEX($R$2:$W$1001,MATCH(ROWS($K$2:K771),$K$2:$K$1001,0),MATCH(COLUMNS($R$1006:R1006),$R$1006:$W$1006,0)), HYPERLINK("#",""), HYPERLINK(CONCATENATE("#Metadata!", ADDRESS(INDEX($M$2:$M$1001,MATCH(ROWS($K$2:K771),$K$2:$K$1001,0),0), INDEX($R$1004:$W$1004,1,MATCH(COLUMNS($R$1006:R1006),$R$1006:$W$1006,0)))),"Fix")))</f>
        <v>0</v>
      </c>
      <c r="C771" s="3">
        <f>IF(OR(INDEX($L$2:$L$1001,MATCH(ROWS($K$2:K771),$K$2:$K$1001,0),1)&gt;=100000,INDEX($R$1005:$W$1005,1,MATCH(COLUMNS($R$1006:S1006),$R$1006:$W$1006,0))&gt;=100000), " ",IF(INDEX($R$2:$W$1001,MATCH(ROWS($K$2:K771),$K$2:$K$1001,0),MATCH(COLUMNS($R$1006:S1006),$R$1006:$W$1006,0)), HYPERLINK("#",""), HYPERLINK(CONCATENATE("#Metadata!", ADDRESS(INDEX($M$2:$M$1001,MATCH(ROWS($K$2:K771),$K$2:$K$1001,0),0), INDEX($R$1004:$W$1004,1,MATCH(COLUMNS($R$1006:S1006),$R$1006:$W$1006,0)))),"Fix")))</f>
        <v>0</v>
      </c>
      <c r="D771" s="3">
        <f>IF(OR(INDEX($L$2:$L$1001,MATCH(ROWS($K$2:K771),$K$2:$K$1001,0),1)&gt;=100000,INDEX($R$1005:$W$1005,1,MATCH(COLUMNS($R$1006:T1006),$R$1006:$W$1006,0))&gt;=100000), " ",IF(INDEX($R$2:$W$1001,MATCH(ROWS($K$2:K771),$K$2:$K$1001,0),MATCH(COLUMNS($R$1006:T1006),$R$1006:$W$1006,0)), HYPERLINK("#",""), HYPERLINK(CONCATENATE("#Metadata!", ADDRESS(INDEX($M$2:$M$1001,MATCH(ROWS($K$2:K771),$K$2:$K$1001,0),0), INDEX($R$1004:$W$1004,1,MATCH(COLUMNS($R$1006:T1006),$R$1006:$W$1006,0)))),"Fix")))</f>
        <v>0</v>
      </c>
      <c r="E771" s="3">
        <f>IF(OR(INDEX($L$2:$L$1001,MATCH(ROWS($K$2:K771),$K$2:$K$1001,0),1)&gt;=100000,INDEX($R$1005:$W$1005,1,MATCH(COLUMNS($R$1006:U1006),$R$1006:$W$1006,0))&gt;=100000), " ",IF(INDEX($R$2:$W$1001,MATCH(ROWS($K$2:K771),$K$2:$K$1001,0),MATCH(COLUMNS($R$1006:U1006),$R$1006:$W$1006,0)), HYPERLINK("#",""), HYPERLINK(CONCATENATE("#Metadata!", ADDRESS(INDEX($M$2:$M$1001,MATCH(ROWS($K$2:K771),$K$2:$K$1001,0),0), INDEX($R$1004:$W$1004,1,MATCH(COLUMNS($R$1006:U1006),$R$1006:$W$1006,0)))),"Fix")))</f>
        <v>0</v>
      </c>
      <c r="F771" s="3">
        <f>IF(OR(INDEX($L$2:$L$1001,MATCH(ROWS($K$2:K771),$K$2:$K$1001,0),1)&gt;=100000,INDEX($R$1005:$W$1005,1,MATCH(COLUMNS($R$1006:V1006),$R$1006:$W$1006,0))&gt;=100000), " ",IF(INDEX($R$2:$W$1001,MATCH(ROWS($K$2:K771),$K$2:$K$1001,0),MATCH(COLUMNS($R$1006:V1006),$R$1006:$W$1006,0)), HYPERLINK("#",""), HYPERLINK(CONCATENATE("#Metadata!", ADDRESS(INDEX($M$2:$M$1001,MATCH(ROWS($K$2:K771),$K$2:$K$1001,0),0), INDEX($R$1004:$W$1004,1,MATCH(COLUMNS($R$1006:V1006),$R$1006:$W$1006,0)))),"Fix")))</f>
        <v>0</v>
      </c>
      <c r="G771" s="3">
        <f>IF(OR(INDEX($L$2:$L$1001,MATCH(ROWS($K$2:K771),$K$2:$K$1001,0),1)&gt;=100000,INDEX($R$1005:$W$1005,1,MATCH(COLUMNS($R$1006:W1006),$R$1006:$W$1006,0))&gt;=100000), " ",IF(INDEX($R$2:$W$1001,MATCH(ROWS($K$2:K771),$K$2:$K$1001,0),MATCH(COLUMNS($R$1006:W1006),$R$1006:$W$1006,0)), HYPERLINK("#",""), HYPERLINK(CONCATENATE("#Metadata!", ADDRESS(INDEX($M$2:$M$1001,MATCH(ROWS($K$2:K771),$K$2:$K$1001,0),0), INDEX($R$1004:$W$1004,1,MATCH(COLUMNS($R$1006:W1006),$R$1006:$W$1006,0)))),"Fix")))</f>
        <v>0</v>
      </c>
      <c r="K771">
        <v>0</v>
      </c>
      <c r="L771">
        <v>0</v>
      </c>
      <c r="M771">
        <v>0</v>
      </c>
      <c r="N771">
        <f>IF(O771,TRUE,AND(R771:W771))</f>
        <v>0</v>
      </c>
      <c r="O771">
        <f>COUNTBLANK(Metadata!B771:G771)=COLUMNS(Metadata!B771:G771)</f>
        <v>0</v>
      </c>
      <c r="P771">
        <v>0</v>
      </c>
      <c r="R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S771">
        <f>IF(Metadata!C771="",FALSE,TRUE)</f>
        <v>0</v>
      </c>
      <c r="T771">
        <f>IF(Metadata!D771="",FALSE,TRUE)</f>
        <v>0</v>
      </c>
      <c r="U771">
        <f>IF(Metadata!E771="",FALSE,TRUE)</f>
        <v>0</v>
      </c>
      <c r="V771">
        <f>AND(IF(Metadata!F771="",FALSE,TRUE),exact(Metadata!F771,"rat gut metagenome"))</f>
        <v>0</v>
      </c>
      <c r="W771">
        <f>AND(IF(Metadata!G771="",FALSE,TRUE),exact(Metadata!G771,"1436733"))</f>
        <v>0</v>
      </c>
    </row>
    <row r="772" spans="1:23">
      <c r="A772" s="4">
        <f>IF(B772=" "," ",HYPERLINK(CONCATENATE("#metadata!",ADDRESS(INDEX($M$2:$M$1001,MATCH(ROWS($K$2:K772),$K$2:$K$1001,0),0),1)),INDEX($P$2:$P$1001,MATCH(ROWS($K$2:K772),$K$2:$K$1001,0),0)))</f>
        <v>0</v>
      </c>
      <c r="B772" s="3">
        <f>IF(OR(INDEX($L$2:$L$1001,MATCH(ROWS($K$2:K772),$K$2:$K$1001,0),1)&gt;=100000,INDEX($R$1005:$W$1005,1,MATCH(COLUMNS($R$1006:R1006),$R$1006:$W$1006,0))&gt;=100000), " ",IF(INDEX($R$2:$W$1001,MATCH(ROWS($K$2:K772),$K$2:$K$1001,0),MATCH(COLUMNS($R$1006:R1006),$R$1006:$W$1006,0)), HYPERLINK("#",""), HYPERLINK(CONCATENATE("#Metadata!", ADDRESS(INDEX($M$2:$M$1001,MATCH(ROWS($K$2:K772),$K$2:$K$1001,0),0), INDEX($R$1004:$W$1004,1,MATCH(COLUMNS($R$1006:R1006),$R$1006:$W$1006,0)))),"Fix")))</f>
        <v>0</v>
      </c>
      <c r="C772" s="3">
        <f>IF(OR(INDEX($L$2:$L$1001,MATCH(ROWS($K$2:K772),$K$2:$K$1001,0),1)&gt;=100000,INDEX($R$1005:$W$1005,1,MATCH(COLUMNS($R$1006:S1006),$R$1006:$W$1006,0))&gt;=100000), " ",IF(INDEX($R$2:$W$1001,MATCH(ROWS($K$2:K772),$K$2:$K$1001,0),MATCH(COLUMNS($R$1006:S1006),$R$1006:$W$1006,0)), HYPERLINK("#",""), HYPERLINK(CONCATENATE("#Metadata!", ADDRESS(INDEX($M$2:$M$1001,MATCH(ROWS($K$2:K772),$K$2:$K$1001,0),0), INDEX($R$1004:$W$1004,1,MATCH(COLUMNS($R$1006:S1006),$R$1006:$W$1006,0)))),"Fix")))</f>
        <v>0</v>
      </c>
      <c r="D772" s="3">
        <f>IF(OR(INDEX($L$2:$L$1001,MATCH(ROWS($K$2:K772),$K$2:$K$1001,0),1)&gt;=100000,INDEX($R$1005:$W$1005,1,MATCH(COLUMNS($R$1006:T1006),$R$1006:$W$1006,0))&gt;=100000), " ",IF(INDEX($R$2:$W$1001,MATCH(ROWS($K$2:K772),$K$2:$K$1001,0),MATCH(COLUMNS($R$1006:T1006),$R$1006:$W$1006,0)), HYPERLINK("#",""), HYPERLINK(CONCATENATE("#Metadata!", ADDRESS(INDEX($M$2:$M$1001,MATCH(ROWS($K$2:K772),$K$2:$K$1001,0),0), INDEX($R$1004:$W$1004,1,MATCH(COLUMNS($R$1006:T1006),$R$1006:$W$1006,0)))),"Fix")))</f>
        <v>0</v>
      </c>
      <c r="E772" s="3">
        <f>IF(OR(INDEX($L$2:$L$1001,MATCH(ROWS($K$2:K772),$K$2:$K$1001,0),1)&gt;=100000,INDEX($R$1005:$W$1005,1,MATCH(COLUMNS($R$1006:U1006),$R$1006:$W$1006,0))&gt;=100000), " ",IF(INDEX($R$2:$W$1001,MATCH(ROWS($K$2:K772),$K$2:$K$1001,0),MATCH(COLUMNS($R$1006:U1006),$R$1006:$W$1006,0)), HYPERLINK("#",""), HYPERLINK(CONCATENATE("#Metadata!", ADDRESS(INDEX($M$2:$M$1001,MATCH(ROWS($K$2:K772),$K$2:$K$1001,0),0), INDEX($R$1004:$W$1004,1,MATCH(COLUMNS($R$1006:U1006),$R$1006:$W$1006,0)))),"Fix")))</f>
        <v>0</v>
      </c>
      <c r="F772" s="3">
        <f>IF(OR(INDEX($L$2:$L$1001,MATCH(ROWS($K$2:K772),$K$2:$K$1001,0),1)&gt;=100000,INDEX($R$1005:$W$1005,1,MATCH(COLUMNS($R$1006:V1006),$R$1006:$W$1006,0))&gt;=100000), " ",IF(INDEX($R$2:$W$1001,MATCH(ROWS($K$2:K772),$K$2:$K$1001,0),MATCH(COLUMNS($R$1006:V1006),$R$1006:$W$1006,0)), HYPERLINK("#",""), HYPERLINK(CONCATENATE("#Metadata!", ADDRESS(INDEX($M$2:$M$1001,MATCH(ROWS($K$2:K772),$K$2:$K$1001,0),0), INDEX($R$1004:$W$1004,1,MATCH(COLUMNS($R$1006:V1006),$R$1006:$W$1006,0)))),"Fix")))</f>
        <v>0</v>
      </c>
      <c r="G772" s="3">
        <f>IF(OR(INDEX($L$2:$L$1001,MATCH(ROWS($K$2:K772),$K$2:$K$1001,0),1)&gt;=100000,INDEX($R$1005:$W$1005,1,MATCH(COLUMNS($R$1006:W1006),$R$1006:$W$1006,0))&gt;=100000), " ",IF(INDEX($R$2:$W$1001,MATCH(ROWS($K$2:K772),$K$2:$K$1001,0),MATCH(COLUMNS($R$1006:W1006),$R$1006:$W$1006,0)), HYPERLINK("#",""), HYPERLINK(CONCATENATE("#Metadata!", ADDRESS(INDEX($M$2:$M$1001,MATCH(ROWS($K$2:K772),$K$2:$K$1001,0),0), INDEX($R$1004:$W$1004,1,MATCH(COLUMNS($R$1006:W1006),$R$1006:$W$1006,0)))),"Fix")))</f>
        <v>0</v>
      </c>
      <c r="K772">
        <v>0</v>
      </c>
      <c r="L772">
        <v>0</v>
      </c>
      <c r="M772">
        <v>0</v>
      </c>
      <c r="N772">
        <f>IF(O772,TRUE,AND(R772:W772))</f>
        <v>0</v>
      </c>
      <c r="O772">
        <f>COUNTBLANK(Metadata!B772:G772)=COLUMNS(Metadata!B772:G772)</f>
        <v>0</v>
      </c>
      <c r="P772">
        <v>0</v>
      </c>
      <c r="R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S772">
        <f>IF(Metadata!C772="",FALSE,TRUE)</f>
        <v>0</v>
      </c>
      <c r="T772">
        <f>IF(Metadata!D772="",FALSE,TRUE)</f>
        <v>0</v>
      </c>
      <c r="U772">
        <f>IF(Metadata!E772="",FALSE,TRUE)</f>
        <v>0</v>
      </c>
      <c r="V772">
        <f>AND(IF(Metadata!F772="",FALSE,TRUE),exact(Metadata!F772,"rat gut metagenome"))</f>
        <v>0</v>
      </c>
      <c r="W772">
        <f>AND(IF(Metadata!G772="",FALSE,TRUE),exact(Metadata!G772,"1436733"))</f>
        <v>0</v>
      </c>
    </row>
    <row r="773" spans="1:23">
      <c r="A773" s="4">
        <f>IF(B773=" "," ",HYPERLINK(CONCATENATE("#metadata!",ADDRESS(INDEX($M$2:$M$1001,MATCH(ROWS($K$2:K773),$K$2:$K$1001,0),0),1)),INDEX($P$2:$P$1001,MATCH(ROWS($K$2:K773),$K$2:$K$1001,0),0)))</f>
        <v>0</v>
      </c>
      <c r="B773" s="3">
        <f>IF(OR(INDEX($L$2:$L$1001,MATCH(ROWS($K$2:K773),$K$2:$K$1001,0),1)&gt;=100000,INDEX($R$1005:$W$1005,1,MATCH(COLUMNS($R$1006:R1006),$R$1006:$W$1006,0))&gt;=100000), " ",IF(INDEX($R$2:$W$1001,MATCH(ROWS($K$2:K773),$K$2:$K$1001,0),MATCH(COLUMNS($R$1006:R1006),$R$1006:$W$1006,0)), HYPERLINK("#",""), HYPERLINK(CONCATENATE("#Metadata!", ADDRESS(INDEX($M$2:$M$1001,MATCH(ROWS($K$2:K773),$K$2:$K$1001,0),0), INDEX($R$1004:$W$1004,1,MATCH(COLUMNS($R$1006:R1006),$R$1006:$W$1006,0)))),"Fix")))</f>
        <v>0</v>
      </c>
      <c r="C773" s="3">
        <f>IF(OR(INDEX($L$2:$L$1001,MATCH(ROWS($K$2:K773),$K$2:$K$1001,0),1)&gt;=100000,INDEX($R$1005:$W$1005,1,MATCH(COLUMNS($R$1006:S1006),$R$1006:$W$1006,0))&gt;=100000), " ",IF(INDEX($R$2:$W$1001,MATCH(ROWS($K$2:K773),$K$2:$K$1001,0),MATCH(COLUMNS($R$1006:S1006),$R$1006:$W$1006,0)), HYPERLINK("#",""), HYPERLINK(CONCATENATE("#Metadata!", ADDRESS(INDEX($M$2:$M$1001,MATCH(ROWS($K$2:K773),$K$2:$K$1001,0),0), INDEX($R$1004:$W$1004,1,MATCH(COLUMNS($R$1006:S1006),$R$1006:$W$1006,0)))),"Fix")))</f>
        <v>0</v>
      </c>
      <c r="D773" s="3">
        <f>IF(OR(INDEX($L$2:$L$1001,MATCH(ROWS($K$2:K773),$K$2:$K$1001,0),1)&gt;=100000,INDEX($R$1005:$W$1005,1,MATCH(COLUMNS($R$1006:T1006),$R$1006:$W$1006,0))&gt;=100000), " ",IF(INDEX($R$2:$W$1001,MATCH(ROWS($K$2:K773),$K$2:$K$1001,0),MATCH(COLUMNS($R$1006:T1006),$R$1006:$W$1006,0)), HYPERLINK("#",""), HYPERLINK(CONCATENATE("#Metadata!", ADDRESS(INDEX($M$2:$M$1001,MATCH(ROWS($K$2:K773),$K$2:$K$1001,0),0), INDEX($R$1004:$W$1004,1,MATCH(COLUMNS($R$1006:T1006),$R$1006:$W$1006,0)))),"Fix")))</f>
        <v>0</v>
      </c>
      <c r="E773" s="3">
        <f>IF(OR(INDEX($L$2:$L$1001,MATCH(ROWS($K$2:K773),$K$2:$K$1001,0),1)&gt;=100000,INDEX($R$1005:$W$1005,1,MATCH(COLUMNS($R$1006:U1006),$R$1006:$W$1006,0))&gt;=100000), " ",IF(INDEX($R$2:$W$1001,MATCH(ROWS($K$2:K773),$K$2:$K$1001,0),MATCH(COLUMNS($R$1006:U1006),$R$1006:$W$1006,0)), HYPERLINK("#",""), HYPERLINK(CONCATENATE("#Metadata!", ADDRESS(INDEX($M$2:$M$1001,MATCH(ROWS($K$2:K773),$K$2:$K$1001,0),0), INDEX($R$1004:$W$1004,1,MATCH(COLUMNS($R$1006:U1006),$R$1006:$W$1006,0)))),"Fix")))</f>
        <v>0</v>
      </c>
      <c r="F773" s="3">
        <f>IF(OR(INDEX($L$2:$L$1001,MATCH(ROWS($K$2:K773),$K$2:$K$1001,0),1)&gt;=100000,INDEX($R$1005:$W$1005,1,MATCH(COLUMNS($R$1006:V1006),$R$1006:$W$1006,0))&gt;=100000), " ",IF(INDEX($R$2:$W$1001,MATCH(ROWS($K$2:K773),$K$2:$K$1001,0),MATCH(COLUMNS($R$1006:V1006),$R$1006:$W$1006,0)), HYPERLINK("#",""), HYPERLINK(CONCATENATE("#Metadata!", ADDRESS(INDEX($M$2:$M$1001,MATCH(ROWS($K$2:K773),$K$2:$K$1001,0),0), INDEX($R$1004:$W$1004,1,MATCH(COLUMNS($R$1006:V1006),$R$1006:$W$1006,0)))),"Fix")))</f>
        <v>0</v>
      </c>
      <c r="G773" s="3">
        <f>IF(OR(INDEX($L$2:$L$1001,MATCH(ROWS($K$2:K773),$K$2:$K$1001,0),1)&gt;=100000,INDEX($R$1005:$W$1005,1,MATCH(COLUMNS($R$1006:W1006),$R$1006:$W$1006,0))&gt;=100000), " ",IF(INDEX($R$2:$W$1001,MATCH(ROWS($K$2:K773),$K$2:$K$1001,0),MATCH(COLUMNS($R$1006:W1006),$R$1006:$W$1006,0)), HYPERLINK("#",""), HYPERLINK(CONCATENATE("#Metadata!", ADDRESS(INDEX($M$2:$M$1001,MATCH(ROWS($K$2:K773),$K$2:$K$1001,0),0), INDEX($R$1004:$W$1004,1,MATCH(COLUMNS($R$1006:W1006),$R$1006:$W$1006,0)))),"Fix")))</f>
        <v>0</v>
      </c>
      <c r="K773">
        <v>0</v>
      </c>
      <c r="L773">
        <v>0</v>
      </c>
      <c r="M773">
        <v>0</v>
      </c>
      <c r="N773">
        <f>IF(O773,TRUE,AND(R773:W773))</f>
        <v>0</v>
      </c>
      <c r="O773">
        <f>COUNTBLANK(Metadata!B773:G773)=COLUMNS(Metadata!B773:G773)</f>
        <v>0</v>
      </c>
      <c r="P773">
        <v>0</v>
      </c>
      <c r="R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S773">
        <f>IF(Metadata!C773="",FALSE,TRUE)</f>
        <v>0</v>
      </c>
      <c r="T773">
        <f>IF(Metadata!D773="",FALSE,TRUE)</f>
        <v>0</v>
      </c>
      <c r="U773">
        <f>IF(Metadata!E773="",FALSE,TRUE)</f>
        <v>0</v>
      </c>
      <c r="V773">
        <f>AND(IF(Metadata!F773="",FALSE,TRUE),exact(Metadata!F773,"rat gut metagenome"))</f>
        <v>0</v>
      </c>
      <c r="W773">
        <f>AND(IF(Metadata!G773="",FALSE,TRUE),exact(Metadata!G773,"1436733"))</f>
        <v>0</v>
      </c>
    </row>
    <row r="774" spans="1:23">
      <c r="A774" s="4">
        <f>IF(B774=" "," ",HYPERLINK(CONCATENATE("#metadata!",ADDRESS(INDEX($M$2:$M$1001,MATCH(ROWS($K$2:K774),$K$2:$K$1001,0),0),1)),INDEX($P$2:$P$1001,MATCH(ROWS($K$2:K774),$K$2:$K$1001,0),0)))</f>
        <v>0</v>
      </c>
      <c r="B774" s="3">
        <f>IF(OR(INDEX($L$2:$L$1001,MATCH(ROWS($K$2:K774),$K$2:$K$1001,0),1)&gt;=100000,INDEX($R$1005:$W$1005,1,MATCH(COLUMNS($R$1006:R1006),$R$1006:$W$1006,0))&gt;=100000), " ",IF(INDEX($R$2:$W$1001,MATCH(ROWS($K$2:K774),$K$2:$K$1001,0),MATCH(COLUMNS($R$1006:R1006),$R$1006:$W$1006,0)), HYPERLINK("#",""), HYPERLINK(CONCATENATE("#Metadata!", ADDRESS(INDEX($M$2:$M$1001,MATCH(ROWS($K$2:K774),$K$2:$K$1001,0),0), INDEX($R$1004:$W$1004,1,MATCH(COLUMNS($R$1006:R1006),$R$1006:$W$1006,0)))),"Fix")))</f>
        <v>0</v>
      </c>
      <c r="C774" s="3">
        <f>IF(OR(INDEX($L$2:$L$1001,MATCH(ROWS($K$2:K774),$K$2:$K$1001,0),1)&gt;=100000,INDEX($R$1005:$W$1005,1,MATCH(COLUMNS($R$1006:S1006),$R$1006:$W$1006,0))&gt;=100000), " ",IF(INDEX($R$2:$W$1001,MATCH(ROWS($K$2:K774),$K$2:$K$1001,0),MATCH(COLUMNS($R$1006:S1006),$R$1006:$W$1006,0)), HYPERLINK("#",""), HYPERLINK(CONCATENATE("#Metadata!", ADDRESS(INDEX($M$2:$M$1001,MATCH(ROWS($K$2:K774),$K$2:$K$1001,0),0), INDEX($R$1004:$W$1004,1,MATCH(COLUMNS($R$1006:S1006),$R$1006:$W$1006,0)))),"Fix")))</f>
        <v>0</v>
      </c>
      <c r="D774" s="3">
        <f>IF(OR(INDEX($L$2:$L$1001,MATCH(ROWS($K$2:K774),$K$2:$K$1001,0),1)&gt;=100000,INDEX($R$1005:$W$1005,1,MATCH(COLUMNS($R$1006:T1006),$R$1006:$W$1006,0))&gt;=100000), " ",IF(INDEX($R$2:$W$1001,MATCH(ROWS($K$2:K774),$K$2:$K$1001,0),MATCH(COLUMNS($R$1006:T1006),$R$1006:$W$1006,0)), HYPERLINK("#",""), HYPERLINK(CONCATENATE("#Metadata!", ADDRESS(INDEX($M$2:$M$1001,MATCH(ROWS($K$2:K774),$K$2:$K$1001,0),0), INDEX($R$1004:$W$1004,1,MATCH(COLUMNS($R$1006:T1006),$R$1006:$W$1006,0)))),"Fix")))</f>
        <v>0</v>
      </c>
      <c r="E774" s="3">
        <f>IF(OR(INDEX($L$2:$L$1001,MATCH(ROWS($K$2:K774),$K$2:$K$1001,0),1)&gt;=100000,INDEX($R$1005:$W$1005,1,MATCH(COLUMNS($R$1006:U1006),$R$1006:$W$1006,0))&gt;=100000), " ",IF(INDEX($R$2:$W$1001,MATCH(ROWS($K$2:K774),$K$2:$K$1001,0),MATCH(COLUMNS($R$1006:U1006),$R$1006:$W$1006,0)), HYPERLINK("#",""), HYPERLINK(CONCATENATE("#Metadata!", ADDRESS(INDEX($M$2:$M$1001,MATCH(ROWS($K$2:K774),$K$2:$K$1001,0),0), INDEX($R$1004:$W$1004,1,MATCH(COLUMNS($R$1006:U1006),$R$1006:$W$1006,0)))),"Fix")))</f>
        <v>0</v>
      </c>
      <c r="F774" s="3">
        <f>IF(OR(INDEX($L$2:$L$1001,MATCH(ROWS($K$2:K774),$K$2:$K$1001,0),1)&gt;=100000,INDEX($R$1005:$W$1005,1,MATCH(COLUMNS($R$1006:V1006),$R$1006:$W$1006,0))&gt;=100000), " ",IF(INDEX($R$2:$W$1001,MATCH(ROWS($K$2:K774),$K$2:$K$1001,0),MATCH(COLUMNS($R$1006:V1006),$R$1006:$W$1006,0)), HYPERLINK("#",""), HYPERLINK(CONCATENATE("#Metadata!", ADDRESS(INDEX($M$2:$M$1001,MATCH(ROWS($K$2:K774),$K$2:$K$1001,0),0), INDEX($R$1004:$W$1004,1,MATCH(COLUMNS($R$1006:V1006),$R$1006:$W$1006,0)))),"Fix")))</f>
        <v>0</v>
      </c>
      <c r="G774" s="3">
        <f>IF(OR(INDEX($L$2:$L$1001,MATCH(ROWS($K$2:K774),$K$2:$K$1001,0),1)&gt;=100000,INDEX($R$1005:$W$1005,1,MATCH(COLUMNS($R$1006:W1006),$R$1006:$W$1006,0))&gt;=100000), " ",IF(INDEX($R$2:$W$1001,MATCH(ROWS($K$2:K774),$K$2:$K$1001,0),MATCH(COLUMNS($R$1006:W1006),$R$1006:$W$1006,0)), HYPERLINK("#",""), HYPERLINK(CONCATENATE("#Metadata!", ADDRESS(INDEX($M$2:$M$1001,MATCH(ROWS($K$2:K774),$K$2:$K$1001,0),0), INDEX($R$1004:$W$1004,1,MATCH(COLUMNS($R$1006:W1006),$R$1006:$W$1006,0)))),"Fix")))</f>
        <v>0</v>
      </c>
      <c r="K774">
        <v>0</v>
      </c>
      <c r="L774">
        <v>0</v>
      </c>
      <c r="M774">
        <v>0</v>
      </c>
      <c r="N774">
        <f>IF(O774,TRUE,AND(R774:W774))</f>
        <v>0</v>
      </c>
      <c r="O774">
        <f>COUNTBLANK(Metadata!B774:G774)=COLUMNS(Metadata!B774:G774)</f>
        <v>0</v>
      </c>
      <c r="P774">
        <v>0</v>
      </c>
      <c r="R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S774">
        <f>IF(Metadata!C774="",FALSE,TRUE)</f>
        <v>0</v>
      </c>
      <c r="T774">
        <f>IF(Metadata!D774="",FALSE,TRUE)</f>
        <v>0</v>
      </c>
      <c r="U774">
        <f>IF(Metadata!E774="",FALSE,TRUE)</f>
        <v>0</v>
      </c>
      <c r="V774">
        <f>AND(IF(Metadata!F774="",FALSE,TRUE),exact(Metadata!F774,"rat gut metagenome"))</f>
        <v>0</v>
      </c>
      <c r="W774">
        <f>AND(IF(Metadata!G774="",FALSE,TRUE),exact(Metadata!G774,"1436733"))</f>
        <v>0</v>
      </c>
    </row>
    <row r="775" spans="1:23">
      <c r="A775" s="4">
        <f>IF(B775=" "," ",HYPERLINK(CONCATENATE("#metadata!",ADDRESS(INDEX($M$2:$M$1001,MATCH(ROWS($K$2:K775),$K$2:$K$1001,0),0),1)),INDEX($P$2:$P$1001,MATCH(ROWS($K$2:K775),$K$2:$K$1001,0),0)))</f>
        <v>0</v>
      </c>
      <c r="B775" s="3">
        <f>IF(OR(INDEX($L$2:$L$1001,MATCH(ROWS($K$2:K775),$K$2:$K$1001,0),1)&gt;=100000,INDEX($R$1005:$W$1005,1,MATCH(COLUMNS($R$1006:R1006),$R$1006:$W$1006,0))&gt;=100000), " ",IF(INDEX($R$2:$W$1001,MATCH(ROWS($K$2:K775),$K$2:$K$1001,0),MATCH(COLUMNS($R$1006:R1006),$R$1006:$W$1006,0)), HYPERLINK("#",""), HYPERLINK(CONCATENATE("#Metadata!", ADDRESS(INDEX($M$2:$M$1001,MATCH(ROWS($K$2:K775),$K$2:$K$1001,0),0), INDEX($R$1004:$W$1004,1,MATCH(COLUMNS($R$1006:R1006),$R$1006:$W$1006,0)))),"Fix")))</f>
        <v>0</v>
      </c>
      <c r="C775" s="3">
        <f>IF(OR(INDEX($L$2:$L$1001,MATCH(ROWS($K$2:K775),$K$2:$K$1001,0),1)&gt;=100000,INDEX($R$1005:$W$1005,1,MATCH(COLUMNS($R$1006:S1006),$R$1006:$W$1006,0))&gt;=100000), " ",IF(INDEX($R$2:$W$1001,MATCH(ROWS($K$2:K775),$K$2:$K$1001,0),MATCH(COLUMNS($R$1006:S1006),$R$1006:$W$1006,0)), HYPERLINK("#",""), HYPERLINK(CONCATENATE("#Metadata!", ADDRESS(INDEX($M$2:$M$1001,MATCH(ROWS($K$2:K775),$K$2:$K$1001,0),0), INDEX($R$1004:$W$1004,1,MATCH(COLUMNS($R$1006:S1006),$R$1006:$W$1006,0)))),"Fix")))</f>
        <v>0</v>
      </c>
      <c r="D775" s="3">
        <f>IF(OR(INDEX($L$2:$L$1001,MATCH(ROWS($K$2:K775),$K$2:$K$1001,0),1)&gt;=100000,INDEX($R$1005:$W$1005,1,MATCH(COLUMNS($R$1006:T1006),$R$1006:$W$1006,0))&gt;=100000), " ",IF(INDEX($R$2:$W$1001,MATCH(ROWS($K$2:K775),$K$2:$K$1001,0),MATCH(COLUMNS($R$1006:T1006),$R$1006:$W$1006,0)), HYPERLINK("#",""), HYPERLINK(CONCATENATE("#Metadata!", ADDRESS(INDEX($M$2:$M$1001,MATCH(ROWS($K$2:K775),$K$2:$K$1001,0),0), INDEX($R$1004:$W$1004,1,MATCH(COLUMNS($R$1006:T1006),$R$1006:$W$1006,0)))),"Fix")))</f>
        <v>0</v>
      </c>
      <c r="E775" s="3">
        <f>IF(OR(INDEX($L$2:$L$1001,MATCH(ROWS($K$2:K775),$K$2:$K$1001,0),1)&gt;=100000,INDEX($R$1005:$W$1005,1,MATCH(COLUMNS($R$1006:U1006),$R$1006:$W$1006,0))&gt;=100000), " ",IF(INDEX($R$2:$W$1001,MATCH(ROWS($K$2:K775),$K$2:$K$1001,0),MATCH(COLUMNS($R$1006:U1006),$R$1006:$W$1006,0)), HYPERLINK("#",""), HYPERLINK(CONCATENATE("#Metadata!", ADDRESS(INDEX($M$2:$M$1001,MATCH(ROWS($K$2:K775),$K$2:$K$1001,0),0), INDEX($R$1004:$W$1004,1,MATCH(COLUMNS($R$1006:U1006),$R$1006:$W$1006,0)))),"Fix")))</f>
        <v>0</v>
      </c>
      <c r="F775" s="3">
        <f>IF(OR(INDEX($L$2:$L$1001,MATCH(ROWS($K$2:K775),$K$2:$K$1001,0),1)&gt;=100000,INDEX($R$1005:$W$1005,1,MATCH(COLUMNS($R$1006:V1006),$R$1006:$W$1006,0))&gt;=100000), " ",IF(INDEX($R$2:$W$1001,MATCH(ROWS($K$2:K775),$K$2:$K$1001,0),MATCH(COLUMNS($R$1006:V1006),$R$1006:$W$1006,0)), HYPERLINK("#",""), HYPERLINK(CONCATENATE("#Metadata!", ADDRESS(INDEX($M$2:$M$1001,MATCH(ROWS($K$2:K775),$K$2:$K$1001,0),0), INDEX($R$1004:$W$1004,1,MATCH(COLUMNS($R$1006:V1006),$R$1006:$W$1006,0)))),"Fix")))</f>
        <v>0</v>
      </c>
      <c r="G775" s="3">
        <f>IF(OR(INDEX($L$2:$L$1001,MATCH(ROWS($K$2:K775),$K$2:$K$1001,0),1)&gt;=100000,INDEX($R$1005:$W$1005,1,MATCH(COLUMNS($R$1006:W1006),$R$1006:$W$1006,0))&gt;=100000), " ",IF(INDEX($R$2:$W$1001,MATCH(ROWS($K$2:K775),$K$2:$K$1001,0),MATCH(COLUMNS($R$1006:W1006),$R$1006:$W$1006,0)), HYPERLINK("#",""), HYPERLINK(CONCATENATE("#Metadata!", ADDRESS(INDEX($M$2:$M$1001,MATCH(ROWS($K$2:K775),$K$2:$K$1001,0),0), INDEX($R$1004:$W$1004,1,MATCH(COLUMNS($R$1006:W1006),$R$1006:$W$1006,0)))),"Fix")))</f>
        <v>0</v>
      </c>
      <c r="K775">
        <v>0</v>
      </c>
      <c r="L775">
        <v>0</v>
      </c>
      <c r="M775">
        <v>0</v>
      </c>
      <c r="N775">
        <f>IF(O775,TRUE,AND(R775:W775))</f>
        <v>0</v>
      </c>
      <c r="O775">
        <f>COUNTBLANK(Metadata!B775:G775)=COLUMNS(Metadata!B775:G775)</f>
        <v>0</v>
      </c>
      <c r="P775">
        <v>0</v>
      </c>
      <c r="R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S775">
        <f>IF(Metadata!C775="",FALSE,TRUE)</f>
        <v>0</v>
      </c>
      <c r="T775">
        <f>IF(Metadata!D775="",FALSE,TRUE)</f>
        <v>0</v>
      </c>
      <c r="U775">
        <f>IF(Metadata!E775="",FALSE,TRUE)</f>
        <v>0</v>
      </c>
      <c r="V775">
        <f>AND(IF(Metadata!F775="",FALSE,TRUE),exact(Metadata!F775,"rat gut metagenome"))</f>
        <v>0</v>
      </c>
      <c r="W775">
        <f>AND(IF(Metadata!G775="",FALSE,TRUE),exact(Metadata!G775,"1436733"))</f>
        <v>0</v>
      </c>
    </row>
    <row r="776" spans="1:23">
      <c r="A776" s="4">
        <f>IF(B776=" "," ",HYPERLINK(CONCATENATE("#metadata!",ADDRESS(INDEX($M$2:$M$1001,MATCH(ROWS($K$2:K776),$K$2:$K$1001,0),0),1)),INDEX($P$2:$P$1001,MATCH(ROWS($K$2:K776),$K$2:$K$1001,0),0)))</f>
        <v>0</v>
      </c>
      <c r="B776" s="3">
        <f>IF(OR(INDEX($L$2:$L$1001,MATCH(ROWS($K$2:K776),$K$2:$K$1001,0),1)&gt;=100000,INDEX($R$1005:$W$1005,1,MATCH(COLUMNS($R$1006:R1006),$R$1006:$W$1006,0))&gt;=100000), " ",IF(INDEX($R$2:$W$1001,MATCH(ROWS($K$2:K776),$K$2:$K$1001,0),MATCH(COLUMNS($R$1006:R1006),$R$1006:$W$1006,0)), HYPERLINK("#",""), HYPERLINK(CONCATENATE("#Metadata!", ADDRESS(INDEX($M$2:$M$1001,MATCH(ROWS($K$2:K776),$K$2:$K$1001,0),0), INDEX($R$1004:$W$1004,1,MATCH(COLUMNS($R$1006:R1006),$R$1006:$W$1006,0)))),"Fix")))</f>
        <v>0</v>
      </c>
      <c r="C776" s="3">
        <f>IF(OR(INDEX($L$2:$L$1001,MATCH(ROWS($K$2:K776),$K$2:$K$1001,0),1)&gt;=100000,INDEX($R$1005:$W$1005,1,MATCH(COLUMNS($R$1006:S1006),$R$1006:$W$1006,0))&gt;=100000), " ",IF(INDEX($R$2:$W$1001,MATCH(ROWS($K$2:K776),$K$2:$K$1001,0),MATCH(COLUMNS($R$1006:S1006),$R$1006:$W$1006,0)), HYPERLINK("#",""), HYPERLINK(CONCATENATE("#Metadata!", ADDRESS(INDEX($M$2:$M$1001,MATCH(ROWS($K$2:K776),$K$2:$K$1001,0),0), INDEX($R$1004:$W$1004,1,MATCH(COLUMNS($R$1006:S1006),$R$1006:$W$1006,0)))),"Fix")))</f>
        <v>0</v>
      </c>
      <c r="D776" s="3">
        <f>IF(OR(INDEX($L$2:$L$1001,MATCH(ROWS($K$2:K776),$K$2:$K$1001,0),1)&gt;=100000,INDEX($R$1005:$W$1005,1,MATCH(COLUMNS($R$1006:T1006),$R$1006:$W$1006,0))&gt;=100000), " ",IF(INDEX($R$2:$W$1001,MATCH(ROWS($K$2:K776),$K$2:$K$1001,0),MATCH(COLUMNS($R$1006:T1006),$R$1006:$W$1006,0)), HYPERLINK("#",""), HYPERLINK(CONCATENATE("#Metadata!", ADDRESS(INDEX($M$2:$M$1001,MATCH(ROWS($K$2:K776),$K$2:$K$1001,0),0), INDEX($R$1004:$W$1004,1,MATCH(COLUMNS($R$1006:T1006),$R$1006:$W$1006,0)))),"Fix")))</f>
        <v>0</v>
      </c>
      <c r="E776" s="3">
        <f>IF(OR(INDEX($L$2:$L$1001,MATCH(ROWS($K$2:K776),$K$2:$K$1001,0),1)&gt;=100000,INDEX($R$1005:$W$1005,1,MATCH(COLUMNS($R$1006:U1006),$R$1006:$W$1006,0))&gt;=100000), " ",IF(INDEX($R$2:$W$1001,MATCH(ROWS($K$2:K776),$K$2:$K$1001,0),MATCH(COLUMNS($R$1006:U1006),$R$1006:$W$1006,0)), HYPERLINK("#",""), HYPERLINK(CONCATENATE("#Metadata!", ADDRESS(INDEX($M$2:$M$1001,MATCH(ROWS($K$2:K776),$K$2:$K$1001,0),0), INDEX($R$1004:$W$1004,1,MATCH(COLUMNS($R$1006:U1006),$R$1006:$W$1006,0)))),"Fix")))</f>
        <v>0</v>
      </c>
      <c r="F776" s="3">
        <f>IF(OR(INDEX($L$2:$L$1001,MATCH(ROWS($K$2:K776),$K$2:$K$1001,0),1)&gt;=100000,INDEX($R$1005:$W$1005,1,MATCH(COLUMNS($R$1006:V1006),$R$1006:$W$1006,0))&gt;=100000), " ",IF(INDEX($R$2:$W$1001,MATCH(ROWS($K$2:K776),$K$2:$K$1001,0),MATCH(COLUMNS($R$1006:V1006),$R$1006:$W$1006,0)), HYPERLINK("#",""), HYPERLINK(CONCATENATE("#Metadata!", ADDRESS(INDEX($M$2:$M$1001,MATCH(ROWS($K$2:K776),$K$2:$K$1001,0),0), INDEX($R$1004:$W$1004,1,MATCH(COLUMNS($R$1006:V1006),$R$1006:$W$1006,0)))),"Fix")))</f>
        <v>0</v>
      </c>
      <c r="G776" s="3">
        <f>IF(OR(INDEX($L$2:$L$1001,MATCH(ROWS($K$2:K776),$K$2:$K$1001,0),1)&gt;=100000,INDEX($R$1005:$W$1005,1,MATCH(COLUMNS($R$1006:W1006),$R$1006:$W$1006,0))&gt;=100000), " ",IF(INDEX($R$2:$W$1001,MATCH(ROWS($K$2:K776),$K$2:$K$1001,0),MATCH(COLUMNS($R$1006:W1006),$R$1006:$W$1006,0)), HYPERLINK("#",""), HYPERLINK(CONCATENATE("#Metadata!", ADDRESS(INDEX($M$2:$M$1001,MATCH(ROWS($K$2:K776),$K$2:$K$1001,0),0), INDEX($R$1004:$W$1004,1,MATCH(COLUMNS($R$1006:W1006),$R$1006:$W$1006,0)))),"Fix")))</f>
        <v>0</v>
      </c>
      <c r="K776">
        <v>0</v>
      </c>
      <c r="L776">
        <v>0</v>
      </c>
      <c r="M776">
        <v>0</v>
      </c>
      <c r="N776">
        <f>IF(O776,TRUE,AND(R776:W776))</f>
        <v>0</v>
      </c>
      <c r="O776">
        <f>COUNTBLANK(Metadata!B776:G776)=COLUMNS(Metadata!B776:G776)</f>
        <v>0</v>
      </c>
      <c r="P776">
        <v>0</v>
      </c>
      <c r="R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S776">
        <f>IF(Metadata!C776="",FALSE,TRUE)</f>
        <v>0</v>
      </c>
      <c r="T776">
        <f>IF(Metadata!D776="",FALSE,TRUE)</f>
        <v>0</v>
      </c>
      <c r="U776">
        <f>IF(Metadata!E776="",FALSE,TRUE)</f>
        <v>0</v>
      </c>
      <c r="V776">
        <f>AND(IF(Metadata!F776="",FALSE,TRUE),exact(Metadata!F776,"rat gut metagenome"))</f>
        <v>0</v>
      </c>
      <c r="W776">
        <f>AND(IF(Metadata!G776="",FALSE,TRUE),exact(Metadata!G776,"1436733"))</f>
        <v>0</v>
      </c>
    </row>
    <row r="777" spans="1:23">
      <c r="A777" s="4">
        <f>IF(B777=" "," ",HYPERLINK(CONCATENATE("#metadata!",ADDRESS(INDEX($M$2:$M$1001,MATCH(ROWS($K$2:K777),$K$2:$K$1001,0),0),1)),INDEX($P$2:$P$1001,MATCH(ROWS($K$2:K777),$K$2:$K$1001,0),0)))</f>
        <v>0</v>
      </c>
      <c r="B777" s="3">
        <f>IF(OR(INDEX($L$2:$L$1001,MATCH(ROWS($K$2:K777),$K$2:$K$1001,0),1)&gt;=100000,INDEX($R$1005:$W$1005,1,MATCH(COLUMNS($R$1006:R1006),$R$1006:$W$1006,0))&gt;=100000), " ",IF(INDEX($R$2:$W$1001,MATCH(ROWS($K$2:K777),$K$2:$K$1001,0),MATCH(COLUMNS($R$1006:R1006),$R$1006:$W$1006,0)), HYPERLINK("#",""), HYPERLINK(CONCATENATE("#Metadata!", ADDRESS(INDEX($M$2:$M$1001,MATCH(ROWS($K$2:K777),$K$2:$K$1001,0),0), INDEX($R$1004:$W$1004,1,MATCH(COLUMNS($R$1006:R1006),$R$1006:$W$1006,0)))),"Fix")))</f>
        <v>0</v>
      </c>
      <c r="C777" s="3">
        <f>IF(OR(INDEX($L$2:$L$1001,MATCH(ROWS($K$2:K777),$K$2:$K$1001,0),1)&gt;=100000,INDEX($R$1005:$W$1005,1,MATCH(COLUMNS($R$1006:S1006),$R$1006:$W$1006,0))&gt;=100000), " ",IF(INDEX($R$2:$W$1001,MATCH(ROWS($K$2:K777),$K$2:$K$1001,0),MATCH(COLUMNS($R$1006:S1006),$R$1006:$W$1006,0)), HYPERLINK("#",""), HYPERLINK(CONCATENATE("#Metadata!", ADDRESS(INDEX($M$2:$M$1001,MATCH(ROWS($K$2:K777),$K$2:$K$1001,0),0), INDEX($R$1004:$W$1004,1,MATCH(COLUMNS($R$1006:S1006),$R$1006:$W$1006,0)))),"Fix")))</f>
        <v>0</v>
      </c>
      <c r="D777" s="3">
        <f>IF(OR(INDEX($L$2:$L$1001,MATCH(ROWS($K$2:K777),$K$2:$K$1001,0),1)&gt;=100000,INDEX($R$1005:$W$1005,1,MATCH(COLUMNS($R$1006:T1006),$R$1006:$W$1006,0))&gt;=100000), " ",IF(INDEX($R$2:$W$1001,MATCH(ROWS($K$2:K777),$K$2:$K$1001,0),MATCH(COLUMNS($R$1006:T1006),$R$1006:$W$1006,0)), HYPERLINK("#",""), HYPERLINK(CONCATENATE("#Metadata!", ADDRESS(INDEX($M$2:$M$1001,MATCH(ROWS($K$2:K777),$K$2:$K$1001,0),0), INDEX($R$1004:$W$1004,1,MATCH(COLUMNS($R$1006:T1006),$R$1006:$W$1006,0)))),"Fix")))</f>
        <v>0</v>
      </c>
      <c r="E777" s="3">
        <f>IF(OR(INDEX($L$2:$L$1001,MATCH(ROWS($K$2:K777),$K$2:$K$1001,0),1)&gt;=100000,INDEX($R$1005:$W$1005,1,MATCH(COLUMNS($R$1006:U1006),$R$1006:$W$1006,0))&gt;=100000), " ",IF(INDEX($R$2:$W$1001,MATCH(ROWS($K$2:K777),$K$2:$K$1001,0),MATCH(COLUMNS($R$1006:U1006),$R$1006:$W$1006,0)), HYPERLINK("#",""), HYPERLINK(CONCATENATE("#Metadata!", ADDRESS(INDEX($M$2:$M$1001,MATCH(ROWS($K$2:K777),$K$2:$K$1001,0),0), INDEX($R$1004:$W$1004,1,MATCH(COLUMNS($R$1006:U1006),$R$1006:$W$1006,0)))),"Fix")))</f>
        <v>0</v>
      </c>
      <c r="F777" s="3">
        <f>IF(OR(INDEX($L$2:$L$1001,MATCH(ROWS($K$2:K777),$K$2:$K$1001,0),1)&gt;=100000,INDEX($R$1005:$W$1005,1,MATCH(COLUMNS($R$1006:V1006),$R$1006:$W$1006,0))&gt;=100000), " ",IF(INDEX($R$2:$W$1001,MATCH(ROWS($K$2:K777),$K$2:$K$1001,0),MATCH(COLUMNS($R$1006:V1006),$R$1006:$W$1006,0)), HYPERLINK("#",""), HYPERLINK(CONCATENATE("#Metadata!", ADDRESS(INDEX($M$2:$M$1001,MATCH(ROWS($K$2:K777),$K$2:$K$1001,0),0), INDEX($R$1004:$W$1004,1,MATCH(COLUMNS($R$1006:V1006),$R$1006:$W$1006,0)))),"Fix")))</f>
        <v>0</v>
      </c>
      <c r="G777" s="3">
        <f>IF(OR(INDEX($L$2:$L$1001,MATCH(ROWS($K$2:K777),$K$2:$K$1001,0),1)&gt;=100000,INDEX($R$1005:$W$1005,1,MATCH(COLUMNS($R$1006:W1006),$R$1006:$W$1006,0))&gt;=100000), " ",IF(INDEX($R$2:$W$1001,MATCH(ROWS($K$2:K777),$K$2:$K$1001,0),MATCH(COLUMNS($R$1006:W1006),$R$1006:$W$1006,0)), HYPERLINK("#",""), HYPERLINK(CONCATENATE("#Metadata!", ADDRESS(INDEX($M$2:$M$1001,MATCH(ROWS($K$2:K777),$K$2:$K$1001,0),0), INDEX($R$1004:$W$1004,1,MATCH(COLUMNS($R$1006:W1006),$R$1006:$W$1006,0)))),"Fix")))</f>
        <v>0</v>
      </c>
      <c r="K777">
        <v>0</v>
      </c>
      <c r="L777">
        <v>0</v>
      </c>
      <c r="M777">
        <v>0</v>
      </c>
      <c r="N777">
        <f>IF(O777,TRUE,AND(R777:W777))</f>
        <v>0</v>
      </c>
      <c r="O777">
        <f>COUNTBLANK(Metadata!B777:G777)=COLUMNS(Metadata!B777:G777)</f>
        <v>0</v>
      </c>
      <c r="P777">
        <v>0</v>
      </c>
      <c r="R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S777">
        <f>IF(Metadata!C777="",FALSE,TRUE)</f>
        <v>0</v>
      </c>
      <c r="T777">
        <f>IF(Metadata!D777="",FALSE,TRUE)</f>
        <v>0</v>
      </c>
      <c r="U777">
        <f>IF(Metadata!E777="",FALSE,TRUE)</f>
        <v>0</v>
      </c>
      <c r="V777">
        <f>AND(IF(Metadata!F777="",FALSE,TRUE),exact(Metadata!F777,"rat gut metagenome"))</f>
        <v>0</v>
      </c>
      <c r="W777">
        <f>AND(IF(Metadata!G777="",FALSE,TRUE),exact(Metadata!G777,"1436733"))</f>
        <v>0</v>
      </c>
    </row>
    <row r="778" spans="1:23">
      <c r="A778" s="4">
        <f>IF(B778=" "," ",HYPERLINK(CONCATENATE("#metadata!",ADDRESS(INDEX($M$2:$M$1001,MATCH(ROWS($K$2:K778),$K$2:$K$1001,0),0),1)),INDEX($P$2:$P$1001,MATCH(ROWS($K$2:K778),$K$2:$K$1001,0),0)))</f>
        <v>0</v>
      </c>
      <c r="B778" s="3">
        <f>IF(OR(INDEX($L$2:$L$1001,MATCH(ROWS($K$2:K778),$K$2:$K$1001,0),1)&gt;=100000,INDEX($R$1005:$W$1005,1,MATCH(COLUMNS($R$1006:R1006),$R$1006:$W$1006,0))&gt;=100000), " ",IF(INDEX($R$2:$W$1001,MATCH(ROWS($K$2:K778),$K$2:$K$1001,0),MATCH(COLUMNS($R$1006:R1006),$R$1006:$W$1006,0)), HYPERLINK("#",""), HYPERLINK(CONCATENATE("#Metadata!", ADDRESS(INDEX($M$2:$M$1001,MATCH(ROWS($K$2:K778),$K$2:$K$1001,0),0), INDEX($R$1004:$W$1004,1,MATCH(COLUMNS($R$1006:R1006),$R$1006:$W$1006,0)))),"Fix")))</f>
        <v>0</v>
      </c>
      <c r="C778" s="3">
        <f>IF(OR(INDEX($L$2:$L$1001,MATCH(ROWS($K$2:K778),$K$2:$K$1001,0),1)&gt;=100000,INDEX($R$1005:$W$1005,1,MATCH(COLUMNS($R$1006:S1006),$R$1006:$W$1006,0))&gt;=100000), " ",IF(INDEX($R$2:$W$1001,MATCH(ROWS($K$2:K778),$K$2:$K$1001,0),MATCH(COLUMNS($R$1006:S1006),$R$1006:$W$1006,0)), HYPERLINK("#",""), HYPERLINK(CONCATENATE("#Metadata!", ADDRESS(INDEX($M$2:$M$1001,MATCH(ROWS($K$2:K778),$K$2:$K$1001,0),0), INDEX($R$1004:$W$1004,1,MATCH(COLUMNS($R$1006:S1006),$R$1006:$W$1006,0)))),"Fix")))</f>
        <v>0</v>
      </c>
      <c r="D778" s="3">
        <f>IF(OR(INDEX($L$2:$L$1001,MATCH(ROWS($K$2:K778),$K$2:$K$1001,0),1)&gt;=100000,INDEX($R$1005:$W$1005,1,MATCH(COLUMNS($R$1006:T1006),$R$1006:$W$1006,0))&gt;=100000), " ",IF(INDEX($R$2:$W$1001,MATCH(ROWS($K$2:K778),$K$2:$K$1001,0),MATCH(COLUMNS($R$1006:T1006),$R$1006:$W$1006,0)), HYPERLINK("#",""), HYPERLINK(CONCATENATE("#Metadata!", ADDRESS(INDEX($M$2:$M$1001,MATCH(ROWS($K$2:K778),$K$2:$K$1001,0),0), INDEX($R$1004:$W$1004,1,MATCH(COLUMNS($R$1006:T1006),$R$1006:$W$1006,0)))),"Fix")))</f>
        <v>0</v>
      </c>
      <c r="E778" s="3">
        <f>IF(OR(INDEX($L$2:$L$1001,MATCH(ROWS($K$2:K778),$K$2:$K$1001,0),1)&gt;=100000,INDEX($R$1005:$W$1005,1,MATCH(COLUMNS($R$1006:U1006),$R$1006:$W$1006,0))&gt;=100000), " ",IF(INDEX($R$2:$W$1001,MATCH(ROWS($K$2:K778),$K$2:$K$1001,0),MATCH(COLUMNS($R$1006:U1006),$R$1006:$W$1006,0)), HYPERLINK("#",""), HYPERLINK(CONCATENATE("#Metadata!", ADDRESS(INDEX($M$2:$M$1001,MATCH(ROWS($K$2:K778),$K$2:$K$1001,0),0), INDEX($R$1004:$W$1004,1,MATCH(COLUMNS($R$1006:U1006),$R$1006:$W$1006,0)))),"Fix")))</f>
        <v>0</v>
      </c>
      <c r="F778" s="3">
        <f>IF(OR(INDEX($L$2:$L$1001,MATCH(ROWS($K$2:K778),$K$2:$K$1001,0),1)&gt;=100000,INDEX($R$1005:$W$1005,1,MATCH(COLUMNS($R$1006:V1006),$R$1006:$W$1006,0))&gt;=100000), " ",IF(INDEX($R$2:$W$1001,MATCH(ROWS($K$2:K778),$K$2:$K$1001,0),MATCH(COLUMNS($R$1006:V1006),$R$1006:$W$1006,0)), HYPERLINK("#",""), HYPERLINK(CONCATENATE("#Metadata!", ADDRESS(INDEX($M$2:$M$1001,MATCH(ROWS($K$2:K778),$K$2:$K$1001,0),0), INDEX($R$1004:$W$1004,1,MATCH(COLUMNS($R$1006:V1006),$R$1006:$W$1006,0)))),"Fix")))</f>
        <v>0</v>
      </c>
      <c r="G778" s="3">
        <f>IF(OR(INDEX($L$2:$L$1001,MATCH(ROWS($K$2:K778),$K$2:$K$1001,0),1)&gt;=100000,INDEX($R$1005:$W$1005,1,MATCH(COLUMNS($R$1006:W1006),$R$1006:$W$1006,0))&gt;=100000), " ",IF(INDEX($R$2:$W$1001,MATCH(ROWS($K$2:K778),$K$2:$K$1001,0),MATCH(COLUMNS($R$1006:W1006),$R$1006:$W$1006,0)), HYPERLINK("#",""), HYPERLINK(CONCATENATE("#Metadata!", ADDRESS(INDEX($M$2:$M$1001,MATCH(ROWS($K$2:K778),$K$2:$K$1001,0),0), INDEX($R$1004:$W$1004,1,MATCH(COLUMNS($R$1006:W1006),$R$1006:$W$1006,0)))),"Fix")))</f>
        <v>0</v>
      </c>
      <c r="K778">
        <v>0</v>
      </c>
      <c r="L778">
        <v>0</v>
      </c>
      <c r="M778">
        <v>0</v>
      </c>
      <c r="N778">
        <f>IF(O778,TRUE,AND(R778:W778))</f>
        <v>0</v>
      </c>
      <c r="O778">
        <f>COUNTBLANK(Metadata!B778:G778)=COLUMNS(Metadata!B778:G778)</f>
        <v>0</v>
      </c>
      <c r="P778">
        <v>0</v>
      </c>
      <c r="R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S778">
        <f>IF(Metadata!C778="",FALSE,TRUE)</f>
        <v>0</v>
      </c>
      <c r="T778">
        <f>IF(Metadata!D778="",FALSE,TRUE)</f>
        <v>0</v>
      </c>
      <c r="U778">
        <f>IF(Metadata!E778="",FALSE,TRUE)</f>
        <v>0</v>
      </c>
      <c r="V778">
        <f>AND(IF(Metadata!F778="",FALSE,TRUE),exact(Metadata!F778,"rat gut metagenome"))</f>
        <v>0</v>
      </c>
      <c r="W778">
        <f>AND(IF(Metadata!G778="",FALSE,TRUE),exact(Metadata!G778,"1436733"))</f>
        <v>0</v>
      </c>
    </row>
    <row r="779" spans="1:23">
      <c r="A779" s="4">
        <f>IF(B779=" "," ",HYPERLINK(CONCATENATE("#metadata!",ADDRESS(INDEX($M$2:$M$1001,MATCH(ROWS($K$2:K779),$K$2:$K$1001,0),0),1)),INDEX($P$2:$P$1001,MATCH(ROWS($K$2:K779),$K$2:$K$1001,0),0)))</f>
        <v>0</v>
      </c>
      <c r="B779" s="3">
        <f>IF(OR(INDEX($L$2:$L$1001,MATCH(ROWS($K$2:K779),$K$2:$K$1001,0),1)&gt;=100000,INDEX($R$1005:$W$1005,1,MATCH(COLUMNS($R$1006:R1006),$R$1006:$W$1006,0))&gt;=100000), " ",IF(INDEX($R$2:$W$1001,MATCH(ROWS($K$2:K779),$K$2:$K$1001,0),MATCH(COLUMNS($R$1006:R1006),$R$1006:$W$1006,0)), HYPERLINK("#",""), HYPERLINK(CONCATENATE("#Metadata!", ADDRESS(INDEX($M$2:$M$1001,MATCH(ROWS($K$2:K779),$K$2:$K$1001,0),0), INDEX($R$1004:$W$1004,1,MATCH(COLUMNS($R$1006:R1006),$R$1006:$W$1006,0)))),"Fix")))</f>
        <v>0</v>
      </c>
      <c r="C779" s="3">
        <f>IF(OR(INDEX($L$2:$L$1001,MATCH(ROWS($K$2:K779),$K$2:$K$1001,0),1)&gt;=100000,INDEX($R$1005:$W$1005,1,MATCH(COLUMNS($R$1006:S1006),$R$1006:$W$1006,0))&gt;=100000), " ",IF(INDEX($R$2:$W$1001,MATCH(ROWS($K$2:K779),$K$2:$K$1001,0),MATCH(COLUMNS($R$1006:S1006),$R$1006:$W$1006,0)), HYPERLINK("#",""), HYPERLINK(CONCATENATE("#Metadata!", ADDRESS(INDEX($M$2:$M$1001,MATCH(ROWS($K$2:K779),$K$2:$K$1001,0),0), INDEX($R$1004:$W$1004,1,MATCH(COLUMNS($R$1006:S1006),$R$1006:$W$1006,0)))),"Fix")))</f>
        <v>0</v>
      </c>
      <c r="D779" s="3">
        <f>IF(OR(INDEX($L$2:$L$1001,MATCH(ROWS($K$2:K779),$K$2:$K$1001,0),1)&gt;=100000,INDEX($R$1005:$W$1005,1,MATCH(COLUMNS($R$1006:T1006),$R$1006:$W$1006,0))&gt;=100000), " ",IF(INDEX($R$2:$W$1001,MATCH(ROWS($K$2:K779),$K$2:$K$1001,0),MATCH(COLUMNS($R$1006:T1006),$R$1006:$W$1006,0)), HYPERLINK("#",""), HYPERLINK(CONCATENATE("#Metadata!", ADDRESS(INDEX($M$2:$M$1001,MATCH(ROWS($K$2:K779),$K$2:$K$1001,0),0), INDEX($R$1004:$W$1004,1,MATCH(COLUMNS($R$1006:T1006),$R$1006:$W$1006,0)))),"Fix")))</f>
        <v>0</v>
      </c>
      <c r="E779" s="3">
        <f>IF(OR(INDEX($L$2:$L$1001,MATCH(ROWS($K$2:K779),$K$2:$K$1001,0),1)&gt;=100000,INDEX($R$1005:$W$1005,1,MATCH(COLUMNS($R$1006:U1006),$R$1006:$W$1006,0))&gt;=100000), " ",IF(INDEX($R$2:$W$1001,MATCH(ROWS($K$2:K779),$K$2:$K$1001,0),MATCH(COLUMNS($R$1006:U1006),$R$1006:$W$1006,0)), HYPERLINK("#",""), HYPERLINK(CONCATENATE("#Metadata!", ADDRESS(INDEX($M$2:$M$1001,MATCH(ROWS($K$2:K779),$K$2:$K$1001,0),0), INDEX($R$1004:$W$1004,1,MATCH(COLUMNS($R$1006:U1006),$R$1006:$W$1006,0)))),"Fix")))</f>
        <v>0</v>
      </c>
      <c r="F779" s="3">
        <f>IF(OR(INDEX($L$2:$L$1001,MATCH(ROWS($K$2:K779),$K$2:$K$1001,0),1)&gt;=100000,INDEX($R$1005:$W$1005,1,MATCH(COLUMNS($R$1006:V1006),$R$1006:$W$1006,0))&gt;=100000), " ",IF(INDEX($R$2:$W$1001,MATCH(ROWS($K$2:K779),$K$2:$K$1001,0),MATCH(COLUMNS($R$1006:V1006),$R$1006:$W$1006,0)), HYPERLINK("#",""), HYPERLINK(CONCATENATE("#Metadata!", ADDRESS(INDEX($M$2:$M$1001,MATCH(ROWS($K$2:K779),$K$2:$K$1001,0),0), INDEX($R$1004:$W$1004,1,MATCH(COLUMNS($R$1006:V1006),$R$1006:$W$1006,0)))),"Fix")))</f>
        <v>0</v>
      </c>
      <c r="G779" s="3">
        <f>IF(OR(INDEX($L$2:$L$1001,MATCH(ROWS($K$2:K779),$K$2:$K$1001,0),1)&gt;=100000,INDEX($R$1005:$W$1005,1,MATCH(COLUMNS($R$1006:W1006),$R$1006:$W$1006,0))&gt;=100000), " ",IF(INDEX($R$2:$W$1001,MATCH(ROWS($K$2:K779),$K$2:$K$1001,0),MATCH(COLUMNS($R$1006:W1006),$R$1006:$W$1006,0)), HYPERLINK("#",""), HYPERLINK(CONCATENATE("#Metadata!", ADDRESS(INDEX($M$2:$M$1001,MATCH(ROWS($K$2:K779),$K$2:$K$1001,0),0), INDEX($R$1004:$W$1004,1,MATCH(COLUMNS($R$1006:W1006),$R$1006:$W$1006,0)))),"Fix")))</f>
        <v>0</v>
      </c>
      <c r="K779">
        <v>0</v>
      </c>
      <c r="L779">
        <v>0</v>
      </c>
      <c r="M779">
        <v>0</v>
      </c>
      <c r="N779">
        <f>IF(O779,TRUE,AND(R779:W779))</f>
        <v>0</v>
      </c>
      <c r="O779">
        <f>COUNTBLANK(Metadata!B779:G779)=COLUMNS(Metadata!B779:G779)</f>
        <v>0</v>
      </c>
      <c r="P779">
        <v>0</v>
      </c>
      <c r="R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S779">
        <f>IF(Metadata!C779="",FALSE,TRUE)</f>
        <v>0</v>
      </c>
      <c r="T779">
        <f>IF(Metadata!D779="",FALSE,TRUE)</f>
        <v>0</v>
      </c>
      <c r="U779">
        <f>IF(Metadata!E779="",FALSE,TRUE)</f>
        <v>0</v>
      </c>
      <c r="V779">
        <f>AND(IF(Metadata!F779="",FALSE,TRUE),exact(Metadata!F779,"rat gut metagenome"))</f>
        <v>0</v>
      </c>
      <c r="W779">
        <f>AND(IF(Metadata!G779="",FALSE,TRUE),exact(Metadata!G779,"1436733"))</f>
        <v>0</v>
      </c>
    </row>
    <row r="780" spans="1:23">
      <c r="A780" s="4">
        <f>IF(B780=" "," ",HYPERLINK(CONCATENATE("#metadata!",ADDRESS(INDEX($M$2:$M$1001,MATCH(ROWS($K$2:K780),$K$2:$K$1001,0),0),1)),INDEX($P$2:$P$1001,MATCH(ROWS($K$2:K780),$K$2:$K$1001,0),0)))</f>
        <v>0</v>
      </c>
      <c r="B780" s="3">
        <f>IF(OR(INDEX($L$2:$L$1001,MATCH(ROWS($K$2:K780),$K$2:$K$1001,0),1)&gt;=100000,INDEX($R$1005:$W$1005,1,MATCH(COLUMNS($R$1006:R1006),$R$1006:$W$1006,0))&gt;=100000), " ",IF(INDEX($R$2:$W$1001,MATCH(ROWS($K$2:K780),$K$2:$K$1001,0),MATCH(COLUMNS($R$1006:R1006),$R$1006:$W$1006,0)), HYPERLINK("#",""), HYPERLINK(CONCATENATE("#Metadata!", ADDRESS(INDEX($M$2:$M$1001,MATCH(ROWS($K$2:K780),$K$2:$K$1001,0),0), INDEX($R$1004:$W$1004,1,MATCH(COLUMNS($R$1006:R1006),$R$1006:$W$1006,0)))),"Fix")))</f>
        <v>0</v>
      </c>
      <c r="C780" s="3">
        <f>IF(OR(INDEX($L$2:$L$1001,MATCH(ROWS($K$2:K780),$K$2:$K$1001,0),1)&gt;=100000,INDEX($R$1005:$W$1005,1,MATCH(COLUMNS($R$1006:S1006),$R$1006:$W$1006,0))&gt;=100000), " ",IF(INDEX($R$2:$W$1001,MATCH(ROWS($K$2:K780),$K$2:$K$1001,0),MATCH(COLUMNS($R$1006:S1006),$R$1006:$W$1006,0)), HYPERLINK("#",""), HYPERLINK(CONCATENATE("#Metadata!", ADDRESS(INDEX($M$2:$M$1001,MATCH(ROWS($K$2:K780),$K$2:$K$1001,0),0), INDEX($R$1004:$W$1004,1,MATCH(COLUMNS($R$1006:S1006),$R$1006:$W$1006,0)))),"Fix")))</f>
        <v>0</v>
      </c>
      <c r="D780" s="3">
        <f>IF(OR(INDEX($L$2:$L$1001,MATCH(ROWS($K$2:K780),$K$2:$K$1001,0),1)&gt;=100000,INDEX($R$1005:$W$1005,1,MATCH(COLUMNS($R$1006:T1006),$R$1006:$W$1006,0))&gt;=100000), " ",IF(INDEX($R$2:$W$1001,MATCH(ROWS($K$2:K780),$K$2:$K$1001,0),MATCH(COLUMNS($R$1006:T1006),$R$1006:$W$1006,0)), HYPERLINK("#",""), HYPERLINK(CONCATENATE("#Metadata!", ADDRESS(INDEX($M$2:$M$1001,MATCH(ROWS($K$2:K780),$K$2:$K$1001,0),0), INDEX($R$1004:$W$1004,1,MATCH(COLUMNS($R$1006:T1006),$R$1006:$W$1006,0)))),"Fix")))</f>
        <v>0</v>
      </c>
      <c r="E780" s="3">
        <f>IF(OR(INDEX($L$2:$L$1001,MATCH(ROWS($K$2:K780),$K$2:$K$1001,0),1)&gt;=100000,INDEX($R$1005:$W$1005,1,MATCH(COLUMNS($R$1006:U1006),$R$1006:$W$1006,0))&gt;=100000), " ",IF(INDEX($R$2:$W$1001,MATCH(ROWS($K$2:K780),$K$2:$K$1001,0),MATCH(COLUMNS($R$1006:U1006),$R$1006:$W$1006,0)), HYPERLINK("#",""), HYPERLINK(CONCATENATE("#Metadata!", ADDRESS(INDEX($M$2:$M$1001,MATCH(ROWS($K$2:K780),$K$2:$K$1001,0),0), INDEX($R$1004:$W$1004,1,MATCH(COLUMNS($R$1006:U1006),$R$1006:$W$1006,0)))),"Fix")))</f>
        <v>0</v>
      </c>
      <c r="F780" s="3">
        <f>IF(OR(INDEX($L$2:$L$1001,MATCH(ROWS($K$2:K780),$K$2:$K$1001,0),1)&gt;=100000,INDEX($R$1005:$W$1005,1,MATCH(COLUMNS($R$1006:V1006),$R$1006:$W$1006,0))&gt;=100000), " ",IF(INDEX($R$2:$W$1001,MATCH(ROWS($K$2:K780),$K$2:$K$1001,0),MATCH(COLUMNS($R$1006:V1006),$R$1006:$W$1006,0)), HYPERLINK("#",""), HYPERLINK(CONCATENATE("#Metadata!", ADDRESS(INDEX($M$2:$M$1001,MATCH(ROWS($K$2:K780),$K$2:$K$1001,0),0), INDEX($R$1004:$W$1004,1,MATCH(COLUMNS($R$1006:V1006),$R$1006:$W$1006,0)))),"Fix")))</f>
        <v>0</v>
      </c>
      <c r="G780" s="3">
        <f>IF(OR(INDEX($L$2:$L$1001,MATCH(ROWS($K$2:K780),$K$2:$K$1001,0),1)&gt;=100000,INDEX($R$1005:$W$1005,1,MATCH(COLUMNS($R$1006:W1006),$R$1006:$W$1006,0))&gt;=100000), " ",IF(INDEX($R$2:$W$1001,MATCH(ROWS($K$2:K780),$K$2:$K$1001,0),MATCH(COLUMNS($R$1006:W1006),$R$1006:$W$1006,0)), HYPERLINK("#",""), HYPERLINK(CONCATENATE("#Metadata!", ADDRESS(INDEX($M$2:$M$1001,MATCH(ROWS($K$2:K780),$K$2:$K$1001,0),0), INDEX($R$1004:$W$1004,1,MATCH(COLUMNS($R$1006:W1006),$R$1006:$W$1006,0)))),"Fix")))</f>
        <v>0</v>
      </c>
      <c r="K780">
        <v>0</v>
      </c>
      <c r="L780">
        <v>0</v>
      </c>
      <c r="M780">
        <v>0</v>
      </c>
      <c r="N780">
        <f>IF(O780,TRUE,AND(R780:W780))</f>
        <v>0</v>
      </c>
      <c r="O780">
        <f>COUNTBLANK(Metadata!B780:G780)=COLUMNS(Metadata!B780:G780)</f>
        <v>0</v>
      </c>
      <c r="P780">
        <v>0</v>
      </c>
      <c r="R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S780">
        <f>IF(Metadata!C780="",FALSE,TRUE)</f>
        <v>0</v>
      </c>
      <c r="T780">
        <f>IF(Metadata!D780="",FALSE,TRUE)</f>
        <v>0</v>
      </c>
      <c r="U780">
        <f>IF(Metadata!E780="",FALSE,TRUE)</f>
        <v>0</v>
      </c>
      <c r="V780">
        <f>AND(IF(Metadata!F780="",FALSE,TRUE),exact(Metadata!F780,"rat gut metagenome"))</f>
        <v>0</v>
      </c>
      <c r="W780">
        <f>AND(IF(Metadata!G780="",FALSE,TRUE),exact(Metadata!G780,"1436733"))</f>
        <v>0</v>
      </c>
    </row>
    <row r="781" spans="1:23">
      <c r="A781" s="4">
        <f>IF(B781=" "," ",HYPERLINK(CONCATENATE("#metadata!",ADDRESS(INDEX($M$2:$M$1001,MATCH(ROWS($K$2:K781),$K$2:$K$1001,0),0),1)),INDEX($P$2:$P$1001,MATCH(ROWS($K$2:K781),$K$2:$K$1001,0),0)))</f>
        <v>0</v>
      </c>
      <c r="B781" s="3">
        <f>IF(OR(INDEX($L$2:$L$1001,MATCH(ROWS($K$2:K781),$K$2:$K$1001,0),1)&gt;=100000,INDEX($R$1005:$W$1005,1,MATCH(COLUMNS($R$1006:R1006),$R$1006:$W$1006,0))&gt;=100000), " ",IF(INDEX($R$2:$W$1001,MATCH(ROWS($K$2:K781),$K$2:$K$1001,0),MATCH(COLUMNS($R$1006:R1006),$R$1006:$W$1006,0)), HYPERLINK("#",""), HYPERLINK(CONCATENATE("#Metadata!", ADDRESS(INDEX($M$2:$M$1001,MATCH(ROWS($K$2:K781),$K$2:$K$1001,0),0), INDEX($R$1004:$W$1004,1,MATCH(COLUMNS($R$1006:R1006),$R$1006:$W$1006,0)))),"Fix")))</f>
        <v>0</v>
      </c>
      <c r="C781" s="3">
        <f>IF(OR(INDEX($L$2:$L$1001,MATCH(ROWS($K$2:K781),$K$2:$K$1001,0),1)&gt;=100000,INDEX($R$1005:$W$1005,1,MATCH(COLUMNS($R$1006:S1006),$R$1006:$W$1006,0))&gt;=100000), " ",IF(INDEX($R$2:$W$1001,MATCH(ROWS($K$2:K781),$K$2:$K$1001,0),MATCH(COLUMNS($R$1006:S1006),$R$1006:$W$1006,0)), HYPERLINK("#",""), HYPERLINK(CONCATENATE("#Metadata!", ADDRESS(INDEX($M$2:$M$1001,MATCH(ROWS($K$2:K781),$K$2:$K$1001,0),0), INDEX($R$1004:$W$1004,1,MATCH(COLUMNS($R$1006:S1006),$R$1006:$W$1006,0)))),"Fix")))</f>
        <v>0</v>
      </c>
      <c r="D781" s="3">
        <f>IF(OR(INDEX($L$2:$L$1001,MATCH(ROWS($K$2:K781),$K$2:$K$1001,0),1)&gt;=100000,INDEX($R$1005:$W$1005,1,MATCH(COLUMNS($R$1006:T1006),$R$1006:$W$1006,0))&gt;=100000), " ",IF(INDEX($R$2:$W$1001,MATCH(ROWS($K$2:K781),$K$2:$K$1001,0),MATCH(COLUMNS($R$1006:T1006),$R$1006:$W$1006,0)), HYPERLINK("#",""), HYPERLINK(CONCATENATE("#Metadata!", ADDRESS(INDEX($M$2:$M$1001,MATCH(ROWS($K$2:K781),$K$2:$K$1001,0),0), INDEX($R$1004:$W$1004,1,MATCH(COLUMNS($R$1006:T1006),$R$1006:$W$1006,0)))),"Fix")))</f>
        <v>0</v>
      </c>
      <c r="E781" s="3">
        <f>IF(OR(INDEX($L$2:$L$1001,MATCH(ROWS($K$2:K781),$K$2:$K$1001,0),1)&gt;=100000,INDEX($R$1005:$W$1005,1,MATCH(COLUMNS($R$1006:U1006),$R$1006:$W$1006,0))&gt;=100000), " ",IF(INDEX($R$2:$W$1001,MATCH(ROWS($K$2:K781),$K$2:$K$1001,0),MATCH(COLUMNS($R$1006:U1006),$R$1006:$W$1006,0)), HYPERLINK("#",""), HYPERLINK(CONCATENATE("#Metadata!", ADDRESS(INDEX($M$2:$M$1001,MATCH(ROWS($K$2:K781),$K$2:$K$1001,0),0), INDEX($R$1004:$W$1004,1,MATCH(COLUMNS($R$1006:U1006),$R$1006:$W$1006,0)))),"Fix")))</f>
        <v>0</v>
      </c>
      <c r="F781" s="3">
        <f>IF(OR(INDEX($L$2:$L$1001,MATCH(ROWS($K$2:K781),$K$2:$K$1001,0),1)&gt;=100000,INDEX($R$1005:$W$1005,1,MATCH(COLUMNS($R$1006:V1006),$R$1006:$W$1006,0))&gt;=100000), " ",IF(INDEX($R$2:$W$1001,MATCH(ROWS($K$2:K781),$K$2:$K$1001,0),MATCH(COLUMNS($R$1006:V1006),$R$1006:$W$1006,0)), HYPERLINK("#",""), HYPERLINK(CONCATENATE("#Metadata!", ADDRESS(INDEX($M$2:$M$1001,MATCH(ROWS($K$2:K781),$K$2:$K$1001,0),0), INDEX($R$1004:$W$1004,1,MATCH(COLUMNS($R$1006:V1006),$R$1006:$W$1006,0)))),"Fix")))</f>
        <v>0</v>
      </c>
      <c r="G781" s="3">
        <f>IF(OR(INDEX($L$2:$L$1001,MATCH(ROWS($K$2:K781),$K$2:$K$1001,0),1)&gt;=100000,INDEX($R$1005:$W$1005,1,MATCH(COLUMNS($R$1006:W1006),$R$1006:$W$1006,0))&gt;=100000), " ",IF(INDEX($R$2:$W$1001,MATCH(ROWS($K$2:K781),$K$2:$K$1001,0),MATCH(COLUMNS($R$1006:W1006),$R$1006:$W$1006,0)), HYPERLINK("#",""), HYPERLINK(CONCATENATE("#Metadata!", ADDRESS(INDEX($M$2:$M$1001,MATCH(ROWS($K$2:K781),$K$2:$K$1001,0),0), INDEX($R$1004:$W$1004,1,MATCH(COLUMNS($R$1006:W1006),$R$1006:$W$1006,0)))),"Fix")))</f>
        <v>0</v>
      </c>
      <c r="K781">
        <v>0</v>
      </c>
      <c r="L781">
        <v>0</v>
      </c>
      <c r="M781">
        <v>0</v>
      </c>
      <c r="N781">
        <f>IF(O781,TRUE,AND(R781:W781))</f>
        <v>0</v>
      </c>
      <c r="O781">
        <f>COUNTBLANK(Metadata!B781:G781)=COLUMNS(Metadata!B781:G781)</f>
        <v>0</v>
      </c>
      <c r="P781">
        <v>0</v>
      </c>
      <c r="R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S781">
        <f>IF(Metadata!C781="",FALSE,TRUE)</f>
        <v>0</v>
      </c>
      <c r="T781">
        <f>IF(Metadata!D781="",FALSE,TRUE)</f>
        <v>0</v>
      </c>
      <c r="U781">
        <f>IF(Metadata!E781="",FALSE,TRUE)</f>
        <v>0</v>
      </c>
      <c r="V781">
        <f>AND(IF(Metadata!F781="",FALSE,TRUE),exact(Metadata!F781,"rat gut metagenome"))</f>
        <v>0</v>
      </c>
      <c r="W781">
        <f>AND(IF(Metadata!G781="",FALSE,TRUE),exact(Metadata!G781,"1436733"))</f>
        <v>0</v>
      </c>
    </row>
    <row r="782" spans="1:23">
      <c r="A782" s="4">
        <f>IF(B782=" "," ",HYPERLINK(CONCATENATE("#metadata!",ADDRESS(INDEX($M$2:$M$1001,MATCH(ROWS($K$2:K782),$K$2:$K$1001,0),0),1)),INDEX($P$2:$P$1001,MATCH(ROWS($K$2:K782),$K$2:$K$1001,0),0)))</f>
        <v>0</v>
      </c>
      <c r="B782" s="3">
        <f>IF(OR(INDEX($L$2:$L$1001,MATCH(ROWS($K$2:K782),$K$2:$K$1001,0),1)&gt;=100000,INDEX($R$1005:$W$1005,1,MATCH(COLUMNS($R$1006:R1006),$R$1006:$W$1006,0))&gt;=100000), " ",IF(INDEX($R$2:$W$1001,MATCH(ROWS($K$2:K782),$K$2:$K$1001,0),MATCH(COLUMNS($R$1006:R1006),$R$1006:$W$1006,0)), HYPERLINK("#",""), HYPERLINK(CONCATENATE("#Metadata!", ADDRESS(INDEX($M$2:$M$1001,MATCH(ROWS($K$2:K782),$K$2:$K$1001,0),0), INDEX($R$1004:$W$1004,1,MATCH(COLUMNS($R$1006:R1006),$R$1006:$W$1006,0)))),"Fix")))</f>
        <v>0</v>
      </c>
      <c r="C782" s="3">
        <f>IF(OR(INDEX($L$2:$L$1001,MATCH(ROWS($K$2:K782),$K$2:$K$1001,0),1)&gt;=100000,INDEX($R$1005:$W$1005,1,MATCH(COLUMNS($R$1006:S1006),$R$1006:$W$1006,0))&gt;=100000), " ",IF(INDEX($R$2:$W$1001,MATCH(ROWS($K$2:K782),$K$2:$K$1001,0),MATCH(COLUMNS($R$1006:S1006),$R$1006:$W$1006,0)), HYPERLINK("#",""), HYPERLINK(CONCATENATE("#Metadata!", ADDRESS(INDEX($M$2:$M$1001,MATCH(ROWS($K$2:K782),$K$2:$K$1001,0),0), INDEX($R$1004:$W$1004,1,MATCH(COLUMNS($R$1006:S1006),$R$1006:$W$1006,0)))),"Fix")))</f>
        <v>0</v>
      </c>
      <c r="D782" s="3">
        <f>IF(OR(INDEX($L$2:$L$1001,MATCH(ROWS($K$2:K782),$K$2:$K$1001,0),1)&gt;=100000,INDEX($R$1005:$W$1005,1,MATCH(COLUMNS($R$1006:T1006),$R$1006:$W$1006,0))&gt;=100000), " ",IF(INDEX($R$2:$W$1001,MATCH(ROWS($K$2:K782),$K$2:$K$1001,0),MATCH(COLUMNS($R$1006:T1006),$R$1006:$W$1006,0)), HYPERLINK("#",""), HYPERLINK(CONCATENATE("#Metadata!", ADDRESS(INDEX($M$2:$M$1001,MATCH(ROWS($K$2:K782),$K$2:$K$1001,0),0), INDEX($R$1004:$W$1004,1,MATCH(COLUMNS($R$1006:T1006),$R$1006:$W$1006,0)))),"Fix")))</f>
        <v>0</v>
      </c>
      <c r="E782" s="3">
        <f>IF(OR(INDEX($L$2:$L$1001,MATCH(ROWS($K$2:K782),$K$2:$K$1001,0),1)&gt;=100000,INDEX($R$1005:$W$1005,1,MATCH(COLUMNS($R$1006:U1006),$R$1006:$W$1006,0))&gt;=100000), " ",IF(INDEX($R$2:$W$1001,MATCH(ROWS($K$2:K782),$K$2:$K$1001,0),MATCH(COLUMNS($R$1006:U1006),$R$1006:$W$1006,0)), HYPERLINK("#",""), HYPERLINK(CONCATENATE("#Metadata!", ADDRESS(INDEX($M$2:$M$1001,MATCH(ROWS($K$2:K782),$K$2:$K$1001,0),0), INDEX($R$1004:$W$1004,1,MATCH(COLUMNS($R$1006:U1006),$R$1006:$W$1006,0)))),"Fix")))</f>
        <v>0</v>
      </c>
      <c r="F782" s="3">
        <f>IF(OR(INDEX($L$2:$L$1001,MATCH(ROWS($K$2:K782),$K$2:$K$1001,0),1)&gt;=100000,INDEX($R$1005:$W$1005,1,MATCH(COLUMNS($R$1006:V1006),$R$1006:$W$1006,0))&gt;=100000), " ",IF(INDEX($R$2:$W$1001,MATCH(ROWS($K$2:K782),$K$2:$K$1001,0),MATCH(COLUMNS($R$1006:V1006),$R$1006:$W$1006,0)), HYPERLINK("#",""), HYPERLINK(CONCATENATE("#Metadata!", ADDRESS(INDEX($M$2:$M$1001,MATCH(ROWS($K$2:K782),$K$2:$K$1001,0),0), INDEX($R$1004:$W$1004,1,MATCH(COLUMNS($R$1006:V1006),$R$1006:$W$1006,0)))),"Fix")))</f>
        <v>0</v>
      </c>
      <c r="G782" s="3">
        <f>IF(OR(INDEX($L$2:$L$1001,MATCH(ROWS($K$2:K782),$K$2:$K$1001,0),1)&gt;=100000,INDEX($R$1005:$W$1005,1,MATCH(COLUMNS($R$1006:W1006),$R$1006:$W$1006,0))&gt;=100000), " ",IF(INDEX($R$2:$W$1001,MATCH(ROWS($K$2:K782),$K$2:$K$1001,0),MATCH(COLUMNS($R$1006:W1006),$R$1006:$W$1006,0)), HYPERLINK("#",""), HYPERLINK(CONCATENATE("#Metadata!", ADDRESS(INDEX($M$2:$M$1001,MATCH(ROWS($K$2:K782),$K$2:$K$1001,0),0), INDEX($R$1004:$W$1004,1,MATCH(COLUMNS($R$1006:W1006),$R$1006:$W$1006,0)))),"Fix")))</f>
        <v>0</v>
      </c>
      <c r="K782">
        <v>0</v>
      </c>
      <c r="L782">
        <v>0</v>
      </c>
      <c r="M782">
        <v>0</v>
      </c>
      <c r="N782">
        <f>IF(O782,TRUE,AND(R782:W782))</f>
        <v>0</v>
      </c>
      <c r="O782">
        <f>COUNTBLANK(Metadata!B782:G782)=COLUMNS(Metadata!B782:G782)</f>
        <v>0</v>
      </c>
      <c r="P782">
        <v>0</v>
      </c>
      <c r="R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S782">
        <f>IF(Metadata!C782="",FALSE,TRUE)</f>
        <v>0</v>
      </c>
      <c r="T782">
        <f>IF(Metadata!D782="",FALSE,TRUE)</f>
        <v>0</v>
      </c>
      <c r="U782">
        <f>IF(Metadata!E782="",FALSE,TRUE)</f>
        <v>0</v>
      </c>
      <c r="V782">
        <f>AND(IF(Metadata!F782="",FALSE,TRUE),exact(Metadata!F782,"rat gut metagenome"))</f>
        <v>0</v>
      </c>
      <c r="W782">
        <f>AND(IF(Metadata!G782="",FALSE,TRUE),exact(Metadata!G782,"1436733"))</f>
        <v>0</v>
      </c>
    </row>
    <row r="783" spans="1:23">
      <c r="A783" s="4">
        <f>IF(B783=" "," ",HYPERLINK(CONCATENATE("#metadata!",ADDRESS(INDEX($M$2:$M$1001,MATCH(ROWS($K$2:K783),$K$2:$K$1001,0),0),1)),INDEX($P$2:$P$1001,MATCH(ROWS($K$2:K783),$K$2:$K$1001,0),0)))</f>
        <v>0</v>
      </c>
      <c r="B783" s="3">
        <f>IF(OR(INDEX($L$2:$L$1001,MATCH(ROWS($K$2:K783),$K$2:$K$1001,0),1)&gt;=100000,INDEX($R$1005:$W$1005,1,MATCH(COLUMNS($R$1006:R1006),$R$1006:$W$1006,0))&gt;=100000), " ",IF(INDEX($R$2:$W$1001,MATCH(ROWS($K$2:K783),$K$2:$K$1001,0),MATCH(COLUMNS($R$1006:R1006),$R$1006:$W$1006,0)), HYPERLINK("#",""), HYPERLINK(CONCATENATE("#Metadata!", ADDRESS(INDEX($M$2:$M$1001,MATCH(ROWS($K$2:K783),$K$2:$K$1001,0),0), INDEX($R$1004:$W$1004,1,MATCH(COLUMNS($R$1006:R1006),$R$1006:$W$1006,0)))),"Fix")))</f>
        <v>0</v>
      </c>
      <c r="C783" s="3">
        <f>IF(OR(INDEX($L$2:$L$1001,MATCH(ROWS($K$2:K783),$K$2:$K$1001,0),1)&gt;=100000,INDEX($R$1005:$W$1005,1,MATCH(COLUMNS($R$1006:S1006),$R$1006:$W$1006,0))&gt;=100000), " ",IF(INDEX($R$2:$W$1001,MATCH(ROWS($K$2:K783),$K$2:$K$1001,0),MATCH(COLUMNS($R$1006:S1006),$R$1006:$W$1006,0)), HYPERLINK("#",""), HYPERLINK(CONCATENATE("#Metadata!", ADDRESS(INDEX($M$2:$M$1001,MATCH(ROWS($K$2:K783),$K$2:$K$1001,0),0), INDEX($R$1004:$W$1004,1,MATCH(COLUMNS($R$1006:S1006),$R$1006:$W$1006,0)))),"Fix")))</f>
        <v>0</v>
      </c>
      <c r="D783" s="3">
        <f>IF(OR(INDEX($L$2:$L$1001,MATCH(ROWS($K$2:K783),$K$2:$K$1001,0),1)&gt;=100000,INDEX($R$1005:$W$1005,1,MATCH(COLUMNS($R$1006:T1006),$R$1006:$W$1006,0))&gt;=100000), " ",IF(INDEX($R$2:$W$1001,MATCH(ROWS($K$2:K783),$K$2:$K$1001,0),MATCH(COLUMNS($R$1006:T1006),$R$1006:$W$1006,0)), HYPERLINK("#",""), HYPERLINK(CONCATENATE("#Metadata!", ADDRESS(INDEX($M$2:$M$1001,MATCH(ROWS($K$2:K783),$K$2:$K$1001,0),0), INDEX($R$1004:$W$1004,1,MATCH(COLUMNS($R$1006:T1006),$R$1006:$W$1006,0)))),"Fix")))</f>
        <v>0</v>
      </c>
      <c r="E783" s="3">
        <f>IF(OR(INDEX($L$2:$L$1001,MATCH(ROWS($K$2:K783),$K$2:$K$1001,0),1)&gt;=100000,INDEX($R$1005:$W$1005,1,MATCH(COLUMNS($R$1006:U1006),$R$1006:$W$1006,0))&gt;=100000), " ",IF(INDEX($R$2:$W$1001,MATCH(ROWS($K$2:K783),$K$2:$K$1001,0),MATCH(COLUMNS($R$1006:U1006),$R$1006:$W$1006,0)), HYPERLINK("#",""), HYPERLINK(CONCATENATE("#Metadata!", ADDRESS(INDEX($M$2:$M$1001,MATCH(ROWS($K$2:K783),$K$2:$K$1001,0),0), INDEX($R$1004:$W$1004,1,MATCH(COLUMNS($R$1006:U1006),$R$1006:$W$1006,0)))),"Fix")))</f>
        <v>0</v>
      </c>
      <c r="F783" s="3">
        <f>IF(OR(INDEX($L$2:$L$1001,MATCH(ROWS($K$2:K783),$K$2:$K$1001,0),1)&gt;=100000,INDEX($R$1005:$W$1005,1,MATCH(COLUMNS($R$1006:V1006),$R$1006:$W$1006,0))&gt;=100000), " ",IF(INDEX($R$2:$W$1001,MATCH(ROWS($K$2:K783),$K$2:$K$1001,0),MATCH(COLUMNS($R$1006:V1006),$R$1006:$W$1006,0)), HYPERLINK("#",""), HYPERLINK(CONCATENATE("#Metadata!", ADDRESS(INDEX($M$2:$M$1001,MATCH(ROWS($K$2:K783),$K$2:$K$1001,0),0), INDEX($R$1004:$W$1004,1,MATCH(COLUMNS($R$1006:V1006),$R$1006:$W$1006,0)))),"Fix")))</f>
        <v>0</v>
      </c>
      <c r="G783" s="3">
        <f>IF(OR(INDEX($L$2:$L$1001,MATCH(ROWS($K$2:K783),$K$2:$K$1001,0),1)&gt;=100000,INDEX($R$1005:$W$1005,1,MATCH(COLUMNS($R$1006:W1006),$R$1006:$W$1006,0))&gt;=100000), " ",IF(INDEX($R$2:$W$1001,MATCH(ROWS($K$2:K783),$K$2:$K$1001,0),MATCH(COLUMNS($R$1006:W1006),$R$1006:$W$1006,0)), HYPERLINK("#",""), HYPERLINK(CONCATENATE("#Metadata!", ADDRESS(INDEX($M$2:$M$1001,MATCH(ROWS($K$2:K783),$K$2:$K$1001,0),0), INDEX($R$1004:$W$1004,1,MATCH(COLUMNS($R$1006:W1006),$R$1006:$W$1006,0)))),"Fix")))</f>
        <v>0</v>
      </c>
      <c r="K783">
        <v>0</v>
      </c>
      <c r="L783">
        <v>0</v>
      </c>
      <c r="M783">
        <v>0</v>
      </c>
      <c r="N783">
        <f>IF(O783,TRUE,AND(R783:W783))</f>
        <v>0</v>
      </c>
      <c r="O783">
        <f>COUNTBLANK(Metadata!B783:G783)=COLUMNS(Metadata!B783:G783)</f>
        <v>0</v>
      </c>
      <c r="P783">
        <v>0</v>
      </c>
      <c r="R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S783">
        <f>IF(Metadata!C783="",FALSE,TRUE)</f>
        <v>0</v>
      </c>
      <c r="T783">
        <f>IF(Metadata!D783="",FALSE,TRUE)</f>
        <v>0</v>
      </c>
      <c r="U783">
        <f>IF(Metadata!E783="",FALSE,TRUE)</f>
        <v>0</v>
      </c>
      <c r="V783">
        <f>AND(IF(Metadata!F783="",FALSE,TRUE),exact(Metadata!F783,"rat gut metagenome"))</f>
        <v>0</v>
      </c>
      <c r="W783">
        <f>AND(IF(Metadata!G783="",FALSE,TRUE),exact(Metadata!G783,"1436733"))</f>
        <v>0</v>
      </c>
    </row>
    <row r="784" spans="1:23">
      <c r="A784" s="4">
        <f>IF(B784=" "," ",HYPERLINK(CONCATENATE("#metadata!",ADDRESS(INDEX($M$2:$M$1001,MATCH(ROWS($K$2:K784),$K$2:$K$1001,0),0),1)),INDEX($P$2:$P$1001,MATCH(ROWS($K$2:K784),$K$2:$K$1001,0),0)))</f>
        <v>0</v>
      </c>
      <c r="B784" s="3">
        <f>IF(OR(INDEX($L$2:$L$1001,MATCH(ROWS($K$2:K784),$K$2:$K$1001,0),1)&gt;=100000,INDEX($R$1005:$W$1005,1,MATCH(COLUMNS($R$1006:R1006),$R$1006:$W$1006,0))&gt;=100000), " ",IF(INDEX($R$2:$W$1001,MATCH(ROWS($K$2:K784),$K$2:$K$1001,0),MATCH(COLUMNS($R$1006:R1006),$R$1006:$W$1006,0)), HYPERLINK("#",""), HYPERLINK(CONCATENATE("#Metadata!", ADDRESS(INDEX($M$2:$M$1001,MATCH(ROWS($K$2:K784),$K$2:$K$1001,0),0), INDEX($R$1004:$W$1004,1,MATCH(COLUMNS($R$1006:R1006),$R$1006:$W$1006,0)))),"Fix")))</f>
        <v>0</v>
      </c>
      <c r="C784" s="3">
        <f>IF(OR(INDEX($L$2:$L$1001,MATCH(ROWS($K$2:K784),$K$2:$K$1001,0),1)&gt;=100000,INDEX($R$1005:$W$1005,1,MATCH(COLUMNS($R$1006:S1006),$R$1006:$W$1006,0))&gt;=100000), " ",IF(INDEX($R$2:$W$1001,MATCH(ROWS($K$2:K784),$K$2:$K$1001,0),MATCH(COLUMNS($R$1006:S1006),$R$1006:$W$1006,0)), HYPERLINK("#",""), HYPERLINK(CONCATENATE("#Metadata!", ADDRESS(INDEX($M$2:$M$1001,MATCH(ROWS($K$2:K784),$K$2:$K$1001,0),0), INDEX($R$1004:$W$1004,1,MATCH(COLUMNS($R$1006:S1006),$R$1006:$W$1006,0)))),"Fix")))</f>
        <v>0</v>
      </c>
      <c r="D784" s="3">
        <f>IF(OR(INDEX($L$2:$L$1001,MATCH(ROWS($K$2:K784),$K$2:$K$1001,0),1)&gt;=100000,INDEX($R$1005:$W$1005,1,MATCH(COLUMNS($R$1006:T1006),$R$1006:$W$1006,0))&gt;=100000), " ",IF(INDEX($R$2:$W$1001,MATCH(ROWS($K$2:K784),$K$2:$K$1001,0),MATCH(COLUMNS($R$1006:T1006),$R$1006:$W$1006,0)), HYPERLINK("#",""), HYPERLINK(CONCATENATE("#Metadata!", ADDRESS(INDEX($M$2:$M$1001,MATCH(ROWS($K$2:K784),$K$2:$K$1001,0),0), INDEX($R$1004:$W$1004,1,MATCH(COLUMNS($R$1006:T1006),$R$1006:$W$1006,0)))),"Fix")))</f>
        <v>0</v>
      </c>
      <c r="E784" s="3">
        <f>IF(OR(INDEX($L$2:$L$1001,MATCH(ROWS($K$2:K784),$K$2:$K$1001,0),1)&gt;=100000,INDEX($R$1005:$W$1005,1,MATCH(COLUMNS($R$1006:U1006),$R$1006:$W$1006,0))&gt;=100000), " ",IF(INDEX($R$2:$W$1001,MATCH(ROWS($K$2:K784),$K$2:$K$1001,0),MATCH(COLUMNS($R$1006:U1006),$R$1006:$W$1006,0)), HYPERLINK("#",""), HYPERLINK(CONCATENATE("#Metadata!", ADDRESS(INDEX($M$2:$M$1001,MATCH(ROWS($K$2:K784),$K$2:$K$1001,0),0), INDEX($R$1004:$W$1004,1,MATCH(COLUMNS($R$1006:U1006),$R$1006:$W$1006,0)))),"Fix")))</f>
        <v>0</v>
      </c>
      <c r="F784" s="3">
        <f>IF(OR(INDEX($L$2:$L$1001,MATCH(ROWS($K$2:K784),$K$2:$K$1001,0),1)&gt;=100000,INDEX($R$1005:$W$1005,1,MATCH(COLUMNS($R$1006:V1006),$R$1006:$W$1006,0))&gt;=100000), " ",IF(INDEX($R$2:$W$1001,MATCH(ROWS($K$2:K784),$K$2:$K$1001,0),MATCH(COLUMNS($R$1006:V1006),$R$1006:$W$1006,0)), HYPERLINK("#",""), HYPERLINK(CONCATENATE("#Metadata!", ADDRESS(INDEX($M$2:$M$1001,MATCH(ROWS($K$2:K784),$K$2:$K$1001,0),0), INDEX($R$1004:$W$1004,1,MATCH(COLUMNS($R$1006:V1006),$R$1006:$W$1006,0)))),"Fix")))</f>
        <v>0</v>
      </c>
      <c r="G784" s="3">
        <f>IF(OR(INDEX($L$2:$L$1001,MATCH(ROWS($K$2:K784),$K$2:$K$1001,0),1)&gt;=100000,INDEX($R$1005:$W$1005,1,MATCH(COLUMNS($R$1006:W1006),$R$1006:$W$1006,0))&gt;=100000), " ",IF(INDEX($R$2:$W$1001,MATCH(ROWS($K$2:K784),$K$2:$K$1001,0),MATCH(COLUMNS($R$1006:W1006),$R$1006:$W$1006,0)), HYPERLINK("#",""), HYPERLINK(CONCATENATE("#Metadata!", ADDRESS(INDEX($M$2:$M$1001,MATCH(ROWS($K$2:K784),$K$2:$K$1001,0),0), INDEX($R$1004:$W$1004,1,MATCH(COLUMNS($R$1006:W1006),$R$1006:$W$1006,0)))),"Fix")))</f>
        <v>0</v>
      </c>
      <c r="K784">
        <v>0</v>
      </c>
      <c r="L784">
        <v>0</v>
      </c>
      <c r="M784">
        <v>0</v>
      </c>
      <c r="N784">
        <f>IF(O784,TRUE,AND(R784:W784))</f>
        <v>0</v>
      </c>
      <c r="O784">
        <f>COUNTBLANK(Metadata!B784:G784)=COLUMNS(Metadata!B784:G784)</f>
        <v>0</v>
      </c>
      <c r="P784">
        <v>0</v>
      </c>
      <c r="R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S784">
        <f>IF(Metadata!C784="",FALSE,TRUE)</f>
        <v>0</v>
      </c>
      <c r="T784">
        <f>IF(Metadata!D784="",FALSE,TRUE)</f>
        <v>0</v>
      </c>
      <c r="U784">
        <f>IF(Metadata!E784="",FALSE,TRUE)</f>
        <v>0</v>
      </c>
      <c r="V784">
        <f>AND(IF(Metadata!F784="",FALSE,TRUE),exact(Metadata!F784,"rat gut metagenome"))</f>
        <v>0</v>
      </c>
      <c r="W784">
        <f>AND(IF(Metadata!G784="",FALSE,TRUE),exact(Metadata!G784,"1436733"))</f>
        <v>0</v>
      </c>
    </row>
    <row r="785" spans="1:23">
      <c r="A785" s="4">
        <f>IF(B785=" "," ",HYPERLINK(CONCATENATE("#metadata!",ADDRESS(INDEX($M$2:$M$1001,MATCH(ROWS($K$2:K785),$K$2:$K$1001,0),0),1)),INDEX($P$2:$P$1001,MATCH(ROWS($K$2:K785),$K$2:$K$1001,0),0)))</f>
        <v>0</v>
      </c>
      <c r="B785" s="3">
        <f>IF(OR(INDEX($L$2:$L$1001,MATCH(ROWS($K$2:K785),$K$2:$K$1001,0),1)&gt;=100000,INDEX($R$1005:$W$1005,1,MATCH(COLUMNS($R$1006:R1006),$R$1006:$W$1006,0))&gt;=100000), " ",IF(INDEX($R$2:$W$1001,MATCH(ROWS($K$2:K785),$K$2:$K$1001,0),MATCH(COLUMNS($R$1006:R1006),$R$1006:$W$1006,0)), HYPERLINK("#",""), HYPERLINK(CONCATENATE("#Metadata!", ADDRESS(INDEX($M$2:$M$1001,MATCH(ROWS($K$2:K785),$K$2:$K$1001,0),0), INDEX($R$1004:$W$1004,1,MATCH(COLUMNS($R$1006:R1006),$R$1006:$W$1006,0)))),"Fix")))</f>
        <v>0</v>
      </c>
      <c r="C785" s="3">
        <f>IF(OR(INDEX($L$2:$L$1001,MATCH(ROWS($K$2:K785),$K$2:$K$1001,0),1)&gt;=100000,INDEX($R$1005:$W$1005,1,MATCH(COLUMNS($R$1006:S1006),$R$1006:$W$1006,0))&gt;=100000), " ",IF(INDEX($R$2:$W$1001,MATCH(ROWS($K$2:K785),$K$2:$K$1001,0),MATCH(COLUMNS($R$1006:S1006),$R$1006:$W$1006,0)), HYPERLINK("#",""), HYPERLINK(CONCATENATE("#Metadata!", ADDRESS(INDEX($M$2:$M$1001,MATCH(ROWS($K$2:K785),$K$2:$K$1001,0),0), INDEX($R$1004:$W$1004,1,MATCH(COLUMNS($R$1006:S1006),$R$1006:$W$1006,0)))),"Fix")))</f>
        <v>0</v>
      </c>
      <c r="D785" s="3">
        <f>IF(OR(INDEX($L$2:$L$1001,MATCH(ROWS($K$2:K785),$K$2:$K$1001,0),1)&gt;=100000,INDEX($R$1005:$W$1005,1,MATCH(COLUMNS($R$1006:T1006),$R$1006:$W$1006,0))&gt;=100000), " ",IF(INDEX($R$2:$W$1001,MATCH(ROWS($K$2:K785),$K$2:$K$1001,0),MATCH(COLUMNS($R$1006:T1006),$R$1006:$W$1006,0)), HYPERLINK("#",""), HYPERLINK(CONCATENATE("#Metadata!", ADDRESS(INDEX($M$2:$M$1001,MATCH(ROWS($K$2:K785),$K$2:$K$1001,0),0), INDEX($R$1004:$W$1004,1,MATCH(COLUMNS($R$1006:T1006),$R$1006:$W$1006,0)))),"Fix")))</f>
        <v>0</v>
      </c>
      <c r="E785" s="3">
        <f>IF(OR(INDEX($L$2:$L$1001,MATCH(ROWS($K$2:K785),$K$2:$K$1001,0),1)&gt;=100000,INDEX($R$1005:$W$1005,1,MATCH(COLUMNS($R$1006:U1006),$R$1006:$W$1006,0))&gt;=100000), " ",IF(INDEX($R$2:$W$1001,MATCH(ROWS($K$2:K785),$K$2:$K$1001,0),MATCH(COLUMNS($R$1006:U1006),$R$1006:$W$1006,0)), HYPERLINK("#",""), HYPERLINK(CONCATENATE("#Metadata!", ADDRESS(INDEX($M$2:$M$1001,MATCH(ROWS($K$2:K785),$K$2:$K$1001,0),0), INDEX($R$1004:$W$1004,1,MATCH(COLUMNS($R$1006:U1006),$R$1006:$W$1006,0)))),"Fix")))</f>
        <v>0</v>
      </c>
      <c r="F785" s="3">
        <f>IF(OR(INDEX($L$2:$L$1001,MATCH(ROWS($K$2:K785),$K$2:$K$1001,0),1)&gt;=100000,INDEX($R$1005:$W$1005,1,MATCH(COLUMNS($R$1006:V1006),$R$1006:$W$1006,0))&gt;=100000), " ",IF(INDEX($R$2:$W$1001,MATCH(ROWS($K$2:K785),$K$2:$K$1001,0),MATCH(COLUMNS($R$1006:V1006),$R$1006:$W$1006,0)), HYPERLINK("#",""), HYPERLINK(CONCATENATE("#Metadata!", ADDRESS(INDEX($M$2:$M$1001,MATCH(ROWS($K$2:K785),$K$2:$K$1001,0),0), INDEX($R$1004:$W$1004,1,MATCH(COLUMNS($R$1006:V1006),$R$1006:$W$1006,0)))),"Fix")))</f>
        <v>0</v>
      </c>
      <c r="G785" s="3">
        <f>IF(OR(INDEX($L$2:$L$1001,MATCH(ROWS($K$2:K785),$K$2:$K$1001,0),1)&gt;=100000,INDEX($R$1005:$W$1005,1,MATCH(COLUMNS($R$1006:W1006),$R$1006:$W$1006,0))&gt;=100000), " ",IF(INDEX($R$2:$W$1001,MATCH(ROWS($K$2:K785),$K$2:$K$1001,0),MATCH(COLUMNS($R$1006:W1006),$R$1006:$W$1006,0)), HYPERLINK("#",""), HYPERLINK(CONCATENATE("#Metadata!", ADDRESS(INDEX($M$2:$M$1001,MATCH(ROWS($K$2:K785),$K$2:$K$1001,0),0), INDEX($R$1004:$W$1004,1,MATCH(COLUMNS($R$1006:W1006),$R$1006:$W$1006,0)))),"Fix")))</f>
        <v>0</v>
      </c>
      <c r="K785">
        <v>0</v>
      </c>
      <c r="L785">
        <v>0</v>
      </c>
      <c r="M785">
        <v>0</v>
      </c>
      <c r="N785">
        <f>IF(O785,TRUE,AND(R785:W785))</f>
        <v>0</v>
      </c>
      <c r="O785">
        <f>COUNTBLANK(Metadata!B785:G785)=COLUMNS(Metadata!B785:G785)</f>
        <v>0</v>
      </c>
      <c r="P785">
        <v>0</v>
      </c>
      <c r="R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S785">
        <f>IF(Metadata!C785="",FALSE,TRUE)</f>
        <v>0</v>
      </c>
      <c r="T785">
        <f>IF(Metadata!D785="",FALSE,TRUE)</f>
        <v>0</v>
      </c>
      <c r="U785">
        <f>IF(Metadata!E785="",FALSE,TRUE)</f>
        <v>0</v>
      </c>
      <c r="V785">
        <f>AND(IF(Metadata!F785="",FALSE,TRUE),exact(Metadata!F785,"rat gut metagenome"))</f>
        <v>0</v>
      </c>
      <c r="W785">
        <f>AND(IF(Metadata!G785="",FALSE,TRUE),exact(Metadata!G785,"1436733"))</f>
        <v>0</v>
      </c>
    </row>
    <row r="786" spans="1:23">
      <c r="A786" s="4">
        <f>IF(B786=" "," ",HYPERLINK(CONCATENATE("#metadata!",ADDRESS(INDEX($M$2:$M$1001,MATCH(ROWS($K$2:K786),$K$2:$K$1001,0),0),1)),INDEX($P$2:$P$1001,MATCH(ROWS($K$2:K786),$K$2:$K$1001,0),0)))</f>
        <v>0</v>
      </c>
      <c r="B786" s="3">
        <f>IF(OR(INDEX($L$2:$L$1001,MATCH(ROWS($K$2:K786),$K$2:$K$1001,0),1)&gt;=100000,INDEX($R$1005:$W$1005,1,MATCH(COLUMNS($R$1006:R1006),$R$1006:$W$1006,0))&gt;=100000), " ",IF(INDEX($R$2:$W$1001,MATCH(ROWS($K$2:K786),$K$2:$K$1001,0),MATCH(COLUMNS($R$1006:R1006),$R$1006:$W$1006,0)), HYPERLINK("#",""), HYPERLINK(CONCATENATE("#Metadata!", ADDRESS(INDEX($M$2:$M$1001,MATCH(ROWS($K$2:K786),$K$2:$K$1001,0),0), INDEX($R$1004:$W$1004,1,MATCH(COLUMNS($R$1006:R1006),$R$1006:$W$1006,0)))),"Fix")))</f>
        <v>0</v>
      </c>
      <c r="C786" s="3">
        <f>IF(OR(INDEX($L$2:$L$1001,MATCH(ROWS($K$2:K786),$K$2:$K$1001,0),1)&gt;=100000,INDEX($R$1005:$W$1005,1,MATCH(COLUMNS($R$1006:S1006),$R$1006:$W$1006,0))&gt;=100000), " ",IF(INDEX($R$2:$W$1001,MATCH(ROWS($K$2:K786),$K$2:$K$1001,0),MATCH(COLUMNS($R$1006:S1006),$R$1006:$W$1006,0)), HYPERLINK("#",""), HYPERLINK(CONCATENATE("#Metadata!", ADDRESS(INDEX($M$2:$M$1001,MATCH(ROWS($K$2:K786),$K$2:$K$1001,0),0), INDEX($R$1004:$W$1004,1,MATCH(COLUMNS($R$1006:S1006),$R$1006:$W$1006,0)))),"Fix")))</f>
        <v>0</v>
      </c>
      <c r="D786" s="3">
        <f>IF(OR(INDEX($L$2:$L$1001,MATCH(ROWS($K$2:K786),$K$2:$K$1001,0),1)&gt;=100000,INDEX($R$1005:$W$1005,1,MATCH(COLUMNS($R$1006:T1006),$R$1006:$W$1006,0))&gt;=100000), " ",IF(INDEX($R$2:$W$1001,MATCH(ROWS($K$2:K786),$K$2:$K$1001,0),MATCH(COLUMNS($R$1006:T1006),$R$1006:$W$1006,0)), HYPERLINK("#",""), HYPERLINK(CONCATENATE("#Metadata!", ADDRESS(INDEX($M$2:$M$1001,MATCH(ROWS($K$2:K786),$K$2:$K$1001,0),0), INDEX($R$1004:$W$1004,1,MATCH(COLUMNS($R$1006:T1006),$R$1006:$W$1006,0)))),"Fix")))</f>
        <v>0</v>
      </c>
      <c r="E786" s="3">
        <f>IF(OR(INDEX($L$2:$L$1001,MATCH(ROWS($K$2:K786),$K$2:$K$1001,0),1)&gt;=100000,INDEX($R$1005:$W$1005,1,MATCH(COLUMNS($R$1006:U1006),$R$1006:$W$1006,0))&gt;=100000), " ",IF(INDEX($R$2:$W$1001,MATCH(ROWS($K$2:K786),$K$2:$K$1001,0),MATCH(COLUMNS($R$1006:U1006),$R$1006:$W$1006,0)), HYPERLINK("#",""), HYPERLINK(CONCATENATE("#Metadata!", ADDRESS(INDEX($M$2:$M$1001,MATCH(ROWS($K$2:K786),$K$2:$K$1001,0),0), INDEX($R$1004:$W$1004,1,MATCH(COLUMNS($R$1006:U1006),$R$1006:$W$1006,0)))),"Fix")))</f>
        <v>0</v>
      </c>
      <c r="F786" s="3">
        <f>IF(OR(INDEX($L$2:$L$1001,MATCH(ROWS($K$2:K786),$K$2:$K$1001,0),1)&gt;=100000,INDEX($R$1005:$W$1005,1,MATCH(COLUMNS($R$1006:V1006),$R$1006:$W$1006,0))&gt;=100000), " ",IF(INDEX($R$2:$W$1001,MATCH(ROWS($K$2:K786),$K$2:$K$1001,0),MATCH(COLUMNS($R$1006:V1006),$R$1006:$W$1006,0)), HYPERLINK("#",""), HYPERLINK(CONCATENATE("#Metadata!", ADDRESS(INDEX($M$2:$M$1001,MATCH(ROWS($K$2:K786),$K$2:$K$1001,0),0), INDEX($R$1004:$W$1004,1,MATCH(COLUMNS($R$1006:V1006),$R$1006:$W$1006,0)))),"Fix")))</f>
        <v>0</v>
      </c>
      <c r="G786" s="3">
        <f>IF(OR(INDEX($L$2:$L$1001,MATCH(ROWS($K$2:K786),$K$2:$K$1001,0),1)&gt;=100000,INDEX($R$1005:$W$1005,1,MATCH(COLUMNS($R$1006:W1006),$R$1006:$W$1006,0))&gt;=100000), " ",IF(INDEX($R$2:$W$1001,MATCH(ROWS($K$2:K786),$K$2:$K$1001,0),MATCH(COLUMNS($R$1006:W1006),$R$1006:$W$1006,0)), HYPERLINK("#",""), HYPERLINK(CONCATENATE("#Metadata!", ADDRESS(INDEX($M$2:$M$1001,MATCH(ROWS($K$2:K786),$K$2:$K$1001,0),0), INDEX($R$1004:$W$1004,1,MATCH(COLUMNS($R$1006:W1006),$R$1006:$W$1006,0)))),"Fix")))</f>
        <v>0</v>
      </c>
      <c r="K786">
        <v>0</v>
      </c>
      <c r="L786">
        <v>0</v>
      </c>
      <c r="M786">
        <v>0</v>
      </c>
      <c r="N786">
        <f>IF(O786,TRUE,AND(R786:W786))</f>
        <v>0</v>
      </c>
      <c r="O786">
        <f>COUNTBLANK(Metadata!B786:G786)=COLUMNS(Metadata!B786:G786)</f>
        <v>0</v>
      </c>
      <c r="P786">
        <v>0</v>
      </c>
      <c r="R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S786">
        <f>IF(Metadata!C786="",FALSE,TRUE)</f>
        <v>0</v>
      </c>
      <c r="T786">
        <f>IF(Metadata!D786="",FALSE,TRUE)</f>
        <v>0</v>
      </c>
      <c r="U786">
        <f>IF(Metadata!E786="",FALSE,TRUE)</f>
        <v>0</v>
      </c>
      <c r="V786">
        <f>AND(IF(Metadata!F786="",FALSE,TRUE),exact(Metadata!F786,"rat gut metagenome"))</f>
        <v>0</v>
      </c>
      <c r="W786">
        <f>AND(IF(Metadata!G786="",FALSE,TRUE),exact(Metadata!G786,"1436733"))</f>
        <v>0</v>
      </c>
    </row>
    <row r="787" spans="1:23">
      <c r="A787" s="4">
        <f>IF(B787=" "," ",HYPERLINK(CONCATENATE("#metadata!",ADDRESS(INDEX($M$2:$M$1001,MATCH(ROWS($K$2:K787),$K$2:$K$1001,0),0),1)),INDEX($P$2:$P$1001,MATCH(ROWS($K$2:K787),$K$2:$K$1001,0),0)))</f>
        <v>0</v>
      </c>
      <c r="B787" s="3">
        <f>IF(OR(INDEX($L$2:$L$1001,MATCH(ROWS($K$2:K787),$K$2:$K$1001,0),1)&gt;=100000,INDEX($R$1005:$W$1005,1,MATCH(COLUMNS($R$1006:R1006),$R$1006:$W$1006,0))&gt;=100000), " ",IF(INDEX($R$2:$W$1001,MATCH(ROWS($K$2:K787),$K$2:$K$1001,0),MATCH(COLUMNS($R$1006:R1006),$R$1006:$W$1006,0)), HYPERLINK("#",""), HYPERLINK(CONCATENATE("#Metadata!", ADDRESS(INDEX($M$2:$M$1001,MATCH(ROWS($K$2:K787),$K$2:$K$1001,0),0), INDEX($R$1004:$W$1004,1,MATCH(COLUMNS($R$1006:R1006),$R$1006:$W$1006,0)))),"Fix")))</f>
        <v>0</v>
      </c>
      <c r="C787" s="3">
        <f>IF(OR(INDEX($L$2:$L$1001,MATCH(ROWS($K$2:K787),$K$2:$K$1001,0),1)&gt;=100000,INDEX($R$1005:$W$1005,1,MATCH(COLUMNS($R$1006:S1006),$R$1006:$W$1006,0))&gt;=100000), " ",IF(INDEX($R$2:$W$1001,MATCH(ROWS($K$2:K787),$K$2:$K$1001,0),MATCH(COLUMNS($R$1006:S1006),$R$1006:$W$1006,0)), HYPERLINK("#",""), HYPERLINK(CONCATENATE("#Metadata!", ADDRESS(INDEX($M$2:$M$1001,MATCH(ROWS($K$2:K787),$K$2:$K$1001,0),0), INDEX($R$1004:$W$1004,1,MATCH(COLUMNS($R$1006:S1006),$R$1006:$W$1006,0)))),"Fix")))</f>
        <v>0</v>
      </c>
      <c r="D787" s="3">
        <f>IF(OR(INDEX($L$2:$L$1001,MATCH(ROWS($K$2:K787),$K$2:$K$1001,0),1)&gt;=100000,INDEX($R$1005:$W$1005,1,MATCH(COLUMNS($R$1006:T1006),$R$1006:$W$1006,0))&gt;=100000), " ",IF(INDEX($R$2:$W$1001,MATCH(ROWS($K$2:K787),$K$2:$K$1001,0),MATCH(COLUMNS($R$1006:T1006),$R$1006:$W$1006,0)), HYPERLINK("#",""), HYPERLINK(CONCATENATE("#Metadata!", ADDRESS(INDEX($M$2:$M$1001,MATCH(ROWS($K$2:K787),$K$2:$K$1001,0),0), INDEX($R$1004:$W$1004,1,MATCH(COLUMNS($R$1006:T1006),$R$1006:$W$1006,0)))),"Fix")))</f>
        <v>0</v>
      </c>
      <c r="E787" s="3">
        <f>IF(OR(INDEX($L$2:$L$1001,MATCH(ROWS($K$2:K787),$K$2:$K$1001,0),1)&gt;=100000,INDEX($R$1005:$W$1005,1,MATCH(COLUMNS($R$1006:U1006),$R$1006:$W$1006,0))&gt;=100000), " ",IF(INDEX($R$2:$W$1001,MATCH(ROWS($K$2:K787),$K$2:$K$1001,0),MATCH(COLUMNS($R$1006:U1006),$R$1006:$W$1006,0)), HYPERLINK("#",""), HYPERLINK(CONCATENATE("#Metadata!", ADDRESS(INDEX($M$2:$M$1001,MATCH(ROWS($K$2:K787),$K$2:$K$1001,0),0), INDEX($R$1004:$W$1004,1,MATCH(COLUMNS($R$1006:U1006),$R$1006:$W$1006,0)))),"Fix")))</f>
        <v>0</v>
      </c>
      <c r="F787" s="3">
        <f>IF(OR(INDEX($L$2:$L$1001,MATCH(ROWS($K$2:K787),$K$2:$K$1001,0),1)&gt;=100000,INDEX($R$1005:$W$1005,1,MATCH(COLUMNS($R$1006:V1006),$R$1006:$W$1006,0))&gt;=100000), " ",IF(INDEX($R$2:$W$1001,MATCH(ROWS($K$2:K787),$K$2:$K$1001,0),MATCH(COLUMNS($R$1006:V1006),$R$1006:$W$1006,0)), HYPERLINK("#",""), HYPERLINK(CONCATENATE("#Metadata!", ADDRESS(INDEX($M$2:$M$1001,MATCH(ROWS($K$2:K787),$K$2:$K$1001,0),0), INDEX($R$1004:$W$1004,1,MATCH(COLUMNS($R$1006:V1006),$R$1006:$W$1006,0)))),"Fix")))</f>
        <v>0</v>
      </c>
      <c r="G787" s="3">
        <f>IF(OR(INDEX($L$2:$L$1001,MATCH(ROWS($K$2:K787),$K$2:$K$1001,0),1)&gt;=100000,INDEX($R$1005:$W$1005,1,MATCH(COLUMNS($R$1006:W1006),$R$1006:$W$1006,0))&gt;=100000), " ",IF(INDEX($R$2:$W$1001,MATCH(ROWS($K$2:K787),$K$2:$K$1001,0),MATCH(COLUMNS($R$1006:W1006),$R$1006:$W$1006,0)), HYPERLINK("#",""), HYPERLINK(CONCATENATE("#Metadata!", ADDRESS(INDEX($M$2:$M$1001,MATCH(ROWS($K$2:K787),$K$2:$K$1001,0),0), INDEX($R$1004:$W$1004,1,MATCH(COLUMNS($R$1006:W1006),$R$1006:$W$1006,0)))),"Fix")))</f>
        <v>0</v>
      </c>
      <c r="K787">
        <v>0</v>
      </c>
      <c r="L787">
        <v>0</v>
      </c>
      <c r="M787">
        <v>0</v>
      </c>
      <c r="N787">
        <f>IF(O787,TRUE,AND(R787:W787))</f>
        <v>0</v>
      </c>
      <c r="O787">
        <f>COUNTBLANK(Metadata!B787:G787)=COLUMNS(Metadata!B787:G787)</f>
        <v>0</v>
      </c>
      <c r="P787">
        <v>0</v>
      </c>
      <c r="R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S787">
        <f>IF(Metadata!C787="",FALSE,TRUE)</f>
        <v>0</v>
      </c>
      <c r="T787">
        <f>IF(Metadata!D787="",FALSE,TRUE)</f>
        <v>0</v>
      </c>
      <c r="U787">
        <f>IF(Metadata!E787="",FALSE,TRUE)</f>
        <v>0</v>
      </c>
      <c r="V787">
        <f>AND(IF(Metadata!F787="",FALSE,TRUE),exact(Metadata!F787,"rat gut metagenome"))</f>
        <v>0</v>
      </c>
      <c r="W787">
        <f>AND(IF(Metadata!G787="",FALSE,TRUE),exact(Metadata!G787,"1436733"))</f>
        <v>0</v>
      </c>
    </row>
    <row r="788" spans="1:23">
      <c r="A788" s="4">
        <f>IF(B788=" "," ",HYPERLINK(CONCATENATE("#metadata!",ADDRESS(INDEX($M$2:$M$1001,MATCH(ROWS($K$2:K788),$K$2:$K$1001,0),0),1)),INDEX($P$2:$P$1001,MATCH(ROWS($K$2:K788),$K$2:$K$1001,0),0)))</f>
        <v>0</v>
      </c>
      <c r="B788" s="3">
        <f>IF(OR(INDEX($L$2:$L$1001,MATCH(ROWS($K$2:K788),$K$2:$K$1001,0),1)&gt;=100000,INDEX($R$1005:$W$1005,1,MATCH(COLUMNS($R$1006:R1006),$R$1006:$W$1006,0))&gt;=100000), " ",IF(INDEX($R$2:$W$1001,MATCH(ROWS($K$2:K788),$K$2:$K$1001,0),MATCH(COLUMNS($R$1006:R1006),$R$1006:$W$1006,0)), HYPERLINK("#",""), HYPERLINK(CONCATENATE("#Metadata!", ADDRESS(INDEX($M$2:$M$1001,MATCH(ROWS($K$2:K788),$K$2:$K$1001,0),0), INDEX($R$1004:$W$1004,1,MATCH(COLUMNS($R$1006:R1006),$R$1006:$W$1006,0)))),"Fix")))</f>
        <v>0</v>
      </c>
      <c r="C788" s="3">
        <f>IF(OR(INDEX($L$2:$L$1001,MATCH(ROWS($K$2:K788),$K$2:$K$1001,0),1)&gt;=100000,INDEX($R$1005:$W$1005,1,MATCH(COLUMNS($R$1006:S1006),$R$1006:$W$1006,0))&gt;=100000), " ",IF(INDEX($R$2:$W$1001,MATCH(ROWS($K$2:K788),$K$2:$K$1001,0),MATCH(COLUMNS($R$1006:S1006),$R$1006:$W$1006,0)), HYPERLINK("#",""), HYPERLINK(CONCATENATE("#Metadata!", ADDRESS(INDEX($M$2:$M$1001,MATCH(ROWS($K$2:K788),$K$2:$K$1001,0),0), INDEX($R$1004:$W$1004,1,MATCH(COLUMNS($R$1006:S1006),$R$1006:$W$1006,0)))),"Fix")))</f>
        <v>0</v>
      </c>
      <c r="D788" s="3">
        <f>IF(OR(INDEX($L$2:$L$1001,MATCH(ROWS($K$2:K788),$K$2:$K$1001,0),1)&gt;=100000,INDEX($R$1005:$W$1005,1,MATCH(COLUMNS($R$1006:T1006),$R$1006:$W$1006,0))&gt;=100000), " ",IF(INDEX($R$2:$W$1001,MATCH(ROWS($K$2:K788),$K$2:$K$1001,0),MATCH(COLUMNS($R$1006:T1006),$R$1006:$W$1006,0)), HYPERLINK("#",""), HYPERLINK(CONCATENATE("#Metadata!", ADDRESS(INDEX($M$2:$M$1001,MATCH(ROWS($K$2:K788),$K$2:$K$1001,0),0), INDEX($R$1004:$W$1004,1,MATCH(COLUMNS($R$1006:T1006),$R$1006:$W$1006,0)))),"Fix")))</f>
        <v>0</v>
      </c>
      <c r="E788" s="3">
        <f>IF(OR(INDEX($L$2:$L$1001,MATCH(ROWS($K$2:K788),$K$2:$K$1001,0),1)&gt;=100000,INDEX($R$1005:$W$1005,1,MATCH(COLUMNS($R$1006:U1006),$R$1006:$W$1006,0))&gt;=100000), " ",IF(INDEX($R$2:$W$1001,MATCH(ROWS($K$2:K788),$K$2:$K$1001,0),MATCH(COLUMNS($R$1006:U1006),$R$1006:$W$1006,0)), HYPERLINK("#",""), HYPERLINK(CONCATENATE("#Metadata!", ADDRESS(INDEX($M$2:$M$1001,MATCH(ROWS($K$2:K788),$K$2:$K$1001,0),0), INDEX($R$1004:$W$1004,1,MATCH(COLUMNS($R$1006:U1006),$R$1006:$W$1006,0)))),"Fix")))</f>
        <v>0</v>
      </c>
      <c r="F788" s="3">
        <f>IF(OR(INDEX($L$2:$L$1001,MATCH(ROWS($K$2:K788),$K$2:$K$1001,0),1)&gt;=100000,INDEX($R$1005:$W$1005,1,MATCH(COLUMNS($R$1006:V1006),$R$1006:$W$1006,0))&gt;=100000), " ",IF(INDEX($R$2:$W$1001,MATCH(ROWS($K$2:K788),$K$2:$K$1001,0),MATCH(COLUMNS($R$1006:V1006),$R$1006:$W$1006,0)), HYPERLINK("#",""), HYPERLINK(CONCATENATE("#Metadata!", ADDRESS(INDEX($M$2:$M$1001,MATCH(ROWS($K$2:K788),$K$2:$K$1001,0),0), INDEX($R$1004:$W$1004,1,MATCH(COLUMNS($R$1006:V1006),$R$1006:$W$1006,0)))),"Fix")))</f>
        <v>0</v>
      </c>
      <c r="G788" s="3">
        <f>IF(OR(INDEX($L$2:$L$1001,MATCH(ROWS($K$2:K788),$K$2:$K$1001,0),1)&gt;=100000,INDEX($R$1005:$W$1005,1,MATCH(COLUMNS($R$1006:W1006),$R$1006:$W$1006,0))&gt;=100000), " ",IF(INDEX($R$2:$W$1001,MATCH(ROWS($K$2:K788),$K$2:$K$1001,0),MATCH(COLUMNS($R$1006:W1006),$R$1006:$W$1006,0)), HYPERLINK("#",""), HYPERLINK(CONCATENATE("#Metadata!", ADDRESS(INDEX($M$2:$M$1001,MATCH(ROWS($K$2:K788),$K$2:$K$1001,0),0), INDEX($R$1004:$W$1004,1,MATCH(COLUMNS($R$1006:W1006),$R$1006:$W$1006,0)))),"Fix")))</f>
        <v>0</v>
      </c>
      <c r="K788">
        <v>0</v>
      </c>
      <c r="L788">
        <v>0</v>
      </c>
      <c r="M788">
        <v>0</v>
      </c>
      <c r="N788">
        <f>IF(O788,TRUE,AND(R788:W788))</f>
        <v>0</v>
      </c>
      <c r="O788">
        <f>COUNTBLANK(Metadata!B788:G788)=COLUMNS(Metadata!B788:G788)</f>
        <v>0</v>
      </c>
      <c r="P788">
        <v>0</v>
      </c>
      <c r="R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S788">
        <f>IF(Metadata!C788="",FALSE,TRUE)</f>
        <v>0</v>
      </c>
      <c r="T788">
        <f>IF(Metadata!D788="",FALSE,TRUE)</f>
        <v>0</v>
      </c>
      <c r="U788">
        <f>IF(Metadata!E788="",FALSE,TRUE)</f>
        <v>0</v>
      </c>
      <c r="V788">
        <f>AND(IF(Metadata!F788="",FALSE,TRUE),exact(Metadata!F788,"rat gut metagenome"))</f>
        <v>0</v>
      </c>
      <c r="W788">
        <f>AND(IF(Metadata!G788="",FALSE,TRUE),exact(Metadata!G788,"1436733"))</f>
        <v>0</v>
      </c>
    </row>
    <row r="789" spans="1:23">
      <c r="A789" s="4">
        <f>IF(B789=" "," ",HYPERLINK(CONCATENATE("#metadata!",ADDRESS(INDEX($M$2:$M$1001,MATCH(ROWS($K$2:K789),$K$2:$K$1001,0),0),1)),INDEX($P$2:$P$1001,MATCH(ROWS($K$2:K789),$K$2:$K$1001,0),0)))</f>
        <v>0</v>
      </c>
      <c r="B789" s="3">
        <f>IF(OR(INDEX($L$2:$L$1001,MATCH(ROWS($K$2:K789),$K$2:$K$1001,0),1)&gt;=100000,INDEX($R$1005:$W$1005,1,MATCH(COLUMNS($R$1006:R1006),$R$1006:$W$1006,0))&gt;=100000), " ",IF(INDEX($R$2:$W$1001,MATCH(ROWS($K$2:K789),$K$2:$K$1001,0),MATCH(COLUMNS($R$1006:R1006),$R$1006:$W$1006,0)), HYPERLINK("#",""), HYPERLINK(CONCATENATE("#Metadata!", ADDRESS(INDEX($M$2:$M$1001,MATCH(ROWS($K$2:K789),$K$2:$K$1001,0),0), INDEX($R$1004:$W$1004,1,MATCH(COLUMNS($R$1006:R1006),$R$1006:$W$1006,0)))),"Fix")))</f>
        <v>0</v>
      </c>
      <c r="C789" s="3">
        <f>IF(OR(INDEX($L$2:$L$1001,MATCH(ROWS($K$2:K789),$K$2:$K$1001,0),1)&gt;=100000,INDEX($R$1005:$W$1005,1,MATCH(COLUMNS($R$1006:S1006),$R$1006:$W$1006,0))&gt;=100000), " ",IF(INDEX($R$2:$W$1001,MATCH(ROWS($K$2:K789),$K$2:$K$1001,0),MATCH(COLUMNS($R$1006:S1006),$R$1006:$W$1006,0)), HYPERLINK("#",""), HYPERLINK(CONCATENATE("#Metadata!", ADDRESS(INDEX($M$2:$M$1001,MATCH(ROWS($K$2:K789),$K$2:$K$1001,0),0), INDEX($R$1004:$W$1004,1,MATCH(COLUMNS($R$1006:S1006),$R$1006:$W$1006,0)))),"Fix")))</f>
        <v>0</v>
      </c>
      <c r="D789" s="3">
        <f>IF(OR(INDEX($L$2:$L$1001,MATCH(ROWS($K$2:K789),$K$2:$K$1001,0),1)&gt;=100000,INDEX($R$1005:$W$1005,1,MATCH(COLUMNS($R$1006:T1006),$R$1006:$W$1006,0))&gt;=100000), " ",IF(INDEX($R$2:$W$1001,MATCH(ROWS($K$2:K789),$K$2:$K$1001,0),MATCH(COLUMNS($R$1006:T1006),$R$1006:$W$1006,0)), HYPERLINK("#",""), HYPERLINK(CONCATENATE("#Metadata!", ADDRESS(INDEX($M$2:$M$1001,MATCH(ROWS($K$2:K789),$K$2:$K$1001,0),0), INDEX($R$1004:$W$1004,1,MATCH(COLUMNS($R$1006:T1006),$R$1006:$W$1006,0)))),"Fix")))</f>
        <v>0</v>
      </c>
      <c r="E789" s="3">
        <f>IF(OR(INDEX($L$2:$L$1001,MATCH(ROWS($K$2:K789),$K$2:$K$1001,0),1)&gt;=100000,INDEX($R$1005:$W$1005,1,MATCH(COLUMNS($R$1006:U1006),$R$1006:$W$1006,0))&gt;=100000), " ",IF(INDEX($R$2:$W$1001,MATCH(ROWS($K$2:K789),$K$2:$K$1001,0),MATCH(COLUMNS($R$1006:U1006),$R$1006:$W$1006,0)), HYPERLINK("#",""), HYPERLINK(CONCATENATE("#Metadata!", ADDRESS(INDEX($M$2:$M$1001,MATCH(ROWS($K$2:K789),$K$2:$K$1001,0),0), INDEX($R$1004:$W$1004,1,MATCH(COLUMNS($R$1006:U1006),$R$1006:$W$1006,0)))),"Fix")))</f>
        <v>0</v>
      </c>
      <c r="F789" s="3">
        <f>IF(OR(INDEX($L$2:$L$1001,MATCH(ROWS($K$2:K789),$K$2:$K$1001,0),1)&gt;=100000,INDEX($R$1005:$W$1005,1,MATCH(COLUMNS($R$1006:V1006),$R$1006:$W$1006,0))&gt;=100000), " ",IF(INDEX($R$2:$W$1001,MATCH(ROWS($K$2:K789),$K$2:$K$1001,0),MATCH(COLUMNS($R$1006:V1006),$R$1006:$W$1006,0)), HYPERLINK("#",""), HYPERLINK(CONCATENATE("#Metadata!", ADDRESS(INDEX($M$2:$M$1001,MATCH(ROWS($K$2:K789),$K$2:$K$1001,0),0), INDEX($R$1004:$W$1004,1,MATCH(COLUMNS($R$1006:V1006),$R$1006:$W$1006,0)))),"Fix")))</f>
        <v>0</v>
      </c>
      <c r="G789" s="3">
        <f>IF(OR(INDEX($L$2:$L$1001,MATCH(ROWS($K$2:K789),$K$2:$K$1001,0),1)&gt;=100000,INDEX($R$1005:$W$1005,1,MATCH(COLUMNS($R$1006:W1006),$R$1006:$W$1006,0))&gt;=100000), " ",IF(INDEX($R$2:$W$1001,MATCH(ROWS($K$2:K789),$K$2:$K$1001,0),MATCH(COLUMNS($R$1006:W1006),$R$1006:$W$1006,0)), HYPERLINK("#",""), HYPERLINK(CONCATENATE("#Metadata!", ADDRESS(INDEX($M$2:$M$1001,MATCH(ROWS($K$2:K789),$K$2:$K$1001,0),0), INDEX($R$1004:$W$1004,1,MATCH(COLUMNS($R$1006:W1006),$R$1006:$W$1006,0)))),"Fix")))</f>
        <v>0</v>
      </c>
      <c r="K789">
        <v>0</v>
      </c>
      <c r="L789">
        <v>0</v>
      </c>
      <c r="M789">
        <v>0</v>
      </c>
      <c r="N789">
        <f>IF(O789,TRUE,AND(R789:W789))</f>
        <v>0</v>
      </c>
      <c r="O789">
        <f>COUNTBLANK(Metadata!B789:G789)=COLUMNS(Metadata!B789:G789)</f>
        <v>0</v>
      </c>
      <c r="P789">
        <v>0</v>
      </c>
      <c r="R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S789">
        <f>IF(Metadata!C789="",FALSE,TRUE)</f>
        <v>0</v>
      </c>
      <c r="T789">
        <f>IF(Metadata!D789="",FALSE,TRUE)</f>
        <v>0</v>
      </c>
      <c r="U789">
        <f>IF(Metadata!E789="",FALSE,TRUE)</f>
        <v>0</v>
      </c>
      <c r="V789">
        <f>AND(IF(Metadata!F789="",FALSE,TRUE),exact(Metadata!F789,"rat gut metagenome"))</f>
        <v>0</v>
      </c>
      <c r="W789">
        <f>AND(IF(Metadata!G789="",FALSE,TRUE),exact(Metadata!G789,"1436733"))</f>
        <v>0</v>
      </c>
    </row>
    <row r="790" spans="1:23">
      <c r="A790" s="4">
        <f>IF(B790=" "," ",HYPERLINK(CONCATENATE("#metadata!",ADDRESS(INDEX($M$2:$M$1001,MATCH(ROWS($K$2:K790),$K$2:$K$1001,0),0),1)),INDEX($P$2:$P$1001,MATCH(ROWS($K$2:K790),$K$2:$K$1001,0),0)))</f>
        <v>0</v>
      </c>
      <c r="B790" s="3">
        <f>IF(OR(INDEX($L$2:$L$1001,MATCH(ROWS($K$2:K790),$K$2:$K$1001,0),1)&gt;=100000,INDEX($R$1005:$W$1005,1,MATCH(COLUMNS($R$1006:R1006),$R$1006:$W$1006,0))&gt;=100000), " ",IF(INDEX($R$2:$W$1001,MATCH(ROWS($K$2:K790),$K$2:$K$1001,0),MATCH(COLUMNS($R$1006:R1006),$R$1006:$W$1006,0)), HYPERLINK("#",""), HYPERLINK(CONCATENATE("#Metadata!", ADDRESS(INDEX($M$2:$M$1001,MATCH(ROWS($K$2:K790),$K$2:$K$1001,0),0), INDEX($R$1004:$W$1004,1,MATCH(COLUMNS($R$1006:R1006),$R$1006:$W$1006,0)))),"Fix")))</f>
        <v>0</v>
      </c>
      <c r="C790" s="3">
        <f>IF(OR(INDEX($L$2:$L$1001,MATCH(ROWS($K$2:K790),$K$2:$K$1001,0),1)&gt;=100000,INDEX($R$1005:$W$1005,1,MATCH(COLUMNS($R$1006:S1006),$R$1006:$W$1006,0))&gt;=100000), " ",IF(INDEX($R$2:$W$1001,MATCH(ROWS($K$2:K790),$K$2:$K$1001,0),MATCH(COLUMNS($R$1006:S1006),$R$1006:$W$1006,0)), HYPERLINK("#",""), HYPERLINK(CONCATENATE("#Metadata!", ADDRESS(INDEX($M$2:$M$1001,MATCH(ROWS($K$2:K790),$K$2:$K$1001,0),0), INDEX($R$1004:$W$1004,1,MATCH(COLUMNS($R$1006:S1006),$R$1006:$W$1006,0)))),"Fix")))</f>
        <v>0</v>
      </c>
      <c r="D790" s="3">
        <f>IF(OR(INDEX($L$2:$L$1001,MATCH(ROWS($K$2:K790),$K$2:$K$1001,0),1)&gt;=100000,INDEX($R$1005:$W$1005,1,MATCH(COLUMNS($R$1006:T1006),$R$1006:$W$1006,0))&gt;=100000), " ",IF(INDEX($R$2:$W$1001,MATCH(ROWS($K$2:K790),$K$2:$K$1001,0),MATCH(COLUMNS($R$1006:T1006),$R$1006:$W$1006,0)), HYPERLINK("#",""), HYPERLINK(CONCATENATE("#Metadata!", ADDRESS(INDEX($M$2:$M$1001,MATCH(ROWS($K$2:K790),$K$2:$K$1001,0),0), INDEX($R$1004:$W$1004,1,MATCH(COLUMNS($R$1006:T1006),$R$1006:$W$1006,0)))),"Fix")))</f>
        <v>0</v>
      </c>
      <c r="E790" s="3">
        <f>IF(OR(INDEX($L$2:$L$1001,MATCH(ROWS($K$2:K790),$K$2:$K$1001,0),1)&gt;=100000,INDEX($R$1005:$W$1005,1,MATCH(COLUMNS($R$1006:U1006),$R$1006:$W$1006,0))&gt;=100000), " ",IF(INDEX($R$2:$W$1001,MATCH(ROWS($K$2:K790),$K$2:$K$1001,0),MATCH(COLUMNS($R$1006:U1006),$R$1006:$W$1006,0)), HYPERLINK("#",""), HYPERLINK(CONCATENATE("#Metadata!", ADDRESS(INDEX($M$2:$M$1001,MATCH(ROWS($K$2:K790),$K$2:$K$1001,0),0), INDEX($R$1004:$W$1004,1,MATCH(COLUMNS($R$1006:U1006),$R$1006:$W$1006,0)))),"Fix")))</f>
        <v>0</v>
      </c>
      <c r="F790" s="3">
        <f>IF(OR(INDEX($L$2:$L$1001,MATCH(ROWS($K$2:K790),$K$2:$K$1001,0),1)&gt;=100000,INDEX($R$1005:$W$1005,1,MATCH(COLUMNS($R$1006:V1006),$R$1006:$W$1006,0))&gt;=100000), " ",IF(INDEX($R$2:$W$1001,MATCH(ROWS($K$2:K790),$K$2:$K$1001,0),MATCH(COLUMNS($R$1006:V1006),$R$1006:$W$1006,0)), HYPERLINK("#",""), HYPERLINK(CONCATENATE("#Metadata!", ADDRESS(INDEX($M$2:$M$1001,MATCH(ROWS($K$2:K790),$K$2:$K$1001,0),0), INDEX($R$1004:$W$1004,1,MATCH(COLUMNS($R$1006:V1006),$R$1006:$W$1006,0)))),"Fix")))</f>
        <v>0</v>
      </c>
      <c r="G790" s="3">
        <f>IF(OR(INDEX($L$2:$L$1001,MATCH(ROWS($K$2:K790),$K$2:$K$1001,0),1)&gt;=100000,INDEX($R$1005:$W$1005,1,MATCH(COLUMNS($R$1006:W1006),$R$1006:$W$1006,0))&gt;=100000), " ",IF(INDEX($R$2:$W$1001,MATCH(ROWS($K$2:K790),$K$2:$K$1001,0),MATCH(COLUMNS($R$1006:W1006),$R$1006:$W$1006,0)), HYPERLINK("#",""), HYPERLINK(CONCATENATE("#Metadata!", ADDRESS(INDEX($M$2:$M$1001,MATCH(ROWS($K$2:K790),$K$2:$K$1001,0),0), INDEX($R$1004:$W$1004,1,MATCH(COLUMNS($R$1006:W1006),$R$1006:$W$1006,0)))),"Fix")))</f>
        <v>0</v>
      </c>
      <c r="K790">
        <v>0</v>
      </c>
      <c r="L790">
        <v>0</v>
      </c>
      <c r="M790">
        <v>0</v>
      </c>
      <c r="N790">
        <f>IF(O790,TRUE,AND(R790:W790))</f>
        <v>0</v>
      </c>
      <c r="O790">
        <f>COUNTBLANK(Metadata!B790:G790)=COLUMNS(Metadata!B790:G790)</f>
        <v>0</v>
      </c>
      <c r="P790">
        <v>0</v>
      </c>
      <c r="R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S790">
        <f>IF(Metadata!C790="",FALSE,TRUE)</f>
        <v>0</v>
      </c>
      <c r="T790">
        <f>IF(Metadata!D790="",FALSE,TRUE)</f>
        <v>0</v>
      </c>
      <c r="U790">
        <f>IF(Metadata!E790="",FALSE,TRUE)</f>
        <v>0</v>
      </c>
      <c r="V790">
        <f>AND(IF(Metadata!F790="",FALSE,TRUE),exact(Metadata!F790,"rat gut metagenome"))</f>
        <v>0</v>
      </c>
      <c r="W790">
        <f>AND(IF(Metadata!G790="",FALSE,TRUE),exact(Metadata!G790,"1436733"))</f>
        <v>0</v>
      </c>
    </row>
    <row r="791" spans="1:23">
      <c r="A791" s="4">
        <f>IF(B791=" "," ",HYPERLINK(CONCATENATE("#metadata!",ADDRESS(INDEX($M$2:$M$1001,MATCH(ROWS($K$2:K791),$K$2:$K$1001,0),0),1)),INDEX($P$2:$P$1001,MATCH(ROWS($K$2:K791),$K$2:$K$1001,0),0)))</f>
        <v>0</v>
      </c>
      <c r="B791" s="3">
        <f>IF(OR(INDEX($L$2:$L$1001,MATCH(ROWS($K$2:K791),$K$2:$K$1001,0),1)&gt;=100000,INDEX($R$1005:$W$1005,1,MATCH(COLUMNS($R$1006:R1006),$R$1006:$W$1006,0))&gt;=100000), " ",IF(INDEX($R$2:$W$1001,MATCH(ROWS($K$2:K791),$K$2:$K$1001,0),MATCH(COLUMNS($R$1006:R1006),$R$1006:$W$1006,0)), HYPERLINK("#",""), HYPERLINK(CONCATENATE("#Metadata!", ADDRESS(INDEX($M$2:$M$1001,MATCH(ROWS($K$2:K791),$K$2:$K$1001,0),0), INDEX($R$1004:$W$1004,1,MATCH(COLUMNS($R$1006:R1006),$R$1006:$W$1006,0)))),"Fix")))</f>
        <v>0</v>
      </c>
      <c r="C791" s="3">
        <f>IF(OR(INDEX($L$2:$L$1001,MATCH(ROWS($K$2:K791),$K$2:$K$1001,0),1)&gt;=100000,INDEX($R$1005:$W$1005,1,MATCH(COLUMNS($R$1006:S1006),$R$1006:$W$1006,0))&gt;=100000), " ",IF(INDEX($R$2:$W$1001,MATCH(ROWS($K$2:K791),$K$2:$K$1001,0),MATCH(COLUMNS($R$1006:S1006),$R$1006:$W$1006,0)), HYPERLINK("#",""), HYPERLINK(CONCATENATE("#Metadata!", ADDRESS(INDEX($M$2:$M$1001,MATCH(ROWS($K$2:K791),$K$2:$K$1001,0),0), INDEX($R$1004:$W$1004,1,MATCH(COLUMNS($R$1006:S1006),$R$1006:$W$1006,0)))),"Fix")))</f>
        <v>0</v>
      </c>
      <c r="D791" s="3">
        <f>IF(OR(INDEX($L$2:$L$1001,MATCH(ROWS($K$2:K791),$K$2:$K$1001,0),1)&gt;=100000,INDEX($R$1005:$W$1005,1,MATCH(COLUMNS($R$1006:T1006),$R$1006:$W$1006,0))&gt;=100000), " ",IF(INDEX($R$2:$W$1001,MATCH(ROWS($K$2:K791),$K$2:$K$1001,0),MATCH(COLUMNS($R$1006:T1006),$R$1006:$W$1006,0)), HYPERLINK("#",""), HYPERLINK(CONCATENATE("#Metadata!", ADDRESS(INDEX($M$2:$M$1001,MATCH(ROWS($K$2:K791),$K$2:$K$1001,0),0), INDEX($R$1004:$W$1004,1,MATCH(COLUMNS($R$1006:T1006),$R$1006:$W$1006,0)))),"Fix")))</f>
        <v>0</v>
      </c>
      <c r="E791" s="3">
        <f>IF(OR(INDEX($L$2:$L$1001,MATCH(ROWS($K$2:K791),$K$2:$K$1001,0),1)&gt;=100000,INDEX($R$1005:$W$1005,1,MATCH(COLUMNS($R$1006:U1006),$R$1006:$W$1006,0))&gt;=100000), " ",IF(INDEX($R$2:$W$1001,MATCH(ROWS($K$2:K791),$K$2:$K$1001,0),MATCH(COLUMNS($R$1006:U1006),$R$1006:$W$1006,0)), HYPERLINK("#",""), HYPERLINK(CONCATENATE("#Metadata!", ADDRESS(INDEX($M$2:$M$1001,MATCH(ROWS($K$2:K791),$K$2:$K$1001,0),0), INDEX($R$1004:$W$1004,1,MATCH(COLUMNS($R$1006:U1006),$R$1006:$W$1006,0)))),"Fix")))</f>
        <v>0</v>
      </c>
      <c r="F791" s="3">
        <f>IF(OR(INDEX($L$2:$L$1001,MATCH(ROWS($K$2:K791),$K$2:$K$1001,0),1)&gt;=100000,INDEX($R$1005:$W$1005,1,MATCH(COLUMNS($R$1006:V1006),$R$1006:$W$1006,0))&gt;=100000), " ",IF(INDEX($R$2:$W$1001,MATCH(ROWS($K$2:K791),$K$2:$K$1001,0),MATCH(COLUMNS($R$1006:V1006),$R$1006:$W$1006,0)), HYPERLINK("#",""), HYPERLINK(CONCATENATE("#Metadata!", ADDRESS(INDEX($M$2:$M$1001,MATCH(ROWS($K$2:K791),$K$2:$K$1001,0),0), INDEX($R$1004:$W$1004,1,MATCH(COLUMNS($R$1006:V1006),$R$1006:$W$1006,0)))),"Fix")))</f>
        <v>0</v>
      </c>
      <c r="G791" s="3">
        <f>IF(OR(INDEX($L$2:$L$1001,MATCH(ROWS($K$2:K791),$K$2:$K$1001,0),1)&gt;=100000,INDEX($R$1005:$W$1005,1,MATCH(COLUMNS($R$1006:W1006),$R$1006:$W$1006,0))&gt;=100000), " ",IF(INDEX($R$2:$W$1001,MATCH(ROWS($K$2:K791),$K$2:$K$1001,0),MATCH(COLUMNS($R$1006:W1006),$R$1006:$W$1006,0)), HYPERLINK("#",""), HYPERLINK(CONCATENATE("#Metadata!", ADDRESS(INDEX($M$2:$M$1001,MATCH(ROWS($K$2:K791),$K$2:$K$1001,0),0), INDEX($R$1004:$W$1004,1,MATCH(COLUMNS($R$1006:W1006),$R$1006:$W$1006,0)))),"Fix")))</f>
        <v>0</v>
      </c>
      <c r="K791">
        <v>0</v>
      </c>
      <c r="L791">
        <v>0</v>
      </c>
      <c r="M791">
        <v>0</v>
      </c>
      <c r="N791">
        <f>IF(O791,TRUE,AND(R791:W791))</f>
        <v>0</v>
      </c>
      <c r="O791">
        <f>COUNTBLANK(Metadata!B791:G791)=COLUMNS(Metadata!B791:G791)</f>
        <v>0</v>
      </c>
      <c r="P791">
        <v>0</v>
      </c>
      <c r="R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S791">
        <f>IF(Metadata!C791="",FALSE,TRUE)</f>
        <v>0</v>
      </c>
      <c r="T791">
        <f>IF(Metadata!D791="",FALSE,TRUE)</f>
        <v>0</v>
      </c>
      <c r="U791">
        <f>IF(Metadata!E791="",FALSE,TRUE)</f>
        <v>0</v>
      </c>
      <c r="V791">
        <f>AND(IF(Metadata!F791="",FALSE,TRUE),exact(Metadata!F791,"rat gut metagenome"))</f>
        <v>0</v>
      </c>
      <c r="W791">
        <f>AND(IF(Metadata!G791="",FALSE,TRUE),exact(Metadata!G791,"1436733"))</f>
        <v>0</v>
      </c>
    </row>
    <row r="792" spans="1:23">
      <c r="A792" s="4">
        <f>IF(B792=" "," ",HYPERLINK(CONCATENATE("#metadata!",ADDRESS(INDEX($M$2:$M$1001,MATCH(ROWS($K$2:K792),$K$2:$K$1001,0),0),1)),INDEX($P$2:$P$1001,MATCH(ROWS($K$2:K792),$K$2:$K$1001,0),0)))</f>
        <v>0</v>
      </c>
      <c r="B792" s="3">
        <f>IF(OR(INDEX($L$2:$L$1001,MATCH(ROWS($K$2:K792),$K$2:$K$1001,0),1)&gt;=100000,INDEX($R$1005:$W$1005,1,MATCH(COLUMNS($R$1006:R1006),$R$1006:$W$1006,0))&gt;=100000), " ",IF(INDEX($R$2:$W$1001,MATCH(ROWS($K$2:K792),$K$2:$K$1001,0),MATCH(COLUMNS($R$1006:R1006),$R$1006:$W$1006,0)), HYPERLINK("#",""), HYPERLINK(CONCATENATE("#Metadata!", ADDRESS(INDEX($M$2:$M$1001,MATCH(ROWS($K$2:K792),$K$2:$K$1001,0),0), INDEX($R$1004:$W$1004,1,MATCH(COLUMNS($R$1006:R1006),$R$1006:$W$1006,0)))),"Fix")))</f>
        <v>0</v>
      </c>
      <c r="C792" s="3">
        <f>IF(OR(INDEX($L$2:$L$1001,MATCH(ROWS($K$2:K792),$K$2:$K$1001,0),1)&gt;=100000,INDEX($R$1005:$W$1005,1,MATCH(COLUMNS($R$1006:S1006),$R$1006:$W$1006,0))&gt;=100000), " ",IF(INDEX($R$2:$W$1001,MATCH(ROWS($K$2:K792),$K$2:$K$1001,0),MATCH(COLUMNS($R$1006:S1006),$R$1006:$W$1006,0)), HYPERLINK("#",""), HYPERLINK(CONCATENATE("#Metadata!", ADDRESS(INDEX($M$2:$M$1001,MATCH(ROWS($K$2:K792),$K$2:$K$1001,0),0), INDEX($R$1004:$W$1004,1,MATCH(COLUMNS($R$1006:S1006),$R$1006:$W$1006,0)))),"Fix")))</f>
        <v>0</v>
      </c>
      <c r="D792" s="3">
        <f>IF(OR(INDEX($L$2:$L$1001,MATCH(ROWS($K$2:K792),$K$2:$K$1001,0),1)&gt;=100000,INDEX($R$1005:$W$1005,1,MATCH(COLUMNS($R$1006:T1006),$R$1006:$W$1006,0))&gt;=100000), " ",IF(INDEX($R$2:$W$1001,MATCH(ROWS($K$2:K792),$K$2:$K$1001,0),MATCH(COLUMNS($R$1006:T1006),$R$1006:$W$1006,0)), HYPERLINK("#",""), HYPERLINK(CONCATENATE("#Metadata!", ADDRESS(INDEX($M$2:$M$1001,MATCH(ROWS($K$2:K792),$K$2:$K$1001,0),0), INDEX($R$1004:$W$1004,1,MATCH(COLUMNS($R$1006:T1006),$R$1006:$W$1006,0)))),"Fix")))</f>
        <v>0</v>
      </c>
      <c r="E792" s="3">
        <f>IF(OR(INDEX($L$2:$L$1001,MATCH(ROWS($K$2:K792),$K$2:$K$1001,0),1)&gt;=100000,INDEX($R$1005:$W$1005,1,MATCH(COLUMNS($R$1006:U1006),$R$1006:$W$1006,0))&gt;=100000), " ",IF(INDEX($R$2:$W$1001,MATCH(ROWS($K$2:K792),$K$2:$K$1001,0),MATCH(COLUMNS($R$1006:U1006),$R$1006:$W$1006,0)), HYPERLINK("#",""), HYPERLINK(CONCATENATE("#Metadata!", ADDRESS(INDEX($M$2:$M$1001,MATCH(ROWS($K$2:K792),$K$2:$K$1001,0),0), INDEX($R$1004:$W$1004,1,MATCH(COLUMNS($R$1006:U1006),$R$1006:$W$1006,0)))),"Fix")))</f>
        <v>0</v>
      </c>
      <c r="F792" s="3">
        <f>IF(OR(INDEX($L$2:$L$1001,MATCH(ROWS($K$2:K792),$K$2:$K$1001,0),1)&gt;=100000,INDEX($R$1005:$W$1005,1,MATCH(COLUMNS($R$1006:V1006),$R$1006:$W$1006,0))&gt;=100000), " ",IF(INDEX($R$2:$W$1001,MATCH(ROWS($K$2:K792),$K$2:$K$1001,0),MATCH(COLUMNS($R$1006:V1006),$R$1006:$W$1006,0)), HYPERLINK("#",""), HYPERLINK(CONCATENATE("#Metadata!", ADDRESS(INDEX($M$2:$M$1001,MATCH(ROWS($K$2:K792),$K$2:$K$1001,0),0), INDEX($R$1004:$W$1004,1,MATCH(COLUMNS($R$1006:V1006),$R$1006:$W$1006,0)))),"Fix")))</f>
        <v>0</v>
      </c>
      <c r="G792" s="3">
        <f>IF(OR(INDEX($L$2:$L$1001,MATCH(ROWS($K$2:K792),$K$2:$K$1001,0),1)&gt;=100000,INDEX($R$1005:$W$1005,1,MATCH(COLUMNS($R$1006:W1006),$R$1006:$W$1006,0))&gt;=100000), " ",IF(INDEX($R$2:$W$1001,MATCH(ROWS($K$2:K792),$K$2:$K$1001,0),MATCH(COLUMNS($R$1006:W1006),$R$1006:$W$1006,0)), HYPERLINK("#",""), HYPERLINK(CONCATENATE("#Metadata!", ADDRESS(INDEX($M$2:$M$1001,MATCH(ROWS($K$2:K792),$K$2:$K$1001,0),0), INDEX($R$1004:$W$1004,1,MATCH(COLUMNS($R$1006:W1006),$R$1006:$W$1006,0)))),"Fix")))</f>
        <v>0</v>
      </c>
      <c r="K792">
        <v>0</v>
      </c>
      <c r="L792">
        <v>0</v>
      </c>
      <c r="M792">
        <v>0</v>
      </c>
      <c r="N792">
        <f>IF(O792,TRUE,AND(R792:W792))</f>
        <v>0</v>
      </c>
      <c r="O792">
        <f>COUNTBLANK(Metadata!B792:G792)=COLUMNS(Metadata!B792:G792)</f>
        <v>0</v>
      </c>
      <c r="P792">
        <v>0</v>
      </c>
      <c r="R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S792">
        <f>IF(Metadata!C792="",FALSE,TRUE)</f>
        <v>0</v>
      </c>
      <c r="T792">
        <f>IF(Metadata!D792="",FALSE,TRUE)</f>
        <v>0</v>
      </c>
      <c r="U792">
        <f>IF(Metadata!E792="",FALSE,TRUE)</f>
        <v>0</v>
      </c>
      <c r="V792">
        <f>AND(IF(Metadata!F792="",FALSE,TRUE),exact(Metadata!F792,"rat gut metagenome"))</f>
        <v>0</v>
      </c>
      <c r="W792">
        <f>AND(IF(Metadata!G792="",FALSE,TRUE),exact(Metadata!G792,"1436733"))</f>
        <v>0</v>
      </c>
    </row>
    <row r="793" spans="1:23">
      <c r="A793" s="4">
        <f>IF(B793=" "," ",HYPERLINK(CONCATENATE("#metadata!",ADDRESS(INDEX($M$2:$M$1001,MATCH(ROWS($K$2:K793),$K$2:$K$1001,0),0),1)),INDEX($P$2:$P$1001,MATCH(ROWS($K$2:K793),$K$2:$K$1001,0),0)))</f>
        <v>0</v>
      </c>
      <c r="B793" s="3">
        <f>IF(OR(INDEX($L$2:$L$1001,MATCH(ROWS($K$2:K793),$K$2:$K$1001,0),1)&gt;=100000,INDEX($R$1005:$W$1005,1,MATCH(COLUMNS($R$1006:R1006),$R$1006:$W$1006,0))&gt;=100000), " ",IF(INDEX($R$2:$W$1001,MATCH(ROWS($K$2:K793),$K$2:$K$1001,0),MATCH(COLUMNS($R$1006:R1006),$R$1006:$W$1006,0)), HYPERLINK("#",""), HYPERLINK(CONCATENATE("#Metadata!", ADDRESS(INDEX($M$2:$M$1001,MATCH(ROWS($K$2:K793),$K$2:$K$1001,0),0), INDEX($R$1004:$W$1004,1,MATCH(COLUMNS($R$1006:R1006),$R$1006:$W$1006,0)))),"Fix")))</f>
        <v>0</v>
      </c>
      <c r="C793" s="3">
        <f>IF(OR(INDEX($L$2:$L$1001,MATCH(ROWS($K$2:K793),$K$2:$K$1001,0),1)&gt;=100000,INDEX($R$1005:$W$1005,1,MATCH(COLUMNS($R$1006:S1006),$R$1006:$W$1006,0))&gt;=100000), " ",IF(INDEX($R$2:$W$1001,MATCH(ROWS($K$2:K793),$K$2:$K$1001,0),MATCH(COLUMNS($R$1006:S1006),$R$1006:$W$1006,0)), HYPERLINK("#",""), HYPERLINK(CONCATENATE("#Metadata!", ADDRESS(INDEX($M$2:$M$1001,MATCH(ROWS($K$2:K793),$K$2:$K$1001,0),0), INDEX($R$1004:$W$1004,1,MATCH(COLUMNS($R$1006:S1006),$R$1006:$W$1006,0)))),"Fix")))</f>
        <v>0</v>
      </c>
      <c r="D793" s="3">
        <f>IF(OR(INDEX($L$2:$L$1001,MATCH(ROWS($K$2:K793),$K$2:$K$1001,0),1)&gt;=100000,INDEX($R$1005:$W$1005,1,MATCH(COLUMNS($R$1006:T1006),$R$1006:$W$1006,0))&gt;=100000), " ",IF(INDEX($R$2:$W$1001,MATCH(ROWS($K$2:K793),$K$2:$K$1001,0),MATCH(COLUMNS($R$1006:T1006),$R$1006:$W$1006,0)), HYPERLINK("#",""), HYPERLINK(CONCATENATE("#Metadata!", ADDRESS(INDEX($M$2:$M$1001,MATCH(ROWS($K$2:K793),$K$2:$K$1001,0),0), INDEX($R$1004:$W$1004,1,MATCH(COLUMNS($R$1006:T1006),$R$1006:$W$1006,0)))),"Fix")))</f>
        <v>0</v>
      </c>
      <c r="E793" s="3">
        <f>IF(OR(INDEX($L$2:$L$1001,MATCH(ROWS($K$2:K793),$K$2:$K$1001,0),1)&gt;=100000,INDEX($R$1005:$W$1005,1,MATCH(COLUMNS($R$1006:U1006),$R$1006:$W$1006,0))&gt;=100000), " ",IF(INDEX($R$2:$W$1001,MATCH(ROWS($K$2:K793),$K$2:$K$1001,0),MATCH(COLUMNS($R$1006:U1006),$R$1006:$W$1006,0)), HYPERLINK("#",""), HYPERLINK(CONCATENATE("#Metadata!", ADDRESS(INDEX($M$2:$M$1001,MATCH(ROWS($K$2:K793),$K$2:$K$1001,0),0), INDEX($R$1004:$W$1004,1,MATCH(COLUMNS($R$1006:U1006),$R$1006:$W$1006,0)))),"Fix")))</f>
        <v>0</v>
      </c>
      <c r="F793" s="3">
        <f>IF(OR(INDEX($L$2:$L$1001,MATCH(ROWS($K$2:K793),$K$2:$K$1001,0),1)&gt;=100000,INDEX($R$1005:$W$1005,1,MATCH(COLUMNS($R$1006:V1006),$R$1006:$W$1006,0))&gt;=100000), " ",IF(INDEX($R$2:$W$1001,MATCH(ROWS($K$2:K793),$K$2:$K$1001,0),MATCH(COLUMNS($R$1006:V1006),$R$1006:$W$1006,0)), HYPERLINK("#",""), HYPERLINK(CONCATENATE("#Metadata!", ADDRESS(INDEX($M$2:$M$1001,MATCH(ROWS($K$2:K793),$K$2:$K$1001,0),0), INDEX($R$1004:$W$1004,1,MATCH(COLUMNS($R$1006:V1006),$R$1006:$W$1006,0)))),"Fix")))</f>
        <v>0</v>
      </c>
      <c r="G793" s="3">
        <f>IF(OR(INDEX($L$2:$L$1001,MATCH(ROWS($K$2:K793),$K$2:$K$1001,0),1)&gt;=100000,INDEX($R$1005:$W$1005,1,MATCH(COLUMNS($R$1006:W1006),$R$1006:$W$1006,0))&gt;=100000), " ",IF(INDEX($R$2:$W$1001,MATCH(ROWS($K$2:K793),$K$2:$K$1001,0),MATCH(COLUMNS($R$1006:W1006),$R$1006:$W$1006,0)), HYPERLINK("#",""), HYPERLINK(CONCATENATE("#Metadata!", ADDRESS(INDEX($M$2:$M$1001,MATCH(ROWS($K$2:K793),$K$2:$K$1001,0),0), INDEX($R$1004:$W$1004,1,MATCH(COLUMNS($R$1006:W1006),$R$1006:$W$1006,0)))),"Fix")))</f>
        <v>0</v>
      </c>
      <c r="K793">
        <v>0</v>
      </c>
      <c r="L793">
        <v>0</v>
      </c>
      <c r="M793">
        <v>0</v>
      </c>
      <c r="N793">
        <f>IF(O793,TRUE,AND(R793:W793))</f>
        <v>0</v>
      </c>
      <c r="O793">
        <f>COUNTBLANK(Metadata!B793:G793)=COLUMNS(Metadata!B793:G793)</f>
        <v>0</v>
      </c>
      <c r="P793">
        <v>0</v>
      </c>
      <c r="R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S793">
        <f>IF(Metadata!C793="",FALSE,TRUE)</f>
        <v>0</v>
      </c>
      <c r="T793">
        <f>IF(Metadata!D793="",FALSE,TRUE)</f>
        <v>0</v>
      </c>
      <c r="U793">
        <f>IF(Metadata!E793="",FALSE,TRUE)</f>
        <v>0</v>
      </c>
      <c r="V793">
        <f>AND(IF(Metadata!F793="",FALSE,TRUE),exact(Metadata!F793,"rat gut metagenome"))</f>
        <v>0</v>
      </c>
      <c r="W793">
        <f>AND(IF(Metadata!G793="",FALSE,TRUE),exact(Metadata!G793,"1436733"))</f>
        <v>0</v>
      </c>
    </row>
    <row r="794" spans="1:23">
      <c r="A794" s="4">
        <f>IF(B794=" "," ",HYPERLINK(CONCATENATE("#metadata!",ADDRESS(INDEX($M$2:$M$1001,MATCH(ROWS($K$2:K794),$K$2:$K$1001,0),0),1)),INDEX($P$2:$P$1001,MATCH(ROWS($K$2:K794),$K$2:$K$1001,0),0)))</f>
        <v>0</v>
      </c>
      <c r="B794" s="3">
        <f>IF(OR(INDEX($L$2:$L$1001,MATCH(ROWS($K$2:K794),$K$2:$K$1001,0),1)&gt;=100000,INDEX($R$1005:$W$1005,1,MATCH(COLUMNS($R$1006:R1006),$R$1006:$W$1006,0))&gt;=100000), " ",IF(INDEX($R$2:$W$1001,MATCH(ROWS($K$2:K794),$K$2:$K$1001,0),MATCH(COLUMNS($R$1006:R1006),$R$1006:$W$1006,0)), HYPERLINK("#",""), HYPERLINK(CONCATENATE("#Metadata!", ADDRESS(INDEX($M$2:$M$1001,MATCH(ROWS($K$2:K794),$K$2:$K$1001,0),0), INDEX($R$1004:$W$1004,1,MATCH(COLUMNS($R$1006:R1006),$R$1006:$W$1006,0)))),"Fix")))</f>
        <v>0</v>
      </c>
      <c r="C794" s="3">
        <f>IF(OR(INDEX($L$2:$L$1001,MATCH(ROWS($K$2:K794),$K$2:$K$1001,0),1)&gt;=100000,INDEX($R$1005:$W$1005,1,MATCH(COLUMNS($R$1006:S1006),$R$1006:$W$1006,0))&gt;=100000), " ",IF(INDEX($R$2:$W$1001,MATCH(ROWS($K$2:K794),$K$2:$K$1001,0),MATCH(COLUMNS($R$1006:S1006),$R$1006:$W$1006,0)), HYPERLINK("#",""), HYPERLINK(CONCATENATE("#Metadata!", ADDRESS(INDEX($M$2:$M$1001,MATCH(ROWS($K$2:K794),$K$2:$K$1001,0),0), INDEX($R$1004:$W$1004,1,MATCH(COLUMNS($R$1006:S1006),$R$1006:$W$1006,0)))),"Fix")))</f>
        <v>0</v>
      </c>
      <c r="D794" s="3">
        <f>IF(OR(INDEX($L$2:$L$1001,MATCH(ROWS($K$2:K794),$K$2:$K$1001,0),1)&gt;=100000,INDEX($R$1005:$W$1005,1,MATCH(COLUMNS($R$1006:T1006),$R$1006:$W$1006,0))&gt;=100000), " ",IF(INDEX($R$2:$W$1001,MATCH(ROWS($K$2:K794),$K$2:$K$1001,0),MATCH(COLUMNS($R$1006:T1006),$R$1006:$W$1006,0)), HYPERLINK("#",""), HYPERLINK(CONCATENATE("#Metadata!", ADDRESS(INDEX($M$2:$M$1001,MATCH(ROWS($K$2:K794),$K$2:$K$1001,0),0), INDEX($R$1004:$W$1004,1,MATCH(COLUMNS($R$1006:T1006),$R$1006:$W$1006,0)))),"Fix")))</f>
        <v>0</v>
      </c>
      <c r="E794" s="3">
        <f>IF(OR(INDEX($L$2:$L$1001,MATCH(ROWS($K$2:K794),$K$2:$K$1001,0),1)&gt;=100000,INDEX($R$1005:$W$1005,1,MATCH(COLUMNS($R$1006:U1006),$R$1006:$W$1006,0))&gt;=100000), " ",IF(INDEX($R$2:$W$1001,MATCH(ROWS($K$2:K794),$K$2:$K$1001,0),MATCH(COLUMNS($R$1006:U1006),$R$1006:$W$1006,0)), HYPERLINK("#",""), HYPERLINK(CONCATENATE("#Metadata!", ADDRESS(INDEX($M$2:$M$1001,MATCH(ROWS($K$2:K794),$K$2:$K$1001,0),0), INDEX($R$1004:$W$1004,1,MATCH(COLUMNS($R$1006:U1006),$R$1006:$W$1006,0)))),"Fix")))</f>
        <v>0</v>
      </c>
      <c r="F794" s="3">
        <f>IF(OR(INDEX($L$2:$L$1001,MATCH(ROWS($K$2:K794),$K$2:$K$1001,0),1)&gt;=100000,INDEX($R$1005:$W$1005,1,MATCH(COLUMNS($R$1006:V1006),$R$1006:$W$1006,0))&gt;=100000), " ",IF(INDEX($R$2:$W$1001,MATCH(ROWS($K$2:K794),$K$2:$K$1001,0),MATCH(COLUMNS($R$1006:V1006),$R$1006:$W$1006,0)), HYPERLINK("#",""), HYPERLINK(CONCATENATE("#Metadata!", ADDRESS(INDEX($M$2:$M$1001,MATCH(ROWS($K$2:K794),$K$2:$K$1001,0),0), INDEX($R$1004:$W$1004,1,MATCH(COLUMNS($R$1006:V1006),$R$1006:$W$1006,0)))),"Fix")))</f>
        <v>0</v>
      </c>
      <c r="G794" s="3">
        <f>IF(OR(INDEX($L$2:$L$1001,MATCH(ROWS($K$2:K794),$K$2:$K$1001,0),1)&gt;=100000,INDEX($R$1005:$W$1005,1,MATCH(COLUMNS($R$1006:W1006),$R$1006:$W$1006,0))&gt;=100000), " ",IF(INDEX($R$2:$W$1001,MATCH(ROWS($K$2:K794),$K$2:$K$1001,0),MATCH(COLUMNS($R$1006:W1006),$R$1006:$W$1006,0)), HYPERLINK("#",""), HYPERLINK(CONCATENATE("#Metadata!", ADDRESS(INDEX($M$2:$M$1001,MATCH(ROWS($K$2:K794),$K$2:$K$1001,0),0), INDEX($R$1004:$W$1004,1,MATCH(COLUMNS($R$1006:W1006),$R$1006:$W$1006,0)))),"Fix")))</f>
        <v>0</v>
      </c>
      <c r="K794">
        <v>0</v>
      </c>
      <c r="L794">
        <v>0</v>
      </c>
      <c r="M794">
        <v>0</v>
      </c>
      <c r="N794">
        <f>IF(O794,TRUE,AND(R794:W794))</f>
        <v>0</v>
      </c>
      <c r="O794">
        <f>COUNTBLANK(Metadata!B794:G794)=COLUMNS(Metadata!B794:G794)</f>
        <v>0</v>
      </c>
      <c r="P794">
        <v>0</v>
      </c>
      <c r="R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S794">
        <f>IF(Metadata!C794="",FALSE,TRUE)</f>
        <v>0</v>
      </c>
      <c r="T794">
        <f>IF(Metadata!D794="",FALSE,TRUE)</f>
        <v>0</v>
      </c>
      <c r="U794">
        <f>IF(Metadata!E794="",FALSE,TRUE)</f>
        <v>0</v>
      </c>
      <c r="V794">
        <f>AND(IF(Metadata!F794="",FALSE,TRUE),exact(Metadata!F794,"rat gut metagenome"))</f>
        <v>0</v>
      </c>
      <c r="W794">
        <f>AND(IF(Metadata!G794="",FALSE,TRUE),exact(Metadata!G794,"1436733"))</f>
        <v>0</v>
      </c>
    </row>
    <row r="795" spans="1:23">
      <c r="A795" s="4">
        <f>IF(B795=" "," ",HYPERLINK(CONCATENATE("#metadata!",ADDRESS(INDEX($M$2:$M$1001,MATCH(ROWS($K$2:K795),$K$2:$K$1001,0),0),1)),INDEX($P$2:$P$1001,MATCH(ROWS($K$2:K795),$K$2:$K$1001,0),0)))</f>
        <v>0</v>
      </c>
      <c r="B795" s="3">
        <f>IF(OR(INDEX($L$2:$L$1001,MATCH(ROWS($K$2:K795),$K$2:$K$1001,0),1)&gt;=100000,INDEX($R$1005:$W$1005,1,MATCH(COLUMNS($R$1006:R1006),$R$1006:$W$1006,0))&gt;=100000), " ",IF(INDEX($R$2:$W$1001,MATCH(ROWS($K$2:K795),$K$2:$K$1001,0),MATCH(COLUMNS($R$1006:R1006),$R$1006:$W$1006,0)), HYPERLINK("#",""), HYPERLINK(CONCATENATE("#Metadata!", ADDRESS(INDEX($M$2:$M$1001,MATCH(ROWS($K$2:K795),$K$2:$K$1001,0),0), INDEX($R$1004:$W$1004,1,MATCH(COLUMNS($R$1006:R1006),$R$1006:$W$1006,0)))),"Fix")))</f>
        <v>0</v>
      </c>
      <c r="C795" s="3">
        <f>IF(OR(INDEX($L$2:$L$1001,MATCH(ROWS($K$2:K795),$K$2:$K$1001,0),1)&gt;=100000,INDEX($R$1005:$W$1005,1,MATCH(COLUMNS($R$1006:S1006),$R$1006:$W$1006,0))&gt;=100000), " ",IF(INDEX($R$2:$W$1001,MATCH(ROWS($K$2:K795),$K$2:$K$1001,0),MATCH(COLUMNS($R$1006:S1006),$R$1006:$W$1006,0)), HYPERLINK("#",""), HYPERLINK(CONCATENATE("#Metadata!", ADDRESS(INDEX($M$2:$M$1001,MATCH(ROWS($K$2:K795),$K$2:$K$1001,0),0), INDEX($R$1004:$W$1004,1,MATCH(COLUMNS($R$1006:S1006),$R$1006:$W$1006,0)))),"Fix")))</f>
        <v>0</v>
      </c>
      <c r="D795" s="3">
        <f>IF(OR(INDEX($L$2:$L$1001,MATCH(ROWS($K$2:K795),$K$2:$K$1001,0),1)&gt;=100000,INDEX($R$1005:$W$1005,1,MATCH(COLUMNS($R$1006:T1006),$R$1006:$W$1006,0))&gt;=100000), " ",IF(INDEX($R$2:$W$1001,MATCH(ROWS($K$2:K795),$K$2:$K$1001,0),MATCH(COLUMNS($R$1006:T1006),$R$1006:$W$1006,0)), HYPERLINK("#",""), HYPERLINK(CONCATENATE("#Metadata!", ADDRESS(INDEX($M$2:$M$1001,MATCH(ROWS($K$2:K795),$K$2:$K$1001,0),0), INDEX($R$1004:$W$1004,1,MATCH(COLUMNS($R$1006:T1006),$R$1006:$W$1006,0)))),"Fix")))</f>
        <v>0</v>
      </c>
      <c r="E795" s="3">
        <f>IF(OR(INDEX($L$2:$L$1001,MATCH(ROWS($K$2:K795),$K$2:$K$1001,0),1)&gt;=100000,INDEX($R$1005:$W$1005,1,MATCH(COLUMNS($R$1006:U1006),$R$1006:$W$1006,0))&gt;=100000), " ",IF(INDEX($R$2:$W$1001,MATCH(ROWS($K$2:K795),$K$2:$K$1001,0),MATCH(COLUMNS($R$1006:U1006),$R$1006:$W$1006,0)), HYPERLINK("#",""), HYPERLINK(CONCATENATE("#Metadata!", ADDRESS(INDEX($M$2:$M$1001,MATCH(ROWS($K$2:K795),$K$2:$K$1001,0),0), INDEX($R$1004:$W$1004,1,MATCH(COLUMNS($R$1006:U1006),$R$1006:$W$1006,0)))),"Fix")))</f>
        <v>0</v>
      </c>
      <c r="F795" s="3">
        <f>IF(OR(INDEX($L$2:$L$1001,MATCH(ROWS($K$2:K795),$K$2:$K$1001,0),1)&gt;=100000,INDEX($R$1005:$W$1005,1,MATCH(COLUMNS($R$1006:V1006),$R$1006:$W$1006,0))&gt;=100000), " ",IF(INDEX($R$2:$W$1001,MATCH(ROWS($K$2:K795),$K$2:$K$1001,0),MATCH(COLUMNS($R$1006:V1006),$R$1006:$W$1006,0)), HYPERLINK("#",""), HYPERLINK(CONCATENATE("#Metadata!", ADDRESS(INDEX($M$2:$M$1001,MATCH(ROWS($K$2:K795),$K$2:$K$1001,0),0), INDEX($R$1004:$W$1004,1,MATCH(COLUMNS($R$1006:V1006),$R$1006:$W$1006,0)))),"Fix")))</f>
        <v>0</v>
      </c>
      <c r="G795" s="3">
        <f>IF(OR(INDEX($L$2:$L$1001,MATCH(ROWS($K$2:K795),$K$2:$K$1001,0),1)&gt;=100000,INDEX($R$1005:$W$1005,1,MATCH(COLUMNS($R$1006:W1006),$R$1006:$W$1006,0))&gt;=100000), " ",IF(INDEX($R$2:$W$1001,MATCH(ROWS($K$2:K795),$K$2:$K$1001,0),MATCH(COLUMNS($R$1006:W1006),$R$1006:$W$1006,0)), HYPERLINK("#",""), HYPERLINK(CONCATENATE("#Metadata!", ADDRESS(INDEX($M$2:$M$1001,MATCH(ROWS($K$2:K795),$K$2:$K$1001,0),0), INDEX($R$1004:$W$1004,1,MATCH(COLUMNS($R$1006:W1006),$R$1006:$W$1006,0)))),"Fix")))</f>
        <v>0</v>
      </c>
      <c r="K795">
        <v>0</v>
      </c>
      <c r="L795">
        <v>0</v>
      </c>
      <c r="M795">
        <v>0</v>
      </c>
      <c r="N795">
        <f>IF(O795,TRUE,AND(R795:W795))</f>
        <v>0</v>
      </c>
      <c r="O795">
        <f>COUNTBLANK(Metadata!B795:G795)=COLUMNS(Metadata!B795:G795)</f>
        <v>0</v>
      </c>
      <c r="P795">
        <v>0</v>
      </c>
      <c r="R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S795">
        <f>IF(Metadata!C795="",FALSE,TRUE)</f>
        <v>0</v>
      </c>
      <c r="T795">
        <f>IF(Metadata!D795="",FALSE,TRUE)</f>
        <v>0</v>
      </c>
      <c r="U795">
        <f>IF(Metadata!E795="",FALSE,TRUE)</f>
        <v>0</v>
      </c>
      <c r="V795">
        <f>AND(IF(Metadata!F795="",FALSE,TRUE),exact(Metadata!F795,"rat gut metagenome"))</f>
        <v>0</v>
      </c>
      <c r="W795">
        <f>AND(IF(Metadata!G795="",FALSE,TRUE),exact(Metadata!G795,"1436733"))</f>
        <v>0</v>
      </c>
    </row>
    <row r="796" spans="1:23">
      <c r="A796" s="4">
        <f>IF(B796=" "," ",HYPERLINK(CONCATENATE("#metadata!",ADDRESS(INDEX($M$2:$M$1001,MATCH(ROWS($K$2:K796),$K$2:$K$1001,0),0),1)),INDEX($P$2:$P$1001,MATCH(ROWS($K$2:K796),$K$2:$K$1001,0),0)))</f>
        <v>0</v>
      </c>
      <c r="B796" s="3">
        <f>IF(OR(INDEX($L$2:$L$1001,MATCH(ROWS($K$2:K796),$K$2:$K$1001,0),1)&gt;=100000,INDEX($R$1005:$W$1005,1,MATCH(COLUMNS($R$1006:R1006),$R$1006:$W$1006,0))&gt;=100000), " ",IF(INDEX($R$2:$W$1001,MATCH(ROWS($K$2:K796),$K$2:$K$1001,0),MATCH(COLUMNS($R$1006:R1006),$R$1006:$W$1006,0)), HYPERLINK("#",""), HYPERLINK(CONCATENATE("#Metadata!", ADDRESS(INDEX($M$2:$M$1001,MATCH(ROWS($K$2:K796),$K$2:$K$1001,0),0), INDEX($R$1004:$W$1004,1,MATCH(COLUMNS($R$1006:R1006),$R$1006:$W$1006,0)))),"Fix")))</f>
        <v>0</v>
      </c>
      <c r="C796" s="3">
        <f>IF(OR(INDEX($L$2:$L$1001,MATCH(ROWS($K$2:K796),$K$2:$K$1001,0),1)&gt;=100000,INDEX($R$1005:$W$1005,1,MATCH(COLUMNS($R$1006:S1006),$R$1006:$W$1006,0))&gt;=100000), " ",IF(INDEX($R$2:$W$1001,MATCH(ROWS($K$2:K796),$K$2:$K$1001,0),MATCH(COLUMNS($R$1006:S1006),$R$1006:$W$1006,0)), HYPERLINK("#",""), HYPERLINK(CONCATENATE("#Metadata!", ADDRESS(INDEX($M$2:$M$1001,MATCH(ROWS($K$2:K796),$K$2:$K$1001,0),0), INDEX($R$1004:$W$1004,1,MATCH(COLUMNS($R$1006:S1006),$R$1006:$W$1006,0)))),"Fix")))</f>
        <v>0</v>
      </c>
      <c r="D796" s="3">
        <f>IF(OR(INDEX($L$2:$L$1001,MATCH(ROWS($K$2:K796),$K$2:$K$1001,0),1)&gt;=100000,INDEX($R$1005:$W$1005,1,MATCH(COLUMNS($R$1006:T1006),$R$1006:$W$1006,0))&gt;=100000), " ",IF(INDEX($R$2:$W$1001,MATCH(ROWS($K$2:K796),$K$2:$K$1001,0),MATCH(COLUMNS($R$1006:T1006),$R$1006:$W$1006,0)), HYPERLINK("#",""), HYPERLINK(CONCATENATE("#Metadata!", ADDRESS(INDEX($M$2:$M$1001,MATCH(ROWS($K$2:K796),$K$2:$K$1001,0),0), INDEX($R$1004:$W$1004,1,MATCH(COLUMNS($R$1006:T1006),$R$1006:$W$1006,0)))),"Fix")))</f>
        <v>0</v>
      </c>
      <c r="E796" s="3">
        <f>IF(OR(INDEX($L$2:$L$1001,MATCH(ROWS($K$2:K796),$K$2:$K$1001,0),1)&gt;=100000,INDEX($R$1005:$W$1005,1,MATCH(COLUMNS($R$1006:U1006),$R$1006:$W$1006,0))&gt;=100000), " ",IF(INDEX($R$2:$W$1001,MATCH(ROWS($K$2:K796),$K$2:$K$1001,0),MATCH(COLUMNS($R$1006:U1006),$R$1006:$W$1006,0)), HYPERLINK("#",""), HYPERLINK(CONCATENATE("#Metadata!", ADDRESS(INDEX($M$2:$M$1001,MATCH(ROWS($K$2:K796),$K$2:$K$1001,0),0), INDEX($R$1004:$W$1004,1,MATCH(COLUMNS($R$1006:U1006),$R$1006:$W$1006,0)))),"Fix")))</f>
        <v>0</v>
      </c>
      <c r="F796" s="3">
        <f>IF(OR(INDEX($L$2:$L$1001,MATCH(ROWS($K$2:K796),$K$2:$K$1001,0),1)&gt;=100000,INDEX($R$1005:$W$1005,1,MATCH(COLUMNS($R$1006:V1006),$R$1006:$W$1006,0))&gt;=100000), " ",IF(INDEX($R$2:$W$1001,MATCH(ROWS($K$2:K796),$K$2:$K$1001,0),MATCH(COLUMNS($R$1006:V1006),$R$1006:$W$1006,0)), HYPERLINK("#",""), HYPERLINK(CONCATENATE("#Metadata!", ADDRESS(INDEX($M$2:$M$1001,MATCH(ROWS($K$2:K796),$K$2:$K$1001,0),0), INDEX($R$1004:$W$1004,1,MATCH(COLUMNS($R$1006:V1006),$R$1006:$W$1006,0)))),"Fix")))</f>
        <v>0</v>
      </c>
      <c r="G796" s="3">
        <f>IF(OR(INDEX($L$2:$L$1001,MATCH(ROWS($K$2:K796),$K$2:$K$1001,0),1)&gt;=100000,INDEX($R$1005:$W$1005,1,MATCH(COLUMNS($R$1006:W1006),$R$1006:$W$1006,0))&gt;=100000), " ",IF(INDEX($R$2:$W$1001,MATCH(ROWS($K$2:K796),$K$2:$K$1001,0),MATCH(COLUMNS($R$1006:W1006),$R$1006:$W$1006,0)), HYPERLINK("#",""), HYPERLINK(CONCATENATE("#Metadata!", ADDRESS(INDEX($M$2:$M$1001,MATCH(ROWS($K$2:K796),$K$2:$K$1001,0),0), INDEX($R$1004:$W$1004,1,MATCH(COLUMNS($R$1006:W1006),$R$1006:$W$1006,0)))),"Fix")))</f>
        <v>0</v>
      </c>
      <c r="K796">
        <v>0</v>
      </c>
      <c r="L796">
        <v>0</v>
      </c>
      <c r="M796">
        <v>0</v>
      </c>
      <c r="N796">
        <f>IF(O796,TRUE,AND(R796:W796))</f>
        <v>0</v>
      </c>
      <c r="O796">
        <f>COUNTBLANK(Metadata!B796:G796)=COLUMNS(Metadata!B796:G796)</f>
        <v>0</v>
      </c>
      <c r="P796">
        <v>0</v>
      </c>
      <c r="R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S796">
        <f>IF(Metadata!C796="",FALSE,TRUE)</f>
        <v>0</v>
      </c>
      <c r="T796">
        <f>IF(Metadata!D796="",FALSE,TRUE)</f>
        <v>0</v>
      </c>
      <c r="U796">
        <f>IF(Metadata!E796="",FALSE,TRUE)</f>
        <v>0</v>
      </c>
      <c r="V796">
        <f>AND(IF(Metadata!F796="",FALSE,TRUE),exact(Metadata!F796,"rat gut metagenome"))</f>
        <v>0</v>
      </c>
      <c r="W796">
        <f>AND(IF(Metadata!G796="",FALSE,TRUE),exact(Metadata!G796,"1436733"))</f>
        <v>0</v>
      </c>
    </row>
    <row r="797" spans="1:23">
      <c r="A797" s="4">
        <f>IF(B797=" "," ",HYPERLINK(CONCATENATE("#metadata!",ADDRESS(INDEX($M$2:$M$1001,MATCH(ROWS($K$2:K797),$K$2:$K$1001,0),0),1)),INDEX($P$2:$P$1001,MATCH(ROWS($K$2:K797),$K$2:$K$1001,0),0)))</f>
        <v>0</v>
      </c>
      <c r="B797" s="3">
        <f>IF(OR(INDEX($L$2:$L$1001,MATCH(ROWS($K$2:K797),$K$2:$K$1001,0),1)&gt;=100000,INDEX($R$1005:$W$1005,1,MATCH(COLUMNS($R$1006:R1006),$R$1006:$W$1006,0))&gt;=100000), " ",IF(INDEX($R$2:$W$1001,MATCH(ROWS($K$2:K797),$K$2:$K$1001,0),MATCH(COLUMNS($R$1006:R1006),$R$1006:$W$1006,0)), HYPERLINK("#",""), HYPERLINK(CONCATENATE("#Metadata!", ADDRESS(INDEX($M$2:$M$1001,MATCH(ROWS($K$2:K797),$K$2:$K$1001,0),0), INDEX($R$1004:$W$1004,1,MATCH(COLUMNS($R$1006:R1006),$R$1006:$W$1006,0)))),"Fix")))</f>
        <v>0</v>
      </c>
      <c r="C797" s="3">
        <f>IF(OR(INDEX($L$2:$L$1001,MATCH(ROWS($K$2:K797),$K$2:$K$1001,0),1)&gt;=100000,INDEX($R$1005:$W$1005,1,MATCH(COLUMNS($R$1006:S1006),$R$1006:$W$1006,0))&gt;=100000), " ",IF(INDEX($R$2:$W$1001,MATCH(ROWS($K$2:K797),$K$2:$K$1001,0),MATCH(COLUMNS($R$1006:S1006),$R$1006:$W$1006,0)), HYPERLINK("#",""), HYPERLINK(CONCATENATE("#Metadata!", ADDRESS(INDEX($M$2:$M$1001,MATCH(ROWS($K$2:K797),$K$2:$K$1001,0),0), INDEX($R$1004:$W$1004,1,MATCH(COLUMNS($R$1006:S1006),$R$1006:$W$1006,0)))),"Fix")))</f>
        <v>0</v>
      </c>
      <c r="D797" s="3">
        <f>IF(OR(INDEX($L$2:$L$1001,MATCH(ROWS($K$2:K797),$K$2:$K$1001,0),1)&gt;=100000,INDEX($R$1005:$W$1005,1,MATCH(COLUMNS($R$1006:T1006),$R$1006:$W$1006,0))&gt;=100000), " ",IF(INDEX($R$2:$W$1001,MATCH(ROWS($K$2:K797),$K$2:$K$1001,0),MATCH(COLUMNS($R$1006:T1006),$R$1006:$W$1006,0)), HYPERLINK("#",""), HYPERLINK(CONCATENATE("#Metadata!", ADDRESS(INDEX($M$2:$M$1001,MATCH(ROWS($K$2:K797),$K$2:$K$1001,0),0), INDEX($R$1004:$W$1004,1,MATCH(COLUMNS($R$1006:T1006),$R$1006:$W$1006,0)))),"Fix")))</f>
        <v>0</v>
      </c>
      <c r="E797" s="3">
        <f>IF(OR(INDEX($L$2:$L$1001,MATCH(ROWS($K$2:K797),$K$2:$K$1001,0),1)&gt;=100000,INDEX($R$1005:$W$1005,1,MATCH(COLUMNS($R$1006:U1006),$R$1006:$W$1006,0))&gt;=100000), " ",IF(INDEX($R$2:$W$1001,MATCH(ROWS($K$2:K797),$K$2:$K$1001,0),MATCH(COLUMNS($R$1006:U1006),$R$1006:$W$1006,0)), HYPERLINK("#",""), HYPERLINK(CONCATENATE("#Metadata!", ADDRESS(INDEX($M$2:$M$1001,MATCH(ROWS($K$2:K797),$K$2:$K$1001,0),0), INDEX($R$1004:$W$1004,1,MATCH(COLUMNS($R$1006:U1006),$R$1006:$W$1006,0)))),"Fix")))</f>
        <v>0</v>
      </c>
      <c r="F797" s="3">
        <f>IF(OR(INDEX($L$2:$L$1001,MATCH(ROWS($K$2:K797),$K$2:$K$1001,0),1)&gt;=100000,INDEX($R$1005:$W$1005,1,MATCH(COLUMNS($R$1006:V1006),$R$1006:$W$1006,0))&gt;=100000), " ",IF(INDEX($R$2:$W$1001,MATCH(ROWS($K$2:K797),$K$2:$K$1001,0),MATCH(COLUMNS($R$1006:V1006),$R$1006:$W$1006,0)), HYPERLINK("#",""), HYPERLINK(CONCATENATE("#Metadata!", ADDRESS(INDEX($M$2:$M$1001,MATCH(ROWS($K$2:K797),$K$2:$K$1001,0),0), INDEX($R$1004:$W$1004,1,MATCH(COLUMNS($R$1006:V1006),$R$1006:$W$1006,0)))),"Fix")))</f>
        <v>0</v>
      </c>
      <c r="G797" s="3">
        <f>IF(OR(INDEX($L$2:$L$1001,MATCH(ROWS($K$2:K797),$K$2:$K$1001,0),1)&gt;=100000,INDEX($R$1005:$W$1005,1,MATCH(COLUMNS($R$1006:W1006),$R$1006:$W$1006,0))&gt;=100000), " ",IF(INDEX($R$2:$W$1001,MATCH(ROWS($K$2:K797),$K$2:$K$1001,0),MATCH(COLUMNS($R$1006:W1006),$R$1006:$W$1006,0)), HYPERLINK("#",""), HYPERLINK(CONCATENATE("#Metadata!", ADDRESS(INDEX($M$2:$M$1001,MATCH(ROWS($K$2:K797),$K$2:$K$1001,0),0), INDEX($R$1004:$W$1004,1,MATCH(COLUMNS($R$1006:W1006),$R$1006:$W$1006,0)))),"Fix")))</f>
        <v>0</v>
      </c>
      <c r="K797">
        <v>0</v>
      </c>
      <c r="L797">
        <v>0</v>
      </c>
      <c r="M797">
        <v>0</v>
      </c>
      <c r="N797">
        <f>IF(O797,TRUE,AND(R797:W797))</f>
        <v>0</v>
      </c>
      <c r="O797">
        <f>COUNTBLANK(Metadata!B797:G797)=COLUMNS(Metadata!B797:G797)</f>
        <v>0</v>
      </c>
      <c r="P797">
        <v>0</v>
      </c>
      <c r="R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S797">
        <f>IF(Metadata!C797="",FALSE,TRUE)</f>
        <v>0</v>
      </c>
      <c r="T797">
        <f>IF(Metadata!D797="",FALSE,TRUE)</f>
        <v>0</v>
      </c>
      <c r="U797">
        <f>IF(Metadata!E797="",FALSE,TRUE)</f>
        <v>0</v>
      </c>
      <c r="V797">
        <f>AND(IF(Metadata!F797="",FALSE,TRUE),exact(Metadata!F797,"rat gut metagenome"))</f>
        <v>0</v>
      </c>
      <c r="W797">
        <f>AND(IF(Metadata!G797="",FALSE,TRUE),exact(Metadata!G797,"1436733"))</f>
        <v>0</v>
      </c>
    </row>
    <row r="798" spans="1:23">
      <c r="A798" s="4">
        <f>IF(B798=" "," ",HYPERLINK(CONCATENATE("#metadata!",ADDRESS(INDEX($M$2:$M$1001,MATCH(ROWS($K$2:K798),$K$2:$K$1001,0),0),1)),INDEX($P$2:$P$1001,MATCH(ROWS($K$2:K798),$K$2:$K$1001,0),0)))</f>
        <v>0</v>
      </c>
      <c r="B798" s="3">
        <f>IF(OR(INDEX($L$2:$L$1001,MATCH(ROWS($K$2:K798),$K$2:$K$1001,0),1)&gt;=100000,INDEX($R$1005:$W$1005,1,MATCH(COLUMNS($R$1006:R1006),$R$1006:$W$1006,0))&gt;=100000), " ",IF(INDEX($R$2:$W$1001,MATCH(ROWS($K$2:K798),$K$2:$K$1001,0),MATCH(COLUMNS($R$1006:R1006),$R$1006:$W$1006,0)), HYPERLINK("#",""), HYPERLINK(CONCATENATE("#Metadata!", ADDRESS(INDEX($M$2:$M$1001,MATCH(ROWS($K$2:K798),$K$2:$K$1001,0),0), INDEX($R$1004:$W$1004,1,MATCH(COLUMNS($R$1006:R1006),$R$1006:$W$1006,0)))),"Fix")))</f>
        <v>0</v>
      </c>
      <c r="C798" s="3">
        <f>IF(OR(INDEX($L$2:$L$1001,MATCH(ROWS($K$2:K798),$K$2:$K$1001,0),1)&gt;=100000,INDEX($R$1005:$W$1005,1,MATCH(COLUMNS($R$1006:S1006),$R$1006:$W$1006,0))&gt;=100000), " ",IF(INDEX($R$2:$W$1001,MATCH(ROWS($K$2:K798),$K$2:$K$1001,0),MATCH(COLUMNS($R$1006:S1006),$R$1006:$W$1006,0)), HYPERLINK("#",""), HYPERLINK(CONCATENATE("#Metadata!", ADDRESS(INDEX($M$2:$M$1001,MATCH(ROWS($K$2:K798),$K$2:$K$1001,0),0), INDEX($R$1004:$W$1004,1,MATCH(COLUMNS($R$1006:S1006),$R$1006:$W$1006,0)))),"Fix")))</f>
        <v>0</v>
      </c>
      <c r="D798" s="3">
        <f>IF(OR(INDEX($L$2:$L$1001,MATCH(ROWS($K$2:K798),$K$2:$K$1001,0),1)&gt;=100000,INDEX($R$1005:$W$1005,1,MATCH(COLUMNS($R$1006:T1006),$R$1006:$W$1006,0))&gt;=100000), " ",IF(INDEX($R$2:$W$1001,MATCH(ROWS($K$2:K798),$K$2:$K$1001,0),MATCH(COLUMNS($R$1006:T1006),$R$1006:$W$1006,0)), HYPERLINK("#",""), HYPERLINK(CONCATENATE("#Metadata!", ADDRESS(INDEX($M$2:$M$1001,MATCH(ROWS($K$2:K798),$K$2:$K$1001,0),0), INDEX($R$1004:$W$1004,1,MATCH(COLUMNS($R$1006:T1006),$R$1006:$W$1006,0)))),"Fix")))</f>
        <v>0</v>
      </c>
      <c r="E798" s="3">
        <f>IF(OR(INDEX($L$2:$L$1001,MATCH(ROWS($K$2:K798),$K$2:$K$1001,0),1)&gt;=100000,INDEX($R$1005:$W$1005,1,MATCH(COLUMNS($R$1006:U1006),$R$1006:$W$1006,0))&gt;=100000), " ",IF(INDEX($R$2:$W$1001,MATCH(ROWS($K$2:K798),$K$2:$K$1001,0),MATCH(COLUMNS($R$1006:U1006),$R$1006:$W$1006,0)), HYPERLINK("#",""), HYPERLINK(CONCATENATE("#Metadata!", ADDRESS(INDEX($M$2:$M$1001,MATCH(ROWS($K$2:K798),$K$2:$K$1001,0),0), INDEX($R$1004:$W$1004,1,MATCH(COLUMNS($R$1006:U1006),$R$1006:$W$1006,0)))),"Fix")))</f>
        <v>0</v>
      </c>
      <c r="F798" s="3">
        <f>IF(OR(INDEX($L$2:$L$1001,MATCH(ROWS($K$2:K798),$K$2:$K$1001,0),1)&gt;=100000,INDEX($R$1005:$W$1005,1,MATCH(COLUMNS($R$1006:V1006),$R$1006:$W$1006,0))&gt;=100000), " ",IF(INDEX($R$2:$W$1001,MATCH(ROWS($K$2:K798),$K$2:$K$1001,0),MATCH(COLUMNS($R$1006:V1006),$R$1006:$W$1006,0)), HYPERLINK("#",""), HYPERLINK(CONCATENATE("#Metadata!", ADDRESS(INDEX($M$2:$M$1001,MATCH(ROWS($K$2:K798),$K$2:$K$1001,0),0), INDEX($R$1004:$W$1004,1,MATCH(COLUMNS($R$1006:V1006),$R$1006:$W$1006,0)))),"Fix")))</f>
        <v>0</v>
      </c>
      <c r="G798" s="3">
        <f>IF(OR(INDEX($L$2:$L$1001,MATCH(ROWS($K$2:K798),$K$2:$K$1001,0),1)&gt;=100000,INDEX($R$1005:$W$1005,1,MATCH(COLUMNS($R$1006:W1006),$R$1006:$W$1006,0))&gt;=100000), " ",IF(INDEX($R$2:$W$1001,MATCH(ROWS($K$2:K798),$K$2:$K$1001,0),MATCH(COLUMNS($R$1006:W1006),$R$1006:$W$1006,0)), HYPERLINK("#",""), HYPERLINK(CONCATENATE("#Metadata!", ADDRESS(INDEX($M$2:$M$1001,MATCH(ROWS($K$2:K798),$K$2:$K$1001,0),0), INDEX($R$1004:$W$1004,1,MATCH(COLUMNS($R$1006:W1006),$R$1006:$W$1006,0)))),"Fix")))</f>
        <v>0</v>
      </c>
      <c r="K798">
        <v>0</v>
      </c>
      <c r="L798">
        <v>0</v>
      </c>
      <c r="M798">
        <v>0</v>
      </c>
      <c r="N798">
        <f>IF(O798,TRUE,AND(R798:W798))</f>
        <v>0</v>
      </c>
      <c r="O798">
        <f>COUNTBLANK(Metadata!B798:G798)=COLUMNS(Metadata!B798:G798)</f>
        <v>0</v>
      </c>
      <c r="P798">
        <v>0</v>
      </c>
      <c r="R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S798">
        <f>IF(Metadata!C798="",FALSE,TRUE)</f>
        <v>0</v>
      </c>
      <c r="T798">
        <f>IF(Metadata!D798="",FALSE,TRUE)</f>
        <v>0</v>
      </c>
      <c r="U798">
        <f>IF(Metadata!E798="",FALSE,TRUE)</f>
        <v>0</v>
      </c>
      <c r="V798">
        <f>AND(IF(Metadata!F798="",FALSE,TRUE),exact(Metadata!F798,"rat gut metagenome"))</f>
        <v>0</v>
      </c>
      <c r="W798">
        <f>AND(IF(Metadata!G798="",FALSE,TRUE),exact(Metadata!G798,"1436733"))</f>
        <v>0</v>
      </c>
    </row>
    <row r="799" spans="1:23">
      <c r="A799" s="4">
        <f>IF(B799=" "," ",HYPERLINK(CONCATENATE("#metadata!",ADDRESS(INDEX($M$2:$M$1001,MATCH(ROWS($K$2:K799),$K$2:$K$1001,0),0),1)),INDEX($P$2:$P$1001,MATCH(ROWS($K$2:K799),$K$2:$K$1001,0),0)))</f>
        <v>0</v>
      </c>
      <c r="B799" s="3">
        <f>IF(OR(INDEX($L$2:$L$1001,MATCH(ROWS($K$2:K799),$K$2:$K$1001,0),1)&gt;=100000,INDEX($R$1005:$W$1005,1,MATCH(COLUMNS($R$1006:R1006),$R$1006:$W$1006,0))&gt;=100000), " ",IF(INDEX($R$2:$W$1001,MATCH(ROWS($K$2:K799),$K$2:$K$1001,0),MATCH(COLUMNS($R$1006:R1006),$R$1006:$W$1006,0)), HYPERLINK("#",""), HYPERLINK(CONCATENATE("#Metadata!", ADDRESS(INDEX($M$2:$M$1001,MATCH(ROWS($K$2:K799),$K$2:$K$1001,0),0), INDEX($R$1004:$W$1004,1,MATCH(COLUMNS($R$1006:R1006),$R$1006:$W$1006,0)))),"Fix")))</f>
        <v>0</v>
      </c>
      <c r="C799" s="3">
        <f>IF(OR(INDEX($L$2:$L$1001,MATCH(ROWS($K$2:K799),$K$2:$K$1001,0),1)&gt;=100000,INDEX($R$1005:$W$1005,1,MATCH(COLUMNS($R$1006:S1006),$R$1006:$W$1006,0))&gt;=100000), " ",IF(INDEX($R$2:$W$1001,MATCH(ROWS($K$2:K799),$K$2:$K$1001,0),MATCH(COLUMNS($R$1006:S1006),$R$1006:$W$1006,0)), HYPERLINK("#",""), HYPERLINK(CONCATENATE("#Metadata!", ADDRESS(INDEX($M$2:$M$1001,MATCH(ROWS($K$2:K799),$K$2:$K$1001,0),0), INDEX($R$1004:$W$1004,1,MATCH(COLUMNS($R$1006:S1006),$R$1006:$W$1006,0)))),"Fix")))</f>
        <v>0</v>
      </c>
      <c r="D799" s="3">
        <f>IF(OR(INDEX($L$2:$L$1001,MATCH(ROWS($K$2:K799),$K$2:$K$1001,0),1)&gt;=100000,INDEX($R$1005:$W$1005,1,MATCH(COLUMNS($R$1006:T1006),$R$1006:$W$1006,0))&gt;=100000), " ",IF(INDEX($R$2:$W$1001,MATCH(ROWS($K$2:K799),$K$2:$K$1001,0),MATCH(COLUMNS($R$1006:T1006),$R$1006:$W$1006,0)), HYPERLINK("#",""), HYPERLINK(CONCATENATE("#Metadata!", ADDRESS(INDEX($M$2:$M$1001,MATCH(ROWS($K$2:K799),$K$2:$K$1001,0),0), INDEX($R$1004:$W$1004,1,MATCH(COLUMNS($R$1006:T1006),$R$1006:$W$1006,0)))),"Fix")))</f>
        <v>0</v>
      </c>
      <c r="E799" s="3">
        <f>IF(OR(INDEX($L$2:$L$1001,MATCH(ROWS($K$2:K799),$K$2:$K$1001,0),1)&gt;=100000,INDEX($R$1005:$W$1005,1,MATCH(COLUMNS($R$1006:U1006),$R$1006:$W$1006,0))&gt;=100000), " ",IF(INDEX($R$2:$W$1001,MATCH(ROWS($K$2:K799),$K$2:$K$1001,0),MATCH(COLUMNS($R$1006:U1006),$R$1006:$W$1006,0)), HYPERLINK("#",""), HYPERLINK(CONCATENATE("#Metadata!", ADDRESS(INDEX($M$2:$M$1001,MATCH(ROWS($K$2:K799),$K$2:$K$1001,0),0), INDEX($R$1004:$W$1004,1,MATCH(COLUMNS($R$1006:U1006),$R$1006:$W$1006,0)))),"Fix")))</f>
        <v>0</v>
      </c>
      <c r="F799" s="3">
        <f>IF(OR(INDEX($L$2:$L$1001,MATCH(ROWS($K$2:K799),$K$2:$K$1001,0),1)&gt;=100000,INDEX($R$1005:$W$1005,1,MATCH(COLUMNS($R$1006:V1006),$R$1006:$W$1006,0))&gt;=100000), " ",IF(INDEX($R$2:$W$1001,MATCH(ROWS($K$2:K799),$K$2:$K$1001,0),MATCH(COLUMNS($R$1006:V1006),$R$1006:$W$1006,0)), HYPERLINK("#",""), HYPERLINK(CONCATENATE("#Metadata!", ADDRESS(INDEX($M$2:$M$1001,MATCH(ROWS($K$2:K799),$K$2:$K$1001,0),0), INDEX($R$1004:$W$1004,1,MATCH(COLUMNS($R$1006:V1006),$R$1006:$W$1006,0)))),"Fix")))</f>
        <v>0</v>
      </c>
      <c r="G799" s="3">
        <f>IF(OR(INDEX($L$2:$L$1001,MATCH(ROWS($K$2:K799),$K$2:$K$1001,0),1)&gt;=100000,INDEX($R$1005:$W$1005,1,MATCH(COLUMNS($R$1006:W1006),$R$1006:$W$1006,0))&gt;=100000), " ",IF(INDEX($R$2:$W$1001,MATCH(ROWS($K$2:K799),$K$2:$K$1001,0),MATCH(COLUMNS($R$1006:W1006),$R$1006:$W$1006,0)), HYPERLINK("#",""), HYPERLINK(CONCATENATE("#Metadata!", ADDRESS(INDEX($M$2:$M$1001,MATCH(ROWS($K$2:K799),$K$2:$K$1001,0),0), INDEX($R$1004:$W$1004,1,MATCH(COLUMNS($R$1006:W1006),$R$1006:$W$1006,0)))),"Fix")))</f>
        <v>0</v>
      </c>
      <c r="K799">
        <v>0</v>
      </c>
      <c r="L799">
        <v>0</v>
      </c>
      <c r="M799">
        <v>0</v>
      </c>
      <c r="N799">
        <f>IF(O799,TRUE,AND(R799:W799))</f>
        <v>0</v>
      </c>
      <c r="O799">
        <f>COUNTBLANK(Metadata!B799:G799)=COLUMNS(Metadata!B799:G799)</f>
        <v>0</v>
      </c>
      <c r="P799">
        <v>0</v>
      </c>
      <c r="R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S799">
        <f>IF(Metadata!C799="",FALSE,TRUE)</f>
        <v>0</v>
      </c>
      <c r="T799">
        <f>IF(Metadata!D799="",FALSE,TRUE)</f>
        <v>0</v>
      </c>
      <c r="U799">
        <f>IF(Metadata!E799="",FALSE,TRUE)</f>
        <v>0</v>
      </c>
      <c r="V799">
        <f>AND(IF(Metadata!F799="",FALSE,TRUE),exact(Metadata!F799,"rat gut metagenome"))</f>
        <v>0</v>
      </c>
      <c r="W799">
        <f>AND(IF(Metadata!G799="",FALSE,TRUE),exact(Metadata!G799,"1436733"))</f>
        <v>0</v>
      </c>
    </row>
    <row r="800" spans="1:23">
      <c r="A800" s="4">
        <f>IF(B800=" "," ",HYPERLINK(CONCATENATE("#metadata!",ADDRESS(INDEX($M$2:$M$1001,MATCH(ROWS($K$2:K800),$K$2:$K$1001,0),0),1)),INDEX($P$2:$P$1001,MATCH(ROWS($K$2:K800),$K$2:$K$1001,0),0)))</f>
        <v>0</v>
      </c>
      <c r="B800" s="3">
        <f>IF(OR(INDEX($L$2:$L$1001,MATCH(ROWS($K$2:K800),$K$2:$K$1001,0),1)&gt;=100000,INDEX($R$1005:$W$1005,1,MATCH(COLUMNS($R$1006:R1006),$R$1006:$W$1006,0))&gt;=100000), " ",IF(INDEX($R$2:$W$1001,MATCH(ROWS($K$2:K800),$K$2:$K$1001,0),MATCH(COLUMNS($R$1006:R1006),$R$1006:$W$1006,0)), HYPERLINK("#",""), HYPERLINK(CONCATENATE("#Metadata!", ADDRESS(INDEX($M$2:$M$1001,MATCH(ROWS($K$2:K800),$K$2:$K$1001,0),0), INDEX($R$1004:$W$1004,1,MATCH(COLUMNS($R$1006:R1006),$R$1006:$W$1006,0)))),"Fix")))</f>
        <v>0</v>
      </c>
      <c r="C800" s="3">
        <f>IF(OR(INDEX($L$2:$L$1001,MATCH(ROWS($K$2:K800),$K$2:$K$1001,0),1)&gt;=100000,INDEX($R$1005:$W$1005,1,MATCH(COLUMNS($R$1006:S1006),$R$1006:$W$1006,0))&gt;=100000), " ",IF(INDEX($R$2:$W$1001,MATCH(ROWS($K$2:K800),$K$2:$K$1001,0),MATCH(COLUMNS($R$1006:S1006),$R$1006:$W$1006,0)), HYPERLINK("#",""), HYPERLINK(CONCATENATE("#Metadata!", ADDRESS(INDEX($M$2:$M$1001,MATCH(ROWS($K$2:K800),$K$2:$K$1001,0),0), INDEX($R$1004:$W$1004,1,MATCH(COLUMNS($R$1006:S1006),$R$1006:$W$1006,0)))),"Fix")))</f>
        <v>0</v>
      </c>
      <c r="D800" s="3">
        <f>IF(OR(INDEX($L$2:$L$1001,MATCH(ROWS($K$2:K800),$K$2:$K$1001,0),1)&gt;=100000,INDEX($R$1005:$W$1005,1,MATCH(COLUMNS($R$1006:T1006),$R$1006:$W$1006,0))&gt;=100000), " ",IF(INDEX($R$2:$W$1001,MATCH(ROWS($K$2:K800),$K$2:$K$1001,0),MATCH(COLUMNS($R$1006:T1006),$R$1006:$W$1006,0)), HYPERLINK("#",""), HYPERLINK(CONCATENATE("#Metadata!", ADDRESS(INDEX($M$2:$M$1001,MATCH(ROWS($K$2:K800),$K$2:$K$1001,0),0), INDEX($R$1004:$W$1004,1,MATCH(COLUMNS($R$1006:T1006),$R$1006:$W$1006,0)))),"Fix")))</f>
        <v>0</v>
      </c>
      <c r="E800" s="3">
        <f>IF(OR(INDEX($L$2:$L$1001,MATCH(ROWS($K$2:K800),$K$2:$K$1001,0),1)&gt;=100000,INDEX($R$1005:$W$1005,1,MATCH(COLUMNS($R$1006:U1006),$R$1006:$W$1006,0))&gt;=100000), " ",IF(INDEX($R$2:$W$1001,MATCH(ROWS($K$2:K800),$K$2:$K$1001,0),MATCH(COLUMNS($R$1006:U1006),$R$1006:$W$1006,0)), HYPERLINK("#",""), HYPERLINK(CONCATENATE("#Metadata!", ADDRESS(INDEX($M$2:$M$1001,MATCH(ROWS($K$2:K800),$K$2:$K$1001,0),0), INDEX($R$1004:$W$1004,1,MATCH(COLUMNS($R$1006:U1006),$R$1006:$W$1006,0)))),"Fix")))</f>
        <v>0</v>
      </c>
      <c r="F800" s="3">
        <f>IF(OR(INDEX($L$2:$L$1001,MATCH(ROWS($K$2:K800),$K$2:$K$1001,0),1)&gt;=100000,INDEX($R$1005:$W$1005,1,MATCH(COLUMNS($R$1006:V1006),$R$1006:$W$1006,0))&gt;=100000), " ",IF(INDEX($R$2:$W$1001,MATCH(ROWS($K$2:K800),$K$2:$K$1001,0),MATCH(COLUMNS($R$1006:V1006),$R$1006:$W$1006,0)), HYPERLINK("#",""), HYPERLINK(CONCATENATE("#Metadata!", ADDRESS(INDEX($M$2:$M$1001,MATCH(ROWS($K$2:K800),$K$2:$K$1001,0),0), INDEX($R$1004:$W$1004,1,MATCH(COLUMNS($R$1006:V1006),$R$1006:$W$1006,0)))),"Fix")))</f>
        <v>0</v>
      </c>
      <c r="G800" s="3">
        <f>IF(OR(INDEX($L$2:$L$1001,MATCH(ROWS($K$2:K800),$K$2:$K$1001,0),1)&gt;=100000,INDEX($R$1005:$W$1005,1,MATCH(COLUMNS($R$1006:W1006),$R$1006:$W$1006,0))&gt;=100000), " ",IF(INDEX($R$2:$W$1001,MATCH(ROWS($K$2:K800),$K$2:$K$1001,0),MATCH(COLUMNS($R$1006:W1006),$R$1006:$W$1006,0)), HYPERLINK("#",""), HYPERLINK(CONCATENATE("#Metadata!", ADDRESS(INDEX($M$2:$M$1001,MATCH(ROWS($K$2:K800),$K$2:$K$1001,0),0), INDEX($R$1004:$W$1004,1,MATCH(COLUMNS($R$1006:W1006),$R$1006:$W$1006,0)))),"Fix")))</f>
        <v>0</v>
      </c>
      <c r="K800">
        <v>0</v>
      </c>
      <c r="L800">
        <v>0</v>
      </c>
      <c r="M800">
        <v>0</v>
      </c>
      <c r="N800">
        <f>IF(O800,TRUE,AND(R800:W800))</f>
        <v>0</v>
      </c>
      <c r="O800">
        <f>COUNTBLANK(Metadata!B800:G800)=COLUMNS(Metadata!B800:G800)</f>
        <v>0</v>
      </c>
      <c r="P800">
        <v>0</v>
      </c>
      <c r="R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S800">
        <f>IF(Metadata!C800="",FALSE,TRUE)</f>
        <v>0</v>
      </c>
      <c r="T800">
        <f>IF(Metadata!D800="",FALSE,TRUE)</f>
        <v>0</v>
      </c>
      <c r="U800">
        <f>IF(Metadata!E800="",FALSE,TRUE)</f>
        <v>0</v>
      </c>
      <c r="V800">
        <f>AND(IF(Metadata!F800="",FALSE,TRUE),exact(Metadata!F800,"rat gut metagenome"))</f>
        <v>0</v>
      </c>
      <c r="W800">
        <f>AND(IF(Metadata!G800="",FALSE,TRUE),exact(Metadata!G800,"1436733"))</f>
        <v>0</v>
      </c>
    </row>
    <row r="801" spans="1:23">
      <c r="A801" s="4">
        <f>IF(B801=" "," ",HYPERLINK(CONCATENATE("#metadata!",ADDRESS(INDEX($M$2:$M$1001,MATCH(ROWS($K$2:K801),$K$2:$K$1001,0),0),1)),INDEX($P$2:$P$1001,MATCH(ROWS($K$2:K801),$K$2:$K$1001,0),0)))</f>
        <v>0</v>
      </c>
      <c r="B801" s="3">
        <f>IF(OR(INDEX($L$2:$L$1001,MATCH(ROWS($K$2:K801),$K$2:$K$1001,0),1)&gt;=100000,INDEX($R$1005:$W$1005,1,MATCH(COLUMNS($R$1006:R1006),$R$1006:$W$1006,0))&gt;=100000), " ",IF(INDEX($R$2:$W$1001,MATCH(ROWS($K$2:K801),$K$2:$K$1001,0),MATCH(COLUMNS($R$1006:R1006),$R$1006:$W$1006,0)), HYPERLINK("#",""), HYPERLINK(CONCATENATE("#Metadata!", ADDRESS(INDEX($M$2:$M$1001,MATCH(ROWS($K$2:K801),$K$2:$K$1001,0),0), INDEX($R$1004:$W$1004,1,MATCH(COLUMNS($R$1006:R1006),$R$1006:$W$1006,0)))),"Fix")))</f>
        <v>0</v>
      </c>
      <c r="C801" s="3">
        <f>IF(OR(INDEX($L$2:$L$1001,MATCH(ROWS($K$2:K801),$K$2:$K$1001,0),1)&gt;=100000,INDEX($R$1005:$W$1005,1,MATCH(COLUMNS($R$1006:S1006),$R$1006:$W$1006,0))&gt;=100000), " ",IF(INDEX($R$2:$W$1001,MATCH(ROWS($K$2:K801),$K$2:$K$1001,0),MATCH(COLUMNS($R$1006:S1006),$R$1006:$W$1006,0)), HYPERLINK("#",""), HYPERLINK(CONCATENATE("#Metadata!", ADDRESS(INDEX($M$2:$M$1001,MATCH(ROWS($K$2:K801),$K$2:$K$1001,0),0), INDEX($R$1004:$W$1004,1,MATCH(COLUMNS($R$1006:S1006),$R$1006:$W$1006,0)))),"Fix")))</f>
        <v>0</v>
      </c>
      <c r="D801" s="3">
        <f>IF(OR(INDEX($L$2:$L$1001,MATCH(ROWS($K$2:K801),$K$2:$K$1001,0),1)&gt;=100000,INDEX($R$1005:$W$1005,1,MATCH(COLUMNS($R$1006:T1006),$R$1006:$W$1006,0))&gt;=100000), " ",IF(INDEX($R$2:$W$1001,MATCH(ROWS($K$2:K801),$K$2:$K$1001,0),MATCH(COLUMNS($R$1006:T1006),$R$1006:$W$1006,0)), HYPERLINK("#",""), HYPERLINK(CONCATENATE("#Metadata!", ADDRESS(INDEX($M$2:$M$1001,MATCH(ROWS($K$2:K801),$K$2:$K$1001,0),0), INDEX($R$1004:$W$1004,1,MATCH(COLUMNS($R$1006:T1006),$R$1006:$W$1006,0)))),"Fix")))</f>
        <v>0</v>
      </c>
      <c r="E801" s="3">
        <f>IF(OR(INDEX($L$2:$L$1001,MATCH(ROWS($K$2:K801),$K$2:$K$1001,0),1)&gt;=100000,INDEX($R$1005:$W$1005,1,MATCH(COLUMNS($R$1006:U1006),$R$1006:$W$1006,0))&gt;=100000), " ",IF(INDEX($R$2:$W$1001,MATCH(ROWS($K$2:K801),$K$2:$K$1001,0),MATCH(COLUMNS($R$1006:U1006),$R$1006:$W$1006,0)), HYPERLINK("#",""), HYPERLINK(CONCATENATE("#Metadata!", ADDRESS(INDEX($M$2:$M$1001,MATCH(ROWS($K$2:K801),$K$2:$K$1001,0),0), INDEX($R$1004:$W$1004,1,MATCH(COLUMNS($R$1006:U1006),$R$1006:$W$1006,0)))),"Fix")))</f>
        <v>0</v>
      </c>
      <c r="F801" s="3">
        <f>IF(OR(INDEX($L$2:$L$1001,MATCH(ROWS($K$2:K801),$K$2:$K$1001,0),1)&gt;=100000,INDEX($R$1005:$W$1005,1,MATCH(COLUMNS($R$1006:V1006),$R$1006:$W$1006,0))&gt;=100000), " ",IF(INDEX($R$2:$W$1001,MATCH(ROWS($K$2:K801),$K$2:$K$1001,0),MATCH(COLUMNS($R$1006:V1006),$R$1006:$W$1006,0)), HYPERLINK("#",""), HYPERLINK(CONCATENATE("#Metadata!", ADDRESS(INDEX($M$2:$M$1001,MATCH(ROWS($K$2:K801),$K$2:$K$1001,0),0), INDEX($R$1004:$W$1004,1,MATCH(COLUMNS($R$1006:V1006),$R$1006:$W$1006,0)))),"Fix")))</f>
        <v>0</v>
      </c>
      <c r="G801" s="3">
        <f>IF(OR(INDEX($L$2:$L$1001,MATCH(ROWS($K$2:K801),$K$2:$K$1001,0),1)&gt;=100000,INDEX($R$1005:$W$1005,1,MATCH(COLUMNS($R$1006:W1006),$R$1006:$W$1006,0))&gt;=100000), " ",IF(INDEX($R$2:$W$1001,MATCH(ROWS($K$2:K801),$K$2:$K$1001,0),MATCH(COLUMNS($R$1006:W1006),$R$1006:$W$1006,0)), HYPERLINK("#",""), HYPERLINK(CONCATENATE("#Metadata!", ADDRESS(INDEX($M$2:$M$1001,MATCH(ROWS($K$2:K801),$K$2:$K$1001,0),0), INDEX($R$1004:$W$1004,1,MATCH(COLUMNS($R$1006:W1006),$R$1006:$W$1006,0)))),"Fix")))</f>
        <v>0</v>
      </c>
      <c r="K801">
        <v>0</v>
      </c>
      <c r="L801">
        <v>0</v>
      </c>
      <c r="M801">
        <v>0</v>
      </c>
      <c r="N801">
        <f>IF(O801,TRUE,AND(R801:W801))</f>
        <v>0</v>
      </c>
      <c r="O801">
        <f>COUNTBLANK(Metadata!B801:G801)=COLUMNS(Metadata!B801:G801)</f>
        <v>0</v>
      </c>
      <c r="P801">
        <v>0</v>
      </c>
      <c r="R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S801">
        <f>IF(Metadata!C801="",FALSE,TRUE)</f>
        <v>0</v>
      </c>
      <c r="T801">
        <f>IF(Metadata!D801="",FALSE,TRUE)</f>
        <v>0</v>
      </c>
      <c r="U801">
        <f>IF(Metadata!E801="",FALSE,TRUE)</f>
        <v>0</v>
      </c>
      <c r="V801">
        <f>AND(IF(Metadata!F801="",FALSE,TRUE),exact(Metadata!F801,"rat gut metagenome"))</f>
        <v>0</v>
      </c>
      <c r="W801">
        <f>AND(IF(Metadata!G801="",FALSE,TRUE),exact(Metadata!G801,"1436733"))</f>
        <v>0</v>
      </c>
    </row>
    <row r="802" spans="1:23">
      <c r="A802" s="4">
        <f>IF(B802=" "," ",HYPERLINK(CONCATENATE("#metadata!",ADDRESS(INDEX($M$2:$M$1001,MATCH(ROWS($K$2:K802),$K$2:$K$1001,0),0),1)),INDEX($P$2:$P$1001,MATCH(ROWS($K$2:K802),$K$2:$K$1001,0),0)))</f>
        <v>0</v>
      </c>
      <c r="B802" s="3">
        <f>IF(OR(INDEX($L$2:$L$1001,MATCH(ROWS($K$2:K802),$K$2:$K$1001,0),1)&gt;=100000,INDEX($R$1005:$W$1005,1,MATCH(COLUMNS($R$1006:R1006),$R$1006:$W$1006,0))&gt;=100000), " ",IF(INDEX($R$2:$W$1001,MATCH(ROWS($K$2:K802),$K$2:$K$1001,0),MATCH(COLUMNS($R$1006:R1006),$R$1006:$W$1006,0)), HYPERLINK("#",""), HYPERLINK(CONCATENATE("#Metadata!", ADDRESS(INDEX($M$2:$M$1001,MATCH(ROWS($K$2:K802),$K$2:$K$1001,0),0), INDEX($R$1004:$W$1004,1,MATCH(COLUMNS($R$1006:R1006),$R$1006:$W$1006,0)))),"Fix")))</f>
        <v>0</v>
      </c>
      <c r="C802" s="3">
        <f>IF(OR(INDEX($L$2:$L$1001,MATCH(ROWS($K$2:K802),$K$2:$K$1001,0),1)&gt;=100000,INDEX($R$1005:$W$1005,1,MATCH(COLUMNS($R$1006:S1006),$R$1006:$W$1006,0))&gt;=100000), " ",IF(INDEX($R$2:$W$1001,MATCH(ROWS($K$2:K802),$K$2:$K$1001,0),MATCH(COLUMNS($R$1006:S1006),$R$1006:$W$1006,0)), HYPERLINK("#",""), HYPERLINK(CONCATENATE("#Metadata!", ADDRESS(INDEX($M$2:$M$1001,MATCH(ROWS($K$2:K802),$K$2:$K$1001,0),0), INDEX($R$1004:$W$1004,1,MATCH(COLUMNS($R$1006:S1006),$R$1006:$W$1006,0)))),"Fix")))</f>
        <v>0</v>
      </c>
      <c r="D802" s="3">
        <f>IF(OR(INDEX($L$2:$L$1001,MATCH(ROWS($K$2:K802),$K$2:$K$1001,0),1)&gt;=100000,INDEX($R$1005:$W$1005,1,MATCH(COLUMNS($R$1006:T1006),$R$1006:$W$1006,0))&gt;=100000), " ",IF(INDEX($R$2:$W$1001,MATCH(ROWS($K$2:K802),$K$2:$K$1001,0),MATCH(COLUMNS($R$1006:T1006),$R$1006:$W$1006,0)), HYPERLINK("#",""), HYPERLINK(CONCATENATE("#Metadata!", ADDRESS(INDEX($M$2:$M$1001,MATCH(ROWS($K$2:K802),$K$2:$K$1001,0),0), INDEX($R$1004:$W$1004,1,MATCH(COLUMNS($R$1006:T1006),$R$1006:$W$1006,0)))),"Fix")))</f>
        <v>0</v>
      </c>
      <c r="E802" s="3">
        <f>IF(OR(INDEX($L$2:$L$1001,MATCH(ROWS($K$2:K802),$K$2:$K$1001,0),1)&gt;=100000,INDEX($R$1005:$W$1005,1,MATCH(COLUMNS($R$1006:U1006),$R$1006:$W$1006,0))&gt;=100000), " ",IF(INDEX($R$2:$W$1001,MATCH(ROWS($K$2:K802),$K$2:$K$1001,0),MATCH(COLUMNS($R$1006:U1006),$R$1006:$W$1006,0)), HYPERLINK("#",""), HYPERLINK(CONCATENATE("#Metadata!", ADDRESS(INDEX($M$2:$M$1001,MATCH(ROWS($K$2:K802),$K$2:$K$1001,0),0), INDEX($R$1004:$W$1004,1,MATCH(COLUMNS($R$1006:U1006),$R$1006:$W$1006,0)))),"Fix")))</f>
        <v>0</v>
      </c>
      <c r="F802" s="3">
        <f>IF(OR(INDEX($L$2:$L$1001,MATCH(ROWS($K$2:K802),$K$2:$K$1001,0),1)&gt;=100000,INDEX($R$1005:$W$1005,1,MATCH(COLUMNS($R$1006:V1006),$R$1006:$W$1006,0))&gt;=100000), " ",IF(INDEX($R$2:$W$1001,MATCH(ROWS($K$2:K802),$K$2:$K$1001,0),MATCH(COLUMNS($R$1006:V1006),$R$1006:$W$1006,0)), HYPERLINK("#",""), HYPERLINK(CONCATENATE("#Metadata!", ADDRESS(INDEX($M$2:$M$1001,MATCH(ROWS($K$2:K802),$K$2:$K$1001,0),0), INDEX($R$1004:$W$1004,1,MATCH(COLUMNS($R$1006:V1006),$R$1006:$W$1006,0)))),"Fix")))</f>
        <v>0</v>
      </c>
      <c r="G802" s="3">
        <f>IF(OR(INDEX($L$2:$L$1001,MATCH(ROWS($K$2:K802),$K$2:$K$1001,0),1)&gt;=100000,INDEX($R$1005:$W$1005,1,MATCH(COLUMNS($R$1006:W1006),$R$1006:$W$1006,0))&gt;=100000), " ",IF(INDEX($R$2:$W$1001,MATCH(ROWS($K$2:K802),$K$2:$K$1001,0),MATCH(COLUMNS($R$1006:W1006),$R$1006:$W$1006,0)), HYPERLINK("#",""), HYPERLINK(CONCATENATE("#Metadata!", ADDRESS(INDEX($M$2:$M$1001,MATCH(ROWS($K$2:K802),$K$2:$K$1001,0),0), INDEX($R$1004:$W$1004,1,MATCH(COLUMNS($R$1006:W1006),$R$1006:$W$1006,0)))),"Fix")))</f>
        <v>0</v>
      </c>
      <c r="K802">
        <v>0</v>
      </c>
      <c r="L802">
        <v>0</v>
      </c>
      <c r="M802">
        <v>0</v>
      </c>
      <c r="N802">
        <f>IF(O802,TRUE,AND(R802:W802))</f>
        <v>0</v>
      </c>
      <c r="O802">
        <f>COUNTBLANK(Metadata!B802:G802)=COLUMNS(Metadata!B802:G802)</f>
        <v>0</v>
      </c>
      <c r="P802">
        <v>0</v>
      </c>
      <c r="R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S802">
        <f>IF(Metadata!C802="",FALSE,TRUE)</f>
        <v>0</v>
      </c>
      <c r="T802">
        <f>IF(Metadata!D802="",FALSE,TRUE)</f>
        <v>0</v>
      </c>
      <c r="U802">
        <f>IF(Metadata!E802="",FALSE,TRUE)</f>
        <v>0</v>
      </c>
      <c r="V802">
        <f>AND(IF(Metadata!F802="",FALSE,TRUE),exact(Metadata!F802,"rat gut metagenome"))</f>
        <v>0</v>
      </c>
      <c r="W802">
        <f>AND(IF(Metadata!G802="",FALSE,TRUE),exact(Metadata!G802,"1436733"))</f>
        <v>0</v>
      </c>
    </row>
    <row r="803" spans="1:23">
      <c r="A803" s="4">
        <f>IF(B803=" "," ",HYPERLINK(CONCATENATE("#metadata!",ADDRESS(INDEX($M$2:$M$1001,MATCH(ROWS($K$2:K803),$K$2:$K$1001,0),0),1)),INDEX($P$2:$P$1001,MATCH(ROWS($K$2:K803),$K$2:$K$1001,0),0)))</f>
        <v>0</v>
      </c>
      <c r="B803" s="3">
        <f>IF(OR(INDEX($L$2:$L$1001,MATCH(ROWS($K$2:K803),$K$2:$K$1001,0),1)&gt;=100000,INDEX($R$1005:$W$1005,1,MATCH(COLUMNS($R$1006:R1006),$R$1006:$W$1006,0))&gt;=100000), " ",IF(INDEX($R$2:$W$1001,MATCH(ROWS($K$2:K803),$K$2:$K$1001,0),MATCH(COLUMNS($R$1006:R1006),$R$1006:$W$1006,0)), HYPERLINK("#",""), HYPERLINK(CONCATENATE("#Metadata!", ADDRESS(INDEX($M$2:$M$1001,MATCH(ROWS($K$2:K803),$K$2:$K$1001,0),0), INDEX($R$1004:$W$1004,1,MATCH(COLUMNS($R$1006:R1006),$R$1006:$W$1006,0)))),"Fix")))</f>
        <v>0</v>
      </c>
      <c r="C803" s="3">
        <f>IF(OR(INDEX($L$2:$L$1001,MATCH(ROWS($K$2:K803),$K$2:$K$1001,0),1)&gt;=100000,INDEX($R$1005:$W$1005,1,MATCH(COLUMNS($R$1006:S1006),$R$1006:$W$1006,0))&gt;=100000), " ",IF(INDEX($R$2:$W$1001,MATCH(ROWS($K$2:K803),$K$2:$K$1001,0),MATCH(COLUMNS($R$1006:S1006),$R$1006:$W$1006,0)), HYPERLINK("#",""), HYPERLINK(CONCATENATE("#Metadata!", ADDRESS(INDEX($M$2:$M$1001,MATCH(ROWS($K$2:K803),$K$2:$K$1001,0),0), INDEX($R$1004:$W$1004,1,MATCH(COLUMNS($R$1006:S1006),$R$1006:$W$1006,0)))),"Fix")))</f>
        <v>0</v>
      </c>
      <c r="D803" s="3">
        <f>IF(OR(INDEX($L$2:$L$1001,MATCH(ROWS($K$2:K803),$K$2:$K$1001,0),1)&gt;=100000,INDEX($R$1005:$W$1005,1,MATCH(COLUMNS($R$1006:T1006),$R$1006:$W$1006,0))&gt;=100000), " ",IF(INDEX($R$2:$W$1001,MATCH(ROWS($K$2:K803),$K$2:$K$1001,0),MATCH(COLUMNS($R$1006:T1006),$R$1006:$W$1006,0)), HYPERLINK("#",""), HYPERLINK(CONCATENATE("#Metadata!", ADDRESS(INDEX($M$2:$M$1001,MATCH(ROWS($K$2:K803),$K$2:$K$1001,0),0), INDEX($R$1004:$W$1004,1,MATCH(COLUMNS($R$1006:T1006),$R$1006:$W$1006,0)))),"Fix")))</f>
        <v>0</v>
      </c>
      <c r="E803" s="3">
        <f>IF(OR(INDEX($L$2:$L$1001,MATCH(ROWS($K$2:K803),$K$2:$K$1001,0),1)&gt;=100000,INDEX($R$1005:$W$1005,1,MATCH(COLUMNS($R$1006:U1006),$R$1006:$W$1006,0))&gt;=100000), " ",IF(INDEX($R$2:$W$1001,MATCH(ROWS($K$2:K803),$K$2:$K$1001,0),MATCH(COLUMNS($R$1006:U1006),$R$1006:$W$1006,0)), HYPERLINK("#",""), HYPERLINK(CONCATENATE("#Metadata!", ADDRESS(INDEX($M$2:$M$1001,MATCH(ROWS($K$2:K803),$K$2:$K$1001,0),0), INDEX($R$1004:$W$1004,1,MATCH(COLUMNS($R$1006:U1006),$R$1006:$W$1006,0)))),"Fix")))</f>
        <v>0</v>
      </c>
      <c r="F803" s="3">
        <f>IF(OR(INDEX($L$2:$L$1001,MATCH(ROWS($K$2:K803),$K$2:$K$1001,0),1)&gt;=100000,INDEX($R$1005:$W$1005,1,MATCH(COLUMNS($R$1006:V1006),$R$1006:$W$1006,0))&gt;=100000), " ",IF(INDEX($R$2:$W$1001,MATCH(ROWS($K$2:K803),$K$2:$K$1001,0),MATCH(COLUMNS($R$1006:V1006),$R$1006:$W$1006,0)), HYPERLINK("#",""), HYPERLINK(CONCATENATE("#Metadata!", ADDRESS(INDEX($M$2:$M$1001,MATCH(ROWS($K$2:K803),$K$2:$K$1001,0),0), INDEX($R$1004:$W$1004,1,MATCH(COLUMNS($R$1006:V1006),$R$1006:$W$1006,0)))),"Fix")))</f>
        <v>0</v>
      </c>
      <c r="G803" s="3">
        <f>IF(OR(INDEX($L$2:$L$1001,MATCH(ROWS($K$2:K803),$K$2:$K$1001,0),1)&gt;=100000,INDEX($R$1005:$W$1005,1,MATCH(COLUMNS($R$1006:W1006),$R$1006:$W$1006,0))&gt;=100000), " ",IF(INDEX($R$2:$W$1001,MATCH(ROWS($K$2:K803),$K$2:$K$1001,0),MATCH(COLUMNS($R$1006:W1006),$R$1006:$W$1006,0)), HYPERLINK("#",""), HYPERLINK(CONCATENATE("#Metadata!", ADDRESS(INDEX($M$2:$M$1001,MATCH(ROWS($K$2:K803),$K$2:$K$1001,0),0), INDEX($R$1004:$W$1004,1,MATCH(COLUMNS($R$1006:W1006),$R$1006:$W$1006,0)))),"Fix")))</f>
        <v>0</v>
      </c>
      <c r="K803">
        <v>0</v>
      </c>
      <c r="L803">
        <v>0</v>
      </c>
      <c r="M803">
        <v>0</v>
      </c>
      <c r="N803">
        <f>IF(O803,TRUE,AND(R803:W803))</f>
        <v>0</v>
      </c>
      <c r="O803">
        <f>COUNTBLANK(Metadata!B803:G803)=COLUMNS(Metadata!B803:G803)</f>
        <v>0</v>
      </c>
      <c r="P803">
        <v>0</v>
      </c>
      <c r="R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S803">
        <f>IF(Metadata!C803="",FALSE,TRUE)</f>
        <v>0</v>
      </c>
      <c r="T803">
        <f>IF(Metadata!D803="",FALSE,TRUE)</f>
        <v>0</v>
      </c>
      <c r="U803">
        <f>IF(Metadata!E803="",FALSE,TRUE)</f>
        <v>0</v>
      </c>
      <c r="V803">
        <f>AND(IF(Metadata!F803="",FALSE,TRUE),exact(Metadata!F803,"rat gut metagenome"))</f>
        <v>0</v>
      </c>
      <c r="W803">
        <f>AND(IF(Metadata!G803="",FALSE,TRUE),exact(Metadata!G803,"1436733"))</f>
        <v>0</v>
      </c>
    </row>
    <row r="804" spans="1:23">
      <c r="A804" s="4">
        <f>IF(B804=" "," ",HYPERLINK(CONCATENATE("#metadata!",ADDRESS(INDEX($M$2:$M$1001,MATCH(ROWS($K$2:K804),$K$2:$K$1001,0),0),1)),INDEX($P$2:$P$1001,MATCH(ROWS($K$2:K804),$K$2:$K$1001,0),0)))</f>
        <v>0</v>
      </c>
      <c r="B804" s="3">
        <f>IF(OR(INDEX($L$2:$L$1001,MATCH(ROWS($K$2:K804),$K$2:$K$1001,0),1)&gt;=100000,INDEX($R$1005:$W$1005,1,MATCH(COLUMNS($R$1006:R1006),$R$1006:$W$1006,0))&gt;=100000), " ",IF(INDEX($R$2:$W$1001,MATCH(ROWS($K$2:K804),$K$2:$K$1001,0),MATCH(COLUMNS($R$1006:R1006),$R$1006:$W$1006,0)), HYPERLINK("#",""), HYPERLINK(CONCATENATE("#Metadata!", ADDRESS(INDEX($M$2:$M$1001,MATCH(ROWS($K$2:K804),$K$2:$K$1001,0),0), INDEX($R$1004:$W$1004,1,MATCH(COLUMNS($R$1006:R1006),$R$1006:$W$1006,0)))),"Fix")))</f>
        <v>0</v>
      </c>
      <c r="C804" s="3">
        <f>IF(OR(INDEX($L$2:$L$1001,MATCH(ROWS($K$2:K804),$K$2:$K$1001,0),1)&gt;=100000,INDEX($R$1005:$W$1005,1,MATCH(COLUMNS($R$1006:S1006),$R$1006:$W$1006,0))&gt;=100000), " ",IF(INDEX($R$2:$W$1001,MATCH(ROWS($K$2:K804),$K$2:$K$1001,0),MATCH(COLUMNS($R$1006:S1006),$R$1006:$W$1006,0)), HYPERLINK("#",""), HYPERLINK(CONCATENATE("#Metadata!", ADDRESS(INDEX($M$2:$M$1001,MATCH(ROWS($K$2:K804),$K$2:$K$1001,0),0), INDEX($R$1004:$W$1004,1,MATCH(COLUMNS($R$1006:S1006),$R$1006:$W$1006,0)))),"Fix")))</f>
        <v>0</v>
      </c>
      <c r="D804" s="3">
        <f>IF(OR(INDEX($L$2:$L$1001,MATCH(ROWS($K$2:K804),$K$2:$K$1001,0),1)&gt;=100000,INDEX($R$1005:$W$1005,1,MATCH(COLUMNS($R$1006:T1006),$R$1006:$W$1006,0))&gt;=100000), " ",IF(INDEX($R$2:$W$1001,MATCH(ROWS($K$2:K804),$K$2:$K$1001,0),MATCH(COLUMNS($R$1006:T1006),$R$1006:$W$1006,0)), HYPERLINK("#",""), HYPERLINK(CONCATENATE("#Metadata!", ADDRESS(INDEX($M$2:$M$1001,MATCH(ROWS($K$2:K804),$K$2:$K$1001,0),0), INDEX($R$1004:$W$1004,1,MATCH(COLUMNS($R$1006:T1006),$R$1006:$W$1006,0)))),"Fix")))</f>
        <v>0</v>
      </c>
      <c r="E804" s="3">
        <f>IF(OR(INDEX($L$2:$L$1001,MATCH(ROWS($K$2:K804),$K$2:$K$1001,0),1)&gt;=100000,INDEX($R$1005:$W$1005,1,MATCH(COLUMNS($R$1006:U1006),$R$1006:$W$1006,0))&gt;=100000), " ",IF(INDEX($R$2:$W$1001,MATCH(ROWS($K$2:K804),$K$2:$K$1001,0),MATCH(COLUMNS($R$1006:U1006),$R$1006:$W$1006,0)), HYPERLINK("#",""), HYPERLINK(CONCATENATE("#Metadata!", ADDRESS(INDEX($M$2:$M$1001,MATCH(ROWS($K$2:K804),$K$2:$K$1001,0),0), INDEX($R$1004:$W$1004,1,MATCH(COLUMNS($R$1006:U1006),$R$1006:$W$1006,0)))),"Fix")))</f>
        <v>0</v>
      </c>
      <c r="F804" s="3">
        <f>IF(OR(INDEX($L$2:$L$1001,MATCH(ROWS($K$2:K804),$K$2:$K$1001,0),1)&gt;=100000,INDEX($R$1005:$W$1005,1,MATCH(COLUMNS($R$1006:V1006),$R$1006:$W$1006,0))&gt;=100000), " ",IF(INDEX($R$2:$W$1001,MATCH(ROWS($K$2:K804),$K$2:$K$1001,0),MATCH(COLUMNS($R$1006:V1006),$R$1006:$W$1006,0)), HYPERLINK("#",""), HYPERLINK(CONCATENATE("#Metadata!", ADDRESS(INDEX($M$2:$M$1001,MATCH(ROWS($K$2:K804),$K$2:$K$1001,0),0), INDEX($R$1004:$W$1004,1,MATCH(COLUMNS($R$1006:V1006),$R$1006:$W$1006,0)))),"Fix")))</f>
        <v>0</v>
      </c>
      <c r="G804" s="3">
        <f>IF(OR(INDEX($L$2:$L$1001,MATCH(ROWS($K$2:K804),$K$2:$K$1001,0),1)&gt;=100000,INDEX($R$1005:$W$1005,1,MATCH(COLUMNS($R$1006:W1006),$R$1006:$W$1006,0))&gt;=100000), " ",IF(INDEX($R$2:$W$1001,MATCH(ROWS($K$2:K804),$K$2:$K$1001,0),MATCH(COLUMNS($R$1006:W1006),$R$1006:$W$1006,0)), HYPERLINK("#",""), HYPERLINK(CONCATENATE("#Metadata!", ADDRESS(INDEX($M$2:$M$1001,MATCH(ROWS($K$2:K804),$K$2:$K$1001,0),0), INDEX($R$1004:$W$1004,1,MATCH(COLUMNS($R$1006:W1006),$R$1006:$W$1006,0)))),"Fix")))</f>
        <v>0</v>
      </c>
      <c r="K804">
        <v>0</v>
      </c>
      <c r="L804">
        <v>0</v>
      </c>
      <c r="M804">
        <v>0</v>
      </c>
      <c r="N804">
        <f>IF(O804,TRUE,AND(R804:W804))</f>
        <v>0</v>
      </c>
      <c r="O804">
        <f>COUNTBLANK(Metadata!B804:G804)=COLUMNS(Metadata!B804:G804)</f>
        <v>0</v>
      </c>
      <c r="P804">
        <v>0</v>
      </c>
      <c r="R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S804">
        <f>IF(Metadata!C804="",FALSE,TRUE)</f>
        <v>0</v>
      </c>
      <c r="T804">
        <f>IF(Metadata!D804="",FALSE,TRUE)</f>
        <v>0</v>
      </c>
      <c r="U804">
        <f>IF(Metadata!E804="",FALSE,TRUE)</f>
        <v>0</v>
      </c>
      <c r="V804">
        <f>AND(IF(Metadata!F804="",FALSE,TRUE),exact(Metadata!F804,"rat gut metagenome"))</f>
        <v>0</v>
      </c>
      <c r="W804">
        <f>AND(IF(Metadata!G804="",FALSE,TRUE),exact(Metadata!G804,"1436733"))</f>
        <v>0</v>
      </c>
    </row>
    <row r="805" spans="1:23">
      <c r="A805" s="4">
        <f>IF(B805=" "," ",HYPERLINK(CONCATENATE("#metadata!",ADDRESS(INDEX($M$2:$M$1001,MATCH(ROWS($K$2:K805),$K$2:$K$1001,0),0),1)),INDEX($P$2:$P$1001,MATCH(ROWS($K$2:K805),$K$2:$K$1001,0),0)))</f>
        <v>0</v>
      </c>
      <c r="B805" s="3">
        <f>IF(OR(INDEX($L$2:$L$1001,MATCH(ROWS($K$2:K805),$K$2:$K$1001,0),1)&gt;=100000,INDEX($R$1005:$W$1005,1,MATCH(COLUMNS($R$1006:R1006),$R$1006:$W$1006,0))&gt;=100000), " ",IF(INDEX($R$2:$W$1001,MATCH(ROWS($K$2:K805),$K$2:$K$1001,0),MATCH(COLUMNS($R$1006:R1006),$R$1006:$W$1006,0)), HYPERLINK("#",""), HYPERLINK(CONCATENATE("#Metadata!", ADDRESS(INDEX($M$2:$M$1001,MATCH(ROWS($K$2:K805),$K$2:$K$1001,0),0), INDEX($R$1004:$W$1004,1,MATCH(COLUMNS($R$1006:R1006),$R$1006:$W$1006,0)))),"Fix")))</f>
        <v>0</v>
      </c>
      <c r="C805" s="3">
        <f>IF(OR(INDEX($L$2:$L$1001,MATCH(ROWS($K$2:K805),$K$2:$K$1001,0),1)&gt;=100000,INDEX($R$1005:$W$1005,1,MATCH(COLUMNS($R$1006:S1006),$R$1006:$W$1006,0))&gt;=100000), " ",IF(INDEX($R$2:$W$1001,MATCH(ROWS($K$2:K805),$K$2:$K$1001,0),MATCH(COLUMNS($R$1006:S1006),$R$1006:$W$1006,0)), HYPERLINK("#",""), HYPERLINK(CONCATENATE("#Metadata!", ADDRESS(INDEX($M$2:$M$1001,MATCH(ROWS($K$2:K805),$K$2:$K$1001,0),0), INDEX($R$1004:$W$1004,1,MATCH(COLUMNS($R$1006:S1006),$R$1006:$W$1006,0)))),"Fix")))</f>
        <v>0</v>
      </c>
      <c r="D805" s="3">
        <f>IF(OR(INDEX($L$2:$L$1001,MATCH(ROWS($K$2:K805),$K$2:$K$1001,0),1)&gt;=100000,INDEX($R$1005:$W$1005,1,MATCH(COLUMNS($R$1006:T1006),$R$1006:$W$1006,0))&gt;=100000), " ",IF(INDEX($R$2:$W$1001,MATCH(ROWS($K$2:K805),$K$2:$K$1001,0),MATCH(COLUMNS($R$1006:T1006),$R$1006:$W$1006,0)), HYPERLINK("#",""), HYPERLINK(CONCATENATE("#Metadata!", ADDRESS(INDEX($M$2:$M$1001,MATCH(ROWS($K$2:K805),$K$2:$K$1001,0),0), INDEX($R$1004:$W$1004,1,MATCH(COLUMNS($R$1006:T1006),$R$1006:$W$1006,0)))),"Fix")))</f>
        <v>0</v>
      </c>
      <c r="E805" s="3">
        <f>IF(OR(INDEX($L$2:$L$1001,MATCH(ROWS($K$2:K805),$K$2:$K$1001,0),1)&gt;=100000,INDEX($R$1005:$W$1005,1,MATCH(COLUMNS($R$1006:U1006),$R$1006:$W$1006,0))&gt;=100000), " ",IF(INDEX($R$2:$W$1001,MATCH(ROWS($K$2:K805),$K$2:$K$1001,0),MATCH(COLUMNS($R$1006:U1006),$R$1006:$W$1006,0)), HYPERLINK("#",""), HYPERLINK(CONCATENATE("#Metadata!", ADDRESS(INDEX($M$2:$M$1001,MATCH(ROWS($K$2:K805),$K$2:$K$1001,0),0), INDEX($R$1004:$W$1004,1,MATCH(COLUMNS($R$1006:U1006),$R$1006:$W$1006,0)))),"Fix")))</f>
        <v>0</v>
      </c>
      <c r="F805" s="3">
        <f>IF(OR(INDEX($L$2:$L$1001,MATCH(ROWS($K$2:K805),$K$2:$K$1001,0),1)&gt;=100000,INDEX($R$1005:$W$1005,1,MATCH(COLUMNS($R$1006:V1006),$R$1006:$W$1006,0))&gt;=100000), " ",IF(INDEX($R$2:$W$1001,MATCH(ROWS($K$2:K805),$K$2:$K$1001,0),MATCH(COLUMNS($R$1006:V1006),$R$1006:$W$1006,0)), HYPERLINK("#",""), HYPERLINK(CONCATENATE("#Metadata!", ADDRESS(INDEX($M$2:$M$1001,MATCH(ROWS($K$2:K805),$K$2:$K$1001,0),0), INDEX($R$1004:$W$1004,1,MATCH(COLUMNS($R$1006:V1006),$R$1006:$W$1006,0)))),"Fix")))</f>
        <v>0</v>
      </c>
      <c r="G805" s="3">
        <f>IF(OR(INDEX($L$2:$L$1001,MATCH(ROWS($K$2:K805),$K$2:$K$1001,0),1)&gt;=100000,INDEX($R$1005:$W$1005,1,MATCH(COLUMNS($R$1006:W1006),$R$1006:$W$1006,0))&gt;=100000), " ",IF(INDEX($R$2:$W$1001,MATCH(ROWS($K$2:K805),$K$2:$K$1001,0),MATCH(COLUMNS($R$1006:W1006),$R$1006:$W$1006,0)), HYPERLINK("#",""), HYPERLINK(CONCATENATE("#Metadata!", ADDRESS(INDEX($M$2:$M$1001,MATCH(ROWS($K$2:K805),$K$2:$K$1001,0),0), INDEX($R$1004:$W$1004,1,MATCH(COLUMNS($R$1006:W1006),$R$1006:$W$1006,0)))),"Fix")))</f>
        <v>0</v>
      </c>
      <c r="K805">
        <v>0</v>
      </c>
      <c r="L805">
        <v>0</v>
      </c>
      <c r="M805">
        <v>0</v>
      </c>
      <c r="N805">
        <f>IF(O805,TRUE,AND(R805:W805))</f>
        <v>0</v>
      </c>
      <c r="O805">
        <f>COUNTBLANK(Metadata!B805:G805)=COLUMNS(Metadata!B805:G805)</f>
        <v>0</v>
      </c>
      <c r="P805">
        <v>0</v>
      </c>
      <c r="R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S805">
        <f>IF(Metadata!C805="",FALSE,TRUE)</f>
        <v>0</v>
      </c>
      <c r="T805">
        <f>IF(Metadata!D805="",FALSE,TRUE)</f>
        <v>0</v>
      </c>
      <c r="U805">
        <f>IF(Metadata!E805="",FALSE,TRUE)</f>
        <v>0</v>
      </c>
      <c r="V805">
        <f>AND(IF(Metadata!F805="",FALSE,TRUE),exact(Metadata!F805,"rat gut metagenome"))</f>
        <v>0</v>
      </c>
      <c r="W805">
        <f>AND(IF(Metadata!G805="",FALSE,TRUE),exact(Metadata!G805,"1436733"))</f>
        <v>0</v>
      </c>
    </row>
    <row r="806" spans="1:23">
      <c r="A806" s="4">
        <f>IF(B806=" "," ",HYPERLINK(CONCATENATE("#metadata!",ADDRESS(INDEX($M$2:$M$1001,MATCH(ROWS($K$2:K806),$K$2:$K$1001,0),0),1)),INDEX($P$2:$P$1001,MATCH(ROWS($K$2:K806),$K$2:$K$1001,0),0)))</f>
        <v>0</v>
      </c>
      <c r="B806" s="3">
        <f>IF(OR(INDEX($L$2:$L$1001,MATCH(ROWS($K$2:K806),$K$2:$K$1001,0),1)&gt;=100000,INDEX($R$1005:$W$1005,1,MATCH(COLUMNS($R$1006:R1006),$R$1006:$W$1006,0))&gt;=100000), " ",IF(INDEX($R$2:$W$1001,MATCH(ROWS($K$2:K806),$K$2:$K$1001,0),MATCH(COLUMNS($R$1006:R1006),$R$1006:$W$1006,0)), HYPERLINK("#",""), HYPERLINK(CONCATENATE("#Metadata!", ADDRESS(INDEX($M$2:$M$1001,MATCH(ROWS($K$2:K806),$K$2:$K$1001,0),0), INDEX($R$1004:$W$1004,1,MATCH(COLUMNS($R$1006:R1006),$R$1006:$W$1006,0)))),"Fix")))</f>
        <v>0</v>
      </c>
      <c r="C806" s="3">
        <f>IF(OR(INDEX($L$2:$L$1001,MATCH(ROWS($K$2:K806),$K$2:$K$1001,0),1)&gt;=100000,INDEX($R$1005:$W$1005,1,MATCH(COLUMNS($R$1006:S1006),$R$1006:$W$1006,0))&gt;=100000), " ",IF(INDEX($R$2:$W$1001,MATCH(ROWS($K$2:K806),$K$2:$K$1001,0),MATCH(COLUMNS($R$1006:S1006),$R$1006:$W$1006,0)), HYPERLINK("#",""), HYPERLINK(CONCATENATE("#Metadata!", ADDRESS(INDEX($M$2:$M$1001,MATCH(ROWS($K$2:K806),$K$2:$K$1001,0),0), INDEX($R$1004:$W$1004,1,MATCH(COLUMNS($R$1006:S1006),$R$1006:$W$1006,0)))),"Fix")))</f>
        <v>0</v>
      </c>
      <c r="D806" s="3">
        <f>IF(OR(INDEX($L$2:$L$1001,MATCH(ROWS($K$2:K806),$K$2:$K$1001,0),1)&gt;=100000,INDEX($R$1005:$W$1005,1,MATCH(COLUMNS($R$1006:T1006),$R$1006:$W$1006,0))&gt;=100000), " ",IF(INDEX($R$2:$W$1001,MATCH(ROWS($K$2:K806),$K$2:$K$1001,0),MATCH(COLUMNS($R$1006:T1006),$R$1006:$W$1006,0)), HYPERLINK("#",""), HYPERLINK(CONCATENATE("#Metadata!", ADDRESS(INDEX($M$2:$M$1001,MATCH(ROWS($K$2:K806),$K$2:$K$1001,0),0), INDEX($R$1004:$W$1004,1,MATCH(COLUMNS($R$1006:T1006),$R$1006:$W$1006,0)))),"Fix")))</f>
        <v>0</v>
      </c>
      <c r="E806" s="3">
        <f>IF(OR(INDEX($L$2:$L$1001,MATCH(ROWS($K$2:K806),$K$2:$K$1001,0),1)&gt;=100000,INDEX($R$1005:$W$1005,1,MATCH(COLUMNS($R$1006:U1006),$R$1006:$W$1006,0))&gt;=100000), " ",IF(INDEX($R$2:$W$1001,MATCH(ROWS($K$2:K806),$K$2:$K$1001,0),MATCH(COLUMNS($R$1006:U1006),$R$1006:$W$1006,0)), HYPERLINK("#",""), HYPERLINK(CONCATENATE("#Metadata!", ADDRESS(INDEX($M$2:$M$1001,MATCH(ROWS($K$2:K806),$K$2:$K$1001,0),0), INDEX($R$1004:$W$1004,1,MATCH(COLUMNS($R$1006:U1006),$R$1006:$W$1006,0)))),"Fix")))</f>
        <v>0</v>
      </c>
      <c r="F806" s="3">
        <f>IF(OR(INDEX($L$2:$L$1001,MATCH(ROWS($K$2:K806),$K$2:$K$1001,0),1)&gt;=100000,INDEX($R$1005:$W$1005,1,MATCH(COLUMNS($R$1006:V1006),$R$1006:$W$1006,0))&gt;=100000), " ",IF(INDEX($R$2:$W$1001,MATCH(ROWS($K$2:K806),$K$2:$K$1001,0),MATCH(COLUMNS($R$1006:V1006),$R$1006:$W$1006,0)), HYPERLINK("#",""), HYPERLINK(CONCATENATE("#Metadata!", ADDRESS(INDEX($M$2:$M$1001,MATCH(ROWS($K$2:K806),$K$2:$K$1001,0),0), INDEX($R$1004:$W$1004,1,MATCH(COLUMNS($R$1006:V1006),$R$1006:$W$1006,0)))),"Fix")))</f>
        <v>0</v>
      </c>
      <c r="G806" s="3">
        <f>IF(OR(INDEX($L$2:$L$1001,MATCH(ROWS($K$2:K806),$K$2:$K$1001,0),1)&gt;=100000,INDEX($R$1005:$W$1005,1,MATCH(COLUMNS($R$1006:W1006),$R$1006:$W$1006,0))&gt;=100000), " ",IF(INDEX($R$2:$W$1001,MATCH(ROWS($K$2:K806),$K$2:$K$1001,0),MATCH(COLUMNS($R$1006:W1006),$R$1006:$W$1006,0)), HYPERLINK("#",""), HYPERLINK(CONCATENATE("#Metadata!", ADDRESS(INDEX($M$2:$M$1001,MATCH(ROWS($K$2:K806),$K$2:$K$1001,0),0), INDEX($R$1004:$W$1004,1,MATCH(COLUMNS($R$1006:W1006),$R$1006:$W$1006,0)))),"Fix")))</f>
        <v>0</v>
      </c>
      <c r="K806">
        <v>0</v>
      </c>
      <c r="L806">
        <v>0</v>
      </c>
      <c r="M806">
        <v>0</v>
      </c>
      <c r="N806">
        <f>IF(O806,TRUE,AND(R806:W806))</f>
        <v>0</v>
      </c>
      <c r="O806">
        <f>COUNTBLANK(Metadata!B806:G806)=COLUMNS(Metadata!B806:G806)</f>
        <v>0</v>
      </c>
      <c r="P806">
        <v>0</v>
      </c>
      <c r="R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S806">
        <f>IF(Metadata!C806="",FALSE,TRUE)</f>
        <v>0</v>
      </c>
      <c r="T806">
        <f>IF(Metadata!D806="",FALSE,TRUE)</f>
        <v>0</v>
      </c>
      <c r="U806">
        <f>IF(Metadata!E806="",FALSE,TRUE)</f>
        <v>0</v>
      </c>
      <c r="V806">
        <f>AND(IF(Metadata!F806="",FALSE,TRUE),exact(Metadata!F806,"rat gut metagenome"))</f>
        <v>0</v>
      </c>
      <c r="W806">
        <f>AND(IF(Metadata!G806="",FALSE,TRUE),exact(Metadata!G806,"1436733"))</f>
        <v>0</v>
      </c>
    </row>
    <row r="807" spans="1:23">
      <c r="A807" s="4">
        <f>IF(B807=" "," ",HYPERLINK(CONCATENATE("#metadata!",ADDRESS(INDEX($M$2:$M$1001,MATCH(ROWS($K$2:K807),$K$2:$K$1001,0),0),1)),INDEX($P$2:$P$1001,MATCH(ROWS($K$2:K807),$K$2:$K$1001,0),0)))</f>
        <v>0</v>
      </c>
      <c r="B807" s="3">
        <f>IF(OR(INDEX($L$2:$L$1001,MATCH(ROWS($K$2:K807),$K$2:$K$1001,0),1)&gt;=100000,INDEX($R$1005:$W$1005,1,MATCH(COLUMNS($R$1006:R1006),$R$1006:$W$1006,0))&gt;=100000), " ",IF(INDEX($R$2:$W$1001,MATCH(ROWS($K$2:K807),$K$2:$K$1001,0),MATCH(COLUMNS($R$1006:R1006),$R$1006:$W$1006,0)), HYPERLINK("#",""), HYPERLINK(CONCATENATE("#Metadata!", ADDRESS(INDEX($M$2:$M$1001,MATCH(ROWS($K$2:K807),$K$2:$K$1001,0),0), INDEX($R$1004:$W$1004,1,MATCH(COLUMNS($R$1006:R1006),$R$1006:$W$1006,0)))),"Fix")))</f>
        <v>0</v>
      </c>
      <c r="C807" s="3">
        <f>IF(OR(INDEX($L$2:$L$1001,MATCH(ROWS($K$2:K807),$K$2:$K$1001,0),1)&gt;=100000,INDEX($R$1005:$W$1005,1,MATCH(COLUMNS($R$1006:S1006),$R$1006:$W$1006,0))&gt;=100000), " ",IF(INDEX($R$2:$W$1001,MATCH(ROWS($K$2:K807),$K$2:$K$1001,0),MATCH(COLUMNS($R$1006:S1006),$R$1006:$W$1006,0)), HYPERLINK("#",""), HYPERLINK(CONCATENATE("#Metadata!", ADDRESS(INDEX($M$2:$M$1001,MATCH(ROWS($K$2:K807),$K$2:$K$1001,0),0), INDEX($R$1004:$W$1004,1,MATCH(COLUMNS($R$1006:S1006),$R$1006:$W$1006,0)))),"Fix")))</f>
        <v>0</v>
      </c>
      <c r="D807" s="3">
        <f>IF(OR(INDEX($L$2:$L$1001,MATCH(ROWS($K$2:K807),$K$2:$K$1001,0),1)&gt;=100000,INDEX($R$1005:$W$1005,1,MATCH(COLUMNS($R$1006:T1006),$R$1006:$W$1006,0))&gt;=100000), " ",IF(INDEX($R$2:$W$1001,MATCH(ROWS($K$2:K807),$K$2:$K$1001,0),MATCH(COLUMNS($R$1006:T1006),$R$1006:$W$1006,0)), HYPERLINK("#",""), HYPERLINK(CONCATENATE("#Metadata!", ADDRESS(INDEX($M$2:$M$1001,MATCH(ROWS($K$2:K807),$K$2:$K$1001,0),0), INDEX($R$1004:$W$1004,1,MATCH(COLUMNS($R$1006:T1006),$R$1006:$W$1006,0)))),"Fix")))</f>
        <v>0</v>
      </c>
      <c r="E807" s="3">
        <f>IF(OR(INDEX($L$2:$L$1001,MATCH(ROWS($K$2:K807),$K$2:$K$1001,0),1)&gt;=100000,INDEX($R$1005:$W$1005,1,MATCH(COLUMNS($R$1006:U1006),$R$1006:$W$1006,0))&gt;=100000), " ",IF(INDEX($R$2:$W$1001,MATCH(ROWS($K$2:K807),$K$2:$K$1001,0),MATCH(COLUMNS($R$1006:U1006),$R$1006:$W$1006,0)), HYPERLINK("#",""), HYPERLINK(CONCATENATE("#Metadata!", ADDRESS(INDEX($M$2:$M$1001,MATCH(ROWS($K$2:K807),$K$2:$K$1001,0),0), INDEX($R$1004:$W$1004,1,MATCH(COLUMNS($R$1006:U1006),$R$1006:$W$1006,0)))),"Fix")))</f>
        <v>0</v>
      </c>
      <c r="F807" s="3">
        <f>IF(OR(INDEX($L$2:$L$1001,MATCH(ROWS($K$2:K807),$K$2:$K$1001,0),1)&gt;=100000,INDEX($R$1005:$W$1005,1,MATCH(COLUMNS($R$1006:V1006),$R$1006:$W$1006,0))&gt;=100000), " ",IF(INDEX($R$2:$W$1001,MATCH(ROWS($K$2:K807),$K$2:$K$1001,0),MATCH(COLUMNS($R$1006:V1006),$R$1006:$W$1006,0)), HYPERLINK("#",""), HYPERLINK(CONCATENATE("#Metadata!", ADDRESS(INDEX($M$2:$M$1001,MATCH(ROWS($K$2:K807),$K$2:$K$1001,0),0), INDEX($R$1004:$W$1004,1,MATCH(COLUMNS($R$1006:V1006),$R$1006:$W$1006,0)))),"Fix")))</f>
        <v>0</v>
      </c>
      <c r="G807" s="3">
        <f>IF(OR(INDEX($L$2:$L$1001,MATCH(ROWS($K$2:K807),$K$2:$K$1001,0),1)&gt;=100000,INDEX($R$1005:$W$1005,1,MATCH(COLUMNS($R$1006:W1006),$R$1006:$W$1006,0))&gt;=100000), " ",IF(INDEX($R$2:$W$1001,MATCH(ROWS($K$2:K807),$K$2:$K$1001,0),MATCH(COLUMNS($R$1006:W1006),$R$1006:$W$1006,0)), HYPERLINK("#",""), HYPERLINK(CONCATENATE("#Metadata!", ADDRESS(INDEX($M$2:$M$1001,MATCH(ROWS($K$2:K807),$K$2:$K$1001,0),0), INDEX($R$1004:$W$1004,1,MATCH(COLUMNS($R$1006:W1006),$R$1006:$W$1006,0)))),"Fix")))</f>
        <v>0</v>
      </c>
      <c r="K807">
        <v>0</v>
      </c>
      <c r="L807">
        <v>0</v>
      </c>
      <c r="M807">
        <v>0</v>
      </c>
      <c r="N807">
        <f>IF(O807,TRUE,AND(R807:W807))</f>
        <v>0</v>
      </c>
      <c r="O807">
        <f>COUNTBLANK(Metadata!B807:G807)=COLUMNS(Metadata!B807:G807)</f>
        <v>0</v>
      </c>
      <c r="P807">
        <v>0</v>
      </c>
      <c r="R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S807">
        <f>IF(Metadata!C807="",FALSE,TRUE)</f>
        <v>0</v>
      </c>
      <c r="T807">
        <f>IF(Metadata!D807="",FALSE,TRUE)</f>
        <v>0</v>
      </c>
      <c r="U807">
        <f>IF(Metadata!E807="",FALSE,TRUE)</f>
        <v>0</v>
      </c>
      <c r="V807">
        <f>AND(IF(Metadata!F807="",FALSE,TRUE),exact(Metadata!F807,"rat gut metagenome"))</f>
        <v>0</v>
      </c>
      <c r="W807">
        <f>AND(IF(Metadata!G807="",FALSE,TRUE),exact(Metadata!G807,"1436733"))</f>
        <v>0</v>
      </c>
    </row>
    <row r="808" spans="1:23">
      <c r="A808" s="4">
        <f>IF(B808=" "," ",HYPERLINK(CONCATENATE("#metadata!",ADDRESS(INDEX($M$2:$M$1001,MATCH(ROWS($K$2:K808),$K$2:$K$1001,0),0),1)),INDEX($P$2:$P$1001,MATCH(ROWS($K$2:K808),$K$2:$K$1001,0),0)))</f>
        <v>0</v>
      </c>
      <c r="B808" s="3">
        <f>IF(OR(INDEX($L$2:$L$1001,MATCH(ROWS($K$2:K808),$K$2:$K$1001,0),1)&gt;=100000,INDEX($R$1005:$W$1005,1,MATCH(COLUMNS($R$1006:R1006),$R$1006:$W$1006,0))&gt;=100000), " ",IF(INDEX($R$2:$W$1001,MATCH(ROWS($K$2:K808),$K$2:$K$1001,0),MATCH(COLUMNS($R$1006:R1006),$R$1006:$W$1006,0)), HYPERLINK("#",""), HYPERLINK(CONCATENATE("#Metadata!", ADDRESS(INDEX($M$2:$M$1001,MATCH(ROWS($K$2:K808),$K$2:$K$1001,0),0), INDEX($R$1004:$W$1004,1,MATCH(COLUMNS($R$1006:R1006),$R$1006:$W$1006,0)))),"Fix")))</f>
        <v>0</v>
      </c>
      <c r="C808" s="3">
        <f>IF(OR(INDEX($L$2:$L$1001,MATCH(ROWS($K$2:K808),$K$2:$K$1001,0),1)&gt;=100000,INDEX($R$1005:$W$1005,1,MATCH(COLUMNS($R$1006:S1006),$R$1006:$W$1006,0))&gt;=100000), " ",IF(INDEX($R$2:$W$1001,MATCH(ROWS($K$2:K808),$K$2:$K$1001,0),MATCH(COLUMNS($R$1006:S1006),$R$1006:$W$1006,0)), HYPERLINK("#",""), HYPERLINK(CONCATENATE("#Metadata!", ADDRESS(INDEX($M$2:$M$1001,MATCH(ROWS($K$2:K808),$K$2:$K$1001,0),0), INDEX($R$1004:$W$1004,1,MATCH(COLUMNS($R$1006:S1006),$R$1006:$W$1006,0)))),"Fix")))</f>
        <v>0</v>
      </c>
      <c r="D808" s="3">
        <f>IF(OR(INDEX($L$2:$L$1001,MATCH(ROWS($K$2:K808),$K$2:$K$1001,0),1)&gt;=100000,INDEX($R$1005:$W$1005,1,MATCH(COLUMNS($R$1006:T1006),$R$1006:$W$1006,0))&gt;=100000), " ",IF(INDEX($R$2:$W$1001,MATCH(ROWS($K$2:K808),$K$2:$K$1001,0),MATCH(COLUMNS($R$1006:T1006),$R$1006:$W$1006,0)), HYPERLINK("#",""), HYPERLINK(CONCATENATE("#Metadata!", ADDRESS(INDEX($M$2:$M$1001,MATCH(ROWS($K$2:K808),$K$2:$K$1001,0),0), INDEX($R$1004:$W$1004,1,MATCH(COLUMNS($R$1006:T1006),$R$1006:$W$1006,0)))),"Fix")))</f>
        <v>0</v>
      </c>
      <c r="E808" s="3">
        <f>IF(OR(INDEX($L$2:$L$1001,MATCH(ROWS($K$2:K808),$K$2:$K$1001,0),1)&gt;=100000,INDEX($R$1005:$W$1005,1,MATCH(COLUMNS($R$1006:U1006),$R$1006:$W$1006,0))&gt;=100000), " ",IF(INDEX($R$2:$W$1001,MATCH(ROWS($K$2:K808),$K$2:$K$1001,0),MATCH(COLUMNS($R$1006:U1006),$R$1006:$W$1006,0)), HYPERLINK("#",""), HYPERLINK(CONCATENATE("#Metadata!", ADDRESS(INDEX($M$2:$M$1001,MATCH(ROWS($K$2:K808),$K$2:$K$1001,0),0), INDEX($R$1004:$W$1004,1,MATCH(COLUMNS($R$1006:U1006),$R$1006:$W$1006,0)))),"Fix")))</f>
        <v>0</v>
      </c>
      <c r="F808" s="3">
        <f>IF(OR(INDEX($L$2:$L$1001,MATCH(ROWS($K$2:K808),$K$2:$K$1001,0),1)&gt;=100000,INDEX($R$1005:$W$1005,1,MATCH(COLUMNS($R$1006:V1006),$R$1006:$W$1006,0))&gt;=100000), " ",IF(INDEX($R$2:$W$1001,MATCH(ROWS($K$2:K808),$K$2:$K$1001,0),MATCH(COLUMNS($R$1006:V1006),$R$1006:$W$1006,0)), HYPERLINK("#",""), HYPERLINK(CONCATENATE("#Metadata!", ADDRESS(INDEX($M$2:$M$1001,MATCH(ROWS($K$2:K808),$K$2:$K$1001,0),0), INDEX($R$1004:$W$1004,1,MATCH(COLUMNS($R$1006:V1006),$R$1006:$W$1006,0)))),"Fix")))</f>
        <v>0</v>
      </c>
      <c r="G808" s="3">
        <f>IF(OR(INDEX($L$2:$L$1001,MATCH(ROWS($K$2:K808),$K$2:$K$1001,0),1)&gt;=100000,INDEX($R$1005:$W$1005,1,MATCH(COLUMNS($R$1006:W1006),$R$1006:$W$1006,0))&gt;=100000), " ",IF(INDEX($R$2:$W$1001,MATCH(ROWS($K$2:K808),$K$2:$K$1001,0),MATCH(COLUMNS($R$1006:W1006),$R$1006:$W$1006,0)), HYPERLINK("#",""), HYPERLINK(CONCATENATE("#Metadata!", ADDRESS(INDEX($M$2:$M$1001,MATCH(ROWS($K$2:K808),$K$2:$K$1001,0),0), INDEX($R$1004:$W$1004,1,MATCH(COLUMNS($R$1006:W1006),$R$1006:$W$1006,0)))),"Fix")))</f>
        <v>0</v>
      </c>
      <c r="K808">
        <v>0</v>
      </c>
      <c r="L808">
        <v>0</v>
      </c>
      <c r="M808">
        <v>0</v>
      </c>
      <c r="N808">
        <f>IF(O808,TRUE,AND(R808:W808))</f>
        <v>0</v>
      </c>
      <c r="O808">
        <f>COUNTBLANK(Metadata!B808:G808)=COLUMNS(Metadata!B808:G808)</f>
        <v>0</v>
      </c>
      <c r="P808">
        <v>0</v>
      </c>
      <c r="R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S808">
        <f>IF(Metadata!C808="",FALSE,TRUE)</f>
        <v>0</v>
      </c>
      <c r="T808">
        <f>IF(Metadata!D808="",FALSE,TRUE)</f>
        <v>0</v>
      </c>
      <c r="U808">
        <f>IF(Metadata!E808="",FALSE,TRUE)</f>
        <v>0</v>
      </c>
      <c r="V808">
        <f>AND(IF(Metadata!F808="",FALSE,TRUE),exact(Metadata!F808,"rat gut metagenome"))</f>
        <v>0</v>
      </c>
      <c r="W808">
        <f>AND(IF(Metadata!G808="",FALSE,TRUE),exact(Metadata!G808,"1436733"))</f>
        <v>0</v>
      </c>
    </row>
    <row r="809" spans="1:23">
      <c r="A809" s="4">
        <f>IF(B809=" "," ",HYPERLINK(CONCATENATE("#metadata!",ADDRESS(INDEX($M$2:$M$1001,MATCH(ROWS($K$2:K809),$K$2:$K$1001,0),0),1)),INDEX($P$2:$P$1001,MATCH(ROWS($K$2:K809),$K$2:$K$1001,0),0)))</f>
        <v>0</v>
      </c>
      <c r="B809" s="3">
        <f>IF(OR(INDEX($L$2:$L$1001,MATCH(ROWS($K$2:K809),$K$2:$K$1001,0),1)&gt;=100000,INDEX($R$1005:$W$1005,1,MATCH(COLUMNS($R$1006:R1006),$R$1006:$W$1006,0))&gt;=100000), " ",IF(INDEX($R$2:$W$1001,MATCH(ROWS($K$2:K809),$K$2:$K$1001,0),MATCH(COLUMNS($R$1006:R1006),$R$1006:$W$1006,0)), HYPERLINK("#",""), HYPERLINK(CONCATENATE("#Metadata!", ADDRESS(INDEX($M$2:$M$1001,MATCH(ROWS($K$2:K809),$K$2:$K$1001,0),0), INDEX($R$1004:$W$1004,1,MATCH(COLUMNS($R$1006:R1006),$R$1006:$W$1006,0)))),"Fix")))</f>
        <v>0</v>
      </c>
      <c r="C809" s="3">
        <f>IF(OR(INDEX($L$2:$L$1001,MATCH(ROWS($K$2:K809),$K$2:$K$1001,0),1)&gt;=100000,INDEX($R$1005:$W$1005,1,MATCH(COLUMNS($R$1006:S1006),$R$1006:$W$1006,0))&gt;=100000), " ",IF(INDEX($R$2:$W$1001,MATCH(ROWS($K$2:K809),$K$2:$K$1001,0),MATCH(COLUMNS($R$1006:S1006),$R$1006:$W$1006,0)), HYPERLINK("#",""), HYPERLINK(CONCATENATE("#Metadata!", ADDRESS(INDEX($M$2:$M$1001,MATCH(ROWS($K$2:K809),$K$2:$K$1001,0),0), INDEX($R$1004:$W$1004,1,MATCH(COLUMNS($R$1006:S1006),$R$1006:$W$1006,0)))),"Fix")))</f>
        <v>0</v>
      </c>
      <c r="D809" s="3">
        <f>IF(OR(INDEX($L$2:$L$1001,MATCH(ROWS($K$2:K809),$K$2:$K$1001,0),1)&gt;=100000,INDEX($R$1005:$W$1005,1,MATCH(COLUMNS($R$1006:T1006),$R$1006:$W$1006,0))&gt;=100000), " ",IF(INDEX($R$2:$W$1001,MATCH(ROWS($K$2:K809),$K$2:$K$1001,0),MATCH(COLUMNS($R$1006:T1006),$R$1006:$W$1006,0)), HYPERLINK("#",""), HYPERLINK(CONCATENATE("#Metadata!", ADDRESS(INDEX($M$2:$M$1001,MATCH(ROWS($K$2:K809),$K$2:$K$1001,0),0), INDEX($R$1004:$W$1004,1,MATCH(COLUMNS($R$1006:T1006),$R$1006:$W$1006,0)))),"Fix")))</f>
        <v>0</v>
      </c>
      <c r="E809" s="3">
        <f>IF(OR(INDEX($L$2:$L$1001,MATCH(ROWS($K$2:K809),$K$2:$K$1001,0),1)&gt;=100000,INDEX($R$1005:$W$1005,1,MATCH(COLUMNS($R$1006:U1006),$R$1006:$W$1006,0))&gt;=100000), " ",IF(INDEX($R$2:$W$1001,MATCH(ROWS($K$2:K809),$K$2:$K$1001,0),MATCH(COLUMNS($R$1006:U1006),$R$1006:$W$1006,0)), HYPERLINK("#",""), HYPERLINK(CONCATENATE("#Metadata!", ADDRESS(INDEX($M$2:$M$1001,MATCH(ROWS($K$2:K809),$K$2:$K$1001,0),0), INDEX($R$1004:$W$1004,1,MATCH(COLUMNS($R$1006:U1006),$R$1006:$W$1006,0)))),"Fix")))</f>
        <v>0</v>
      </c>
      <c r="F809" s="3">
        <f>IF(OR(INDEX($L$2:$L$1001,MATCH(ROWS($K$2:K809),$K$2:$K$1001,0),1)&gt;=100000,INDEX($R$1005:$W$1005,1,MATCH(COLUMNS($R$1006:V1006),$R$1006:$W$1006,0))&gt;=100000), " ",IF(INDEX($R$2:$W$1001,MATCH(ROWS($K$2:K809),$K$2:$K$1001,0),MATCH(COLUMNS($R$1006:V1006),$R$1006:$W$1006,0)), HYPERLINK("#",""), HYPERLINK(CONCATENATE("#Metadata!", ADDRESS(INDEX($M$2:$M$1001,MATCH(ROWS($K$2:K809),$K$2:$K$1001,0),0), INDEX($R$1004:$W$1004,1,MATCH(COLUMNS($R$1006:V1006),$R$1006:$W$1006,0)))),"Fix")))</f>
        <v>0</v>
      </c>
      <c r="G809" s="3">
        <f>IF(OR(INDEX($L$2:$L$1001,MATCH(ROWS($K$2:K809),$K$2:$K$1001,0),1)&gt;=100000,INDEX($R$1005:$W$1005,1,MATCH(COLUMNS($R$1006:W1006),$R$1006:$W$1006,0))&gt;=100000), " ",IF(INDEX($R$2:$W$1001,MATCH(ROWS($K$2:K809),$K$2:$K$1001,0),MATCH(COLUMNS($R$1006:W1006),$R$1006:$W$1006,0)), HYPERLINK("#",""), HYPERLINK(CONCATENATE("#Metadata!", ADDRESS(INDEX($M$2:$M$1001,MATCH(ROWS($K$2:K809),$K$2:$K$1001,0),0), INDEX($R$1004:$W$1004,1,MATCH(COLUMNS($R$1006:W1006),$R$1006:$W$1006,0)))),"Fix")))</f>
        <v>0</v>
      </c>
      <c r="K809">
        <v>0</v>
      </c>
      <c r="L809">
        <v>0</v>
      </c>
      <c r="M809">
        <v>0</v>
      </c>
      <c r="N809">
        <f>IF(O809,TRUE,AND(R809:W809))</f>
        <v>0</v>
      </c>
      <c r="O809">
        <f>COUNTBLANK(Metadata!B809:G809)=COLUMNS(Metadata!B809:G809)</f>
        <v>0</v>
      </c>
      <c r="P809">
        <v>0</v>
      </c>
      <c r="R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S809">
        <f>IF(Metadata!C809="",FALSE,TRUE)</f>
        <v>0</v>
      </c>
      <c r="T809">
        <f>IF(Metadata!D809="",FALSE,TRUE)</f>
        <v>0</v>
      </c>
      <c r="U809">
        <f>IF(Metadata!E809="",FALSE,TRUE)</f>
        <v>0</v>
      </c>
      <c r="V809">
        <f>AND(IF(Metadata!F809="",FALSE,TRUE),exact(Metadata!F809,"rat gut metagenome"))</f>
        <v>0</v>
      </c>
      <c r="W809">
        <f>AND(IF(Metadata!G809="",FALSE,TRUE),exact(Metadata!G809,"1436733"))</f>
        <v>0</v>
      </c>
    </row>
    <row r="810" spans="1:23">
      <c r="A810" s="4">
        <f>IF(B810=" "," ",HYPERLINK(CONCATENATE("#metadata!",ADDRESS(INDEX($M$2:$M$1001,MATCH(ROWS($K$2:K810),$K$2:$K$1001,0),0),1)),INDEX($P$2:$P$1001,MATCH(ROWS($K$2:K810),$K$2:$K$1001,0),0)))</f>
        <v>0</v>
      </c>
      <c r="B810" s="3">
        <f>IF(OR(INDEX($L$2:$L$1001,MATCH(ROWS($K$2:K810),$K$2:$K$1001,0),1)&gt;=100000,INDEX($R$1005:$W$1005,1,MATCH(COLUMNS($R$1006:R1006),$R$1006:$W$1006,0))&gt;=100000), " ",IF(INDEX($R$2:$W$1001,MATCH(ROWS($K$2:K810),$K$2:$K$1001,0),MATCH(COLUMNS($R$1006:R1006),$R$1006:$W$1006,0)), HYPERLINK("#",""), HYPERLINK(CONCATENATE("#Metadata!", ADDRESS(INDEX($M$2:$M$1001,MATCH(ROWS($K$2:K810),$K$2:$K$1001,0),0), INDEX($R$1004:$W$1004,1,MATCH(COLUMNS($R$1006:R1006),$R$1006:$W$1006,0)))),"Fix")))</f>
        <v>0</v>
      </c>
      <c r="C810" s="3">
        <f>IF(OR(INDEX($L$2:$L$1001,MATCH(ROWS($K$2:K810),$K$2:$K$1001,0),1)&gt;=100000,INDEX($R$1005:$W$1005,1,MATCH(COLUMNS($R$1006:S1006),$R$1006:$W$1006,0))&gt;=100000), " ",IF(INDEX($R$2:$W$1001,MATCH(ROWS($K$2:K810),$K$2:$K$1001,0),MATCH(COLUMNS($R$1006:S1006),$R$1006:$W$1006,0)), HYPERLINK("#",""), HYPERLINK(CONCATENATE("#Metadata!", ADDRESS(INDEX($M$2:$M$1001,MATCH(ROWS($K$2:K810),$K$2:$K$1001,0),0), INDEX($R$1004:$W$1004,1,MATCH(COLUMNS($R$1006:S1006),$R$1006:$W$1006,0)))),"Fix")))</f>
        <v>0</v>
      </c>
      <c r="D810" s="3">
        <f>IF(OR(INDEX($L$2:$L$1001,MATCH(ROWS($K$2:K810),$K$2:$K$1001,0),1)&gt;=100000,INDEX($R$1005:$W$1005,1,MATCH(COLUMNS($R$1006:T1006),$R$1006:$W$1006,0))&gt;=100000), " ",IF(INDEX($R$2:$W$1001,MATCH(ROWS($K$2:K810),$K$2:$K$1001,0),MATCH(COLUMNS($R$1006:T1006),$R$1006:$W$1006,0)), HYPERLINK("#",""), HYPERLINK(CONCATENATE("#Metadata!", ADDRESS(INDEX($M$2:$M$1001,MATCH(ROWS($K$2:K810),$K$2:$K$1001,0),0), INDEX($R$1004:$W$1004,1,MATCH(COLUMNS($R$1006:T1006),$R$1006:$W$1006,0)))),"Fix")))</f>
        <v>0</v>
      </c>
      <c r="E810" s="3">
        <f>IF(OR(INDEX($L$2:$L$1001,MATCH(ROWS($K$2:K810),$K$2:$K$1001,0),1)&gt;=100000,INDEX($R$1005:$W$1005,1,MATCH(COLUMNS($R$1006:U1006),$R$1006:$W$1006,0))&gt;=100000), " ",IF(INDEX($R$2:$W$1001,MATCH(ROWS($K$2:K810),$K$2:$K$1001,0),MATCH(COLUMNS($R$1006:U1006),$R$1006:$W$1006,0)), HYPERLINK("#",""), HYPERLINK(CONCATENATE("#Metadata!", ADDRESS(INDEX($M$2:$M$1001,MATCH(ROWS($K$2:K810),$K$2:$K$1001,0),0), INDEX($R$1004:$W$1004,1,MATCH(COLUMNS($R$1006:U1006),$R$1006:$W$1006,0)))),"Fix")))</f>
        <v>0</v>
      </c>
      <c r="F810" s="3">
        <f>IF(OR(INDEX($L$2:$L$1001,MATCH(ROWS($K$2:K810),$K$2:$K$1001,0),1)&gt;=100000,INDEX($R$1005:$W$1005,1,MATCH(COLUMNS($R$1006:V1006),$R$1006:$W$1006,0))&gt;=100000), " ",IF(INDEX($R$2:$W$1001,MATCH(ROWS($K$2:K810),$K$2:$K$1001,0),MATCH(COLUMNS($R$1006:V1006),$R$1006:$W$1006,0)), HYPERLINK("#",""), HYPERLINK(CONCATENATE("#Metadata!", ADDRESS(INDEX($M$2:$M$1001,MATCH(ROWS($K$2:K810),$K$2:$K$1001,0),0), INDEX($R$1004:$W$1004,1,MATCH(COLUMNS($R$1006:V1006),$R$1006:$W$1006,0)))),"Fix")))</f>
        <v>0</v>
      </c>
      <c r="G810" s="3">
        <f>IF(OR(INDEX($L$2:$L$1001,MATCH(ROWS($K$2:K810),$K$2:$K$1001,0),1)&gt;=100000,INDEX($R$1005:$W$1005,1,MATCH(COLUMNS($R$1006:W1006),$R$1006:$W$1006,0))&gt;=100000), " ",IF(INDEX($R$2:$W$1001,MATCH(ROWS($K$2:K810),$K$2:$K$1001,0),MATCH(COLUMNS($R$1006:W1006),$R$1006:$W$1006,0)), HYPERLINK("#",""), HYPERLINK(CONCATENATE("#Metadata!", ADDRESS(INDEX($M$2:$M$1001,MATCH(ROWS($K$2:K810),$K$2:$K$1001,0),0), INDEX($R$1004:$W$1004,1,MATCH(COLUMNS($R$1006:W1006),$R$1006:$W$1006,0)))),"Fix")))</f>
        <v>0</v>
      </c>
      <c r="K810">
        <v>0</v>
      </c>
      <c r="L810">
        <v>0</v>
      </c>
      <c r="M810">
        <v>0</v>
      </c>
      <c r="N810">
        <f>IF(O810,TRUE,AND(R810:W810))</f>
        <v>0</v>
      </c>
      <c r="O810">
        <f>COUNTBLANK(Metadata!B810:G810)=COLUMNS(Metadata!B810:G810)</f>
        <v>0</v>
      </c>
      <c r="P810">
        <v>0</v>
      </c>
      <c r="R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S810">
        <f>IF(Metadata!C810="",FALSE,TRUE)</f>
        <v>0</v>
      </c>
      <c r="T810">
        <f>IF(Metadata!D810="",FALSE,TRUE)</f>
        <v>0</v>
      </c>
      <c r="U810">
        <f>IF(Metadata!E810="",FALSE,TRUE)</f>
        <v>0</v>
      </c>
      <c r="V810">
        <f>AND(IF(Metadata!F810="",FALSE,TRUE),exact(Metadata!F810,"rat gut metagenome"))</f>
        <v>0</v>
      </c>
      <c r="W810">
        <f>AND(IF(Metadata!G810="",FALSE,TRUE),exact(Metadata!G810,"1436733"))</f>
        <v>0</v>
      </c>
    </row>
    <row r="811" spans="1:23">
      <c r="A811" s="4">
        <f>IF(B811=" "," ",HYPERLINK(CONCATENATE("#metadata!",ADDRESS(INDEX($M$2:$M$1001,MATCH(ROWS($K$2:K811),$K$2:$K$1001,0),0),1)),INDEX($P$2:$P$1001,MATCH(ROWS($K$2:K811),$K$2:$K$1001,0),0)))</f>
        <v>0</v>
      </c>
      <c r="B811" s="3">
        <f>IF(OR(INDEX($L$2:$L$1001,MATCH(ROWS($K$2:K811),$K$2:$K$1001,0),1)&gt;=100000,INDEX($R$1005:$W$1005,1,MATCH(COLUMNS($R$1006:R1006),$R$1006:$W$1006,0))&gt;=100000), " ",IF(INDEX($R$2:$W$1001,MATCH(ROWS($K$2:K811),$K$2:$K$1001,0),MATCH(COLUMNS($R$1006:R1006),$R$1006:$W$1006,0)), HYPERLINK("#",""), HYPERLINK(CONCATENATE("#Metadata!", ADDRESS(INDEX($M$2:$M$1001,MATCH(ROWS($K$2:K811),$K$2:$K$1001,0),0), INDEX($R$1004:$W$1004,1,MATCH(COLUMNS($R$1006:R1006),$R$1006:$W$1006,0)))),"Fix")))</f>
        <v>0</v>
      </c>
      <c r="C811" s="3">
        <f>IF(OR(INDEX($L$2:$L$1001,MATCH(ROWS($K$2:K811),$K$2:$K$1001,0),1)&gt;=100000,INDEX($R$1005:$W$1005,1,MATCH(COLUMNS($R$1006:S1006),$R$1006:$W$1006,0))&gt;=100000), " ",IF(INDEX($R$2:$W$1001,MATCH(ROWS($K$2:K811),$K$2:$K$1001,0),MATCH(COLUMNS($R$1006:S1006),$R$1006:$W$1006,0)), HYPERLINK("#",""), HYPERLINK(CONCATENATE("#Metadata!", ADDRESS(INDEX($M$2:$M$1001,MATCH(ROWS($K$2:K811),$K$2:$K$1001,0),0), INDEX($R$1004:$W$1004,1,MATCH(COLUMNS($R$1006:S1006),$R$1006:$W$1006,0)))),"Fix")))</f>
        <v>0</v>
      </c>
      <c r="D811" s="3">
        <f>IF(OR(INDEX($L$2:$L$1001,MATCH(ROWS($K$2:K811),$K$2:$K$1001,0),1)&gt;=100000,INDEX($R$1005:$W$1005,1,MATCH(COLUMNS($R$1006:T1006),$R$1006:$W$1006,0))&gt;=100000), " ",IF(INDEX($R$2:$W$1001,MATCH(ROWS($K$2:K811),$K$2:$K$1001,0),MATCH(COLUMNS($R$1006:T1006),$R$1006:$W$1006,0)), HYPERLINK("#",""), HYPERLINK(CONCATENATE("#Metadata!", ADDRESS(INDEX($M$2:$M$1001,MATCH(ROWS($K$2:K811),$K$2:$K$1001,0),0), INDEX($R$1004:$W$1004,1,MATCH(COLUMNS($R$1006:T1006),$R$1006:$W$1006,0)))),"Fix")))</f>
        <v>0</v>
      </c>
      <c r="E811" s="3">
        <f>IF(OR(INDEX($L$2:$L$1001,MATCH(ROWS($K$2:K811),$K$2:$K$1001,0),1)&gt;=100000,INDEX($R$1005:$W$1005,1,MATCH(COLUMNS($R$1006:U1006),$R$1006:$W$1006,0))&gt;=100000), " ",IF(INDEX($R$2:$W$1001,MATCH(ROWS($K$2:K811),$K$2:$K$1001,0),MATCH(COLUMNS($R$1006:U1006),$R$1006:$W$1006,0)), HYPERLINK("#",""), HYPERLINK(CONCATENATE("#Metadata!", ADDRESS(INDEX($M$2:$M$1001,MATCH(ROWS($K$2:K811),$K$2:$K$1001,0),0), INDEX($R$1004:$W$1004,1,MATCH(COLUMNS($R$1006:U1006),$R$1006:$W$1006,0)))),"Fix")))</f>
        <v>0</v>
      </c>
      <c r="F811" s="3">
        <f>IF(OR(INDEX($L$2:$L$1001,MATCH(ROWS($K$2:K811),$K$2:$K$1001,0),1)&gt;=100000,INDEX($R$1005:$W$1005,1,MATCH(COLUMNS($R$1006:V1006),$R$1006:$W$1006,0))&gt;=100000), " ",IF(INDEX($R$2:$W$1001,MATCH(ROWS($K$2:K811),$K$2:$K$1001,0),MATCH(COLUMNS($R$1006:V1006),$R$1006:$W$1006,0)), HYPERLINK("#",""), HYPERLINK(CONCATENATE("#Metadata!", ADDRESS(INDEX($M$2:$M$1001,MATCH(ROWS($K$2:K811),$K$2:$K$1001,0),0), INDEX($R$1004:$W$1004,1,MATCH(COLUMNS($R$1006:V1006),$R$1006:$W$1006,0)))),"Fix")))</f>
        <v>0</v>
      </c>
      <c r="G811" s="3">
        <f>IF(OR(INDEX($L$2:$L$1001,MATCH(ROWS($K$2:K811),$K$2:$K$1001,0),1)&gt;=100000,INDEX($R$1005:$W$1005,1,MATCH(COLUMNS($R$1006:W1006),$R$1006:$W$1006,0))&gt;=100000), " ",IF(INDEX($R$2:$W$1001,MATCH(ROWS($K$2:K811),$K$2:$K$1001,0),MATCH(COLUMNS($R$1006:W1006),$R$1006:$W$1006,0)), HYPERLINK("#",""), HYPERLINK(CONCATENATE("#Metadata!", ADDRESS(INDEX($M$2:$M$1001,MATCH(ROWS($K$2:K811),$K$2:$K$1001,0),0), INDEX($R$1004:$W$1004,1,MATCH(COLUMNS($R$1006:W1006),$R$1006:$W$1006,0)))),"Fix")))</f>
        <v>0</v>
      </c>
      <c r="K811">
        <v>0</v>
      </c>
      <c r="L811">
        <v>0</v>
      </c>
      <c r="M811">
        <v>0</v>
      </c>
      <c r="N811">
        <f>IF(O811,TRUE,AND(R811:W811))</f>
        <v>0</v>
      </c>
      <c r="O811">
        <f>COUNTBLANK(Metadata!B811:G811)=COLUMNS(Metadata!B811:G811)</f>
        <v>0</v>
      </c>
      <c r="P811">
        <v>0</v>
      </c>
      <c r="R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S811">
        <f>IF(Metadata!C811="",FALSE,TRUE)</f>
        <v>0</v>
      </c>
      <c r="T811">
        <f>IF(Metadata!D811="",FALSE,TRUE)</f>
        <v>0</v>
      </c>
      <c r="U811">
        <f>IF(Metadata!E811="",FALSE,TRUE)</f>
        <v>0</v>
      </c>
      <c r="V811">
        <f>AND(IF(Metadata!F811="",FALSE,TRUE),exact(Metadata!F811,"rat gut metagenome"))</f>
        <v>0</v>
      </c>
      <c r="W811">
        <f>AND(IF(Metadata!G811="",FALSE,TRUE),exact(Metadata!G811,"1436733"))</f>
        <v>0</v>
      </c>
    </row>
    <row r="812" spans="1:23">
      <c r="A812" s="4">
        <f>IF(B812=" "," ",HYPERLINK(CONCATENATE("#metadata!",ADDRESS(INDEX($M$2:$M$1001,MATCH(ROWS($K$2:K812),$K$2:$K$1001,0),0),1)),INDEX($P$2:$P$1001,MATCH(ROWS($K$2:K812),$K$2:$K$1001,0),0)))</f>
        <v>0</v>
      </c>
      <c r="B812" s="3">
        <f>IF(OR(INDEX($L$2:$L$1001,MATCH(ROWS($K$2:K812),$K$2:$K$1001,0),1)&gt;=100000,INDEX($R$1005:$W$1005,1,MATCH(COLUMNS($R$1006:R1006),$R$1006:$W$1006,0))&gt;=100000), " ",IF(INDEX($R$2:$W$1001,MATCH(ROWS($K$2:K812),$K$2:$K$1001,0),MATCH(COLUMNS($R$1006:R1006),$R$1006:$W$1006,0)), HYPERLINK("#",""), HYPERLINK(CONCATENATE("#Metadata!", ADDRESS(INDEX($M$2:$M$1001,MATCH(ROWS($K$2:K812),$K$2:$K$1001,0),0), INDEX($R$1004:$W$1004,1,MATCH(COLUMNS($R$1006:R1006),$R$1006:$W$1006,0)))),"Fix")))</f>
        <v>0</v>
      </c>
      <c r="C812" s="3">
        <f>IF(OR(INDEX($L$2:$L$1001,MATCH(ROWS($K$2:K812),$K$2:$K$1001,0),1)&gt;=100000,INDEX($R$1005:$W$1005,1,MATCH(COLUMNS($R$1006:S1006),$R$1006:$W$1006,0))&gt;=100000), " ",IF(INDEX($R$2:$W$1001,MATCH(ROWS($K$2:K812),$K$2:$K$1001,0),MATCH(COLUMNS($R$1006:S1006),$R$1006:$W$1006,0)), HYPERLINK("#",""), HYPERLINK(CONCATENATE("#Metadata!", ADDRESS(INDEX($M$2:$M$1001,MATCH(ROWS($K$2:K812),$K$2:$K$1001,0),0), INDEX($R$1004:$W$1004,1,MATCH(COLUMNS($R$1006:S1006),$R$1006:$W$1006,0)))),"Fix")))</f>
        <v>0</v>
      </c>
      <c r="D812" s="3">
        <f>IF(OR(INDEX($L$2:$L$1001,MATCH(ROWS($K$2:K812),$K$2:$K$1001,0),1)&gt;=100000,INDEX($R$1005:$W$1005,1,MATCH(COLUMNS($R$1006:T1006),$R$1006:$W$1006,0))&gt;=100000), " ",IF(INDEX($R$2:$W$1001,MATCH(ROWS($K$2:K812),$K$2:$K$1001,0),MATCH(COLUMNS($R$1006:T1006),$R$1006:$W$1006,0)), HYPERLINK("#",""), HYPERLINK(CONCATENATE("#Metadata!", ADDRESS(INDEX($M$2:$M$1001,MATCH(ROWS($K$2:K812),$K$2:$K$1001,0),0), INDEX($R$1004:$W$1004,1,MATCH(COLUMNS($R$1006:T1006),$R$1006:$W$1006,0)))),"Fix")))</f>
        <v>0</v>
      </c>
      <c r="E812" s="3">
        <f>IF(OR(INDEX($L$2:$L$1001,MATCH(ROWS($K$2:K812),$K$2:$K$1001,0),1)&gt;=100000,INDEX($R$1005:$W$1005,1,MATCH(COLUMNS($R$1006:U1006),$R$1006:$W$1006,0))&gt;=100000), " ",IF(INDEX($R$2:$W$1001,MATCH(ROWS($K$2:K812),$K$2:$K$1001,0),MATCH(COLUMNS($R$1006:U1006),$R$1006:$W$1006,0)), HYPERLINK("#",""), HYPERLINK(CONCATENATE("#Metadata!", ADDRESS(INDEX($M$2:$M$1001,MATCH(ROWS($K$2:K812),$K$2:$K$1001,0),0), INDEX($R$1004:$W$1004,1,MATCH(COLUMNS($R$1006:U1006),$R$1006:$W$1006,0)))),"Fix")))</f>
        <v>0</v>
      </c>
      <c r="F812" s="3">
        <f>IF(OR(INDEX($L$2:$L$1001,MATCH(ROWS($K$2:K812),$K$2:$K$1001,0),1)&gt;=100000,INDEX($R$1005:$W$1005,1,MATCH(COLUMNS($R$1006:V1006),$R$1006:$W$1006,0))&gt;=100000), " ",IF(INDEX($R$2:$W$1001,MATCH(ROWS($K$2:K812),$K$2:$K$1001,0),MATCH(COLUMNS($R$1006:V1006),$R$1006:$W$1006,0)), HYPERLINK("#",""), HYPERLINK(CONCATENATE("#Metadata!", ADDRESS(INDEX($M$2:$M$1001,MATCH(ROWS($K$2:K812),$K$2:$K$1001,0),0), INDEX($R$1004:$W$1004,1,MATCH(COLUMNS($R$1006:V1006),$R$1006:$W$1006,0)))),"Fix")))</f>
        <v>0</v>
      </c>
      <c r="G812" s="3">
        <f>IF(OR(INDEX($L$2:$L$1001,MATCH(ROWS($K$2:K812),$K$2:$K$1001,0),1)&gt;=100000,INDEX($R$1005:$W$1005,1,MATCH(COLUMNS($R$1006:W1006),$R$1006:$W$1006,0))&gt;=100000), " ",IF(INDEX($R$2:$W$1001,MATCH(ROWS($K$2:K812),$K$2:$K$1001,0),MATCH(COLUMNS($R$1006:W1006),$R$1006:$W$1006,0)), HYPERLINK("#",""), HYPERLINK(CONCATENATE("#Metadata!", ADDRESS(INDEX($M$2:$M$1001,MATCH(ROWS($K$2:K812),$K$2:$K$1001,0),0), INDEX($R$1004:$W$1004,1,MATCH(COLUMNS($R$1006:W1006),$R$1006:$W$1006,0)))),"Fix")))</f>
        <v>0</v>
      </c>
      <c r="K812">
        <v>0</v>
      </c>
      <c r="L812">
        <v>0</v>
      </c>
      <c r="M812">
        <v>0</v>
      </c>
      <c r="N812">
        <f>IF(O812,TRUE,AND(R812:W812))</f>
        <v>0</v>
      </c>
      <c r="O812">
        <f>COUNTBLANK(Metadata!B812:G812)=COLUMNS(Metadata!B812:G812)</f>
        <v>0</v>
      </c>
      <c r="P812">
        <v>0</v>
      </c>
      <c r="R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S812">
        <f>IF(Metadata!C812="",FALSE,TRUE)</f>
        <v>0</v>
      </c>
      <c r="T812">
        <f>IF(Metadata!D812="",FALSE,TRUE)</f>
        <v>0</v>
      </c>
      <c r="U812">
        <f>IF(Metadata!E812="",FALSE,TRUE)</f>
        <v>0</v>
      </c>
      <c r="V812">
        <f>AND(IF(Metadata!F812="",FALSE,TRUE),exact(Metadata!F812,"rat gut metagenome"))</f>
        <v>0</v>
      </c>
      <c r="W812">
        <f>AND(IF(Metadata!G812="",FALSE,TRUE),exact(Metadata!G812,"1436733"))</f>
        <v>0</v>
      </c>
    </row>
    <row r="813" spans="1:23">
      <c r="A813" s="4">
        <f>IF(B813=" "," ",HYPERLINK(CONCATENATE("#metadata!",ADDRESS(INDEX($M$2:$M$1001,MATCH(ROWS($K$2:K813),$K$2:$K$1001,0),0),1)),INDEX($P$2:$P$1001,MATCH(ROWS($K$2:K813),$K$2:$K$1001,0),0)))</f>
        <v>0</v>
      </c>
      <c r="B813" s="3">
        <f>IF(OR(INDEX($L$2:$L$1001,MATCH(ROWS($K$2:K813),$K$2:$K$1001,0),1)&gt;=100000,INDEX($R$1005:$W$1005,1,MATCH(COLUMNS($R$1006:R1006),$R$1006:$W$1006,0))&gt;=100000), " ",IF(INDEX($R$2:$W$1001,MATCH(ROWS($K$2:K813),$K$2:$K$1001,0),MATCH(COLUMNS($R$1006:R1006),$R$1006:$W$1006,0)), HYPERLINK("#",""), HYPERLINK(CONCATENATE("#Metadata!", ADDRESS(INDEX($M$2:$M$1001,MATCH(ROWS($K$2:K813),$K$2:$K$1001,0),0), INDEX($R$1004:$W$1004,1,MATCH(COLUMNS($R$1006:R1006),$R$1006:$W$1006,0)))),"Fix")))</f>
        <v>0</v>
      </c>
      <c r="C813" s="3">
        <f>IF(OR(INDEX($L$2:$L$1001,MATCH(ROWS($K$2:K813),$K$2:$K$1001,0),1)&gt;=100000,INDEX($R$1005:$W$1005,1,MATCH(COLUMNS($R$1006:S1006),$R$1006:$W$1006,0))&gt;=100000), " ",IF(INDEX($R$2:$W$1001,MATCH(ROWS($K$2:K813),$K$2:$K$1001,0),MATCH(COLUMNS($R$1006:S1006),$R$1006:$W$1006,0)), HYPERLINK("#",""), HYPERLINK(CONCATENATE("#Metadata!", ADDRESS(INDEX($M$2:$M$1001,MATCH(ROWS($K$2:K813),$K$2:$K$1001,0),0), INDEX($R$1004:$W$1004,1,MATCH(COLUMNS($R$1006:S1006),$R$1006:$W$1006,0)))),"Fix")))</f>
        <v>0</v>
      </c>
      <c r="D813" s="3">
        <f>IF(OR(INDEX($L$2:$L$1001,MATCH(ROWS($K$2:K813),$K$2:$K$1001,0),1)&gt;=100000,INDEX($R$1005:$W$1005,1,MATCH(COLUMNS($R$1006:T1006),$R$1006:$W$1006,0))&gt;=100000), " ",IF(INDEX($R$2:$W$1001,MATCH(ROWS($K$2:K813),$K$2:$K$1001,0),MATCH(COLUMNS($R$1006:T1006),$R$1006:$W$1006,0)), HYPERLINK("#",""), HYPERLINK(CONCATENATE("#Metadata!", ADDRESS(INDEX($M$2:$M$1001,MATCH(ROWS($K$2:K813),$K$2:$K$1001,0),0), INDEX($R$1004:$W$1004,1,MATCH(COLUMNS($R$1006:T1006),$R$1006:$W$1006,0)))),"Fix")))</f>
        <v>0</v>
      </c>
      <c r="E813" s="3">
        <f>IF(OR(INDEX($L$2:$L$1001,MATCH(ROWS($K$2:K813),$K$2:$K$1001,0),1)&gt;=100000,INDEX($R$1005:$W$1005,1,MATCH(COLUMNS($R$1006:U1006),$R$1006:$W$1006,0))&gt;=100000), " ",IF(INDEX($R$2:$W$1001,MATCH(ROWS($K$2:K813),$K$2:$K$1001,0),MATCH(COLUMNS($R$1006:U1006),$R$1006:$W$1006,0)), HYPERLINK("#",""), HYPERLINK(CONCATENATE("#Metadata!", ADDRESS(INDEX($M$2:$M$1001,MATCH(ROWS($K$2:K813),$K$2:$K$1001,0),0), INDEX($R$1004:$W$1004,1,MATCH(COLUMNS($R$1006:U1006),$R$1006:$W$1006,0)))),"Fix")))</f>
        <v>0</v>
      </c>
      <c r="F813" s="3">
        <f>IF(OR(INDEX($L$2:$L$1001,MATCH(ROWS($K$2:K813),$K$2:$K$1001,0),1)&gt;=100000,INDEX($R$1005:$W$1005,1,MATCH(COLUMNS($R$1006:V1006),$R$1006:$W$1006,0))&gt;=100000), " ",IF(INDEX($R$2:$W$1001,MATCH(ROWS($K$2:K813),$K$2:$K$1001,0),MATCH(COLUMNS($R$1006:V1006),$R$1006:$W$1006,0)), HYPERLINK("#",""), HYPERLINK(CONCATENATE("#Metadata!", ADDRESS(INDEX($M$2:$M$1001,MATCH(ROWS($K$2:K813),$K$2:$K$1001,0),0), INDEX($R$1004:$W$1004,1,MATCH(COLUMNS($R$1006:V1006),$R$1006:$W$1006,0)))),"Fix")))</f>
        <v>0</v>
      </c>
      <c r="G813" s="3">
        <f>IF(OR(INDEX($L$2:$L$1001,MATCH(ROWS($K$2:K813),$K$2:$K$1001,0),1)&gt;=100000,INDEX($R$1005:$W$1005,1,MATCH(COLUMNS($R$1006:W1006),$R$1006:$W$1006,0))&gt;=100000), " ",IF(INDEX($R$2:$W$1001,MATCH(ROWS($K$2:K813),$K$2:$K$1001,0),MATCH(COLUMNS($R$1006:W1006),$R$1006:$W$1006,0)), HYPERLINK("#",""), HYPERLINK(CONCATENATE("#Metadata!", ADDRESS(INDEX($M$2:$M$1001,MATCH(ROWS($K$2:K813),$K$2:$K$1001,0),0), INDEX($R$1004:$W$1004,1,MATCH(COLUMNS($R$1006:W1006),$R$1006:$W$1006,0)))),"Fix")))</f>
        <v>0</v>
      </c>
      <c r="K813">
        <v>0</v>
      </c>
      <c r="L813">
        <v>0</v>
      </c>
      <c r="M813">
        <v>0</v>
      </c>
      <c r="N813">
        <f>IF(O813,TRUE,AND(R813:W813))</f>
        <v>0</v>
      </c>
      <c r="O813">
        <f>COUNTBLANK(Metadata!B813:G813)=COLUMNS(Metadata!B813:G813)</f>
        <v>0</v>
      </c>
      <c r="P813">
        <v>0</v>
      </c>
      <c r="R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S813">
        <f>IF(Metadata!C813="",FALSE,TRUE)</f>
        <v>0</v>
      </c>
      <c r="T813">
        <f>IF(Metadata!D813="",FALSE,TRUE)</f>
        <v>0</v>
      </c>
      <c r="U813">
        <f>IF(Metadata!E813="",FALSE,TRUE)</f>
        <v>0</v>
      </c>
      <c r="V813">
        <f>AND(IF(Metadata!F813="",FALSE,TRUE),exact(Metadata!F813,"rat gut metagenome"))</f>
        <v>0</v>
      </c>
      <c r="W813">
        <f>AND(IF(Metadata!G813="",FALSE,TRUE),exact(Metadata!G813,"1436733"))</f>
        <v>0</v>
      </c>
    </row>
    <row r="814" spans="1:23">
      <c r="A814" s="4">
        <f>IF(B814=" "," ",HYPERLINK(CONCATENATE("#metadata!",ADDRESS(INDEX($M$2:$M$1001,MATCH(ROWS($K$2:K814),$K$2:$K$1001,0),0),1)),INDEX($P$2:$P$1001,MATCH(ROWS($K$2:K814),$K$2:$K$1001,0),0)))</f>
        <v>0</v>
      </c>
      <c r="B814" s="3">
        <f>IF(OR(INDEX($L$2:$L$1001,MATCH(ROWS($K$2:K814),$K$2:$K$1001,0),1)&gt;=100000,INDEX($R$1005:$W$1005,1,MATCH(COLUMNS($R$1006:R1006),$R$1006:$W$1006,0))&gt;=100000), " ",IF(INDEX($R$2:$W$1001,MATCH(ROWS($K$2:K814),$K$2:$K$1001,0),MATCH(COLUMNS($R$1006:R1006),$R$1006:$W$1006,0)), HYPERLINK("#",""), HYPERLINK(CONCATENATE("#Metadata!", ADDRESS(INDEX($M$2:$M$1001,MATCH(ROWS($K$2:K814),$K$2:$K$1001,0),0), INDEX($R$1004:$W$1004,1,MATCH(COLUMNS($R$1006:R1006),$R$1006:$W$1006,0)))),"Fix")))</f>
        <v>0</v>
      </c>
      <c r="C814" s="3">
        <f>IF(OR(INDEX($L$2:$L$1001,MATCH(ROWS($K$2:K814),$K$2:$K$1001,0),1)&gt;=100000,INDEX($R$1005:$W$1005,1,MATCH(COLUMNS($R$1006:S1006),$R$1006:$W$1006,0))&gt;=100000), " ",IF(INDEX($R$2:$W$1001,MATCH(ROWS($K$2:K814),$K$2:$K$1001,0),MATCH(COLUMNS($R$1006:S1006),$R$1006:$W$1006,0)), HYPERLINK("#",""), HYPERLINK(CONCATENATE("#Metadata!", ADDRESS(INDEX($M$2:$M$1001,MATCH(ROWS($K$2:K814),$K$2:$K$1001,0),0), INDEX($R$1004:$W$1004,1,MATCH(COLUMNS($R$1006:S1006),$R$1006:$W$1006,0)))),"Fix")))</f>
        <v>0</v>
      </c>
      <c r="D814" s="3">
        <f>IF(OR(INDEX($L$2:$L$1001,MATCH(ROWS($K$2:K814),$K$2:$K$1001,0),1)&gt;=100000,INDEX($R$1005:$W$1005,1,MATCH(COLUMNS($R$1006:T1006),$R$1006:$W$1006,0))&gt;=100000), " ",IF(INDEX($R$2:$W$1001,MATCH(ROWS($K$2:K814),$K$2:$K$1001,0),MATCH(COLUMNS($R$1006:T1006),$R$1006:$W$1006,0)), HYPERLINK("#",""), HYPERLINK(CONCATENATE("#Metadata!", ADDRESS(INDEX($M$2:$M$1001,MATCH(ROWS($K$2:K814),$K$2:$K$1001,0),0), INDEX($R$1004:$W$1004,1,MATCH(COLUMNS($R$1006:T1006),$R$1006:$W$1006,0)))),"Fix")))</f>
        <v>0</v>
      </c>
      <c r="E814" s="3">
        <f>IF(OR(INDEX($L$2:$L$1001,MATCH(ROWS($K$2:K814),$K$2:$K$1001,0),1)&gt;=100000,INDEX($R$1005:$W$1005,1,MATCH(COLUMNS($R$1006:U1006),$R$1006:$W$1006,0))&gt;=100000), " ",IF(INDEX($R$2:$W$1001,MATCH(ROWS($K$2:K814),$K$2:$K$1001,0),MATCH(COLUMNS($R$1006:U1006),$R$1006:$W$1006,0)), HYPERLINK("#",""), HYPERLINK(CONCATENATE("#Metadata!", ADDRESS(INDEX($M$2:$M$1001,MATCH(ROWS($K$2:K814),$K$2:$K$1001,0),0), INDEX($R$1004:$W$1004,1,MATCH(COLUMNS($R$1006:U1006),$R$1006:$W$1006,0)))),"Fix")))</f>
        <v>0</v>
      </c>
      <c r="F814" s="3">
        <f>IF(OR(INDEX($L$2:$L$1001,MATCH(ROWS($K$2:K814),$K$2:$K$1001,0),1)&gt;=100000,INDEX($R$1005:$W$1005,1,MATCH(COLUMNS($R$1006:V1006),$R$1006:$W$1006,0))&gt;=100000), " ",IF(INDEX($R$2:$W$1001,MATCH(ROWS($K$2:K814),$K$2:$K$1001,0),MATCH(COLUMNS($R$1006:V1006),$R$1006:$W$1006,0)), HYPERLINK("#",""), HYPERLINK(CONCATENATE("#Metadata!", ADDRESS(INDEX($M$2:$M$1001,MATCH(ROWS($K$2:K814),$K$2:$K$1001,0),0), INDEX($R$1004:$W$1004,1,MATCH(COLUMNS($R$1006:V1006),$R$1006:$W$1006,0)))),"Fix")))</f>
        <v>0</v>
      </c>
      <c r="G814" s="3">
        <f>IF(OR(INDEX($L$2:$L$1001,MATCH(ROWS($K$2:K814),$K$2:$K$1001,0),1)&gt;=100000,INDEX($R$1005:$W$1005,1,MATCH(COLUMNS($R$1006:W1006),$R$1006:$W$1006,0))&gt;=100000), " ",IF(INDEX($R$2:$W$1001,MATCH(ROWS($K$2:K814),$K$2:$K$1001,0),MATCH(COLUMNS($R$1006:W1006),$R$1006:$W$1006,0)), HYPERLINK("#",""), HYPERLINK(CONCATENATE("#Metadata!", ADDRESS(INDEX($M$2:$M$1001,MATCH(ROWS($K$2:K814),$K$2:$K$1001,0),0), INDEX($R$1004:$W$1004,1,MATCH(COLUMNS($R$1006:W1006),$R$1006:$W$1006,0)))),"Fix")))</f>
        <v>0</v>
      </c>
      <c r="K814">
        <v>0</v>
      </c>
      <c r="L814">
        <v>0</v>
      </c>
      <c r="M814">
        <v>0</v>
      </c>
      <c r="N814">
        <f>IF(O814,TRUE,AND(R814:W814))</f>
        <v>0</v>
      </c>
      <c r="O814">
        <f>COUNTBLANK(Metadata!B814:G814)=COLUMNS(Metadata!B814:G814)</f>
        <v>0</v>
      </c>
      <c r="P814">
        <v>0</v>
      </c>
      <c r="R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S814">
        <f>IF(Metadata!C814="",FALSE,TRUE)</f>
        <v>0</v>
      </c>
      <c r="T814">
        <f>IF(Metadata!D814="",FALSE,TRUE)</f>
        <v>0</v>
      </c>
      <c r="U814">
        <f>IF(Metadata!E814="",FALSE,TRUE)</f>
        <v>0</v>
      </c>
      <c r="V814">
        <f>AND(IF(Metadata!F814="",FALSE,TRUE),exact(Metadata!F814,"rat gut metagenome"))</f>
        <v>0</v>
      </c>
      <c r="W814">
        <f>AND(IF(Metadata!G814="",FALSE,TRUE),exact(Metadata!G814,"1436733"))</f>
        <v>0</v>
      </c>
    </row>
    <row r="815" spans="1:23">
      <c r="A815" s="4">
        <f>IF(B815=" "," ",HYPERLINK(CONCATENATE("#metadata!",ADDRESS(INDEX($M$2:$M$1001,MATCH(ROWS($K$2:K815),$K$2:$K$1001,0),0),1)),INDEX($P$2:$P$1001,MATCH(ROWS($K$2:K815),$K$2:$K$1001,0),0)))</f>
        <v>0</v>
      </c>
      <c r="B815" s="3">
        <f>IF(OR(INDEX($L$2:$L$1001,MATCH(ROWS($K$2:K815),$K$2:$K$1001,0),1)&gt;=100000,INDEX($R$1005:$W$1005,1,MATCH(COLUMNS($R$1006:R1006),$R$1006:$W$1006,0))&gt;=100000), " ",IF(INDEX($R$2:$W$1001,MATCH(ROWS($K$2:K815),$K$2:$K$1001,0),MATCH(COLUMNS($R$1006:R1006),$R$1006:$W$1006,0)), HYPERLINK("#",""), HYPERLINK(CONCATENATE("#Metadata!", ADDRESS(INDEX($M$2:$M$1001,MATCH(ROWS($K$2:K815),$K$2:$K$1001,0),0), INDEX($R$1004:$W$1004,1,MATCH(COLUMNS($R$1006:R1006),$R$1006:$W$1006,0)))),"Fix")))</f>
        <v>0</v>
      </c>
      <c r="C815" s="3">
        <f>IF(OR(INDEX($L$2:$L$1001,MATCH(ROWS($K$2:K815),$K$2:$K$1001,0),1)&gt;=100000,INDEX($R$1005:$W$1005,1,MATCH(COLUMNS($R$1006:S1006),$R$1006:$W$1006,0))&gt;=100000), " ",IF(INDEX($R$2:$W$1001,MATCH(ROWS($K$2:K815),$K$2:$K$1001,0),MATCH(COLUMNS($R$1006:S1006),$R$1006:$W$1006,0)), HYPERLINK("#",""), HYPERLINK(CONCATENATE("#Metadata!", ADDRESS(INDEX($M$2:$M$1001,MATCH(ROWS($K$2:K815),$K$2:$K$1001,0),0), INDEX($R$1004:$W$1004,1,MATCH(COLUMNS($R$1006:S1006),$R$1006:$W$1006,0)))),"Fix")))</f>
        <v>0</v>
      </c>
      <c r="D815" s="3">
        <f>IF(OR(INDEX($L$2:$L$1001,MATCH(ROWS($K$2:K815),$K$2:$K$1001,0),1)&gt;=100000,INDEX($R$1005:$W$1005,1,MATCH(COLUMNS($R$1006:T1006),$R$1006:$W$1006,0))&gt;=100000), " ",IF(INDEX($R$2:$W$1001,MATCH(ROWS($K$2:K815),$K$2:$K$1001,0),MATCH(COLUMNS($R$1006:T1006),$R$1006:$W$1006,0)), HYPERLINK("#",""), HYPERLINK(CONCATENATE("#Metadata!", ADDRESS(INDEX($M$2:$M$1001,MATCH(ROWS($K$2:K815),$K$2:$K$1001,0),0), INDEX($R$1004:$W$1004,1,MATCH(COLUMNS($R$1006:T1006),$R$1006:$W$1006,0)))),"Fix")))</f>
        <v>0</v>
      </c>
      <c r="E815" s="3">
        <f>IF(OR(INDEX($L$2:$L$1001,MATCH(ROWS($K$2:K815),$K$2:$K$1001,0),1)&gt;=100000,INDEX($R$1005:$W$1005,1,MATCH(COLUMNS($R$1006:U1006),$R$1006:$W$1006,0))&gt;=100000), " ",IF(INDEX($R$2:$W$1001,MATCH(ROWS($K$2:K815),$K$2:$K$1001,0),MATCH(COLUMNS($R$1006:U1006),$R$1006:$W$1006,0)), HYPERLINK("#",""), HYPERLINK(CONCATENATE("#Metadata!", ADDRESS(INDEX($M$2:$M$1001,MATCH(ROWS($K$2:K815),$K$2:$K$1001,0),0), INDEX($R$1004:$W$1004,1,MATCH(COLUMNS($R$1006:U1006),$R$1006:$W$1006,0)))),"Fix")))</f>
        <v>0</v>
      </c>
      <c r="F815" s="3">
        <f>IF(OR(INDEX($L$2:$L$1001,MATCH(ROWS($K$2:K815),$K$2:$K$1001,0),1)&gt;=100000,INDEX($R$1005:$W$1005,1,MATCH(COLUMNS($R$1006:V1006),$R$1006:$W$1006,0))&gt;=100000), " ",IF(INDEX($R$2:$W$1001,MATCH(ROWS($K$2:K815),$K$2:$K$1001,0),MATCH(COLUMNS($R$1006:V1006),$R$1006:$W$1006,0)), HYPERLINK("#",""), HYPERLINK(CONCATENATE("#Metadata!", ADDRESS(INDEX($M$2:$M$1001,MATCH(ROWS($K$2:K815),$K$2:$K$1001,0),0), INDEX($R$1004:$W$1004,1,MATCH(COLUMNS($R$1006:V1006),$R$1006:$W$1006,0)))),"Fix")))</f>
        <v>0</v>
      </c>
      <c r="G815" s="3">
        <f>IF(OR(INDEX($L$2:$L$1001,MATCH(ROWS($K$2:K815),$K$2:$K$1001,0),1)&gt;=100000,INDEX($R$1005:$W$1005,1,MATCH(COLUMNS($R$1006:W1006),$R$1006:$W$1006,0))&gt;=100000), " ",IF(INDEX($R$2:$W$1001,MATCH(ROWS($K$2:K815),$K$2:$K$1001,0),MATCH(COLUMNS($R$1006:W1006),$R$1006:$W$1006,0)), HYPERLINK("#",""), HYPERLINK(CONCATENATE("#Metadata!", ADDRESS(INDEX($M$2:$M$1001,MATCH(ROWS($K$2:K815),$K$2:$K$1001,0),0), INDEX($R$1004:$W$1004,1,MATCH(COLUMNS($R$1006:W1006),$R$1006:$W$1006,0)))),"Fix")))</f>
        <v>0</v>
      </c>
      <c r="K815">
        <v>0</v>
      </c>
      <c r="L815">
        <v>0</v>
      </c>
      <c r="M815">
        <v>0</v>
      </c>
      <c r="N815">
        <f>IF(O815,TRUE,AND(R815:W815))</f>
        <v>0</v>
      </c>
      <c r="O815">
        <f>COUNTBLANK(Metadata!B815:G815)=COLUMNS(Metadata!B815:G815)</f>
        <v>0</v>
      </c>
      <c r="P815">
        <v>0</v>
      </c>
      <c r="R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S815">
        <f>IF(Metadata!C815="",FALSE,TRUE)</f>
        <v>0</v>
      </c>
      <c r="T815">
        <f>IF(Metadata!D815="",FALSE,TRUE)</f>
        <v>0</v>
      </c>
      <c r="U815">
        <f>IF(Metadata!E815="",FALSE,TRUE)</f>
        <v>0</v>
      </c>
      <c r="V815">
        <f>AND(IF(Metadata!F815="",FALSE,TRUE),exact(Metadata!F815,"rat gut metagenome"))</f>
        <v>0</v>
      </c>
      <c r="W815">
        <f>AND(IF(Metadata!G815="",FALSE,TRUE),exact(Metadata!G815,"1436733"))</f>
        <v>0</v>
      </c>
    </row>
    <row r="816" spans="1:23">
      <c r="A816" s="4">
        <f>IF(B816=" "," ",HYPERLINK(CONCATENATE("#metadata!",ADDRESS(INDEX($M$2:$M$1001,MATCH(ROWS($K$2:K816),$K$2:$K$1001,0),0),1)),INDEX($P$2:$P$1001,MATCH(ROWS($K$2:K816),$K$2:$K$1001,0),0)))</f>
        <v>0</v>
      </c>
      <c r="B816" s="3">
        <f>IF(OR(INDEX($L$2:$L$1001,MATCH(ROWS($K$2:K816),$K$2:$K$1001,0),1)&gt;=100000,INDEX($R$1005:$W$1005,1,MATCH(COLUMNS($R$1006:R1006),$R$1006:$W$1006,0))&gt;=100000), " ",IF(INDEX($R$2:$W$1001,MATCH(ROWS($K$2:K816),$K$2:$K$1001,0),MATCH(COLUMNS($R$1006:R1006),$R$1006:$W$1006,0)), HYPERLINK("#",""), HYPERLINK(CONCATENATE("#Metadata!", ADDRESS(INDEX($M$2:$M$1001,MATCH(ROWS($K$2:K816),$K$2:$K$1001,0),0), INDEX($R$1004:$W$1004,1,MATCH(COLUMNS($R$1006:R1006),$R$1006:$W$1006,0)))),"Fix")))</f>
        <v>0</v>
      </c>
      <c r="C816" s="3">
        <f>IF(OR(INDEX($L$2:$L$1001,MATCH(ROWS($K$2:K816),$K$2:$K$1001,0),1)&gt;=100000,INDEX($R$1005:$W$1005,1,MATCH(COLUMNS($R$1006:S1006),$R$1006:$W$1006,0))&gt;=100000), " ",IF(INDEX($R$2:$W$1001,MATCH(ROWS($K$2:K816),$K$2:$K$1001,0),MATCH(COLUMNS($R$1006:S1006),$R$1006:$W$1006,0)), HYPERLINK("#",""), HYPERLINK(CONCATENATE("#Metadata!", ADDRESS(INDEX($M$2:$M$1001,MATCH(ROWS($K$2:K816),$K$2:$K$1001,0),0), INDEX($R$1004:$W$1004,1,MATCH(COLUMNS($R$1006:S1006),$R$1006:$W$1006,0)))),"Fix")))</f>
        <v>0</v>
      </c>
      <c r="D816" s="3">
        <f>IF(OR(INDEX($L$2:$L$1001,MATCH(ROWS($K$2:K816),$K$2:$K$1001,0),1)&gt;=100000,INDEX($R$1005:$W$1005,1,MATCH(COLUMNS($R$1006:T1006),$R$1006:$W$1006,0))&gt;=100000), " ",IF(INDEX($R$2:$W$1001,MATCH(ROWS($K$2:K816),$K$2:$K$1001,0),MATCH(COLUMNS($R$1006:T1006),$R$1006:$W$1006,0)), HYPERLINK("#",""), HYPERLINK(CONCATENATE("#Metadata!", ADDRESS(INDEX($M$2:$M$1001,MATCH(ROWS($K$2:K816),$K$2:$K$1001,0),0), INDEX($R$1004:$W$1004,1,MATCH(COLUMNS($R$1006:T1006),$R$1006:$W$1006,0)))),"Fix")))</f>
        <v>0</v>
      </c>
      <c r="E816" s="3">
        <f>IF(OR(INDEX($L$2:$L$1001,MATCH(ROWS($K$2:K816),$K$2:$K$1001,0),1)&gt;=100000,INDEX($R$1005:$W$1005,1,MATCH(COLUMNS($R$1006:U1006),$R$1006:$W$1006,0))&gt;=100000), " ",IF(INDEX($R$2:$W$1001,MATCH(ROWS($K$2:K816),$K$2:$K$1001,0),MATCH(COLUMNS($R$1006:U1006),$R$1006:$W$1006,0)), HYPERLINK("#",""), HYPERLINK(CONCATENATE("#Metadata!", ADDRESS(INDEX($M$2:$M$1001,MATCH(ROWS($K$2:K816),$K$2:$K$1001,0),0), INDEX($R$1004:$W$1004,1,MATCH(COLUMNS($R$1006:U1006),$R$1006:$W$1006,0)))),"Fix")))</f>
        <v>0</v>
      </c>
      <c r="F816" s="3">
        <f>IF(OR(INDEX($L$2:$L$1001,MATCH(ROWS($K$2:K816),$K$2:$K$1001,0),1)&gt;=100000,INDEX($R$1005:$W$1005,1,MATCH(COLUMNS($R$1006:V1006),$R$1006:$W$1006,0))&gt;=100000), " ",IF(INDEX($R$2:$W$1001,MATCH(ROWS($K$2:K816),$K$2:$K$1001,0),MATCH(COLUMNS($R$1006:V1006),$R$1006:$W$1006,0)), HYPERLINK("#",""), HYPERLINK(CONCATENATE("#Metadata!", ADDRESS(INDEX($M$2:$M$1001,MATCH(ROWS($K$2:K816),$K$2:$K$1001,0),0), INDEX($R$1004:$W$1004,1,MATCH(COLUMNS($R$1006:V1006),$R$1006:$W$1006,0)))),"Fix")))</f>
        <v>0</v>
      </c>
      <c r="G816" s="3">
        <f>IF(OR(INDEX($L$2:$L$1001,MATCH(ROWS($K$2:K816),$K$2:$K$1001,0),1)&gt;=100000,INDEX($R$1005:$W$1005,1,MATCH(COLUMNS($R$1006:W1006),$R$1006:$W$1006,0))&gt;=100000), " ",IF(INDEX($R$2:$W$1001,MATCH(ROWS($K$2:K816),$K$2:$K$1001,0),MATCH(COLUMNS($R$1006:W1006),$R$1006:$W$1006,0)), HYPERLINK("#",""), HYPERLINK(CONCATENATE("#Metadata!", ADDRESS(INDEX($M$2:$M$1001,MATCH(ROWS($K$2:K816),$K$2:$K$1001,0),0), INDEX($R$1004:$W$1004,1,MATCH(COLUMNS($R$1006:W1006),$R$1006:$W$1006,0)))),"Fix")))</f>
        <v>0</v>
      </c>
      <c r="K816">
        <v>0</v>
      </c>
      <c r="L816">
        <v>0</v>
      </c>
      <c r="M816">
        <v>0</v>
      </c>
      <c r="N816">
        <f>IF(O816,TRUE,AND(R816:W816))</f>
        <v>0</v>
      </c>
      <c r="O816">
        <f>COUNTBLANK(Metadata!B816:G816)=COLUMNS(Metadata!B816:G816)</f>
        <v>0</v>
      </c>
      <c r="P816">
        <v>0</v>
      </c>
      <c r="R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S816">
        <f>IF(Metadata!C816="",FALSE,TRUE)</f>
        <v>0</v>
      </c>
      <c r="T816">
        <f>IF(Metadata!D816="",FALSE,TRUE)</f>
        <v>0</v>
      </c>
      <c r="U816">
        <f>IF(Metadata!E816="",FALSE,TRUE)</f>
        <v>0</v>
      </c>
      <c r="V816">
        <f>AND(IF(Metadata!F816="",FALSE,TRUE),exact(Metadata!F816,"rat gut metagenome"))</f>
        <v>0</v>
      </c>
      <c r="W816">
        <f>AND(IF(Metadata!G816="",FALSE,TRUE),exact(Metadata!G816,"1436733"))</f>
        <v>0</v>
      </c>
    </row>
    <row r="817" spans="1:23">
      <c r="A817" s="4">
        <f>IF(B817=" "," ",HYPERLINK(CONCATENATE("#metadata!",ADDRESS(INDEX($M$2:$M$1001,MATCH(ROWS($K$2:K817),$K$2:$K$1001,0),0),1)),INDEX($P$2:$P$1001,MATCH(ROWS($K$2:K817),$K$2:$K$1001,0),0)))</f>
        <v>0</v>
      </c>
      <c r="B817" s="3">
        <f>IF(OR(INDEX($L$2:$L$1001,MATCH(ROWS($K$2:K817),$K$2:$K$1001,0),1)&gt;=100000,INDEX($R$1005:$W$1005,1,MATCH(COLUMNS($R$1006:R1006),$R$1006:$W$1006,0))&gt;=100000), " ",IF(INDEX($R$2:$W$1001,MATCH(ROWS($K$2:K817),$K$2:$K$1001,0),MATCH(COLUMNS($R$1006:R1006),$R$1006:$W$1006,0)), HYPERLINK("#",""), HYPERLINK(CONCATENATE("#Metadata!", ADDRESS(INDEX($M$2:$M$1001,MATCH(ROWS($K$2:K817),$K$2:$K$1001,0),0), INDEX($R$1004:$W$1004,1,MATCH(COLUMNS($R$1006:R1006),$R$1006:$W$1006,0)))),"Fix")))</f>
        <v>0</v>
      </c>
      <c r="C817" s="3">
        <f>IF(OR(INDEX($L$2:$L$1001,MATCH(ROWS($K$2:K817),$K$2:$K$1001,0),1)&gt;=100000,INDEX($R$1005:$W$1005,1,MATCH(COLUMNS($R$1006:S1006),$R$1006:$W$1006,0))&gt;=100000), " ",IF(INDEX($R$2:$W$1001,MATCH(ROWS($K$2:K817),$K$2:$K$1001,0),MATCH(COLUMNS($R$1006:S1006),$R$1006:$W$1006,0)), HYPERLINK("#",""), HYPERLINK(CONCATENATE("#Metadata!", ADDRESS(INDEX($M$2:$M$1001,MATCH(ROWS($K$2:K817),$K$2:$K$1001,0),0), INDEX($R$1004:$W$1004,1,MATCH(COLUMNS($R$1006:S1006),$R$1006:$W$1006,0)))),"Fix")))</f>
        <v>0</v>
      </c>
      <c r="D817" s="3">
        <f>IF(OR(INDEX($L$2:$L$1001,MATCH(ROWS($K$2:K817),$K$2:$K$1001,0),1)&gt;=100000,INDEX($R$1005:$W$1005,1,MATCH(COLUMNS($R$1006:T1006),$R$1006:$W$1006,0))&gt;=100000), " ",IF(INDEX($R$2:$W$1001,MATCH(ROWS($K$2:K817),$K$2:$K$1001,0),MATCH(COLUMNS($R$1006:T1006),$R$1006:$W$1006,0)), HYPERLINK("#",""), HYPERLINK(CONCATENATE("#Metadata!", ADDRESS(INDEX($M$2:$M$1001,MATCH(ROWS($K$2:K817),$K$2:$K$1001,0),0), INDEX($R$1004:$W$1004,1,MATCH(COLUMNS($R$1006:T1006),$R$1006:$W$1006,0)))),"Fix")))</f>
        <v>0</v>
      </c>
      <c r="E817" s="3">
        <f>IF(OR(INDEX($L$2:$L$1001,MATCH(ROWS($K$2:K817),$K$2:$K$1001,0),1)&gt;=100000,INDEX($R$1005:$W$1005,1,MATCH(COLUMNS($R$1006:U1006),$R$1006:$W$1006,0))&gt;=100000), " ",IF(INDEX($R$2:$W$1001,MATCH(ROWS($K$2:K817),$K$2:$K$1001,0),MATCH(COLUMNS($R$1006:U1006),$R$1006:$W$1006,0)), HYPERLINK("#",""), HYPERLINK(CONCATENATE("#Metadata!", ADDRESS(INDEX($M$2:$M$1001,MATCH(ROWS($K$2:K817),$K$2:$K$1001,0),0), INDEX($R$1004:$W$1004,1,MATCH(COLUMNS($R$1006:U1006),$R$1006:$W$1006,0)))),"Fix")))</f>
        <v>0</v>
      </c>
      <c r="F817" s="3">
        <f>IF(OR(INDEX($L$2:$L$1001,MATCH(ROWS($K$2:K817),$K$2:$K$1001,0),1)&gt;=100000,INDEX($R$1005:$W$1005,1,MATCH(COLUMNS($R$1006:V1006),$R$1006:$W$1006,0))&gt;=100000), " ",IF(INDEX($R$2:$W$1001,MATCH(ROWS($K$2:K817),$K$2:$K$1001,0),MATCH(COLUMNS($R$1006:V1006),$R$1006:$W$1006,0)), HYPERLINK("#",""), HYPERLINK(CONCATENATE("#Metadata!", ADDRESS(INDEX($M$2:$M$1001,MATCH(ROWS($K$2:K817),$K$2:$K$1001,0),0), INDEX($R$1004:$W$1004,1,MATCH(COLUMNS($R$1006:V1006),$R$1006:$W$1006,0)))),"Fix")))</f>
        <v>0</v>
      </c>
      <c r="G817" s="3">
        <f>IF(OR(INDEX($L$2:$L$1001,MATCH(ROWS($K$2:K817),$K$2:$K$1001,0),1)&gt;=100000,INDEX($R$1005:$W$1005,1,MATCH(COLUMNS($R$1006:W1006),$R$1006:$W$1006,0))&gt;=100000), " ",IF(INDEX($R$2:$W$1001,MATCH(ROWS($K$2:K817),$K$2:$K$1001,0),MATCH(COLUMNS($R$1006:W1006),$R$1006:$W$1006,0)), HYPERLINK("#",""), HYPERLINK(CONCATENATE("#Metadata!", ADDRESS(INDEX($M$2:$M$1001,MATCH(ROWS($K$2:K817),$K$2:$K$1001,0),0), INDEX($R$1004:$W$1004,1,MATCH(COLUMNS($R$1006:W1006),$R$1006:$W$1006,0)))),"Fix")))</f>
        <v>0</v>
      </c>
      <c r="K817">
        <v>0</v>
      </c>
      <c r="L817">
        <v>0</v>
      </c>
      <c r="M817">
        <v>0</v>
      </c>
      <c r="N817">
        <f>IF(O817,TRUE,AND(R817:W817))</f>
        <v>0</v>
      </c>
      <c r="O817">
        <f>COUNTBLANK(Metadata!B817:G817)=COLUMNS(Metadata!B817:G817)</f>
        <v>0</v>
      </c>
      <c r="P817">
        <v>0</v>
      </c>
      <c r="R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S817">
        <f>IF(Metadata!C817="",FALSE,TRUE)</f>
        <v>0</v>
      </c>
      <c r="T817">
        <f>IF(Metadata!D817="",FALSE,TRUE)</f>
        <v>0</v>
      </c>
      <c r="U817">
        <f>IF(Metadata!E817="",FALSE,TRUE)</f>
        <v>0</v>
      </c>
      <c r="V817">
        <f>AND(IF(Metadata!F817="",FALSE,TRUE),exact(Metadata!F817,"rat gut metagenome"))</f>
        <v>0</v>
      </c>
      <c r="W817">
        <f>AND(IF(Metadata!G817="",FALSE,TRUE),exact(Metadata!G817,"1436733"))</f>
        <v>0</v>
      </c>
    </row>
    <row r="818" spans="1:23">
      <c r="A818" s="4">
        <f>IF(B818=" "," ",HYPERLINK(CONCATENATE("#metadata!",ADDRESS(INDEX($M$2:$M$1001,MATCH(ROWS($K$2:K818),$K$2:$K$1001,0),0),1)),INDEX($P$2:$P$1001,MATCH(ROWS($K$2:K818),$K$2:$K$1001,0),0)))</f>
        <v>0</v>
      </c>
      <c r="B818" s="3">
        <f>IF(OR(INDEX($L$2:$L$1001,MATCH(ROWS($K$2:K818),$K$2:$K$1001,0),1)&gt;=100000,INDEX($R$1005:$W$1005,1,MATCH(COLUMNS($R$1006:R1006),$R$1006:$W$1006,0))&gt;=100000), " ",IF(INDEX($R$2:$W$1001,MATCH(ROWS($K$2:K818),$K$2:$K$1001,0),MATCH(COLUMNS($R$1006:R1006),$R$1006:$W$1006,0)), HYPERLINK("#",""), HYPERLINK(CONCATENATE("#Metadata!", ADDRESS(INDEX($M$2:$M$1001,MATCH(ROWS($K$2:K818),$K$2:$K$1001,0),0), INDEX($R$1004:$W$1004,1,MATCH(COLUMNS($R$1006:R1006),$R$1006:$W$1006,0)))),"Fix")))</f>
        <v>0</v>
      </c>
      <c r="C818" s="3">
        <f>IF(OR(INDEX($L$2:$L$1001,MATCH(ROWS($K$2:K818),$K$2:$K$1001,0),1)&gt;=100000,INDEX($R$1005:$W$1005,1,MATCH(COLUMNS($R$1006:S1006),$R$1006:$W$1006,0))&gt;=100000), " ",IF(INDEX($R$2:$W$1001,MATCH(ROWS($K$2:K818),$K$2:$K$1001,0),MATCH(COLUMNS($R$1006:S1006),$R$1006:$W$1006,0)), HYPERLINK("#",""), HYPERLINK(CONCATENATE("#Metadata!", ADDRESS(INDEX($M$2:$M$1001,MATCH(ROWS($K$2:K818),$K$2:$K$1001,0),0), INDEX($R$1004:$W$1004,1,MATCH(COLUMNS($R$1006:S1006),$R$1006:$W$1006,0)))),"Fix")))</f>
        <v>0</v>
      </c>
      <c r="D818" s="3">
        <f>IF(OR(INDEX($L$2:$L$1001,MATCH(ROWS($K$2:K818),$K$2:$K$1001,0),1)&gt;=100000,INDEX($R$1005:$W$1005,1,MATCH(COLUMNS($R$1006:T1006),$R$1006:$W$1006,0))&gt;=100000), " ",IF(INDEX($R$2:$W$1001,MATCH(ROWS($K$2:K818),$K$2:$K$1001,0),MATCH(COLUMNS($R$1006:T1006),$R$1006:$W$1006,0)), HYPERLINK("#",""), HYPERLINK(CONCATENATE("#Metadata!", ADDRESS(INDEX($M$2:$M$1001,MATCH(ROWS($K$2:K818),$K$2:$K$1001,0),0), INDEX($R$1004:$W$1004,1,MATCH(COLUMNS($R$1006:T1006),$R$1006:$W$1006,0)))),"Fix")))</f>
        <v>0</v>
      </c>
      <c r="E818" s="3">
        <f>IF(OR(INDEX($L$2:$L$1001,MATCH(ROWS($K$2:K818),$K$2:$K$1001,0),1)&gt;=100000,INDEX($R$1005:$W$1005,1,MATCH(COLUMNS($R$1006:U1006),$R$1006:$W$1006,0))&gt;=100000), " ",IF(INDEX($R$2:$W$1001,MATCH(ROWS($K$2:K818),$K$2:$K$1001,0),MATCH(COLUMNS($R$1006:U1006),$R$1006:$W$1006,0)), HYPERLINK("#",""), HYPERLINK(CONCATENATE("#Metadata!", ADDRESS(INDEX($M$2:$M$1001,MATCH(ROWS($K$2:K818),$K$2:$K$1001,0),0), INDEX($R$1004:$W$1004,1,MATCH(COLUMNS($R$1006:U1006),$R$1006:$W$1006,0)))),"Fix")))</f>
        <v>0</v>
      </c>
      <c r="F818" s="3">
        <f>IF(OR(INDEX($L$2:$L$1001,MATCH(ROWS($K$2:K818),$K$2:$K$1001,0),1)&gt;=100000,INDEX($R$1005:$W$1005,1,MATCH(COLUMNS($R$1006:V1006),$R$1006:$W$1006,0))&gt;=100000), " ",IF(INDEX($R$2:$W$1001,MATCH(ROWS($K$2:K818),$K$2:$K$1001,0),MATCH(COLUMNS($R$1006:V1006),$R$1006:$W$1006,0)), HYPERLINK("#",""), HYPERLINK(CONCATENATE("#Metadata!", ADDRESS(INDEX($M$2:$M$1001,MATCH(ROWS($K$2:K818),$K$2:$K$1001,0),0), INDEX($R$1004:$W$1004,1,MATCH(COLUMNS($R$1006:V1006),$R$1006:$W$1006,0)))),"Fix")))</f>
        <v>0</v>
      </c>
      <c r="G818" s="3">
        <f>IF(OR(INDEX($L$2:$L$1001,MATCH(ROWS($K$2:K818),$K$2:$K$1001,0),1)&gt;=100000,INDEX($R$1005:$W$1005,1,MATCH(COLUMNS($R$1006:W1006),$R$1006:$W$1006,0))&gt;=100000), " ",IF(INDEX($R$2:$W$1001,MATCH(ROWS($K$2:K818),$K$2:$K$1001,0),MATCH(COLUMNS($R$1006:W1006),$R$1006:$W$1006,0)), HYPERLINK("#",""), HYPERLINK(CONCATENATE("#Metadata!", ADDRESS(INDEX($M$2:$M$1001,MATCH(ROWS($K$2:K818),$K$2:$K$1001,0),0), INDEX($R$1004:$W$1004,1,MATCH(COLUMNS($R$1006:W1006),$R$1006:$W$1006,0)))),"Fix")))</f>
        <v>0</v>
      </c>
      <c r="K818">
        <v>0</v>
      </c>
      <c r="L818">
        <v>0</v>
      </c>
      <c r="M818">
        <v>0</v>
      </c>
      <c r="N818">
        <f>IF(O818,TRUE,AND(R818:W818))</f>
        <v>0</v>
      </c>
      <c r="O818">
        <f>COUNTBLANK(Metadata!B818:G818)=COLUMNS(Metadata!B818:G818)</f>
        <v>0</v>
      </c>
      <c r="P818">
        <v>0</v>
      </c>
      <c r="R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S818">
        <f>IF(Metadata!C818="",FALSE,TRUE)</f>
        <v>0</v>
      </c>
      <c r="T818">
        <f>IF(Metadata!D818="",FALSE,TRUE)</f>
        <v>0</v>
      </c>
      <c r="U818">
        <f>IF(Metadata!E818="",FALSE,TRUE)</f>
        <v>0</v>
      </c>
      <c r="V818">
        <f>AND(IF(Metadata!F818="",FALSE,TRUE),exact(Metadata!F818,"rat gut metagenome"))</f>
        <v>0</v>
      </c>
      <c r="W818">
        <f>AND(IF(Metadata!G818="",FALSE,TRUE),exact(Metadata!G818,"1436733"))</f>
        <v>0</v>
      </c>
    </row>
    <row r="819" spans="1:23">
      <c r="A819" s="4">
        <f>IF(B819=" "," ",HYPERLINK(CONCATENATE("#metadata!",ADDRESS(INDEX($M$2:$M$1001,MATCH(ROWS($K$2:K819),$K$2:$K$1001,0),0),1)),INDEX($P$2:$P$1001,MATCH(ROWS($K$2:K819),$K$2:$K$1001,0),0)))</f>
        <v>0</v>
      </c>
      <c r="B819" s="3">
        <f>IF(OR(INDEX($L$2:$L$1001,MATCH(ROWS($K$2:K819),$K$2:$K$1001,0),1)&gt;=100000,INDEX($R$1005:$W$1005,1,MATCH(COLUMNS($R$1006:R1006),$R$1006:$W$1006,0))&gt;=100000), " ",IF(INDEX($R$2:$W$1001,MATCH(ROWS($K$2:K819),$K$2:$K$1001,0),MATCH(COLUMNS($R$1006:R1006),$R$1006:$W$1006,0)), HYPERLINK("#",""), HYPERLINK(CONCATENATE("#Metadata!", ADDRESS(INDEX($M$2:$M$1001,MATCH(ROWS($K$2:K819),$K$2:$K$1001,0),0), INDEX($R$1004:$W$1004,1,MATCH(COLUMNS($R$1006:R1006),$R$1006:$W$1006,0)))),"Fix")))</f>
        <v>0</v>
      </c>
      <c r="C819" s="3">
        <f>IF(OR(INDEX($L$2:$L$1001,MATCH(ROWS($K$2:K819),$K$2:$K$1001,0),1)&gt;=100000,INDEX($R$1005:$W$1005,1,MATCH(COLUMNS($R$1006:S1006),$R$1006:$W$1006,0))&gt;=100000), " ",IF(INDEX($R$2:$W$1001,MATCH(ROWS($K$2:K819),$K$2:$K$1001,0),MATCH(COLUMNS($R$1006:S1006),$R$1006:$W$1006,0)), HYPERLINK("#",""), HYPERLINK(CONCATENATE("#Metadata!", ADDRESS(INDEX($M$2:$M$1001,MATCH(ROWS($K$2:K819),$K$2:$K$1001,0),0), INDEX($R$1004:$W$1004,1,MATCH(COLUMNS($R$1006:S1006),$R$1006:$W$1006,0)))),"Fix")))</f>
        <v>0</v>
      </c>
      <c r="D819" s="3">
        <f>IF(OR(INDEX($L$2:$L$1001,MATCH(ROWS($K$2:K819),$K$2:$K$1001,0),1)&gt;=100000,INDEX($R$1005:$W$1005,1,MATCH(COLUMNS($R$1006:T1006),$R$1006:$W$1006,0))&gt;=100000), " ",IF(INDEX($R$2:$W$1001,MATCH(ROWS($K$2:K819),$K$2:$K$1001,0),MATCH(COLUMNS($R$1006:T1006),$R$1006:$W$1006,0)), HYPERLINK("#",""), HYPERLINK(CONCATENATE("#Metadata!", ADDRESS(INDEX($M$2:$M$1001,MATCH(ROWS($K$2:K819),$K$2:$K$1001,0),0), INDEX($R$1004:$W$1004,1,MATCH(COLUMNS($R$1006:T1006),$R$1006:$W$1006,0)))),"Fix")))</f>
        <v>0</v>
      </c>
      <c r="E819" s="3">
        <f>IF(OR(INDEX($L$2:$L$1001,MATCH(ROWS($K$2:K819),$K$2:$K$1001,0),1)&gt;=100000,INDEX($R$1005:$W$1005,1,MATCH(COLUMNS($R$1006:U1006),$R$1006:$W$1006,0))&gt;=100000), " ",IF(INDEX($R$2:$W$1001,MATCH(ROWS($K$2:K819),$K$2:$K$1001,0),MATCH(COLUMNS($R$1006:U1006),$R$1006:$W$1006,0)), HYPERLINK("#",""), HYPERLINK(CONCATENATE("#Metadata!", ADDRESS(INDEX($M$2:$M$1001,MATCH(ROWS($K$2:K819),$K$2:$K$1001,0),0), INDEX($R$1004:$W$1004,1,MATCH(COLUMNS($R$1006:U1006),$R$1006:$W$1006,0)))),"Fix")))</f>
        <v>0</v>
      </c>
      <c r="F819" s="3">
        <f>IF(OR(INDEX($L$2:$L$1001,MATCH(ROWS($K$2:K819),$K$2:$K$1001,0),1)&gt;=100000,INDEX($R$1005:$W$1005,1,MATCH(COLUMNS($R$1006:V1006),$R$1006:$W$1006,0))&gt;=100000), " ",IF(INDEX($R$2:$W$1001,MATCH(ROWS($K$2:K819),$K$2:$K$1001,0),MATCH(COLUMNS($R$1006:V1006),$R$1006:$W$1006,0)), HYPERLINK("#",""), HYPERLINK(CONCATENATE("#Metadata!", ADDRESS(INDEX($M$2:$M$1001,MATCH(ROWS($K$2:K819),$K$2:$K$1001,0),0), INDEX($R$1004:$W$1004,1,MATCH(COLUMNS($R$1006:V1006),$R$1006:$W$1006,0)))),"Fix")))</f>
        <v>0</v>
      </c>
      <c r="G819" s="3">
        <f>IF(OR(INDEX($L$2:$L$1001,MATCH(ROWS($K$2:K819),$K$2:$K$1001,0),1)&gt;=100000,INDEX($R$1005:$W$1005,1,MATCH(COLUMNS($R$1006:W1006),$R$1006:$W$1006,0))&gt;=100000), " ",IF(INDEX($R$2:$W$1001,MATCH(ROWS($K$2:K819),$K$2:$K$1001,0),MATCH(COLUMNS($R$1006:W1006),$R$1006:$W$1006,0)), HYPERLINK("#",""), HYPERLINK(CONCATENATE("#Metadata!", ADDRESS(INDEX($M$2:$M$1001,MATCH(ROWS($K$2:K819),$K$2:$K$1001,0),0), INDEX($R$1004:$W$1004,1,MATCH(COLUMNS($R$1006:W1006),$R$1006:$W$1006,0)))),"Fix")))</f>
        <v>0</v>
      </c>
      <c r="K819">
        <v>0</v>
      </c>
      <c r="L819">
        <v>0</v>
      </c>
      <c r="M819">
        <v>0</v>
      </c>
      <c r="N819">
        <f>IF(O819,TRUE,AND(R819:W819))</f>
        <v>0</v>
      </c>
      <c r="O819">
        <f>COUNTBLANK(Metadata!B819:G819)=COLUMNS(Metadata!B819:G819)</f>
        <v>0</v>
      </c>
      <c r="P819">
        <v>0</v>
      </c>
      <c r="R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S819">
        <f>IF(Metadata!C819="",FALSE,TRUE)</f>
        <v>0</v>
      </c>
      <c r="T819">
        <f>IF(Metadata!D819="",FALSE,TRUE)</f>
        <v>0</v>
      </c>
      <c r="U819">
        <f>IF(Metadata!E819="",FALSE,TRUE)</f>
        <v>0</v>
      </c>
      <c r="V819">
        <f>AND(IF(Metadata!F819="",FALSE,TRUE),exact(Metadata!F819,"rat gut metagenome"))</f>
        <v>0</v>
      </c>
      <c r="W819">
        <f>AND(IF(Metadata!G819="",FALSE,TRUE),exact(Metadata!G819,"1436733"))</f>
        <v>0</v>
      </c>
    </row>
    <row r="820" spans="1:23">
      <c r="A820" s="4">
        <f>IF(B820=" "," ",HYPERLINK(CONCATENATE("#metadata!",ADDRESS(INDEX($M$2:$M$1001,MATCH(ROWS($K$2:K820),$K$2:$K$1001,0),0),1)),INDEX($P$2:$P$1001,MATCH(ROWS($K$2:K820),$K$2:$K$1001,0),0)))</f>
        <v>0</v>
      </c>
      <c r="B820" s="3">
        <f>IF(OR(INDEX($L$2:$L$1001,MATCH(ROWS($K$2:K820),$K$2:$K$1001,0),1)&gt;=100000,INDEX($R$1005:$W$1005,1,MATCH(COLUMNS($R$1006:R1006),$R$1006:$W$1006,0))&gt;=100000), " ",IF(INDEX($R$2:$W$1001,MATCH(ROWS($K$2:K820),$K$2:$K$1001,0),MATCH(COLUMNS($R$1006:R1006),$R$1006:$W$1006,0)), HYPERLINK("#",""), HYPERLINK(CONCATENATE("#Metadata!", ADDRESS(INDEX($M$2:$M$1001,MATCH(ROWS($K$2:K820),$K$2:$K$1001,0),0), INDEX($R$1004:$W$1004,1,MATCH(COLUMNS($R$1006:R1006),$R$1006:$W$1006,0)))),"Fix")))</f>
        <v>0</v>
      </c>
      <c r="C820" s="3">
        <f>IF(OR(INDEX($L$2:$L$1001,MATCH(ROWS($K$2:K820),$K$2:$K$1001,0),1)&gt;=100000,INDEX($R$1005:$W$1005,1,MATCH(COLUMNS($R$1006:S1006),$R$1006:$W$1006,0))&gt;=100000), " ",IF(INDEX($R$2:$W$1001,MATCH(ROWS($K$2:K820),$K$2:$K$1001,0),MATCH(COLUMNS($R$1006:S1006),$R$1006:$W$1006,0)), HYPERLINK("#",""), HYPERLINK(CONCATENATE("#Metadata!", ADDRESS(INDEX($M$2:$M$1001,MATCH(ROWS($K$2:K820),$K$2:$K$1001,0),0), INDEX($R$1004:$W$1004,1,MATCH(COLUMNS($R$1006:S1006),$R$1006:$W$1006,0)))),"Fix")))</f>
        <v>0</v>
      </c>
      <c r="D820" s="3">
        <f>IF(OR(INDEX($L$2:$L$1001,MATCH(ROWS($K$2:K820),$K$2:$K$1001,0),1)&gt;=100000,INDEX($R$1005:$W$1005,1,MATCH(COLUMNS($R$1006:T1006),$R$1006:$W$1006,0))&gt;=100000), " ",IF(INDEX($R$2:$W$1001,MATCH(ROWS($K$2:K820),$K$2:$K$1001,0),MATCH(COLUMNS($R$1006:T1006),$R$1006:$W$1006,0)), HYPERLINK("#",""), HYPERLINK(CONCATENATE("#Metadata!", ADDRESS(INDEX($M$2:$M$1001,MATCH(ROWS($K$2:K820),$K$2:$K$1001,0),0), INDEX($R$1004:$W$1004,1,MATCH(COLUMNS($R$1006:T1006),$R$1006:$W$1006,0)))),"Fix")))</f>
        <v>0</v>
      </c>
      <c r="E820" s="3">
        <f>IF(OR(INDEX($L$2:$L$1001,MATCH(ROWS($K$2:K820),$K$2:$K$1001,0),1)&gt;=100000,INDEX($R$1005:$W$1005,1,MATCH(COLUMNS($R$1006:U1006),$R$1006:$W$1006,0))&gt;=100000), " ",IF(INDEX($R$2:$W$1001,MATCH(ROWS($K$2:K820),$K$2:$K$1001,0),MATCH(COLUMNS($R$1006:U1006),$R$1006:$W$1006,0)), HYPERLINK("#",""), HYPERLINK(CONCATENATE("#Metadata!", ADDRESS(INDEX($M$2:$M$1001,MATCH(ROWS($K$2:K820),$K$2:$K$1001,0),0), INDEX($R$1004:$W$1004,1,MATCH(COLUMNS($R$1006:U1006),$R$1006:$W$1006,0)))),"Fix")))</f>
        <v>0</v>
      </c>
      <c r="F820" s="3">
        <f>IF(OR(INDEX($L$2:$L$1001,MATCH(ROWS($K$2:K820),$K$2:$K$1001,0),1)&gt;=100000,INDEX($R$1005:$W$1005,1,MATCH(COLUMNS($R$1006:V1006),$R$1006:$W$1006,0))&gt;=100000), " ",IF(INDEX($R$2:$W$1001,MATCH(ROWS($K$2:K820),$K$2:$K$1001,0),MATCH(COLUMNS($R$1006:V1006),$R$1006:$W$1006,0)), HYPERLINK("#",""), HYPERLINK(CONCATENATE("#Metadata!", ADDRESS(INDEX($M$2:$M$1001,MATCH(ROWS($K$2:K820),$K$2:$K$1001,0),0), INDEX($R$1004:$W$1004,1,MATCH(COLUMNS($R$1006:V1006),$R$1006:$W$1006,0)))),"Fix")))</f>
        <v>0</v>
      </c>
      <c r="G820" s="3">
        <f>IF(OR(INDEX($L$2:$L$1001,MATCH(ROWS($K$2:K820),$K$2:$K$1001,0),1)&gt;=100000,INDEX($R$1005:$W$1005,1,MATCH(COLUMNS($R$1006:W1006),$R$1006:$W$1006,0))&gt;=100000), " ",IF(INDEX($R$2:$W$1001,MATCH(ROWS($K$2:K820),$K$2:$K$1001,0),MATCH(COLUMNS($R$1006:W1006),$R$1006:$W$1006,0)), HYPERLINK("#",""), HYPERLINK(CONCATENATE("#Metadata!", ADDRESS(INDEX($M$2:$M$1001,MATCH(ROWS($K$2:K820),$K$2:$K$1001,0),0), INDEX($R$1004:$W$1004,1,MATCH(COLUMNS($R$1006:W1006),$R$1006:$W$1006,0)))),"Fix")))</f>
        <v>0</v>
      </c>
      <c r="K820">
        <v>0</v>
      </c>
      <c r="L820">
        <v>0</v>
      </c>
      <c r="M820">
        <v>0</v>
      </c>
      <c r="N820">
        <f>IF(O820,TRUE,AND(R820:W820))</f>
        <v>0</v>
      </c>
      <c r="O820">
        <f>COUNTBLANK(Metadata!B820:G820)=COLUMNS(Metadata!B820:G820)</f>
        <v>0</v>
      </c>
      <c r="P820">
        <v>0</v>
      </c>
      <c r="R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S820">
        <f>IF(Metadata!C820="",FALSE,TRUE)</f>
        <v>0</v>
      </c>
      <c r="T820">
        <f>IF(Metadata!D820="",FALSE,TRUE)</f>
        <v>0</v>
      </c>
      <c r="U820">
        <f>IF(Metadata!E820="",FALSE,TRUE)</f>
        <v>0</v>
      </c>
      <c r="V820">
        <f>AND(IF(Metadata!F820="",FALSE,TRUE),exact(Metadata!F820,"rat gut metagenome"))</f>
        <v>0</v>
      </c>
      <c r="W820">
        <f>AND(IF(Metadata!G820="",FALSE,TRUE),exact(Metadata!G820,"1436733"))</f>
        <v>0</v>
      </c>
    </row>
    <row r="821" spans="1:23">
      <c r="A821" s="4">
        <f>IF(B821=" "," ",HYPERLINK(CONCATENATE("#metadata!",ADDRESS(INDEX($M$2:$M$1001,MATCH(ROWS($K$2:K821),$K$2:$K$1001,0),0),1)),INDEX($P$2:$P$1001,MATCH(ROWS($K$2:K821),$K$2:$K$1001,0),0)))</f>
        <v>0</v>
      </c>
      <c r="B821" s="3">
        <f>IF(OR(INDEX($L$2:$L$1001,MATCH(ROWS($K$2:K821),$K$2:$K$1001,0),1)&gt;=100000,INDEX($R$1005:$W$1005,1,MATCH(COLUMNS($R$1006:R1006),$R$1006:$W$1006,0))&gt;=100000), " ",IF(INDEX($R$2:$W$1001,MATCH(ROWS($K$2:K821),$K$2:$K$1001,0),MATCH(COLUMNS($R$1006:R1006),$R$1006:$W$1006,0)), HYPERLINK("#",""), HYPERLINK(CONCATENATE("#Metadata!", ADDRESS(INDEX($M$2:$M$1001,MATCH(ROWS($K$2:K821),$K$2:$K$1001,0),0), INDEX($R$1004:$W$1004,1,MATCH(COLUMNS($R$1006:R1006),$R$1006:$W$1006,0)))),"Fix")))</f>
        <v>0</v>
      </c>
      <c r="C821" s="3">
        <f>IF(OR(INDEX($L$2:$L$1001,MATCH(ROWS($K$2:K821),$K$2:$K$1001,0),1)&gt;=100000,INDEX($R$1005:$W$1005,1,MATCH(COLUMNS($R$1006:S1006),$R$1006:$W$1006,0))&gt;=100000), " ",IF(INDEX($R$2:$W$1001,MATCH(ROWS($K$2:K821),$K$2:$K$1001,0),MATCH(COLUMNS($R$1006:S1006),$R$1006:$W$1006,0)), HYPERLINK("#",""), HYPERLINK(CONCATENATE("#Metadata!", ADDRESS(INDEX($M$2:$M$1001,MATCH(ROWS($K$2:K821),$K$2:$K$1001,0),0), INDEX($R$1004:$W$1004,1,MATCH(COLUMNS($R$1006:S1006),$R$1006:$W$1006,0)))),"Fix")))</f>
        <v>0</v>
      </c>
      <c r="D821" s="3">
        <f>IF(OR(INDEX($L$2:$L$1001,MATCH(ROWS($K$2:K821),$K$2:$K$1001,0),1)&gt;=100000,INDEX($R$1005:$W$1005,1,MATCH(COLUMNS($R$1006:T1006),$R$1006:$W$1006,0))&gt;=100000), " ",IF(INDEX($R$2:$W$1001,MATCH(ROWS($K$2:K821),$K$2:$K$1001,0),MATCH(COLUMNS($R$1006:T1006),$R$1006:$W$1006,0)), HYPERLINK("#",""), HYPERLINK(CONCATENATE("#Metadata!", ADDRESS(INDEX($M$2:$M$1001,MATCH(ROWS($K$2:K821),$K$2:$K$1001,0),0), INDEX($R$1004:$W$1004,1,MATCH(COLUMNS($R$1006:T1006),$R$1006:$W$1006,0)))),"Fix")))</f>
        <v>0</v>
      </c>
      <c r="E821" s="3">
        <f>IF(OR(INDEX($L$2:$L$1001,MATCH(ROWS($K$2:K821),$K$2:$K$1001,0),1)&gt;=100000,INDEX($R$1005:$W$1005,1,MATCH(COLUMNS($R$1006:U1006),$R$1006:$W$1006,0))&gt;=100000), " ",IF(INDEX($R$2:$W$1001,MATCH(ROWS($K$2:K821),$K$2:$K$1001,0),MATCH(COLUMNS($R$1006:U1006),$R$1006:$W$1006,0)), HYPERLINK("#",""), HYPERLINK(CONCATENATE("#Metadata!", ADDRESS(INDEX($M$2:$M$1001,MATCH(ROWS($K$2:K821),$K$2:$K$1001,0),0), INDEX($R$1004:$W$1004,1,MATCH(COLUMNS($R$1006:U1006),$R$1006:$W$1006,0)))),"Fix")))</f>
        <v>0</v>
      </c>
      <c r="F821" s="3">
        <f>IF(OR(INDEX($L$2:$L$1001,MATCH(ROWS($K$2:K821),$K$2:$K$1001,0),1)&gt;=100000,INDEX($R$1005:$W$1005,1,MATCH(COLUMNS($R$1006:V1006),$R$1006:$W$1006,0))&gt;=100000), " ",IF(INDEX($R$2:$W$1001,MATCH(ROWS($K$2:K821),$K$2:$K$1001,0),MATCH(COLUMNS($R$1006:V1006),$R$1006:$W$1006,0)), HYPERLINK("#",""), HYPERLINK(CONCATENATE("#Metadata!", ADDRESS(INDEX($M$2:$M$1001,MATCH(ROWS($K$2:K821),$K$2:$K$1001,0),0), INDEX($R$1004:$W$1004,1,MATCH(COLUMNS($R$1006:V1006),$R$1006:$W$1006,0)))),"Fix")))</f>
        <v>0</v>
      </c>
      <c r="G821" s="3">
        <f>IF(OR(INDEX($L$2:$L$1001,MATCH(ROWS($K$2:K821),$K$2:$K$1001,0),1)&gt;=100000,INDEX($R$1005:$W$1005,1,MATCH(COLUMNS($R$1006:W1006),$R$1006:$W$1006,0))&gt;=100000), " ",IF(INDEX($R$2:$W$1001,MATCH(ROWS($K$2:K821),$K$2:$K$1001,0),MATCH(COLUMNS($R$1006:W1006),$R$1006:$W$1006,0)), HYPERLINK("#",""), HYPERLINK(CONCATENATE("#Metadata!", ADDRESS(INDEX($M$2:$M$1001,MATCH(ROWS($K$2:K821),$K$2:$K$1001,0),0), INDEX($R$1004:$W$1004,1,MATCH(COLUMNS($R$1006:W1006),$R$1006:$W$1006,0)))),"Fix")))</f>
        <v>0</v>
      </c>
      <c r="K821">
        <v>0</v>
      </c>
      <c r="L821">
        <v>0</v>
      </c>
      <c r="M821">
        <v>0</v>
      </c>
      <c r="N821">
        <f>IF(O821,TRUE,AND(R821:W821))</f>
        <v>0</v>
      </c>
      <c r="O821">
        <f>COUNTBLANK(Metadata!B821:G821)=COLUMNS(Metadata!B821:G821)</f>
        <v>0</v>
      </c>
      <c r="P821">
        <v>0</v>
      </c>
      <c r="R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S821">
        <f>IF(Metadata!C821="",FALSE,TRUE)</f>
        <v>0</v>
      </c>
      <c r="T821">
        <f>IF(Metadata!D821="",FALSE,TRUE)</f>
        <v>0</v>
      </c>
      <c r="U821">
        <f>IF(Metadata!E821="",FALSE,TRUE)</f>
        <v>0</v>
      </c>
      <c r="V821">
        <f>AND(IF(Metadata!F821="",FALSE,TRUE),exact(Metadata!F821,"rat gut metagenome"))</f>
        <v>0</v>
      </c>
      <c r="W821">
        <f>AND(IF(Metadata!G821="",FALSE,TRUE),exact(Metadata!G821,"1436733"))</f>
        <v>0</v>
      </c>
    </row>
    <row r="822" spans="1:23">
      <c r="A822" s="4">
        <f>IF(B822=" "," ",HYPERLINK(CONCATENATE("#metadata!",ADDRESS(INDEX($M$2:$M$1001,MATCH(ROWS($K$2:K822),$K$2:$K$1001,0),0),1)),INDEX($P$2:$P$1001,MATCH(ROWS($K$2:K822),$K$2:$K$1001,0),0)))</f>
        <v>0</v>
      </c>
      <c r="B822" s="3">
        <f>IF(OR(INDEX($L$2:$L$1001,MATCH(ROWS($K$2:K822),$K$2:$K$1001,0),1)&gt;=100000,INDEX($R$1005:$W$1005,1,MATCH(COLUMNS($R$1006:R1006),$R$1006:$W$1006,0))&gt;=100000), " ",IF(INDEX($R$2:$W$1001,MATCH(ROWS($K$2:K822),$K$2:$K$1001,0),MATCH(COLUMNS($R$1006:R1006),$R$1006:$W$1006,0)), HYPERLINK("#",""), HYPERLINK(CONCATENATE("#Metadata!", ADDRESS(INDEX($M$2:$M$1001,MATCH(ROWS($K$2:K822),$K$2:$K$1001,0),0), INDEX($R$1004:$W$1004,1,MATCH(COLUMNS($R$1006:R1006),$R$1006:$W$1006,0)))),"Fix")))</f>
        <v>0</v>
      </c>
      <c r="C822" s="3">
        <f>IF(OR(INDEX($L$2:$L$1001,MATCH(ROWS($K$2:K822),$K$2:$K$1001,0),1)&gt;=100000,INDEX($R$1005:$W$1005,1,MATCH(COLUMNS($R$1006:S1006),$R$1006:$W$1006,0))&gt;=100000), " ",IF(INDEX($R$2:$W$1001,MATCH(ROWS($K$2:K822),$K$2:$K$1001,0),MATCH(COLUMNS($R$1006:S1006),$R$1006:$W$1006,0)), HYPERLINK("#",""), HYPERLINK(CONCATENATE("#Metadata!", ADDRESS(INDEX($M$2:$M$1001,MATCH(ROWS($K$2:K822),$K$2:$K$1001,0),0), INDEX($R$1004:$W$1004,1,MATCH(COLUMNS($R$1006:S1006),$R$1006:$W$1006,0)))),"Fix")))</f>
        <v>0</v>
      </c>
      <c r="D822" s="3">
        <f>IF(OR(INDEX($L$2:$L$1001,MATCH(ROWS($K$2:K822),$K$2:$K$1001,0),1)&gt;=100000,INDEX($R$1005:$W$1005,1,MATCH(COLUMNS($R$1006:T1006),$R$1006:$W$1006,0))&gt;=100000), " ",IF(INDEX($R$2:$W$1001,MATCH(ROWS($K$2:K822),$K$2:$K$1001,0),MATCH(COLUMNS($R$1006:T1006),$R$1006:$W$1006,0)), HYPERLINK("#",""), HYPERLINK(CONCATENATE("#Metadata!", ADDRESS(INDEX($M$2:$M$1001,MATCH(ROWS($K$2:K822),$K$2:$K$1001,0),0), INDEX($R$1004:$W$1004,1,MATCH(COLUMNS($R$1006:T1006),$R$1006:$W$1006,0)))),"Fix")))</f>
        <v>0</v>
      </c>
      <c r="E822" s="3">
        <f>IF(OR(INDEX($L$2:$L$1001,MATCH(ROWS($K$2:K822),$K$2:$K$1001,0),1)&gt;=100000,INDEX($R$1005:$W$1005,1,MATCH(COLUMNS($R$1006:U1006),$R$1006:$W$1006,0))&gt;=100000), " ",IF(INDEX($R$2:$W$1001,MATCH(ROWS($K$2:K822),$K$2:$K$1001,0),MATCH(COLUMNS($R$1006:U1006),$R$1006:$W$1006,0)), HYPERLINK("#",""), HYPERLINK(CONCATENATE("#Metadata!", ADDRESS(INDEX($M$2:$M$1001,MATCH(ROWS($K$2:K822),$K$2:$K$1001,0),0), INDEX($R$1004:$W$1004,1,MATCH(COLUMNS($R$1006:U1006),$R$1006:$W$1006,0)))),"Fix")))</f>
        <v>0</v>
      </c>
      <c r="F822" s="3">
        <f>IF(OR(INDEX($L$2:$L$1001,MATCH(ROWS($K$2:K822),$K$2:$K$1001,0),1)&gt;=100000,INDEX($R$1005:$W$1005,1,MATCH(COLUMNS($R$1006:V1006),$R$1006:$W$1006,0))&gt;=100000), " ",IF(INDEX($R$2:$W$1001,MATCH(ROWS($K$2:K822),$K$2:$K$1001,0),MATCH(COLUMNS($R$1006:V1006),$R$1006:$W$1006,0)), HYPERLINK("#",""), HYPERLINK(CONCATENATE("#Metadata!", ADDRESS(INDEX($M$2:$M$1001,MATCH(ROWS($K$2:K822),$K$2:$K$1001,0),0), INDEX($R$1004:$W$1004,1,MATCH(COLUMNS($R$1006:V1006),$R$1006:$W$1006,0)))),"Fix")))</f>
        <v>0</v>
      </c>
      <c r="G822" s="3">
        <f>IF(OR(INDEX($L$2:$L$1001,MATCH(ROWS($K$2:K822),$K$2:$K$1001,0),1)&gt;=100000,INDEX($R$1005:$W$1005,1,MATCH(COLUMNS($R$1006:W1006),$R$1006:$W$1006,0))&gt;=100000), " ",IF(INDEX($R$2:$W$1001,MATCH(ROWS($K$2:K822),$K$2:$K$1001,0),MATCH(COLUMNS($R$1006:W1006),$R$1006:$W$1006,0)), HYPERLINK("#",""), HYPERLINK(CONCATENATE("#Metadata!", ADDRESS(INDEX($M$2:$M$1001,MATCH(ROWS($K$2:K822),$K$2:$K$1001,0),0), INDEX($R$1004:$W$1004,1,MATCH(COLUMNS($R$1006:W1006),$R$1006:$W$1006,0)))),"Fix")))</f>
        <v>0</v>
      </c>
      <c r="K822">
        <v>0</v>
      </c>
      <c r="L822">
        <v>0</v>
      </c>
      <c r="M822">
        <v>0</v>
      </c>
      <c r="N822">
        <f>IF(O822,TRUE,AND(R822:W822))</f>
        <v>0</v>
      </c>
      <c r="O822">
        <f>COUNTBLANK(Metadata!B822:G822)=COLUMNS(Metadata!B822:G822)</f>
        <v>0</v>
      </c>
      <c r="P822">
        <v>0</v>
      </c>
      <c r="R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S822">
        <f>IF(Metadata!C822="",FALSE,TRUE)</f>
        <v>0</v>
      </c>
      <c r="T822">
        <f>IF(Metadata!D822="",FALSE,TRUE)</f>
        <v>0</v>
      </c>
      <c r="U822">
        <f>IF(Metadata!E822="",FALSE,TRUE)</f>
        <v>0</v>
      </c>
      <c r="V822">
        <f>AND(IF(Metadata!F822="",FALSE,TRUE),exact(Metadata!F822,"rat gut metagenome"))</f>
        <v>0</v>
      </c>
      <c r="W822">
        <f>AND(IF(Metadata!G822="",FALSE,TRUE),exact(Metadata!G822,"1436733"))</f>
        <v>0</v>
      </c>
    </row>
    <row r="823" spans="1:23">
      <c r="A823" s="4">
        <f>IF(B823=" "," ",HYPERLINK(CONCATENATE("#metadata!",ADDRESS(INDEX($M$2:$M$1001,MATCH(ROWS($K$2:K823),$K$2:$K$1001,0),0),1)),INDEX($P$2:$P$1001,MATCH(ROWS($K$2:K823),$K$2:$K$1001,0),0)))</f>
        <v>0</v>
      </c>
      <c r="B823" s="3">
        <f>IF(OR(INDEX($L$2:$L$1001,MATCH(ROWS($K$2:K823),$K$2:$K$1001,0),1)&gt;=100000,INDEX($R$1005:$W$1005,1,MATCH(COLUMNS($R$1006:R1006),$R$1006:$W$1006,0))&gt;=100000), " ",IF(INDEX($R$2:$W$1001,MATCH(ROWS($K$2:K823),$K$2:$K$1001,0),MATCH(COLUMNS($R$1006:R1006),$R$1006:$W$1006,0)), HYPERLINK("#",""), HYPERLINK(CONCATENATE("#Metadata!", ADDRESS(INDEX($M$2:$M$1001,MATCH(ROWS($K$2:K823),$K$2:$K$1001,0),0), INDEX($R$1004:$W$1004,1,MATCH(COLUMNS($R$1006:R1006),$R$1006:$W$1006,0)))),"Fix")))</f>
        <v>0</v>
      </c>
      <c r="C823" s="3">
        <f>IF(OR(INDEX($L$2:$L$1001,MATCH(ROWS($K$2:K823),$K$2:$K$1001,0),1)&gt;=100000,INDEX($R$1005:$W$1005,1,MATCH(COLUMNS($R$1006:S1006),$R$1006:$W$1006,0))&gt;=100000), " ",IF(INDEX($R$2:$W$1001,MATCH(ROWS($K$2:K823),$K$2:$K$1001,0),MATCH(COLUMNS($R$1006:S1006),$R$1006:$W$1006,0)), HYPERLINK("#",""), HYPERLINK(CONCATENATE("#Metadata!", ADDRESS(INDEX($M$2:$M$1001,MATCH(ROWS($K$2:K823),$K$2:$K$1001,0),0), INDEX($R$1004:$W$1004,1,MATCH(COLUMNS($R$1006:S1006),$R$1006:$W$1006,0)))),"Fix")))</f>
        <v>0</v>
      </c>
      <c r="D823" s="3">
        <f>IF(OR(INDEX($L$2:$L$1001,MATCH(ROWS($K$2:K823),$K$2:$K$1001,0),1)&gt;=100000,INDEX($R$1005:$W$1005,1,MATCH(COLUMNS($R$1006:T1006),$R$1006:$W$1006,0))&gt;=100000), " ",IF(INDEX($R$2:$W$1001,MATCH(ROWS($K$2:K823),$K$2:$K$1001,0),MATCH(COLUMNS($R$1006:T1006),$R$1006:$W$1006,0)), HYPERLINK("#",""), HYPERLINK(CONCATENATE("#Metadata!", ADDRESS(INDEX($M$2:$M$1001,MATCH(ROWS($K$2:K823),$K$2:$K$1001,0),0), INDEX($R$1004:$W$1004,1,MATCH(COLUMNS($R$1006:T1006),$R$1006:$W$1006,0)))),"Fix")))</f>
        <v>0</v>
      </c>
      <c r="E823" s="3">
        <f>IF(OR(INDEX($L$2:$L$1001,MATCH(ROWS($K$2:K823),$K$2:$K$1001,0),1)&gt;=100000,INDEX($R$1005:$W$1005,1,MATCH(COLUMNS($R$1006:U1006),$R$1006:$W$1006,0))&gt;=100000), " ",IF(INDEX($R$2:$W$1001,MATCH(ROWS($K$2:K823),$K$2:$K$1001,0),MATCH(COLUMNS($R$1006:U1006),$R$1006:$W$1006,0)), HYPERLINK("#",""), HYPERLINK(CONCATENATE("#Metadata!", ADDRESS(INDEX($M$2:$M$1001,MATCH(ROWS($K$2:K823),$K$2:$K$1001,0),0), INDEX($R$1004:$W$1004,1,MATCH(COLUMNS($R$1006:U1006),$R$1006:$W$1006,0)))),"Fix")))</f>
        <v>0</v>
      </c>
      <c r="F823" s="3">
        <f>IF(OR(INDEX($L$2:$L$1001,MATCH(ROWS($K$2:K823),$K$2:$K$1001,0),1)&gt;=100000,INDEX($R$1005:$W$1005,1,MATCH(COLUMNS($R$1006:V1006),$R$1006:$W$1006,0))&gt;=100000), " ",IF(INDEX($R$2:$W$1001,MATCH(ROWS($K$2:K823),$K$2:$K$1001,0),MATCH(COLUMNS($R$1006:V1006),$R$1006:$W$1006,0)), HYPERLINK("#",""), HYPERLINK(CONCATENATE("#Metadata!", ADDRESS(INDEX($M$2:$M$1001,MATCH(ROWS($K$2:K823),$K$2:$K$1001,0),0), INDEX($R$1004:$W$1004,1,MATCH(COLUMNS($R$1006:V1006),$R$1006:$W$1006,0)))),"Fix")))</f>
        <v>0</v>
      </c>
      <c r="G823" s="3">
        <f>IF(OR(INDEX($L$2:$L$1001,MATCH(ROWS($K$2:K823),$K$2:$K$1001,0),1)&gt;=100000,INDEX($R$1005:$W$1005,1,MATCH(COLUMNS($R$1006:W1006),$R$1006:$W$1006,0))&gt;=100000), " ",IF(INDEX($R$2:$W$1001,MATCH(ROWS($K$2:K823),$K$2:$K$1001,0),MATCH(COLUMNS($R$1006:W1006),$R$1006:$W$1006,0)), HYPERLINK("#",""), HYPERLINK(CONCATENATE("#Metadata!", ADDRESS(INDEX($M$2:$M$1001,MATCH(ROWS($K$2:K823),$K$2:$K$1001,0),0), INDEX($R$1004:$W$1004,1,MATCH(COLUMNS($R$1006:W1006),$R$1006:$W$1006,0)))),"Fix")))</f>
        <v>0</v>
      </c>
      <c r="K823">
        <v>0</v>
      </c>
      <c r="L823">
        <v>0</v>
      </c>
      <c r="M823">
        <v>0</v>
      </c>
      <c r="N823">
        <f>IF(O823,TRUE,AND(R823:W823))</f>
        <v>0</v>
      </c>
      <c r="O823">
        <f>COUNTBLANK(Metadata!B823:G823)=COLUMNS(Metadata!B823:G823)</f>
        <v>0</v>
      </c>
      <c r="P823">
        <v>0</v>
      </c>
      <c r="R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S823">
        <f>IF(Metadata!C823="",FALSE,TRUE)</f>
        <v>0</v>
      </c>
      <c r="T823">
        <f>IF(Metadata!D823="",FALSE,TRUE)</f>
        <v>0</v>
      </c>
      <c r="U823">
        <f>IF(Metadata!E823="",FALSE,TRUE)</f>
        <v>0</v>
      </c>
      <c r="V823">
        <f>AND(IF(Metadata!F823="",FALSE,TRUE),exact(Metadata!F823,"rat gut metagenome"))</f>
        <v>0</v>
      </c>
      <c r="W823">
        <f>AND(IF(Metadata!G823="",FALSE,TRUE),exact(Metadata!G823,"1436733"))</f>
        <v>0</v>
      </c>
    </row>
    <row r="824" spans="1:23">
      <c r="A824" s="4">
        <f>IF(B824=" "," ",HYPERLINK(CONCATENATE("#metadata!",ADDRESS(INDEX($M$2:$M$1001,MATCH(ROWS($K$2:K824),$K$2:$K$1001,0),0),1)),INDEX($P$2:$P$1001,MATCH(ROWS($K$2:K824),$K$2:$K$1001,0),0)))</f>
        <v>0</v>
      </c>
      <c r="B824" s="3">
        <f>IF(OR(INDEX($L$2:$L$1001,MATCH(ROWS($K$2:K824),$K$2:$K$1001,0),1)&gt;=100000,INDEX($R$1005:$W$1005,1,MATCH(COLUMNS($R$1006:R1006),$R$1006:$W$1006,0))&gt;=100000), " ",IF(INDEX($R$2:$W$1001,MATCH(ROWS($K$2:K824),$K$2:$K$1001,0),MATCH(COLUMNS($R$1006:R1006),$R$1006:$W$1006,0)), HYPERLINK("#",""), HYPERLINK(CONCATENATE("#Metadata!", ADDRESS(INDEX($M$2:$M$1001,MATCH(ROWS($K$2:K824),$K$2:$K$1001,0),0), INDEX($R$1004:$W$1004,1,MATCH(COLUMNS($R$1006:R1006),$R$1006:$W$1006,0)))),"Fix")))</f>
        <v>0</v>
      </c>
      <c r="C824" s="3">
        <f>IF(OR(INDEX($L$2:$L$1001,MATCH(ROWS($K$2:K824),$K$2:$K$1001,0),1)&gt;=100000,INDEX($R$1005:$W$1005,1,MATCH(COLUMNS($R$1006:S1006),$R$1006:$W$1006,0))&gt;=100000), " ",IF(INDEX($R$2:$W$1001,MATCH(ROWS($K$2:K824),$K$2:$K$1001,0),MATCH(COLUMNS($R$1006:S1006),$R$1006:$W$1006,0)), HYPERLINK("#",""), HYPERLINK(CONCATENATE("#Metadata!", ADDRESS(INDEX($M$2:$M$1001,MATCH(ROWS($K$2:K824),$K$2:$K$1001,0),0), INDEX($R$1004:$W$1004,1,MATCH(COLUMNS($R$1006:S1006),$R$1006:$W$1006,0)))),"Fix")))</f>
        <v>0</v>
      </c>
      <c r="D824" s="3">
        <f>IF(OR(INDEX($L$2:$L$1001,MATCH(ROWS($K$2:K824),$K$2:$K$1001,0),1)&gt;=100000,INDEX($R$1005:$W$1005,1,MATCH(COLUMNS($R$1006:T1006),$R$1006:$W$1006,0))&gt;=100000), " ",IF(INDEX($R$2:$W$1001,MATCH(ROWS($K$2:K824),$K$2:$K$1001,0),MATCH(COLUMNS($R$1006:T1006),$R$1006:$W$1006,0)), HYPERLINK("#",""), HYPERLINK(CONCATENATE("#Metadata!", ADDRESS(INDEX($M$2:$M$1001,MATCH(ROWS($K$2:K824),$K$2:$K$1001,0),0), INDEX($R$1004:$W$1004,1,MATCH(COLUMNS($R$1006:T1006),$R$1006:$W$1006,0)))),"Fix")))</f>
        <v>0</v>
      </c>
      <c r="E824" s="3">
        <f>IF(OR(INDEX($L$2:$L$1001,MATCH(ROWS($K$2:K824),$K$2:$K$1001,0),1)&gt;=100000,INDEX($R$1005:$W$1005,1,MATCH(COLUMNS($R$1006:U1006),$R$1006:$W$1006,0))&gt;=100000), " ",IF(INDEX($R$2:$W$1001,MATCH(ROWS($K$2:K824),$K$2:$K$1001,0),MATCH(COLUMNS($R$1006:U1006),$R$1006:$W$1006,0)), HYPERLINK("#",""), HYPERLINK(CONCATENATE("#Metadata!", ADDRESS(INDEX($M$2:$M$1001,MATCH(ROWS($K$2:K824),$K$2:$K$1001,0),0), INDEX($R$1004:$W$1004,1,MATCH(COLUMNS($R$1006:U1006),$R$1006:$W$1006,0)))),"Fix")))</f>
        <v>0</v>
      </c>
      <c r="F824" s="3">
        <f>IF(OR(INDEX($L$2:$L$1001,MATCH(ROWS($K$2:K824),$K$2:$K$1001,0),1)&gt;=100000,INDEX($R$1005:$W$1005,1,MATCH(COLUMNS($R$1006:V1006),$R$1006:$W$1006,0))&gt;=100000), " ",IF(INDEX($R$2:$W$1001,MATCH(ROWS($K$2:K824),$K$2:$K$1001,0),MATCH(COLUMNS($R$1006:V1006),$R$1006:$W$1006,0)), HYPERLINK("#",""), HYPERLINK(CONCATENATE("#Metadata!", ADDRESS(INDEX($M$2:$M$1001,MATCH(ROWS($K$2:K824),$K$2:$K$1001,0),0), INDEX($R$1004:$W$1004,1,MATCH(COLUMNS($R$1006:V1006),$R$1006:$W$1006,0)))),"Fix")))</f>
        <v>0</v>
      </c>
      <c r="G824" s="3">
        <f>IF(OR(INDEX($L$2:$L$1001,MATCH(ROWS($K$2:K824),$K$2:$K$1001,0),1)&gt;=100000,INDEX($R$1005:$W$1005,1,MATCH(COLUMNS($R$1006:W1006),$R$1006:$W$1006,0))&gt;=100000), " ",IF(INDEX($R$2:$W$1001,MATCH(ROWS($K$2:K824),$K$2:$K$1001,0),MATCH(COLUMNS($R$1006:W1006),$R$1006:$W$1006,0)), HYPERLINK("#",""), HYPERLINK(CONCATENATE("#Metadata!", ADDRESS(INDEX($M$2:$M$1001,MATCH(ROWS($K$2:K824),$K$2:$K$1001,0),0), INDEX($R$1004:$W$1004,1,MATCH(COLUMNS($R$1006:W1006),$R$1006:$W$1006,0)))),"Fix")))</f>
        <v>0</v>
      </c>
      <c r="K824">
        <v>0</v>
      </c>
      <c r="L824">
        <v>0</v>
      </c>
      <c r="M824">
        <v>0</v>
      </c>
      <c r="N824">
        <f>IF(O824,TRUE,AND(R824:W824))</f>
        <v>0</v>
      </c>
      <c r="O824">
        <f>COUNTBLANK(Metadata!B824:G824)=COLUMNS(Metadata!B824:G824)</f>
        <v>0</v>
      </c>
      <c r="P824">
        <v>0</v>
      </c>
      <c r="R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S824">
        <f>IF(Metadata!C824="",FALSE,TRUE)</f>
        <v>0</v>
      </c>
      <c r="T824">
        <f>IF(Metadata!D824="",FALSE,TRUE)</f>
        <v>0</v>
      </c>
      <c r="U824">
        <f>IF(Metadata!E824="",FALSE,TRUE)</f>
        <v>0</v>
      </c>
      <c r="V824">
        <f>AND(IF(Metadata!F824="",FALSE,TRUE),exact(Metadata!F824,"rat gut metagenome"))</f>
        <v>0</v>
      </c>
      <c r="W824">
        <f>AND(IF(Metadata!G824="",FALSE,TRUE),exact(Metadata!G824,"1436733"))</f>
        <v>0</v>
      </c>
    </row>
    <row r="825" spans="1:23">
      <c r="A825" s="4">
        <f>IF(B825=" "," ",HYPERLINK(CONCATENATE("#metadata!",ADDRESS(INDEX($M$2:$M$1001,MATCH(ROWS($K$2:K825),$K$2:$K$1001,0),0),1)),INDEX($P$2:$P$1001,MATCH(ROWS($K$2:K825),$K$2:$K$1001,0),0)))</f>
        <v>0</v>
      </c>
      <c r="B825" s="3">
        <f>IF(OR(INDEX($L$2:$L$1001,MATCH(ROWS($K$2:K825),$K$2:$K$1001,0),1)&gt;=100000,INDEX($R$1005:$W$1005,1,MATCH(COLUMNS($R$1006:R1006),$R$1006:$W$1006,0))&gt;=100000), " ",IF(INDEX($R$2:$W$1001,MATCH(ROWS($K$2:K825),$K$2:$K$1001,0),MATCH(COLUMNS($R$1006:R1006),$R$1006:$W$1006,0)), HYPERLINK("#",""), HYPERLINK(CONCATENATE("#Metadata!", ADDRESS(INDEX($M$2:$M$1001,MATCH(ROWS($K$2:K825),$K$2:$K$1001,0),0), INDEX($R$1004:$W$1004,1,MATCH(COLUMNS($R$1006:R1006),$R$1006:$W$1006,0)))),"Fix")))</f>
        <v>0</v>
      </c>
      <c r="C825" s="3">
        <f>IF(OR(INDEX($L$2:$L$1001,MATCH(ROWS($K$2:K825),$K$2:$K$1001,0),1)&gt;=100000,INDEX($R$1005:$W$1005,1,MATCH(COLUMNS($R$1006:S1006),$R$1006:$W$1006,0))&gt;=100000), " ",IF(INDEX($R$2:$W$1001,MATCH(ROWS($K$2:K825),$K$2:$K$1001,0),MATCH(COLUMNS($R$1006:S1006),$R$1006:$W$1006,0)), HYPERLINK("#",""), HYPERLINK(CONCATENATE("#Metadata!", ADDRESS(INDEX($M$2:$M$1001,MATCH(ROWS($K$2:K825),$K$2:$K$1001,0),0), INDEX($R$1004:$W$1004,1,MATCH(COLUMNS($R$1006:S1006),$R$1006:$W$1006,0)))),"Fix")))</f>
        <v>0</v>
      </c>
      <c r="D825" s="3">
        <f>IF(OR(INDEX($L$2:$L$1001,MATCH(ROWS($K$2:K825),$K$2:$K$1001,0),1)&gt;=100000,INDEX($R$1005:$W$1005,1,MATCH(COLUMNS($R$1006:T1006),$R$1006:$W$1006,0))&gt;=100000), " ",IF(INDEX($R$2:$W$1001,MATCH(ROWS($K$2:K825),$K$2:$K$1001,0),MATCH(COLUMNS($R$1006:T1006),$R$1006:$W$1006,0)), HYPERLINK("#",""), HYPERLINK(CONCATENATE("#Metadata!", ADDRESS(INDEX($M$2:$M$1001,MATCH(ROWS($K$2:K825),$K$2:$K$1001,0),0), INDEX($R$1004:$W$1004,1,MATCH(COLUMNS($R$1006:T1006),$R$1006:$W$1006,0)))),"Fix")))</f>
        <v>0</v>
      </c>
      <c r="E825" s="3">
        <f>IF(OR(INDEX($L$2:$L$1001,MATCH(ROWS($K$2:K825),$K$2:$K$1001,0),1)&gt;=100000,INDEX($R$1005:$W$1005,1,MATCH(COLUMNS($R$1006:U1006),$R$1006:$W$1006,0))&gt;=100000), " ",IF(INDEX($R$2:$W$1001,MATCH(ROWS($K$2:K825),$K$2:$K$1001,0),MATCH(COLUMNS($R$1006:U1006),$R$1006:$W$1006,0)), HYPERLINK("#",""), HYPERLINK(CONCATENATE("#Metadata!", ADDRESS(INDEX($M$2:$M$1001,MATCH(ROWS($K$2:K825),$K$2:$K$1001,0),0), INDEX($R$1004:$W$1004,1,MATCH(COLUMNS($R$1006:U1006),$R$1006:$W$1006,0)))),"Fix")))</f>
        <v>0</v>
      </c>
      <c r="F825" s="3">
        <f>IF(OR(INDEX($L$2:$L$1001,MATCH(ROWS($K$2:K825),$K$2:$K$1001,0),1)&gt;=100000,INDEX($R$1005:$W$1005,1,MATCH(COLUMNS($R$1006:V1006),$R$1006:$W$1006,0))&gt;=100000), " ",IF(INDEX($R$2:$W$1001,MATCH(ROWS($K$2:K825),$K$2:$K$1001,0),MATCH(COLUMNS($R$1006:V1006),$R$1006:$W$1006,0)), HYPERLINK("#",""), HYPERLINK(CONCATENATE("#Metadata!", ADDRESS(INDEX($M$2:$M$1001,MATCH(ROWS($K$2:K825),$K$2:$K$1001,0),0), INDEX($R$1004:$W$1004,1,MATCH(COLUMNS($R$1006:V1006),$R$1006:$W$1006,0)))),"Fix")))</f>
        <v>0</v>
      </c>
      <c r="G825" s="3">
        <f>IF(OR(INDEX($L$2:$L$1001,MATCH(ROWS($K$2:K825),$K$2:$K$1001,0),1)&gt;=100000,INDEX($R$1005:$W$1005,1,MATCH(COLUMNS($R$1006:W1006),$R$1006:$W$1006,0))&gt;=100000), " ",IF(INDEX($R$2:$W$1001,MATCH(ROWS($K$2:K825),$K$2:$K$1001,0),MATCH(COLUMNS($R$1006:W1006),$R$1006:$W$1006,0)), HYPERLINK("#",""), HYPERLINK(CONCATENATE("#Metadata!", ADDRESS(INDEX($M$2:$M$1001,MATCH(ROWS($K$2:K825),$K$2:$K$1001,0),0), INDEX($R$1004:$W$1004,1,MATCH(COLUMNS($R$1006:W1006),$R$1006:$W$1006,0)))),"Fix")))</f>
        <v>0</v>
      </c>
      <c r="K825">
        <v>0</v>
      </c>
      <c r="L825">
        <v>0</v>
      </c>
      <c r="M825">
        <v>0</v>
      </c>
      <c r="N825">
        <f>IF(O825,TRUE,AND(R825:W825))</f>
        <v>0</v>
      </c>
      <c r="O825">
        <f>COUNTBLANK(Metadata!B825:G825)=COLUMNS(Metadata!B825:G825)</f>
        <v>0</v>
      </c>
      <c r="P825">
        <v>0</v>
      </c>
      <c r="R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S825">
        <f>IF(Metadata!C825="",FALSE,TRUE)</f>
        <v>0</v>
      </c>
      <c r="T825">
        <f>IF(Metadata!D825="",FALSE,TRUE)</f>
        <v>0</v>
      </c>
      <c r="U825">
        <f>IF(Metadata!E825="",FALSE,TRUE)</f>
        <v>0</v>
      </c>
      <c r="V825">
        <f>AND(IF(Metadata!F825="",FALSE,TRUE),exact(Metadata!F825,"rat gut metagenome"))</f>
        <v>0</v>
      </c>
      <c r="W825">
        <f>AND(IF(Metadata!G825="",FALSE,TRUE),exact(Metadata!G825,"1436733"))</f>
        <v>0</v>
      </c>
    </row>
    <row r="826" spans="1:23">
      <c r="A826" s="4">
        <f>IF(B826=" "," ",HYPERLINK(CONCATENATE("#metadata!",ADDRESS(INDEX($M$2:$M$1001,MATCH(ROWS($K$2:K826),$K$2:$K$1001,0),0),1)),INDEX($P$2:$P$1001,MATCH(ROWS($K$2:K826),$K$2:$K$1001,0),0)))</f>
        <v>0</v>
      </c>
      <c r="B826" s="3">
        <f>IF(OR(INDEX($L$2:$L$1001,MATCH(ROWS($K$2:K826),$K$2:$K$1001,0),1)&gt;=100000,INDEX($R$1005:$W$1005,1,MATCH(COLUMNS($R$1006:R1006),$R$1006:$W$1006,0))&gt;=100000), " ",IF(INDEX($R$2:$W$1001,MATCH(ROWS($K$2:K826),$K$2:$K$1001,0),MATCH(COLUMNS($R$1006:R1006),$R$1006:$W$1006,0)), HYPERLINK("#",""), HYPERLINK(CONCATENATE("#Metadata!", ADDRESS(INDEX($M$2:$M$1001,MATCH(ROWS($K$2:K826),$K$2:$K$1001,0),0), INDEX($R$1004:$W$1004,1,MATCH(COLUMNS($R$1006:R1006),$R$1006:$W$1006,0)))),"Fix")))</f>
        <v>0</v>
      </c>
      <c r="C826" s="3">
        <f>IF(OR(INDEX($L$2:$L$1001,MATCH(ROWS($K$2:K826),$K$2:$K$1001,0),1)&gt;=100000,INDEX($R$1005:$W$1005,1,MATCH(COLUMNS($R$1006:S1006),$R$1006:$W$1006,0))&gt;=100000), " ",IF(INDEX($R$2:$W$1001,MATCH(ROWS($K$2:K826),$K$2:$K$1001,0),MATCH(COLUMNS($R$1006:S1006),$R$1006:$W$1006,0)), HYPERLINK("#",""), HYPERLINK(CONCATENATE("#Metadata!", ADDRESS(INDEX($M$2:$M$1001,MATCH(ROWS($K$2:K826),$K$2:$K$1001,0),0), INDEX($R$1004:$W$1004,1,MATCH(COLUMNS($R$1006:S1006),$R$1006:$W$1006,0)))),"Fix")))</f>
        <v>0</v>
      </c>
      <c r="D826" s="3">
        <f>IF(OR(INDEX($L$2:$L$1001,MATCH(ROWS($K$2:K826),$K$2:$K$1001,0),1)&gt;=100000,INDEX($R$1005:$W$1005,1,MATCH(COLUMNS($R$1006:T1006),$R$1006:$W$1006,0))&gt;=100000), " ",IF(INDEX($R$2:$W$1001,MATCH(ROWS($K$2:K826),$K$2:$K$1001,0),MATCH(COLUMNS($R$1006:T1006),$R$1006:$W$1006,0)), HYPERLINK("#",""), HYPERLINK(CONCATENATE("#Metadata!", ADDRESS(INDEX($M$2:$M$1001,MATCH(ROWS($K$2:K826),$K$2:$K$1001,0),0), INDEX($R$1004:$W$1004,1,MATCH(COLUMNS($R$1006:T1006),$R$1006:$W$1006,0)))),"Fix")))</f>
        <v>0</v>
      </c>
      <c r="E826" s="3">
        <f>IF(OR(INDEX($L$2:$L$1001,MATCH(ROWS($K$2:K826),$K$2:$K$1001,0),1)&gt;=100000,INDEX($R$1005:$W$1005,1,MATCH(COLUMNS($R$1006:U1006),$R$1006:$W$1006,0))&gt;=100000), " ",IF(INDEX($R$2:$W$1001,MATCH(ROWS($K$2:K826),$K$2:$K$1001,0),MATCH(COLUMNS($R$1006:U1006),$R$1006:$W$1006,0)), HYPERLINK("#",""), HYPERLINK(CONCATENATE("#Metadata!", ADDRESS(INDEX($M$2:$M$1001,MATCH(ROWS($K$2:K826),$K$2:$K$1001,0),0), INDEX($R$1004:$W$1004,1,MATCH(COLUMNS($R$1006:U1006),$R$1006:$W$1006,0)))),"Fix")))</f>
        <v>0</v>
      </c>
      <c r="F826" s="3">
        <f>IF(OR(INDEX($L$2:$L$1001,MATCH(ROWS($K$2:K826),$K$2:$K$1001,0),1)&gt;=100000,INDEX($R$1005:$W$1005,1,MATCH(COLUMNS($R$1006:V1006),$R$1006:$W$1006,0))&gt;=100000), " ",IF(INDEX($R$2:$W$1001,MATCH(ROWS($K$2:K826),$K$2:$K$1001,0),MATCH(COLUMNS($R$1006:V1006),$R$1006:$W$1006,0)), HYPERLINK("#",""), HYPERLINK(CONCATENATE("#Metadata!", ADDRESS(INDEX($M$2:$M$1001,MATCH(ROWS($K$2:K826),$K$2:$K$1001,0),0), INDEX($R$1004:$W$1004,1,MATCH(COLUMNS($R$1006:V1006),$R$1006:$W$1006,0)))),"Fix")))</f>
        <v>0</v>
      </c>
      <c r="G826" s="3">
        <f>IF(OR(INDEX($L$2:$L$1001,MATCH(ROWS($K$2:K826),$K$2:$K$1001,0),1)&gt;=100000,INDEX($R$1005:$W$1005,1,MATCH(COLUMNS($R$1006:W1006),$R$1006:$W$1006,0))&gt;=100000), " ",IF(INDEX($R$2:$W$1001,MATCH(ROWS($K$2:K826),$K$2:$K$1001,0),MATCH(COLUMNS($R$1006:W1006),$R$1006:$W$1006,0)), HYPERLINK("#",""), HYPERLINK(CONCATENATE("#Metadata!", ADDRESS(INDEX($M$2:$M$1001,MATCH(ROWS($K$2:K826),$K$2:$K$1001,0),0), INDEX($R$1004:$W$1004,1,MATCH(COLUMNS($R$1006:W1006),$R$1006:$W$1006,0)))),"Fix")))</f>
        <v>0</v>
      </c>
      <c r="K826">
        <v>0</v>
      </c>
      <c r="L826">
        <v>0</v>
      </c>
      <c r="M826">
        <v>0</v>
      </c>
      <c r="N826">
        <f>IF(O826,TRUE,AND(R826:W826))</f>
        <v>0</v>
      </c>
      <c r="O826">
        <f>COUNTBLANK(Metadata!B826:G826)=COLUMNS(Metadata!B826:G826)</f>
        <v>0</v>
      </c>
      <c r="P826">
        <v>0</v>
      </c>
      <c r="R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S826">
        <f>IF(Metadata!C826="",FALSE,TRUE)</f>
        <v>0</v>
      </c>
      <c r="T826">
        <f>IF(Metadata!D826="",FALSE,TRUE)</f>
        <v>0</v>
      </c>
      <c r="U826">
        <f>IF(Metadata!E826="",FALSE,TRUE)</f>
        <v>0</v>
      </c>
      <c r="V826">
        <f>AND(IF(Metadata!F826="",FALSE,TRUE),exact(Metadata!F826,"rat gut metagenome"))</f>
        <v>0</v>
      </c>
      <c r="W826">
        <f>AND(IF(Metadata!G826="",FALSE,TRUE),exact(Metadata!G826,"1436733"))</f>
        <v>0</v>
      </c>
    </row>
    <row r="827" spans="1:23">
      <c r="A827" s="4">
        <f>IF(B827=" "," ",HYPERLINK(CONCATENATE("#metadata!",ADDRESS(INDEX($M$2:$M$1001,MATCH(ROWS($K$2:K827),$K$2:$K$1001,0),0),1)),INDEX($P$2:$P$1001,MATCH(ROWS($K$2:K827),$K$2:$K$1001,0),0)))</f>
        <v>0</v>
      </c>
      <c r="B827" s="3">
        <f>IF(OR(INDEX($L$2:$L$1001,MATCH(ROWS($K$2:K827),$K$2:$K$1001,0),1)&gt;=100000,INDEX($R$1005:$W$1005,1,MATCH(COLUMNS($R$1006:R1006),$R$1006:$W$1006,0))&gt;=100000), " ",IF(INDEX($R$2:$W$1001,MATCH(ROWS($K$2:K827),$K$2:$K$1001,0),MATCH(COLUMNS($R$1006:R1006),$R$1006:$W$1006,0)), HYPERLINK("#",""), HYPERLINK(CONCATENATE("#Metadata!", ADDRESS(INDEX($M$2:$M$1001,MATCH(ROWS($K$2:K827),$K$2:$K$1001,0),0), INDEX($R$1004:$W$1004,1,MATCH(COLUMNS($R$1006:R1006),$R$1006:$W$1006,0)))),"Fix")))</f>
        <v>0</v>
      </c>
      <c r="C827" s="3">
        <f>IF(OR(INDEX($L$2:$L$1001,MATCH(ROWS($K$2:K827),$K$2:$K$1001,0),1)&gt;=100000,INDEX($R$1005:$W$1005,1,MATCH(COLUMNS($R$1006:S1006),$R$1006:$W$1006,0))&gt;=100000), " ",IF(INDEX($R$2:$W$1001,MATCH(ROWS($K$2:K827),$K$2:$K$1001,0),MATCH(COLUMNS($R$1006:S1006),$R$1006:$W$1006,0)), HYPERLINK("#",""), HYPERLINK(CONCATENATE("#Metadata!", ADDRESS(INDEX($M$2:$M$1001,MATCH(ROWS($K$2:K827),$K$2:$K$1001,0),0), INDEX($R$1004:$W$1004,1,MATCH(COLUMNS($R$1006:S1006),$R$1006:$W$1006,0)))),"Fix")))</f>
        <v>0</v>
      </c>
      <c r="D827" s="3">
        <f>IF(OR(INDEX($L$2:$L$1001,MATCH(ROWS($K$2:K827),$K$2:$K$1001,0),1)&gt;=100000,INDEX($R$1005:$W$1005,1,MATCH(COLUMNS($R$1006:T1006),$R$1006:$W$1006,0))&gt;=100000), " ",IF(INDEX($R$2:$W$1001,MATCH(ROWS($K$2:K827),$K$2:$K$1001,0),MATCH(COLUMNS($R$1006:T1006),$R$1006:$W$1006,0)), HYPERLINK("#",""), HYPERLINK(CONCATENATE("#Metadata!", ADDRESS(INDEX($M$2:$M$1001,MATCH(ROWS($K$2:K827),$K$2:$K$1001,0),0), INDEX($R$1004:$W$1004,1,MATCH(COLUMNS($R$1006:T1006),$R$1006:$W$1006,0)))),"Fix")))</f>
        <v>0</v>
      </c>
      <c r="E827" s="3">
        <f>IF(OR(INDEX($L$2:$L$1001,MATCH(ROWS($K$2:K827),$K$2:$K$1001,0),1)&gt;=100000,INDEX($R$1005:$W$1005,1,MATCH(COLUMNS($R$1006:U1006),$R$1006:$W$1006,0))&gt;=100000), " ",IF(INDEX($R$2:$W$1001,MATCH(ROWS($K$2:K827),$K$2:$K$1001,0),MATCH(COLUMNS($R$1006:U1006),$R$1006:$W$1006,0)), HYPERLINK("#",""), HYPERLINK(CONCATENATE("#Metadata!", ADDRESS(INDEX($M$2:$M$1001,MATCH(ROWS($K$2:K827),$K$2:$K$1001,0),0), INDEX($R$1004:$W$1004,1,MATCH(COLUMNS($R$1006:U1006),$R$1006:$W$1006,0)))),"Fix")))</f>
        <v>0</v>
      </c>
      <c r="F827" s="3">
        <f>IF(OR(INDEX($L$2:$L$1001,MATCH(ROWS($K$2:K827),$K$2:$K$1001,0),1)&gt;=100000,INDEX($R$1005:$W$1005,1,MATCH(COLUMNS($R$1006:V1006),$R$1006:$W$1006,0))&gt;=100000), " ",IF(INDEX($R$2:$W$1001,MATCH(ROWS($K$2:K827),$K$2:$K$1001,0),MATCH(COLUMNS($R$1006:V1006),$R$1006:$W$1006,0)), HYPERLINK("#",""), HYPERLINK(CONCATENATE("#Metadata!", ADDRESS(INDEX($M$2:$M$1001,MATCH(ROWS($K$2:K827),$K$2:$K$1001,0),0), INDEX($R$1004:$W$1004,1,MATCH(COLUMNS($R$1006:V1006),$R$1006:$W$1006,0)))),"Fix")))</f>
        <v>0</v>
      </c>
      <c r="G827" s="3">
        <f>IF(OR(INDEX($L$2:$L$1001,MATCH(ROWS($K$2:K827),$K$2:$K$1001,0),1)&gt;=100000,INDEX($R$1005:$W$1005,1,MATCH(COLUMNS($R$1006:W1006),$R$1006:$W$1006,0))&gt;=100000), " ",IF(INDEX($R$2:$W$1001,MATCH(ROWS($K$2:K827),$K$2:$K$1001,0),MATCH(COLUMNS($R$1006:W1006),$R$1006:$W$1006,0)), HYPERLINK("#",""), HYPERLINK(CONCATENATE("#Metadata!", ADDRESS(INDEX($M$2:$M$1001,MATCH(ROWS($K$2:K827),$K$2:$K$1001,0),0), INDEX($R$1004:$W$1004,1,MATCH(COLUMNS($R$1006:W1006),$R$1006:$W$1006,0)))),"Fix")))</f>
        <v>0</v>
      </c>
      <c r="K827">
        <v>0</v>
      </c>
      <c r="L827">
        <v>0</v>
      </c>
      <c r="M827">
        <v>0</v>
      </c>
      <c r="N827">
        <f>IF(O827,TRUE,AND(R827:W827))</f>
        <v>0</v>
      </c>
      <c r="O827">
        <f>COUNTBLANK(Metadata!B827:G827)=COLUMNS(Metadata!B827:G827)</f>
        <v>0</v>
      </c>
      <c r="P827">
        <v>0</v>
      </c>
      <c r="R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S827">
        <f>IF(Metadata!C827="",FALSE,TRUE)</f>
        <v>0</v>
      </c>
      <c r="T827">
        <f>IF(Metadata!D827="",FALSE,TRUE)</f>
        <v>0</v>
      </c>
      <c r="U827">
        <f>IF(Metadata!E827="",FALSE,TRUE)</f>
        <v>0</v>
      </c>
      <c r="V827">
        <f>AND(IF(Metadata!F827="",FALSE,TRUE),exact(Metadata!F827,"rat gut metagenome"))</f>
        <v>0</v>
      </c>
      <c r="W827">
        <f>AND(IF(Metadata!G827="",FALSE,TRUE),exact(Metadata!G827,"1436733"))</f>
        <v>0</v>
      </c>
    </row>
    <row r="828" spans="1:23">
      <c r="A828" s="4">
        <f>IF(B828=" "," ",HYPERLINK(CONCATENATE("#metadata!",ADDRESS(INDEX($M$2:$M$1001,MATCH(ROWS($K$2:K828),$K$2:$K$1001,0),0),1)),INDEX($P$2:$P$1001,MATCH(ROWS($K$2:K828),$K$2:$K$1001,0),0)))</f>
        <v>0</v>
      </c>
      <c r="B828" s="3">
        <f>IF(OR(INDEX($L$2:$L$1001,MATCH(ROWS($K$2:K828),$K$2:$K$1001,0),1)&gt;=100000,INDEX($R$1005:$W$1005,1,MATCH(COLUMNS($R$1006:R1006),$R$1006:$W$1006,0))&gt;=100000), " ",IF(INDEX($R$2:$W$1001,MATCH(ROWS($K$2:K828),$K$2:$K$1001,0),MATCH(COLUMNS($R$1006:R1006),$R$1006:$W$1006,0)), HYPERLINK("#",""), HYPERLINK(CONCATENATE("#Metadata!", ADDRESS(INDEX($M$2:$M$1001,MATCH(ROWS($K$2:K828),$K$2:$K$1001,0),0), INDEX($R$1004:$W$1004,1,MATCH(COLUMNS($R$1006:R1006),$R$1006:$W$1006,0)))),"Fix")))</f>
        <v>0</v>
      </c>
      <c r="C828" s="3">
        <f>IF(OR(INDEX($L$2:$L$1001,MATCH(ROWS($K$2:K828),$K$2:$K$1001,0),1)&gt;=100000,INDEX($R$1005:$W$1005,1,MATCH(COLUMNS($R$1006:S1006),$R$1006:$W$1006,0))&gt;=100000), " ",IF(INDEX($R$2:$W$1001,MATCH(ROWS($K$2:K828),$K$2:$K$1001,0),MATCH(COLUMNS($R$1006:S1006),$R$1006:$W$1006,0)), HYPERLINK("#",""), HYPERLINK(CONCATENATE("#Metadata!", ADDRESS(INDEX($M$2:$M$1001,MATCH(ROWS($K$2:K828),$K$2:$K$1001,0),0), INDEX($R$1004:$W$1004,1,MATCH(COLUMNS($R$1006:S1006),$R$1006:$W$1006,0)))),"Fix")))</f>
        <v>0</v>
      </c>
      <c r="D828" s="3">
        <f>IF(OR(INDEX($L$2:$L$1001,MATCH(ROWS($K$2:K828),$K$2:$K$1001,0),1)&gt;=100000,INDEX($R$1005:$W$1005,1,MATCH(COLUMNS($R$1006:T1006),$R$1006:$W$1006,0))&gt;=100000), " ",IF(INDEX($R$2:$W$1001,MATCH(ROWS($K$2:K828),$K$2:$K$1001,0),MATCH(COLUMNS($R$1006:T1006),$R$1006:$W$1006,0)), HYPERLINK("#",""), HYPERLINK(CONCATENATE("#Metadata!", ADDRESS(INDEX($M$2:$M$1001,MATCH(ROWS($K$2:K828),$K$2:$K$1001,0),0), INDEX($R$1004:$W$1004,1,MATCH(COLUMNS($R$1006:T1006),$R$1006:$W$1006,0)))),"Fix")))</f>
        <v>0</v>
      </c>
      <c r="E828" s="3">
        <f>IF(OR(INDEX($L$2:$L$1001,MATCH(ROWS($K$2:K828),$K$2:$K$1001,0),1)&gt;=100000,INDEX($R$1005:$W$1005,1,MATCH(COLUMNS($R$1006:U1006),$R$1006:$W$1006,0))&gt;=100000), " ",IF(INDEX($R$2:$W$1001,MATCH(ROWS($K$2:K828),$K$2:$K$1001,0),MATCH(COLUMNS($R$1006:U1006),$R$1006:$W$1006,0)), HYPERLINK("#",""), HYPERLINK(CONCATENATE("#Metadata!", ADDRESS(INDEX($M$2:$M$1001,MATCH(ROWS($K$2:K828),$K$2:$K$1001,0),0), INDEX($R$1004:$W$1004,1,MATCH(COLUMNS($R$1006:U1006),$R$1006:$W$1006,0)))),"Fix")))</f>
        <v>0</v>
      </c>
      <c r="F828" s="3">
        <f>IF(OR(INDEX($L$2:$L$1001,MATCH(ROWS($K$2:K828),$K$2:$K$1001,0),1)&gt;=100000,INDEX($R$1005:$W$1005,1,MATCH(COLUMNS($R$1006:V1006),$R$1006:$W$1006,0))&gt;=100000), " ",IF(INDEX($R$2:$W$1001,MATCH(ROWS($K$2:K828),$K$2:$K$1001,0),MATCH(COLUMNS($R$1006:V1006),$R$1006:$W$1006,0)), HYPERLINK("#",""), HYPERLINK(CONCATENATE("#Metadata!", ADDRESS(INDEX($M$2:$M$1001,MATCH(ROWS($K$2:K828),$K$2:$K$1001,0),0), INDEX($R$1004:$W$1004,1,MATCH(COLUMNS($R$1006:V1006),$R$1006:$W$1006,0)))),"Fix")))</f>
        <v>0</v>
      </c>
      <c r="G828" s="3">
        <f>IF(OR(INDEX($L$2:$L$1001,MATCH(ROWS($K$2:K828),$K$2:$K$1001,0),1)&gt;=100000,INDEX($R$1005:$W$1005,1,MATCH(COLUMNS($R$1006:W1006),$R$1006:$W$1006,0))&gt;=100000), " ",IF(INDEX($R$2:$W$1001,MATCH(ROWS($K$2:K828),$K$2:$K$1001,0),MATCH(COLUMNS($R$1006:W1006),$R$1006:$W$1006,0)), HYPERLINK("#",""), HYPERLINK(CONCATENATE("#Metadata!", ADDRESS(INDEX($M$2:$M$1001,MATCH(ROWS($K$2:K828),$K$2:$K$1001,0),0), INDEX($R$1004:$W$1004,1,MATCH(COLUMNS($R$1006:W1006),$R$1006:$W$1006,0)))),"Fix")))</f>
        <v>0</v>
      </c>
      <c r="K828">
        <v>0</v>
      </c>
      <c r="L828">
        <v>0</v>
      </c>
      <c r="M828">
        <v>0</v>
      </c>
      <c r="N828">
        <f>IF(O828,TRUE,AND(R828:W828))</f>
        <v>0</v>
      </c>
      <c r="O828">
        <f>COUNTBLANK(Metadata!B828:G828)=COLUMNS(Metadata!B828:G828)</f>
        <v>0</v>
      </c>
      <c r="P828">
        <v>0</v>
      </c>
      <c r="R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S828">
        <f>IF(Metadata!C828="",FALSE,TRUE)</f>
        <v>0</v>
      </c>
      <c r="T828">
        <f>IF(Metadata!D828="",FALSE,TRUE)</f>
        <v>0</v>
      </c>
      <c r="U828">
        <f>IF(Metadata!E828="",FALSE,TRUE)</f>
        <v>0</v>
      </c>
      <c r="V828">
        <f>AND(IF(Metadata!F828="",FALSE,TRUE),exact(Metadata!F828,"rat gut metagenome"))</f>
        <v>0</v>
      </c>
      <c r="W828">
        <f>AND(IF(Metadata!G828="",FALSE,TRUE),exact(Metadata!G828,"1436733"))</f>
        <v>0</v>
      </c>
    </row>
    <row r="829" spans="1:23">
      <c r="A829" s="4">
        <f>IF(B829=" "," ",HYPERLINK(CONCATENATE("#metadata!",ADDRESS(INDEX($M$2:$M$1001,MATCH(ROWS($K$2:K829),$K$2:$K$1001,0),0),1)),INDEX($P$2:$P$1001,MATCH(ROWS($K$2:K829),$K$2:$K$1001,0),0)))</f>
        <v>0</v>
      </c>
      <c r="B829" s="3">
        <f>IF(OR(INDEX($L$2:$L$1001,MATCH(ROWS($K$2:K829),$K$2:$K$1001,0),1)&gt;=100000,INDEX($R$1005:$W$1005,1,MATCH(COLUMNS($R$1006:R1006),$R$1006:$W$1006,0))&gt;=100000), " ",IF(INDEX($R$2:$W$1001,MATCH(ROWS($K$2:K829),$K$2:$K$1001,0),MATCH(COLUMNS($R$1006:R1006),$R$1006:$W$1006,0)), HYPERLINK("#",""), HYPERLINK(CONCATENATE("#Metadata!", ADDRESS(INDEX($M$2:$M$1001,MATCH(ROWS($K$2:K829),$K$2:$K$1001,0),0), INDEX($R$1004:$W$1004,1,MATCH(COLUMNS($R$1006:R1006),$R$1006:$W$1006,0)))),"Fix")))</f>
        <v>0</v>
      </c>
      <c r="C829" s="3">
        <f>IF(OR(INDEX($L$2:$L$1001,MATCH(ROWS($K$2:K829),$K$2:$K$1001,0),1)&gt;=100000,INDEX($R$1005:$W$1005,1,MATCH(COLUMNS($R$1006:S1006),$R$1006:$W$1006,0))&gt;=100000), " ",IF(INDEX($R$2:$W$1001,MATCH(ROWS($K$2:K829),$K$2:$K$1001,0),MATCH(COLUMNS($R$1006:S1006),$R$1006:$W$1006,0)), HYPERLINK("#",""), HYPERLINK(CONCATENATE("#Metadata!", ADDRESS(INDEX($M$2:$M$1001,MATCH(ROWS($K$2:K829),$K$2:$K$1001,0),0), INDEX($R$1004:$W$1004,1,MATCH(COLUMNS($R$1006:S1006),$R$1006:$W$1006,0)))),"Fix")))</f>
        <v>0</v>
      </c>
      <c r="D829" s="3">
        <f>IF(OR(INDEX($L$2:$L$1001,MATCH(ROWS($K$2:K829),$K$2:$K$1001,0),1)&gt;=100000,INDEX($R$1005:$W$1005,1,MATCH(COLUMNS($R$1006:T1006),$R$1006:$W$1006,0))&gt;=100000), " ",IF(INDEX($R$2:$W$1001,MATCH(ROWS($K$2:K829),$K$2:$K$1001,0),MATCH(COLUMNS($R$1006:T1006),$R$1006:$W$1006,0)), HYPERLINK("#",""), HYPERLINK(CONCATENATE("#Metadata!", ADDRESS(INDEX($M$2:$M$1001,MATCH(ROWS($K$2:K829),$K$2:$K$1001,0),0), INDEX($R$1004:$W$1004,1,MATCH(COLUMNS($R$1006:T1006),$R$1006:$W$1006,0)))),"Fix")))</f>
        <v>0</v>
      </c>
      <c r="E829" s="3">
        <f>IF(OR(INDEX($L$2:$L$1001,MATCH(ROWS($K$2:K829),$K$2:$K$1001,0),1)&gt;=100000,INDEX($R$1005:$W$1005,1,MATCH(COLUMNS($R$1006:U1006),$R$1006:$W$1006,0))&gt;=100000), " ",IF(INDEX($R$2:$W$1001,MATCH(ROWS($K$2:K829),$K$2:$K$1001,0),MATCH(COLUMNS($R$1006:U1006),$R$1006:$W$1006,0)), HYPERLINK("#",""), HYPERLINK(CONCATENATE("#Metadata!", ADDRESS(INDEX($M$2:$M$1001,MATCH(ROWS($K$2:K829),$K$2:$K$1001,0),0), INDEX($R$1004:$W$1004,1,MATCH(COLUMNS($R$1006:U1006),$R$1006:$W$1006,0)))),"Fix")))</f>
        <v>0</v>
      </c>
      <c r="F829" s="3">
        <f>IF(OR(INDEX($L$2:$L$1001,MATCH(ROWS($K$2:K829),$K$2:$K$1001,0),1)&gt;=100000,INDEX($R$1005:$W$1005,1,MATCH(COLUMNS($R$1006:V1006),$R$1006:$W$1006,0))&gt;=100000), " ",IF(INDEX($R$2:$W$1001,MATCH(ROWS($K$2:K829),$K$2:$K$1001,0),MATCH(COLUMNS($R$1006:V1006),$R$1006:$W$1006,0)), HYPERLINK("#",""), HYPERLINK(CONCATENATE("#Metadata!", ADDRESS(INDEX($M$2:$M$1001,MATCH(ROWS($K$2:K829),$K$2:$K$1001,0),0), INDEX($R$1004:$W$1004,1,MATCH(COLUMNS($R$1006:V1006),$R$1006:$W$1006,0)))),"Fix")))</f>
        <v>0</v>
      </c>
      <c r="G829" s="3">
        <f>IF(OR(INDEX($L$2:$L$1001,MATCH(ROWS($K$2:K829),$K$2:$K$1001,0),1)&gt;=100000,INDEX($R$1005:$W$1005,1,MATCH(COLUMNS($R$1006:W1006),$R$1006:$W$1006,0))&gt;=100000), " ",IF(INDEX($R$2:$W$1001,MATCH(ROWS($K$2:K829),$K$2:$K$1001,0),MATCH(COLUMNS($R$1006:W1006),$R$1006:$W$1006,0)), HYPERLINK("#",""), HYPERLINK(CONCATENATE("#Metadata!", ADDRESS(INDEX($M$2:$M$1001,MATCH(ROWS($K$2:K829),$K$2:$K$1001,0),0), INDEX($R$1004:$W$1004,1,MATCH(COLUMNS($R$1006:W1006),$R$1006:$W$1006,0)))),"Fix")))</f>
        <v>0</v>
      </c>
      <c r="K829">
        <v>0</v>
      </c>
      <c r="L829">
        <v>0</v>
      </c>
      <c r="M829">
        <v>0</v>
      </c>
      <c r="N829">
        <f>IF(O829,TRUE,AND(R829:W829))</f>
        <v>0</v>
      </c>
      <c r="O829">
        <f>COUNTBLANK(Metadata!B829:G829)=COLUMNS(Metadata!B829:G829)</f>
        <v>0</v>
      </c>
      <c r="P829">
        <v>0</v>
      </c>
      <c r="R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S829">
        <f>IF(Metadata!C829="",FALSE,TRUE)</f>
        <v>0</v>
      </c>
      <c r="T829">
        <f>IF(Metadata!D829="",FALSE,TRUE)</f>
        <v>0</v>
      </c>
      <c r="U829">
        <f>IF(Metadata!E829="",FALSE,TRUE)</f>
        <v>0</v>
      </c>
      <c r="V829">
        <f>AND(IF(Metadata!F829="",FALSE,TRUE),exact(Metadata!F829,"rat gut metagenome"))</f>
        <v>0</v>
      </c>
      <c r="W829">
        <f>AND(IF(Metadata!G829="",FALSE,TRUE),exact(Metadata!G829,"1436733"))</f>
        <v>0</v>
      </c>
    </row>
    <row r="830" spans="1:23">
      <c r="A830" s="4">
        <f>IF(B830=" "," ",HYPERLINK(CONCATENATE("#metadata!",ADDRESS(INDEX($M$2:$M$1001,MATCH(ROWS($K$2:K830),$K$2:$K$1001,0),0),1)),INDEX($P$2:$P$1001,MATCH(ROWS($K$2:K830),$K$2:$K$1001,0),0)))</f>
        <v>0</v>
      </c>
      <c r="B830" s="3">
        <f>IF(OR(INDEX($L$2:$L$1001,MATCH(ROWS($K$2:K830),$K$2:$K$1001,0),1)&gt;=100000,INDEX($R$1005:$W$1005,1,MATCH(COLUMNS($R$1006:R1006),$R$1006:$W$1006,0))&gt;=100000), " ",IF(INDEX($R$2:$W$1001,MATCH(ROWS($K$2:K830),$K$2:$K$1001,0),MATCH(COLUMNS($R$1006:R1006),$R$1006:$W$1006,0)), HYPERLINK("#",""), HYPERLINK(CONCATENATE("#Metadata!", ADDRESS(INDEX($M$2:$M$1001,MATCH(ROWS($K$2:K830),$K$2:$K$1001,0),0), INDEX($R$1004:$W$1004,1,MATCH(COLUMNS($R$1006:R1006),$R$1006:$W$1006,0)))),"Fix")))</f>
        <v>0</v>
      </c>
      <c r="C830" s="3">
        <f>IF(OR(INDEX($L$2:$L$1001,MATCH(ROWS($K$2:K830),$K$2:$K$1001,0),1)&gt;=100000,INDEX($R$1005:$W$1005,1,MATCH(COLUMNS($R$1006:S1006),$R$1006:$W$1006,0))&gt;=100000), " ",IF(INDEX($R$2:$W$1001,MATCH(ROWS($K$2:K830),$K$2:$K$1001,0),MATCH(COLUMNS($R$1006:S1006),$R$1006:$W$1006,0)), HYPERLINK("#",""), HYPERLINK(CONCATENATE("#Metadata!", ADDRESS(INDEX($M$2:$M$1001,MATCH(ROWS($K$2:K830),$K$2:$K$1001,0),0), INDEX($R$1004:$W$1004,1,MATCH(COLUMNS($R$1006:S1006),$R$1006:$W$1006,0)))),"Fix")))</f>
        <v>0</v>
      </c>
      <c r="D830" s="3">
        <f>IF(OR(INDEX($L$2:$L$1001,MATCH(ROWS($K$2:K830),$K$2:$K$1001,0),1)&gt;=100000,INDEX($R$1005:$W$1005,1,MATCH(COLUMNS($R$1006:T1006),$R$1006:$W$1006,0))&gt;=100000), " ",IF(INDEX($R$2:$W$1001,MATCH(ROWS($K$2:K830),$K$2:$K$1001,0),MATCH(COLUMNS($R$1006:T1006),$R$1006:$W$1006,0)), HYPERLINK("#",""), HYPERLINK(CONCATENATE("#Metadata!", ADDRESS(INDEX($M$2:$M$1001,MATCH(ROWS($K$2:K830),$K$2:$K$1001,0),0), INDEX($R$1004:$W$1004,1,MATCH(COLUMNS($R$1006:T1006),$R$1006:$W$1006,0)))),"Fix")))</f>
        <v>0</v>
      </c>
      <c r="E830" s="3">
        <f>IF(OR(INDEX($L$2:$L$1001,MATCH(ROWS($K$2:K830),$K$2:$K$1001,0),1)&gt;=100000,INDEX($R$1005:$W$1005,1,MATCH(COLUMNS($R$1006:U1006),$R$1006:$W$1006,0))&gt;=100000), " ",IF(INDEX($R$2:$W$1001,MATCH(ROWS($K$2:K830),$K$2:$K$1001,0),MATCH(COLUMNS($R$1006:U1006),$R$1006:$W$1006,0)), HYPERLINK("#",""), HYPERLINK(CONCATENATE("#Metadata!", ADDRESS(INDEX($M$2:$M$1001,MATCH(ROWS($K$2:K830),$K$2:$K$1001,0),0), INDEX($R$1004:$W$1004,1,MATCH(COLUMNS($R$1006:U1006),$R$1006:$W$1006,0)))),"Fix")))</f>
        <v>0</v>
      </c>
      <c r="F830" s="3">
        <f>IF(OR(INDEX($L$2:$L$1001,MATCH(ROWS($K$2:K830),$K$2:$K$1001,0),1)&gt;=100000,INDEX($R$1005:$W$1005,1,MATCH(COLUMNS($R$1006:V1006),$R$1006:$W$1006,0))&gt;=100000), " ",IF(INDEX($R$2:$W$1001,MATCH(ROWS($K$2:K830),$K$2:$K$1001,0),MATCH(COLUMNS($R$1006:V1006),$R$1006:$W$1006,0)), HYPERLINK("#",""), HYPERLINK(CONCATENATE("#Metadata!", ADDRESS(INDEX($M$2:$M$1001,MATCH(ROWS($K$2:K830),$K$2:$K$1001,0),0), INDEX($R$1004:$W$1004,1,MATCH(COLUMNS($R$1006:V1006),$R$1006:$W$1006,0)))),"Fix")))</f>
        <v>0</v>
      </c>
      <c r="G830" s="3">
        <f>IF(OR(INDEX($L$2:$L$1001,MATCH(ROWS($K$2:K830),$K$2:$K$1001,0),1)&gt;=100000,INDEX($R$1005:$W$1005,1,MATCH(COLUMNS($R$1006:W1006),$R$1006:$W$1006,0))&gt;=100000), " ",IF(INDEX($R$2:$W$1001,MATCH(ROWS($K$2:K830),$K$2:$K$1001,0),MATCH(COLUMNS($R$1006:W1006),$R$1006:$W$1006,0)), HYPERLINK("#",""), HYPERLINK(CONCATENATE("#Metadata!", ADDRESS(INDEX($M$2:$M$1001,MATCH(ROWS($K$2:K830),$K$2:$K$1001,0),0), INDEX($R$1004:$W$1004,1,MATCH(COLUMNS($R$1006:W1006),$R$1006:$W$1006,0)))),"Fix")))</f>
        <v>0</v>
      </c>
      <c r="K830">
        <v>0</v>
      </c>
      <c r="L830">
        <v>0</v>
      </c>
      <c r="M830">
        <v>0</v>
      </c>
      <c r="N830">
        <f>IF(O830,TRUE,AND(R830:W830))</f>
        <v>0</v>
      </c>
      <c r="O830">
        <f>COUNTBLANK(Metadata!B830:G830)=COLUMNS(Metadata!B830:G830)</f>
        <v>0</v>
      </c>
      <c r="P830">
        <v>0</v>
      </c>
      <c r="R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S830">
        <f>IF(Metadata!C830="",FALSE,TRUE)</f>
        <v>0</v>
      </c>
      <c r="T830">
        <f>IF(Metadata!D830="",FALSE,TRUE)</f>
        <v>0</v>
      </c>
      <c r="U830">
        <f>IF(Metadata!E830="",FALSE,TRUE)</f>
        <v>0</v>
      </c>
      <c r="V830">
        <f>AND(IF(Metadata!F830="",FALSE,TRUE),exact(Metadata!F830,"rat gut metagenome"))</f>
        <v>0</v>
      </c>
      <c r="W830">
        <f>AND(IF(Metadata!G830="",FALSE,TRUE),exact(Metadata!G830,"1436733"))</f>
        <v>0</v>
      </c>
    </row>
    <row r="831" spans="1:23">
      <c r="A831" s="4">
        <f>IF(B831=" "," ",HYPERLINK(CONCATENATE("#metadata!",ADDRESS(INDEX($M$2:$M$1001,MATCH(ROWS($K$2:K831),$K$2:$K$1001,0),0),1)),INDEX($P$2:$P$1001,MATCH(ROWS($K$2:K831),$K$2:$K$1001,0),0)))</f>
        <v>0</v>
      </c>
      <c r="B831" s="3">
        <f>IF(OR(INDEX($L$2:$L$1001,MATCH(ROWS($K$2:K831),$K$2:$K$1001,0),1)&gt;=100000,INDEX($R$1005:$W$1005,1,MATCH(COLUMNS($R$1006:R1006),$R$1006:$W$1006,0))&gt;=100000), " ",IF(INDEX($R$2:$W$1001,MATCH(ROWS($K$2:K831),$K$2:$K$1001,0),MATCH(COLUMNS($R$1006:R1006),$R$1006:$W$1006,0)), HYPERLINK("#",""), HYPERLINK(CONCATENATE("#Metadata!", ADDRESS(INDEX($M$2:$M$1001,MATCH(ROWS($K$2:K831),$K$2:$K$1001,0),0), INDEX($R$1004:$W$1004,1,MATCH(COLUMNS($R$1006:R1006),$R$1006:$W$1006,0)))),"Fix")))</f>
        <v>0</v>
      </c>
      <c r="C831" s="3">
        <f>IF(OR(INDEX($L$2:$L$1001,MATCH(ROWS($K$2:K831),$K$2:$K$1001,0),1)&gt;=100000,INDEX($R$1005:$W$1005,1,MATCH(COLUMNS($R$1006:S1006),$R$1006:$W$1006,0))&gt;=100000), " ",IF(INDEX($R$2:$W$1001,MATCH(ROWS($K$2:K831),$K$2:$K$1001,0),MATCH(COLUMNS($R$1006:S1006),$R$1006:$W$1006,0)), HYPERLINK("#",""), HYPERLINK(CONCATENATE("#Metadata!", ADDRESS(INDEX($M$2:$M$1001,MATCH(ROWS($K$2:K831),$K$2:$K$1001,0),0), INDEX($R$1004:$W$1004,1,MATCH(COLUMNS($R$1006:S1006),$R$1006:$W$1006,0)))),"Fix")))</f>
        <v>0</v>
      </c>
      <c r="D831" s="3">
        <f>IF(OR(INDEX($L$2:$L$1001,MATCH(ROWS($K$2:K831),$K$2:$K$1001,0),1)&gt;=100000,INDEX($R$1005:$W$1005,1,MATCH(COLUMNS($R$1006:T1006),$R$1006:$W$1006,0))&gt;=100000), " ",IF(INDEX($R$2:$W$1001,MATCH(ROWS($K$2:K831),$K$2:$K$1001,0),MATCH(COLUMNS($R$1006:T1006),$R$1006:$W$1006,0)), HYPERLINK("#",""), HYPERLINK(CONCATENATE("#Metadata!", ADDRESS(INDEX($M$2:$M$1001,MATCH(ROWS($K$2:K831),$K$2:$K$1001,0),0), INDEX($R$1004:$W$1004,1,MATCH(COLUMNS($R$1006:T1006),$R$1006:$W$1006,0)))),"Fix")))</f>
        <v>0</v>
      </c>
      <c r="E831" s="3">
        <f>IF(OR(INDEX($L$2:$L$1001,MATCH(ROWS($K$2:K831),$K$2:$K$1001,0),1)&gt;=100000,INDEX($R$1005:$W$1005,1,MATCH(COLUMNS($R$1006:U1006),$R$1006:$W$1006,0))&gt;=100000), " ",IF(INDEX($R$2:$W$1001,MATCH(ROWS($K$2:K831),$K$2:$K$1001,0),MATCH(COLUMNS($R$1006:U1006),$R$1006:$W$1006,0)), HYPERLINK("#",""), HYPERLINK(CONCATENATE("#Metadata!", ADDRESS(INDEX($M$2:$M$1001,MATCH(ROWS($K$2:K831),$K$2:$K$1001,0),0), INDEX($R$1004:$W$1004,1,MATCH(COLUMNS($R$1006:U1006),$R$1006:$W$1006,0)))),"Fix")))</f>
        <v>0</v>
      </c>
      <c r="F831" s="3">
        <f>IF(OR(INDEX($L$2:$L$1001,MATCH(ROWS($K$2:K831),$K$2:$K$1001,0),1)&gt;=100000,INDEX($R$1005:$W$1005,1,MATCH(COLUMNS($R$1006:V1006),$R$1006:$W$1006,0))&gt;=100000), " ",IF(INDEX($R$2:$W$1001,MATCH(ROWS($K$2:K831),$K$2:$K$1001,0),MATCH(COLUMNS($R$1006:V1006),$R$1006:$W$1006,0)), HYPERLINK("#",""), HYPERLINK(CONCATENATE("#Metadata!", ADDRESS(INDEX($M$2:$M$1001,MATCH(ROWS($K$2:K831),$K$2:$K$1001,0),0), INDEX($R$1004:$W$1004,1,MATCH(COLUMNS($R$1006:V1006),$R$1006:$W$1006,0)))),"Fix")))</f>
        <v>0</v>
      </c>
      <c r="G831" s="3">
        <f>IF(OR(INDEX($L$2:$L$1001,MATCH(ROWS($K$2:K831),$K$2:$K$1001,0),1)&gt;=100000,INDEX($R$1005:$W$1005,1,MATCH(COLUMNS($R$1006:W1006),$R$1006:$W$1006,0))&gt;=100000), " ",IF(INDEX($R$2:$W$1001,MATCH(ROWS($K$2:K831),$K$2:$K$1001,0),MATCH(COLUMNS($R$1006:W1006),$R$1006:$W$1006,0)), HYPERLINK("#",""), HYPERLINK(CONCATENATE("#Metadata!", ADDRESS(INDEX($M$2:$M$1001,MATCH(ROWS($K$2:K831),$K$2:$K$1001,0),0), INDEX($R$1004:$W$1004,1,MATCH(COLUMNS($R$1006:W1006),$R$1006:$W$1006,0)))),"Fix")))</f>
        <v>0</v>
      </c>
      <c r="K831">
        <v>0</v>
      </c>
      <c r="L831">
        <v>0</v>
      </c>
      <c r="M831">
        <v>0</v>
      </c>
      <c r="N831">
        <f>IF(O831,TRUE,AND(R831:W831))</f>
        <v>0</v>
      </c>
      <c r="O831">
        <f>COUNTBLANK(Metadata!B831:G831)=COLUMNS(Metadata!B831:G831)</f>
        <v>0</v>
      </c>
      <c r="P831">
        <v>0</v>
      </c>
      <c r="R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S831">
        <f>IF(Metadata!C831="",FALSE,TRUE)</f>
        <v>0</v>
      </c>
      <c r="T831">
        <f>IF(Metadata!D831="",FALSE,TRUE)</f>
        <v>0</v>
      </c>
      <c r="U831">
        <f>IF(Metadata!E831="",FALSE,TRUE)</f>
        <v>0</v>
      </c>
      <c r="V831">
        <f>AND(IF(Metadata!F831="",FALSE,TRUE),exact(Metadata!F831,"rat gut metagenome"))</f>
        <v>0</v>
      </c>
      <c r="W831">
        <f>AND(IF(Metadata!G831="",FALSE,TRUE),exact(Metadata!G831,"1436733"))</f>
        <v>0</v>
      </c>
    </row>
    <row r="832" spans="1:23">
      <c r="A832" s="4">
        <f>IF(B832=" "," ",HYPERLINK(CONCATENATE("#metadata!",ADDRESS(INDEX($M$2:$M$1001,MATCH(ROWS($K$2:K832),$K$2:$K$1001,0),0),1)),INDEX($P$2:$P$1001,MATCH(ROWS($K$2:K832),$K$2:$K$1001,0),0)))</f>
        <v>0</v>
      </c>
      <c r="B832" s="3">
        <f>IF(OR(INDEX($L$2:$L$1001,MATCH(ROWS($K$2:K832),$K$2:$K$1001,0),1)&gt;=100000,INDEX($R$1005:$W$1005,1,MATCH(COLUMNS($R$1006:R1006),$R$1006:$W$1006,0))&gt;=100000), " ",IF(INDEX($R$2:$W$1001,MATCH(ROWS($K$2:K832),$K$2:$K$1001,0),MATCH(COLUMNS($R$1006:R1006),$R$1006:$W$1006,0)), HYPERLINK("#",""), HYPERLINK(CONCATENATE("#Metadata!", ADDRESS(INDEX($M$2:$M$1001,MATCH(ROWS($K$2:K832),$K$2:$K$1001,0),0), INDEX($R$1004:$W$1004,1,MATCH(COLUMNS($R$1006:R1006),$R$1006:$W$1006,0)))),"Fix")))</f>
        <v>0</v>
      </c>
      <c r="C832" s="3">
        <f>IF(OR(INDEX($L$2:$L$1001,MATCH(ROWS($K$2:K832),$K$2:$K$1001,0),1)&gt;=100000,INDEX($R$1005:$W$1005,1,MATCH(COLUMNS($R$1006:S1006),$R$1006:$W$1006,0))&gt;=100000), " ",IF(INDEX($R$2:$W$1001,MATCH(ROWS($K$2:K832),$K$2:$K$1001,0),MATCH(COLUMNS($R$1006:S1006),$R$1006:$W$1006,0)), HYPERLINK("#",""), HYPERLINK(CONCATENATE("#Metadata!", ADDRESS(INDEX($M$2:$M$1001,MATCH(ROWS($K$2:K832),$K$2:$K$1001,0),0), INDEX($R$1004:$W$1004,1,MATCH(COLUMNS($R$1006:S1006),$R$1006:$W$1006,0)))),"Fix")))</f>
        <v>0</v>
      </c>
      <c r="D832" s="3">
        <f>IF(OR(INDEX($L$2:$L$1001,MATCH(ROWS($K$2:K832),$K$2:$K$1001,0),1)&gt;=100000,INDEX($R$1005:$W$1005,1,MATCH(COLUMNS($R$1006:T1006),$R$1006:$W$1006,0))&gt;=100000), " ",IF(INDEX($R$2:$W$1001,MATCH(ROWS($K$2:K832),$K$2:$K$1001,0),MATCH(COLUMNS($R$1006:T1006),$R$1006:$W$1006,0)), HYPERLINK("#",""), HYPERLINK(CONCATENATE("#Metadata!", ADDRESS(INDEX($M$2:$M$1001,MATCH(ROWS($K$2:K832),$K$2:$K$1001,0),0), INDEX($R$1004:$W$1004,1,MATCH(COLUMNS($R$1006:T1006),$R$1006:$W$1006,0)))),"Fix")))</f>
        <v>0</v>
      </c>
      <c r="E832" s="3">
        <f>IF(OR(INDEX($L$2:$L$1001,MATCH(ROWS($K$2:K832),$K$2:$K$1001,0),1)&gt;=100000,INDEX($R$1005:$W$1005,1,MATCH(COLUMNS($R$1006:U1006),$R$1006:$W$1006,0))&gt;=100000), " ",IF(INDEX($R$2:$W$1001,MATCH(ROWS($K$2:K832),$K$2:$K$1001,0),MATCH(COLUMNS($R$1006:U1006),$R$1006:$W$1006,0)), HYPERLINK("#",""), HYPERLINK(CONCATENATE("#Metadata!", ADDRESS(INDEX($M$2:$M$1001,MATCH(ROWS($K$2:K832),$K$2:$K$1001,0),0), INDEX($R$1004:$W$1004,1,MATCH(COLUMNS($R$1006:U1006),$R$1006:$W$1006,0)))),"Fix")))</f>
        <v>0</v>
      </c>
      <c r="F832" s="3">
        <f>IF(OR(INDEX($L$2:$L$1001,MATCH(ROWS($K$2:K832),$K$2:$K$1001,0),1)&gt;=100000,INDEX($R$1005:$W$1005,1,MATCH(COLUMNS($R$1006:V1006),$R$1006:$W$1006,0))&gt;=100000), " ",IF(INDEX($R$2:$W$1001,MATCH(ROWS($K$2:K832),$K$2:$K$1001,0),MATCH(COLUMNS($R$1006:V1006),$R$1006:$W$1006,0)), HYPERLINK("#",""), HYPERLINK(CONCATENATE("#Metadata!", ADDRESS(INDEX($M$2:$M$1001,MATCH(ROWS($K$2:K832),$K$2:$K$1001,0),0), INDEX($R$1004:$W$1004,1,MATCH(COLUMNS($R$1006:V1006),$R$1006:$W$1006,0)))),"Fix")))</f>
        <v>0</v>
      </c>
      <c r="G832" s="3">
        <f>IF(OR(INDEX($L$2:$L$1001,MATCH(ROWS($K$2:K832),$K$2:$K$1001,0),1)&gt;=100000,INDEX($R$1005:$W$1005,1,MATCH(COLUMNS($R$1006:W1006),$R$1006:$W$1006,0))&gt;=100000), " ",IF(INDEX($R$2:$W$1001,MATCH(ROWS($K$2:K832),$K$2:$K$1001,0),MATCH(COLUMNS($R$1006:W1006),$R$1006:$W$1006,0)), HYPERLINK("#",""), HYPERLINK(CONCATENATE("#Metadata!", ADDRESS(INDEX($M$2:$M$1001,MATCH(ROWS($K$2:K832),$K$2:$K$1001,0),0), INDEX($R$1004:$W$1004,1,MATCH(COLUMNS($R$1006:W1006),$R$1006:$W$1006,0)))),"Fix")))</f>
        <v>0</v>
      </c>
      <c r="K832">
        <v>0</v>
      </c>
      <c r="L832">
        <v>0</v>
      </c>
      <c r="M832">
        <v>0</v>
      </c>
      <c r="N832">
        <f>IF(O832,TRUE,AND(R832:W832))</f>
        <v>0</v>
      </c>
      <c r="O832">
        <f>COUNTBLANK(Metadata!B832:G832)=COLUMNS(Metadata!B832:G832)</f>
        <v>0</v>
      </c>
      <c r="P832">
        <v>0</v>
      </c>
      <c r="R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S832">
        <f>IF(Metadata!C832="",FALSE,TRUE)</f>
        <v>0</v>
      </c>
      <c r="T832">
        <f>IF(Metadata!D832="",FALSE,TRUE)</f>
        <v>0</v>
      </c>
      <c r="U832">
        <f>IF(Metadata!E832="",FALSE,TRUE)</f>
        <v>0</v>
      </c>
      <c r="V832">
        <f>AND(IF(Metadata!F832="",FALSE,TRUE),exact(Metadata!F832,"rat gut metagenome"))</f>
        <v>0</v>
      </c>
      <c r="W832">
        <f>AND(IF(Metadata!G832="",FALSE,TRUE),exact(Metadata!G832,"1436733"))</f>
        <v>0</v>
      </c>
    </row>
    <row r="833" spans="1:23">
      <c r="A833" s="4">
        <f>IF(B833=" "," ",HYPERLINK(CONCATENATE("#metadata!",ADDRESS(INDEX($M$2:$M$1001,MATCH(ROWS($K$2:K833),$K$2:$K$1001,0),0),1)),INDEX($P$2:$P$1001,MATCH(ROWS($K$2:K833),$K$2:$K$1001,0),0)))</f>
        <v>0</v>
      </c>
      <c r="B833" s="3">
        <f>IF(OR(INDEX($L$2:$L$1001,MATCH(ROWS($K$2:K833),$K$2:$K$1001,0),1)&gt;=100000,INDEX($R$1005:$W$1005,1,MATCH(COLUMNS($R$1006:R1006),$R$1006:$W$1006,0))&gt;=100000), " ",IF(INDEX($R$2:$W$1001,MATCH(ROWS($K$2:K833),$K$2:$K$1001,0),MATCH(COLUMNS($R$1006:R1006),$R$1006:$W$1006,0)), HYPERLINK("#",""), HYPERLINK(CONCATENATE("#Metadata!", ADDRESS(INDEX($M$2:$M$1001,MATCH(ROWS($K$2:K833),$K$2:$K$1001,0),0), INDEX($R$1004:$W$1004,1,MATCH(COLUMNS($R$1006:R1006),$R$1006:$W$1006,0)))),"Fix")))</f>
        <v>0</v>
      </c>
      <c r="C833" s="3">
        <f>IF(OR(INDEX($L$2:$L$1001,MATCH(ROWS($K$2:K833),$K$2:$K$1001,0),1)&gt;=100000,INDEX($R$1005:$W$1005,1,MATCH(COLUMNS($R$1006:S1006),$R$1006:$W$1006,0))&gt;=100000), " ",IF(INDEX($R$2:$W$1001,MATCH(ROWS($K$2:K833),$K$2:$K$1001,0),MATCH(COLUMNS($R$1006:S1006),$R$1006:$W$1006,0)), HYPERLINK("#",""), HYPERLINK(CONCATENATE("#Metadata!", ADDRESS(INDEX($M$2:$M$1001,MATCH(ROWS($K$2:K833),$K$2:$K$1001,0),0), INDEX($R$1004:$W$1004,1,MATCH(COLUMNS($R$1006:S1006),$R$1006:$W$1006,0)))),"Fix")))</f>
        <v>0</v>
      </c>
      <c r="D833" s="3">
        <f>IF(OR(INDEX($L$2:$L$1001,MATCH(ROWS($K$2:K833),$K$2:$K$1001,0),1)&gt;=100000,INDEX($R$1005:$W$1005,1,MATCH(COLUMNS($R$1006:T1006),$R$1006:$W$1006,0))&gt;=100000), " ",IF(INDEX($R$2:$W$1001,MATCH(ROWS($K$2:K833),$K$2:$K$1001,0),MATCH(COLUMNS($R$1006:T1006),$R$1006:$W$1006,0)), HYPERLINK("#",""), HYPERLINK(CONCATENATE("#Metadata!", ADDRESS(INDEX($M$2:$M$1001,MATCH(ROWS($K$2:K833),$K$2:$K$1001,0),0), INDEX($R$1004:$W$1004,1,MATCH(COLUMNS($R$1006:T1006),$R$1006:$W$1006,0)))),"Fix")))</f>
        <v>0</v>
      </c>
      <c r="E833" s="3">
        <f>IF(OR(INDEX($L$2:$L$1001,MATCH(ROWS($K$2:K833),$K$2:$K$1001,0),1)&gt;=100000,INDEX($R$1005:$W$1005,1,MATCH(COLUMNS($R$1006:U1006),$R$1006:$W$1006,0))&gt;=100000), " ",IF(INDEX($R$2:$W$1001,MATCH(ROWS($K$2:K833),$K$2:$K$1001,0),MATCH(COLUMNS($R$1006:U1006),$R$1006:$W$1006,0)), HYPERLINK("#",""), HYPERLINK(CONCATENATE("#Metadata!", ADDRESS(INDEX($M$2:$M$1001,MATCH(ROWS($K$2:K833),$K$2:$K$1001,0),0), INDEX($R$1004:$W$1004,1,MATCH(COLUMNS($R$1006:U1006),$R$1006:$W$1006,0)))),"Fix")))</f>
        <v>0</v>
      </c>
      <c r="F833" s="3">
        <f>IF(OR(INDEX($L$2:$L$1001,MATCH(ROWS($K$2:K833),$K$2:$K$1001,0),1)&gt;=100000,INDEX($R$1005:$W$1005,1,MATCH(COLUMNS($R$1006:V1006),$R$1006:$W$1006,0))&gt;=100000), " ",IF(INDEX($R$2:$W$1001,MATCH(ROWS($K$2:K833),$K$2:$K$1001,0),MATCH(COLUMNS($R$1006:V1006),$R$1006:$W$1006,0)), HYPERLINK("#",""), HYPERLINK(CONCATENATE("#Metadata!", ADDRESS(INDEX($M$2:$M$1001,MATCH(ROWS($K$2:K833),$K$2:$K$1001,0),0), INDEX($R$1004:$W$1004,1,MATCH(COLUMNS($R$1006:V1006),$R$1006:$W$1006,0)))),"Fix")))</f>
        <v>0</v>
      </c>
      <c r="G833" s="3">
        <f>IF(OR(INDEX($L$2:$L$1001,MATCH(ROWS($K$2:K833),$K$2:$K$1001,0),1)&gt;=100000,INDEX($R$1005:$W$1005,1,MATCH(COLUMNS($R$1006:W1006),$R$1006:$W$1006,0))&gt;=100000), " ",IF(INDEX($R$2:$W$1001,MATCH(ROWS($K$2:K833),$K$2:$K$1001,0),MATCH(COLUMNS($R$1006:W1006),$R$1006:$W$1006,0)), HYPERLINK("#",""), HYPERLINK(CONCATENATE("#Metadata!", ADDRESS(INDEX($M$2:$M$1001,MATCH(ROWS($K$2:K833),$K$2:$K$1001,0),0), INDEX($R$1004:$W$1004,1,MATCH(COLUMNS($R$1006:W1006),$R$1006:$W$1006,0)))),"Fix")))</f>
        <v>0</v>
      </c>
      <c r="K833">
        <v>0</v>
      </c>
      <c r="L833">
        <v>0</v>
      </c>
      <c r="M833">
        <v>0</v>
      </c>
      <c r="N833">
        <f>IF(O833,TRUE,AND(R833:W833))</f>
        <v>0</v>
      </c>
      <c r="O833">
        <f>COUNTBLANK(Metadata!B833:G833)=COLUMNS(Metadata!B833:G833)</f>
        <v>0</v>
      </c>
      <c r="P833">
        <v>0</v>
      </c>
      <c r="R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S833">
        <f>IF(Metadata!C833="",FALSE,TRUE)</f>
        <v>0</v>
      </c>
      <c r="T833">
        <f>IF(Metadata!D833="",FALSE,TRUE)</f>
        <v>0</v>
      </c>
      <c r="U833">
        <f>IF(Metadata!E833="",FALSE,TRUE)</f>
        <v>0</v>
      </c>
      <c r="V833">
        <f>AND(IF(Metadata!F833="",FALSE,TRUE),exact(Metadata!F833,"rat gut metagenome"))</f>
        <v>0</v>
      </c>
      <c r="W833">
        <f>AND(IF(Metadata!G833="",FALSE,TRUE),exact(Metadata!G833,"1436733"))</f>
        <v>0</v>
      </c>
    </row>
    <row r="834" spans="1:23">
      <c r="A834" s="4">
        <f>IF(B834=" "," ",HYPERLINK(CONCATENATE("#metadata!",ADDRESS(INDEX($M$2:$M$1001,MATCH(ROWS($K$2:K834),$K$2:$K$1001,0),0),1)),INDEX($P$2:$P$1001,MATCH(ROWS($K$2:K834),$K$2:$K$1001,0),0)))</f>
        <v>0</v>
      </c>
      <c r="B834" s="3">
        <f>IF(OR(INDEX($L$2:$L$1001,MATCH(ROWS($K$2:K834),$K$2:$K$1001,0),1)&gt;=100000,INDEX($R$1005:$W$1005,1,MATCH(COLUMNS($R$1006:R1006),$R$1006:$W$1006,0))&gt;=100000), " ",IF(INDEX($R$2:$W$1001,MATCH(ROWS($K$2:K834),$K$2:$K$1001,0),MATCH(COLUMNS($R$1006:R1006),$R$1006:$W$1006,0)), HYPERLINK("#",""), HYPERLINK(CONCATENATE("#Metadata!", ADDRESS(INDEX($M$2:$M$1001,MATCH(ROWS($K$2:K834),$K$2:$K$1001,0),0), INDEX($R$1004:$W$1004,1,MATCH(COLUMNS($R$1006:R1006),$R$1006:$W$1006,0)))),"Fix")))</f>
        <v>0</v>
      </c>
      <c r="C834" s="3">
        <f>IF(OR(INDEX($L$2:$L$1001,MATCH(ROWS($K$2:K834),$K$2:$K$1001,0),1)&gt;=100000,INDEX($R$1005:$W$1005,1,MATCH(COLUMNS($R$1006:S1006),$R$1006:$W$1006,0))&gt;=100000), " ",IF(INDEX($R$2:$W$1001,MATCH(ROWS($K$2:K834),$K$2:$K$1001,0),MATCH(COLUMNS($R$1006:S1006),$R$1006:$W$1006,0)), HYPERLINK("#",""), HYPERLINK(CONCATENATE("#Metadata!", ADDRESS(INDEX($M$2:$M$1001,MATCH(ROWS($K$2:K834),$K$2:$K$1001,0),0), INDEX($R$1004:$W$1004,1,MATCH(COLUMNS($R$1006:S1006),$R$1006:$W$1006,0)))),"Fix")))</f>
        <v>0</v>
      </c>
      <c r="D834" s="3">
        <f>IF(OR(INDEX($L$2:$L$1001,MATCH(ROWS($K$2:K834),$K$2:$K$1001,0),1)&gt;=100000,INDEX($R$1005:$W$1005,1,MATCH(COLUMNS($R$1006:T1006),$R$1006:$W$1006,0))&gt;=100000), " ",IF(INDEX($R$2:$W$1001,MATCH(ROWS($K$2:K834),$K$2:$K$1001,0),MATCH(COLUMNS($R$1006:T1006),$R$1006:$W$1006,0)), HYPERLINK("#",""), HYPERLINK(CONCATENATE("#Metadata!", ADDRESS(INDEX($M$2:$M$1001,MATCH(ROWS($K$2:K834),$K$2:$K$1001,0),0), INDEX($R$1004:$W$1004,1,MATCH(COLUMNS($R$1006:T1006),$R$1006:$W$1006,0)))),"Fix")))</f>
        <v>0</v>
      </c>
      <c r="E834" s="3">
        <f>IF(OR(INDEX($L$2:$L$1001,MATCH(ROWS($K$2:K834),$K$2:$K$1001,0),1)&gt;=100000,INDEX($R$1005:$W$1005,1,MATCH(COLUMNS($R$1006:U1006),$R$1006:$W$1006,0))&gt;=100000), " ",IF(INDEX($R$2:$W$1001,MATCH(ROWS($K$2:K834),$K$2:$K$1001,0),MATCH(COLUMNS($R$1006:U1006),$R$1006:$W$1006,0)), HYPERLINK("#",""), HYPERLINK(CONCATENATE("#Metadata!", ADDRESS(INDEX($M$2:$M$1001,MATCH(ROWS($K$2:K834),$K$2:$K$1001,0),0), INDEX($R$1004:$W$1004,1,MATCH(COLUMNS($R$1006:U1006),$R$1006:$W$1006,0)))),"Fix")))</f>
        <v>0</v>
      </c>
      <c r="F834" s="3">
        <f>IF(OR(INDEX($L$2:$L$1001,MATCH(ROWS($K$2:K834),$K$2:$K$1001,0),1)&gt;=100000,INDEX($R$1005:$W$1005,1,MATCH(COLUMNS($R$1006:V1006),$R$1006:$W$1006,0))&gt;=100000), " ",IF(INDEX($R$2:$W$1001,MATCH(ROWS($K$2:K834),$K$2:$K$1001,0),MATCH(COLUMNS($R$1006:V1006),$R$1006:$W$1006,0)), HYPERLINK("#",""), HYPERLINK(CONCATENATE("#Metadata!", ADDRESS(INDEX($M$2:$M$1001,MATCH(ROWS($K$2:K834),$K$2:$K$1001,0),0), INDEX($R$1004:$W$1004,1,MATCH(COLUMNS($R$1006:V1006),$R$1006:$W$1006,0)))),"Fix")))</f>
        <v>0</v>
      </c>
      <c r="G834" s="3">
        <f>IF(OR(INDEX($L$2:$L$1001,MATCH(ROWS($K$2:K834),$K$2:$K$1001,0),1)&gt;=100000,INDEX($R$1005:$W$1005,1,MATCH(COLUMNS($R$1006:W1006),$R$1006:$W$1006,0))&gt;=100000), " ",IF(INDEX($R$2:$W$1001,MATCH(ROWS($K$2:K834),$K$2:$K$1001,0),MATCH(COLUMNS($R$1006:W1006),$R$1006:$W$1006,0)), HYPERLINK("#",""), HYPERLINK(CONCATENATE("#Metadata!", ADDRESS(INDEX($M$2:$M$1001,MATCH(ROWS($K$2:K834),$K$2:$K$1001,0),0), INDEX($R$1004:$W$1004,1,MATCH(COLUMNS($R$1006:W1006),$R$1006:$W$1006,0)))),"Fix")))</f>
        <v>0</v>
      </c>
      <c r="K834">
        <v>0</v>
      </c>
      <c r="L834">
        <v>0</v>
      </c>
      <c r="M834">
        <v>0</v>
      </c>
      <c r="N834">
        <f>IF(O834,TRUE,AND(R834:W834))</f>
        <v>0</v>
      </c>
      <c r="O834">
        <f>COUNTBLANK(Metadata!B834:G834)=COLUMNS(Metadata!B834:G834)</f>
        <v>0</v>
      </c>
      <c r="P834">
        <v>0</v>
      </c>
      <c r="R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S834">
        <f>IF(Metadata!C834="",FALSE,TRUE)</f>
        <v>0</v>
      </c>
      <c r="T834">
        <f>IF(Metadata!D834="",FALSE,TRUE)</f>
        <v>0</v>
      </c>
      <c r="U834">
        <f>IF(Metadata!E834="",FALSE,TRUE)</f>
        <v>0</v>
      </c>
      <c r="V834">
        <f>AND(IF(Metadata!F834="",FALSE,TRUE),exact(Metadata!F834,"rat gut metagenome"))</f>
        <v>0</v>
      </c>
      <c r="W834">
        <f>AND(IF(Metadata!G834="",FALSE,TRUE),exact(Metadata!G834,"1436733"))</f>
        <v>0</v>
      </c>
    </row>
    <row r="835" spans="1:23">
      <c r="A835" s="4">
        <f>IF(B835=" "," ",HYPERLINK(CONCATENATE("#metadata!",ADDRESS(INDEX($M$2:$M$1001,MATCH(ROWS($K$2:K835),$K$2:$K$1001,0),0),1)),INDEX($P$2:$P$1001,MATCH(ROWS($K$2:K835),$K$2:$K$1001,0),0)))</f>
        <v>0</v>
      </c>
      <c r="B835" s="3">
        <f>IF(OR(INDEX($L$2:$L$1001,MATCH(ROWS($K$2:K835),$K$2:$K$1001,0),1)&gt;=100000,INDEX($R$1005:$W$1005,1,MATCH(COLUMNS($R$1006:R1006),$R$1006:$W$1006,0))&gt;=100000), " ",IF(INDEX($R$2:$W$1001,MATCH(ROWS($K$2:K835),$K$2:$K$1001,0),MATCH(COLUMNS($R$1006:R1006),$R$1006:$W$1006,0)), HYPERLINK("#",""), HYPERLINK(CONCATENATE("#Metadata!", ADDRESS(INDEX($M$2:$M$1001,MATCH(ROWS($K$2:K835),$K$2:$K$1001,0),0), INDEX($R$1004:$W$1004,1,MATCH(COLUMNS($R$1006:R1006),$R$1006:$W$1006,0)))),"Fix")))</f>
        <v>0</v>
      </c>
      <c r="C835" s="3">
        <f>IF(OR(INDEX($L$2:$L$1001,MATCH(ROWS($K$2:K835),$K$2:$K$1001,0),1)&gt;=100000,INDEX($R$1005:$W$1005,1,MATCH(COLUMNS($R$1006:S1006),$R$1006:$W$1006,0))&gt;=100000), " ",IF(INDEX($R$2:$W$1001,MATCH(ROWS($K$2:K835),$K$2:$K$1001,0),MATCH(COLUMNS($R$1006:S1006),$R$1006:$W$1006,0)), HYPERLINK("#",""), HYPERLINK(CONCATENATE("#Metadata!", ADDRESS(INDEX($M$2:$M$1001,MATCH(ROWS($K$2:K835),$K$2:$K$1001,0),0), INDEX($R$1004:$W$1004,1,MATCH(COLUMNS($R$1006:S1006),$R$1006:$W$1006,0)))),"Fix")))</f>
        <v>0</v>
      </c>
      <c r="D835" s="3">
        <f>IF(OR(INDEX($L$2:$L$1001,MATCH(ROWS($K$2:K835),$K$2:$K$1001,0),1)&gt;=100000,INDEX($R$1005:$W$1005,1,MATCH(COLUMNS($R$1006:T1006),$R$1006:$W$1006,0))&gt;=100000), " ",IF(INDEX($R$2:$W$1001,MATCH(ROWS($K$2:K835),$K$2:$K$1001,0),MATCH(COLUMNS($R$1006:T1006),$R$1006:$W$1006,0)), HYPERLINK("#",""), HYPERLINK(CONCATENATE("#Metadata!", ADDRESS(INDEX($M$2:$M$1001,MATCH(ROWS($K$2:K835),$K$2:$K$1001,0),0), INDEX($R$1004:$W$1004,1,MATCH(COLUMNS($R$1006:T1006),$R$1006:$W$1006,0)))),"Fix")))</f>
        <v>0</v>
      </c>
      <c r="E835" s="3">
        <f>IF(OR(INDEX($L$2:$L$1001,MATCH(ROWS($K$2:K835),$K$2:$K$1001,0),1)&gt;=100000,INDEX($R$1005:$W$1005,1,MATCH(COLUMNS($R$1006:U1006),$R$1006:$W$1006,0))&gt;=100000), " ",IF(INDEX($R$2:$W$1001,MATCH(ROWS($K$2:K835),$K$2:$K$1001,0),MATCH(COLUMNS($R$1006:U1006),$R$1006:$W$1006,0)), HYPERLINK("#",""), HYPERLINK(CONCATENATE("#Metadata!", ADDRESS(INDEX($M$2:$M$1001,MATCH(ROWS($K$2:K835),$K$2:$K$1001,0),0), INDEX($R$1004:$W$1004,1,MATCH(COLUMNS($R$1006:U1006),$R$1006:$W$1006,0)))),"Fix")))</f>
        <v>0</v>
      </c>
      <c r="F835" s="3">
        <f>IF(OR(INDEX($L$2:$L$1001,MATCH(ROWS($K$2:K835),$K$2:$K$1001,0),1)&gt;=100000,INDEX($R$1005:$W$1005,1,MATCH(COLUMNS($R$1006:V1006),$R$1006:$W$1006,0))&gt;=100000), " ",IF(INDEX($R$2:$W$1001,MATCH(ROWS($K$2:K835),$K$2:$K$1001,0),MATCH(COLUMNS($R$1006:V1006),$R$1006:$W$1006,0)), HYPERLINK("#",""), HYPERLINK(CONCATENATE("#Metadata!", ADDRESS(INDEX($M$2:$M$1001,MATCH(ROWS($K$2:K835),$K$2:$K$1001,0),0), INDEX($R$1004:$W$1004,1,MATCH(COLUMNS($R$1006:V1006),$R$1006:$W$1006,0)))),"Fix")))</f>
        <v>0</v>
      </c>
      <c r="G835" s="3">
        <f>IF(OR(INDEX($L$2:$L$1001,MATCH(ROWS($K$2:K835),$K$2:$K$1001,0),1)&gt;=100000,INDEX($R$1005:$W$1005,1,MATCH(COLUMNS($R$1006:W1006),$R$1006:$W$1006,0))&gt;=100000), " ",IF(INDEX($R$2:$W$1001,MATCH(ROWS($K$2:K835),$K$2:$K$1001,0),MATCH(COLUMNS($R$1006:W1006),$R$1006:$W$1006,0)), HYPERLINK("#",""), HYPERLINK(CONCATENATE("#Metadata!", ADDRESS(INDEX($M$2:$M$1001,MATCH(ROWS($K$2:K835),$K$2:$K$1001,0),0), INDEX($R$1004:$W$1004,1,MATCH(COLUMNS($R$1006:W1006),$R$1006:$W$1006,0)))),"Fix")))</f>
        <v>0</v>
      </c>
      <c r="K835">
        <v>0</v>
      </c>
      <c r="L835">
        <v>0</v>
      </c>
      <c r="M835">
        <v>0</v>
      </c>
      <c r="N835">
        <f>IF(O835,TRUE,AND(R835:W835))</f>
        <v>0</v>
      </c>
      <c r="O835">
        <f>COUNTBLANK(Metadata!B835:G835)=COLUMNS(Metadata!B835:G835)</f>
        <v>0</v>
      </c>
      <c r="P835">
        <v>0</v>
      </c>
      <c r="R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S835">
        <f>IF(Metadata!C835="",FALSE,TRUE)</f>
        <v>0</v>
      </c>
      <c r="T835">
        <f>IF(Metadata!D835="",FALSE,TRUE)</f>
        <v>0</v>
      </c>
      <c r="U835">
        <f>IF(Metadata!E835="",FALSE,TRUE)</f>
        <v>0</v>
      </c>
      <c r="V835">
        <f>AND(IF(Metadata!F835="",FALSE,TRUE),exact(Metadata!F835,"rat gut metagenome"))</f>
        <v>0</v>
      </c>
      <c r="W835">
        <f>AND(IF(Metadata!G835="",FALSE,TRUE),exact(Metadata!G835,"1436733"))</f>
        <v>0</v>
      </c>
    </row>
    <row r="836" spans="1:23">
      <c r="A836" s="4">
        <f>IF(B836=" "," ",HYPERLINK(CONCATENATE("#metadata!",ADDRESS(INDEX($M$2:$M$1001,MATCH(ROWS($K$2:K836),$K$2:$K$1001,0),0),1)),INDEX($P$2:$P$1001,MATCH(ROWS($K$2:K836),$K$2:$K$1001,0),0)))</f>
        <v>0</v>
      </c>
      <c r="B836" s="3">
        <f>IF(OR(INDEX($L$2:$L$1001,MATCH(ROWS($K$2:K836),$K$2:$K$1001,0),1)&gt;=100000,INDEX($R$1005:$W$1005,1,MATCH(COLUMNS($R$1006:R1006),$R$1006:$W$1006,0))&gt;=100000), " ",IF(INDEX($R$2:$W$1001,MATCH(ROWS($K$2:K836),$K$2:$K$1001,0),MATCH(COLUMNS($R$1006:R1006),$R$1006:$W$1006,0)), HYPERLINK("#",""), HYPERLINK(CONCATENATE("#Metadata!", ADDRESS(INDEX($M$2:$M$1001,MATCH(ROWS($K$2:K836),$K$2:$K$1001,0),0), INDEX($R$1004:$W$1004,1,MATCH(COLUMNS($R$1006:R1006),$R$1006:$W$1006,0)))),"Fix")))</f>
        <v>0</v>
      </c>
      <c r="C836" s="3">
        <f>IF(OR(INDEX($L$2:$L$1001,MATCH(ROWS($K$2:K836),$K$2:$K$1001,0),1)&gt;=100000,INDEX($R$1005:$W$1005,1,MATCH(COLUMNS($R$1006:S1006),$R$1006:$W$1006,0))&gt;=100000), " ",IF(INDEX($R$2:$W$1001,MATCH(ROWS($K$2:K836),$K$2:$K$1001,0),MATCH(COLUMNS($R$1006:S1006),$R$1006:$W$1006,0)), HYPERLINK("#",""), HYPERLINK(CONCATENATE("#Metadata!", ADDRESS(INDEX($M$2:$M$1001,MATCH(ROWS($K$2:K836),$K$2:$K$1001,0),0), INDEX($R$1004:$W$1004,1,MATCH(COLUMNS($R$1006:S1006),$R$1006:$W$1006,0)))),"Fix")))</f>
        <v>0</v>
      </c>
      <c r="D836" s="3">
        <f>IF(OR(INDEX($L$2:$L$1001,MATCH(ROWS($K$2:K836),$K$2:$K$1001,0),1)&gt;=100000,INDEX($R$1005:$W$1005,1,MATCH(COLUMNS($R$1006:T1006),$R$1006:$W$1006,0))&gt;=100000), " ",IF(INDEX($R$2:$W$1001,MATCH(ROWS($K$2:K836),$K$2:$K$1001,0),MATCH(COLUMNS($R$1006:T1006),$R$1006:$W$1006,0)), HYPERLINK("#",""), HYPERLINK(CONCATENATE("#Metadata!", ADDRESS(INDEX($M$2:$M$1001,MATCH(ROWS($K$2:K836),$K$2:$K$1001,0),0), INDEX($R$1004:$W$1004,1,MATCH(COLUMNS($R$1006:T1006),$R$1006:$W$1006,0)))),"Fix")))</f>
        <v>0</v>
      </c>
      <c r="E836" s="3">
        <f>IF(OR(INDEX($L$2:$L$1001,MATCH(ROWS($K$2:K836),$K$2:$K$1001,0),1)&gt;=100000,INDEX($R$1005:$W$1005,1,MATCH(COLUMNS($R$1006:U1006),$R$1006:$W$1006,0))&gt;=100000), " ",IF(INDEX($R$2:$W$1001,MATCH(ROWS($K$2:K836),$K$2:$K$1001,0),MATCH(COLUMNS($R$1006:U1006),$R$1006:$W$1006,0)), HYPERLINK("#",""), HYPERLINK(CONCATENATE("#Metadata!", ADDRESS(INDEX($M$2:$M$1001,MATCH(ROWS($K$2:K836),$K$2:$K$1001,0),0), INDEX($R$1004:$W$1004,1,MATCH(COLUMNS($R$1006:U1006),$R$1006:$W$1006,0)))),"Fix")))</f>
        <v>0</v>
      </c>
      <c r="F836" s="3">
        <f>IF(OR(INDEX($L$2:$L$1001,MATCH(ROWS($K$2:K836),$K$2:$K$1001,0),1)&gt;=100000,INDEX($R$1005:$W$1005,1,MATCH(COLUMNS($R$1006:V1006),$R$1006:$W$1006,0))&gt;=100000), " ",IF(INDEX($R$2:$W$1001,MATCH(ROWS($K$2:K836),$K$2:$K$1001,0),MATCH(COLUMNS($R$1006:V1006),$R$1006:$W$1006,0)), HYPERLINK("#",""), HYPERLINK(CONCATENATE("#Metadata!", ADDRESS(INDEX($M$2:$M$1001,MATCH(ROWS($K$2:K836),$K$2:$K$1001,0),0), INDEX($R$1004:$W$1004,1,MATCH(COLUMNS($R$1006:V1006),$R$1006:$W$1006,0)))),"Fix")))</f>
        <v>0</v>
      </c>
      <c r="G836" s="3">
        <f>IF(OR(INDEX($L$2:$L$1001,MATCH(ROWS($K$2:K836),$K$2:$K$1001,0),1)&gt;=100000,INDEX($R$1005:$W$1005,1,MATCH(COLUMNS($R$1006:W1006),$R$1006:$W$1006,0))&gt;=100000), " ",IF(INDEX($R$2:$W$1001,MATCH(ROWS($K$2:K836),$K$2:$K$1001,0),MATCH(COLUMNS($R$1006:W1006),$R$1006:$W$1006,0)), HYPERLINK("#",""), HYPERLINK(CONCATENATE("#Metadata!", ADDRESS(INDEX($M$2:$M$1001,MATCH(ROWS($K$2:K836),$K$2:$K$1001,0),0), INDEX($R$1004:$W$1004,1,MATCH(COLUMNS($R$1006:W1006),$R$1006:$W$1006,0)))),"Fix")))</f>
        <v>0</v>
      </c>
      <c r="K836">
        <v>0</v>
      </c>
      <c r="L836">
        <v>0</v>
      </c>
      <c r="M836">
        <v>0</v>
      </c>
      <c r="N836">
        <f>IF(O836,TRUE,AND(R836:W836))</f>
        <v>0</v>
      </c>
      <c r="O836">
        <f>COUNTBLANK(Metadata!B836:G836)=COLUMNS(Metadata!B836:G836)</f>
        <v>0</v>
      </c>
      <c r="P836">
        <v>0</v>
      </c>
      <c r="R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S836">
        <f>IF(Metadata!C836="",FALSE,TRUE)</f>
        <v>0</v>
      </c>
      <c r="T836">
        <f>IF(Metadata!D836="",FALSE,TRUE)</f>
        <v>0</v>
      </c>
      <c r="U836">
        <f>IF(Metadata!E836="",FALSE,TRUE)</f>
        <v>0</v>
      </c>
      <c r="V836">
        <f>AND(IF(Metadata!F836="",FALSE,TRUE),exact(Metadata!F836,"rat gut metagenome"))</f>
        <v>0</v>
      </c>
      <c r="W836">
        <f>AND(IF(Metadata!G836="",FALSE,TRUE),exact(Metadata!G836,"1436733"))</f>
        <v>0</v>
      </c>
    </row>
    <row r="837" spans="1:23">
      <c r="A837" s="4">
        <f>IF(B837=" "," ",HYPERLINK(CONCATENATE("#metadata!",ADDRESS(INDEX($M$2:$M$1001,MATCH(ROWS($K$2:K837),$K$2:$K$1001,0),0),1)),INDEX($P$2:$P$1001,MATCH(ROWS($K$2:K837),$K$2:$K$1001,0),0)))</f>
        <v>0</v>
      </c>
      <c r="B837" s="3">
        <f>IF(OR(INDEX($L$2:$L$1001,MATCH(ROWS($K$2:K837),$K$2:$K$1001,0),1)&gt;=100000,INDEX($R$1005:$W$1005,1,MATCH(COLUMNS($R$1006:R1006),$R$1006:$W$1006,0))&gt;=100000), " ",IF(INDEX($R$2:$W$1001,MATCH(ROWS($K$2:K837),$K$2:$K$1001,0),MATCH(COLUMNS($R$1006:R1006),$R$1006:$W$1006,0)), HYPERLINK("#",""), HYPERLINK(CONCATENATE("#Metadata!", ADDRESS(INDEX($M$2:$M$1001,MATCH(ROWS($K$2:K837),$K$2:$K$1001,0),0), INDEX($R$1004:$W$1004,1,MATCH(COLUMNS($R$1006:R1006),$R$1006:$W$1006,0)))),"Fix")))</f>
        <v>0</v>
      </c>
      <c r="C837" s="3">
        <f>IF(OR(INDEX($L$2:$L$1001,MATCH(ROWS($K$2:K837),$K$2:$K$1001,0),1)&gt;=100000,INDEX($R$1005:$W$1005,1,MATCH(COLUMNS($R$1006:S1006),$R$1006:$W$1006,0))&gt;=100000), " ",IF(INDEX($R$2:$W$1001,MATCH(ROWS($K$2:K837),$K$2:$K$1001,0),MATCH(COLUMNS($R$1006:S1006),$R$1006:$W$1006,0)), HYPERLINK("#",""), HYPERLINK(CONCATENATE("#Metadata!", ADDRESS(INDEX($M$2:$M$1001,MATCH(ROWS($K$2:K837),$K$2:$K$1001,0),0), INDEX($R$1004:$W$1004,1,MATCH(COLUMNS($R$1006:S1006),$R$1006:$W$1006,0)))),"Fix")))</f>
        <v>0</v>
      </c>
      <c r="D837" s="3">
        <f>IF(OR(INDEX($L$2:$L$1001,MATCH(ROWS($K$2:K837),$K$2:$K$1001,0),1)&gt;=100000,INDEX($R$1005:$W$1005,1,MATCH(COLUMNS($R$1006:T1006),$R$1006:$W$1006,0))&gt;=100000), " ",IF(INDEX($R$2:$W$1001,MATCH(ROWS($K$2:K837),$K$2:$K$1001,0),MATCH(COLUMNS($R$1006:T1006),$R$1006:$W$1006,0)), HYPERLINK("#",""), HYPERLINK(CONCATENATE("#Metadata!", ADDRESS(INDEX($M$2:$M$1001,MATCH(ROWS($K$2:K837),$K$2:$K$1001,0),0), INDEX($R$1004:$W$1004,1,MATCH(COLUMNS($R$1006:T1006),$R$1006:$W$1006,0)))),"Fix")))</f>
        <v>0</v>
      </c>
      <c r="E837" s="3">
        <f>IF(OR(INDEX($L$2:$L$1001,MATCH(ROWS($K$2:K837),$K$2:$K$1001,0),1)&gt;=100000,INDEX($R$1005:$W$1005,1,MATCH(COLUMNS($R$1006:U1006),$R$1006:$W$1006,0))&gt;=100000), " ",IF(INDEX($R$2:$W$1001,MATCH(ROWS($K$2:K837),$K$2:$K$1001,0),MATCH(COLUMNS($R$1006:U1006),$R$1006:$W$1006,0)), HYPERLINK("#",""), HYPERLINK(CONCATENATE("#Metadata!", ADDRESS(INDEX($M$2:$M$1001,MATCH(ROWS($K$2:K837),$K$2:$K$1001,0),0), INDEX($R$1004:$W$1004,1,MATCH(COLUMNS($R$1006:U1006),$R$1006:$W$1006,0)))),"Fix")))</f>
        <v>0</v>
      </c>
      <c r="F837" s="3">
        <f>IF(OR(INDEX($L$2:$L$1001,MATCH(ROWS($K$2:K837),$K$2:$K$1001,0),1)&gt;=100000,INDEX($R$1005:$W$1005,1,MATCH(COLUMNS($R$1006:V1006),$R$1006:$W$1006,0))&gt;=100000), " ",IF(INDEX($R$2:$W$1001,MATCH(ROWS($K$2:K837),$K$2:$K$1001,0),MATCH(COLUMNS($R$1006:V1006),$R$1006:$W$1006,0)), HYPERLINK("#",""), HYPERLINK(CONCATENATE("#Metadata!", ADDRESS(INDEX($M$2:$M$1001,MATCH(ROWS($K$2:K837),$K$2:$K$1001,0),0), INDEX($R$1004:$W$1004,1,MATCH(COLUMNS($R$1006:V1006),$R$1006:$W$1006,0)))),"Fix")))</f>
        <v>0</v>
      </c>
      <c r="G837" s="3">
        <f>IF(OR(INDEX($L$2:$L$1001,MATCH(ROWS($K$2:K837),$K$2:$K$1001,0),1)&gt;=100000,INDEX($R$1005:$W$1005,1,MATCH(COLUMNS($R$1006:W1006),$R$1006:$W$1006,0))&gt;=100000), " ",IF(INDEX($R$2:$W$1001,MATCH(ROWS($K$2:K837),$K$2:$K$1001,0),MATCH(COLUMNS($R$1006:W1006),$R$1006:$W$1006,0)), HYPERLINK("#",""), HYPERLINK(CONCATENATE("#Metadata!", ADDRESS(INDEX($M$2:$M$1001,MATCH(ROWS($K$2:K837),$K$2:$K$1001,0),0), INDEX($R$1004:$W$1004,1,MATCH(COLUMNS($R$1006:W1006),$R$1006:$W$1006,0)))),"Fix")))</f>
        <v>0</v>
      </c>
      <c r="K837">
        <v>0</v>
      </c>
      <c r="L837">
        <v>0</v>
      </c>
      <c r="M837">
        <v>0</v>
      </c>
      <c r="N837">
        <f>IF(O837,TRUE,AND(R837:W837))</f>
        <v>0</v>
      </c>
      <c r="O837">
        <f>COUNTBLANK(Metadata!B837:G837)=COLUMNS(Metadata!B837:G837)</f>
        <v>0</v>
      </c>
      <c r="P837">
        <v>0</v>
      </c>
      <c r="R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S837">
        <f>IF(Metadata!C837="",FALSE,TRUE)</f>
        <v>0</v>
      </c>
      <c r="T837">
        <f>IF(Metadata!D837="",FALSE,TRUE)</f>
        <v>0</v>
      </c>
      <c r="U837">
        <f>IF(Metadata!E837="",FALSE,TRUE)</f>
        <v>0</v>
      </c>
      <c r="V837">
        <f>AND(IF(Metadata!F837="",FALSE,TRUE),exact(Metadata!F837,"rat gut metagenome"))</f>
        <v>0</v>
      </c>
      <c r="W837">
        <f>AND(IF(Metadata!G837="",FALSE,TRUE),exact(Metadata!G837,"1436733"))</f>
        <v>0</v>
      </c>
    </row>
    <row r="838" spans="1:23">
      <c r="A838" s="4">
        <f>IF(B838=" "," ",HYPERLINK(CONCATENATE("#metadata!",ADDRESS(INDEX($M$2:$M$1001,MATCH(ROWS($K$2:K838),$K$2:$K$1001,0),0),1)),INDEX($P$2:$P$1001,MATCH(ROWS($K$2:K838),$K$2:$K$1001,0),0)))</f>
        <v>0</v>
      </c>
      <c r="B838" s="3">
        <f>IF(OR(INDEX($L$2:$L$1001,MATCH(ROWS($K$2:K838),$K$2:$K$1001,0),1)&gt;=100000,INDEX($R$1005:$W$1005,1,MATCH(COLUMNS($R$1006:R1006),$R$1006:$W$1006,0))&gt;=100000), " ",IF(INDEX($R$2:$W$1001,MATCH(ROWS($K$2:K838),$K$2:$K$1001,0),MATCH(COLUMNS($R$1006:R1006),$R$1006:$W$1006,0)), HYPERLINK("#",""), HYPERLINK(CONCATENATE("#Metadata!", ADDRESS(INDEX($M$2:$M$1001,MATCH(ROWS($K$2:K838),$K$2:$K$1001,0),0), INDEX($R$1004:$W$1004,1,MATCH(COLUMNS($R$1006:R1006),$R$1006:$W$1006,0)))),"Fix")))</f>
        <v>0</v>
      </c>
      <c r="C838" s="3">
        <f>IF(OR(INDEX($L$2:$L$1001,MATCH(ROWS($K$2:K838),$K$2:$K$1001,0),1)&gt;=100000,INDEX($R$1005:$W$1005,1,MATCH(COLUMNS($R$1006:S1006),$R$1006:$W$1006,0))&gt;=100000), " ",IF(INDEX($R$2:$W$1001,MATCH(ROWS($K$2:K838),$K$2:$K$1001,0),MATCH(COLUMNS($R$1006:S1006),$R$1006:$W$1006,0)), HYPERLINK("#",""), HYPERLINK(CONCATENATE("#Metadata!", ADDRESS(INDEX($M$2:$M$1001,MATCH(ROWS($K$2:K838),$K$2:$K$1001,0),0), INDEX($R$1004:$W$1004,1,MATCH(COLUMNS($R$1006:S1006),$R$1006:$W$1006,0)))),"Fix")))</f>
        <v>0</v>
      </c>
      <c r="D838" s="3">
        <f>IF(OR(INDEX($L$2:$L$1001,MATCH(ROWS($K$2:K838),$K$2:$K$1001,0),1)&gt;=100000,INDEX($R$1005:$W$1005,1,MATCH(COLUMNS($R$1006:T1006),$R$1006:$W$1006,0))&gt;=100000), " ",IF(INDEX($R$2:$W$1001,MATCH(ROWS($K$2:K838),$K$2:$K$1001,0),MATCH(COLUMNS($R$1006:T1006),$R$1006:$W$1006,0)), HYPERLINK("#",""), HYPERLINK(CONCATENATE("#Metadata!", ADDRESS(INDEX($M$2:$M$1001,MATCH(ROWS($K$2:K838),$K$2:$K$1001,0),0), INDEX($R$1004:$W$1004,1,MATCH(COLUMNS($R$1006:T1006),$R$1006:$W$1006,0)))),"Fix")))</f>
        <v>0</v>
      </c>
      <c r="E838" s="3">
        <f>IF(OR(INDEX($L$2:$L$1001,MATCH(ROWS($K$2:K838),$K$2:$K$1001,0),1)&gt;=100000,INDEX($R$1005:$W$1005,1,MATCH(COLUMNS($R$1006:U1006),$R$1006:$W$1006,0))&gt;=100000), " ",IF(INDEX($R$2:$W$1001,MATCH(ROWS($K$2:K838),$K$2:$K$1001,0),MATCH(COLUMNS($R$1006:U1006),$R$1006:$W$1006,0)), HYPERLINK("#",""), HYPERLINK(CONCATENATE("#Metadata!", ADDRESS(INDEX($M$2:$M$1001,MATCH(ROWS($K$2:K838),$K$2:$K$1001,0),0), INDEX($R$1004:$W$1004,1,MATCH(COLUMNS($R$1006:U1006),$R$1006:$W$1006,0)))),"Fix")))</f>
        <v>0</v>
      </c>
      <c r="F838" s="3">
        <f>IF(OR(INDEX($L$2:$L$1001,MATCH(ROWS($K$2:K838),$K$2:$K$1001,0),1)&gt;=100000,INDEX($R$1005:$W$1005,1,MATCH(COLUMNS($R$1006:V1006),$R$1006:$W$1006,0))&gt;=100000), " ",IF(INDEX($R$2:$W$1001,MATCH(ROWS($K$2:K838),$K$2:$K$1001,0),MATCH(COLUMNS($R$1006:V1006),$R$1006:$W$1006,0)), HYPERLINK("#",""), HYPERLINK(CONCATENATE("#Metadata!", ADDRESS(INDEX($M$2:$M$1001,MATCH(ROWS($K$2:K838),$K$2:$K$1001,0),0), INDEX($R$1004:$W$1004,1,MATCH(COLUMNS($R$1006:V1006),$R$1006:$W$1006,0)))),"Fix")))</f>
        <v>0</v>
      </c>
      <c r="G838" s="3">
        <f>IF(OR(INDEX($L$2:$L$1001,MATCH(ROWS($K$2:K838),$K$2:$K$1001,0),1)&gt;=100000,INDEX($R$1005:$W$1005,1,MATCH(COLUMNS($R$1006:W1006),$R$1006:$W$1006,0))&gt;=100000), " ",IF(INDEX($R$2:$W$1001,MATCH(ROWS($K$2:K838),$K$2:$K$1001,0),MATCH(COLUMNS($R$1006:W1006),$R$1006:$W$1006,0)), HYPERLINK("#",""), HYPERLINK(CONCATENATE("#Metadata!", ADDRESS(INDEX($M$2:$M$1001,MATCH(ROWS($K$2:K838),$K$2:$K$1001,0),0), INDEX($R$1004:$W$1004,1,MATCH(COLUMNS($R$1006:W1006),$R$1006:$W$1006,0)))),"Fix")))</f>
        <v>0</v>
      </c>
      <c r="K838">
        <v>0</v>
      </c>
      <c r="L838">
        <v>0</v>
      </c>
      <c r="M838">
        <v>0</v>
      </c>
      <c r="N838">
        <f>IF(O838,TRUE,AND(R838:W838))</f>
        <v>0</v>
      </c>
      <c r="O838">
        <f>COUNTBLANK(Metadata!B838:G838)=COLUMNS(Metadata!B838:G838)</f>
        <v>0</v>
      </c>
      <c r="P838">
        <v>0</v>
      </c>
      <c r="R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S838">
        <f>IF(Metadata!C838="",FALSE,TRUE)</f>
        <v>0</v>
      </c>
      <c r="T838">
        <f>IF(Metadata!D838="",FALSE,TRUE)</f>
        <v>0</v>
      </c>
      <c r="U838">
        <f>IF(Metadata!E838="",FALSE,TRUE)</f>
        <v>0</v>
      </c>
      <c r="V838">
        <f>AND(IF(Metadata!F838="",FALSE,TRUE),exact(Metadata!F838,"rat gut metagenome"))</f>
        <v>0</v>
      </c>
      <c r="W838">
        <f>AND(IF(Metadata!G838="",FALSE,TRUE),exact(Metadata!G838,"1436733"))</f>
        <v>0</v>
      </c>
    </row>
    <row r="839" spans="1:23">
      <c r="A839" s="4">
        <f>IF(B839=" "," ",HYPERLINK(CONCATENATE("#metadata!",ADDRESS(INDEX($M$2:$M$1001,MATCH(ROWS($K$2:K839),$K$2:$K$1001,0),0),1)),INDEX($P$2:$P$1001,MATCH(ROWS($K$2:K839),$K$2:$K$1001,0),0)))</f>
        <v>0</v>
      </c>
      <c r="B839" s="3">
        <f>IF(OR(INDEX($L$2:$L$1001,MATCH(ROWS($K$2:K839),$K$2:$K$1001,0),1)&gt;=100000,INDEX($R$1005:$W$1005,1,MATCH(COLUMNS($R$1006:R1006),$R$1006:$W$1006,0))&gt;=100000), " ",IF(INDEX($R$2:$W$1001,MATCH(ROWS($K$2:K839),$K$2:$K$1001,0),MATCH(COLUMNS($R$1006:R1006),$R$1006:$W$1006,0)), HYPERLINK("#",""), HYPERLINK(CONCATENATE("#Metadata!", ADDRESS(INDEX($M$2:$M$1001,MATCH(ROWS($K$2:K839),$K$2:$K$1001,0),0), INDEX($R$1004:$W$1004,1,MATCH(COLUMNS($R$1006:R1006),$R$1006:$W$1006,0)))),"Fix")))</f>
        <v>0</v>
      </c>
      <c r="C839" s="3">
        <f>IF(OR(INDEX($L$2:$L$1001,MATCH(ROWS($K$2:K839),$K$2:$K$1001,0),1)&gt;=100000,INDEX($R$1005:$W$1005,1,MATCH(COLUMNS($R$1006:S1006),$R$1006:$W$1006,0))&gt;=100000), " ",IF(INDEX($R$2:$W$1001,MATCH(ROWS($K$2:K839),$K$2:$K$1001,0),MATCH(COLUMNS($R$1006:S1006),$R$1006:$W$1006,0)), HYPERLINK("#",""), HYPERLINK(CONCATENATE("#Metadata!", ADDRESS(INDEX($M$2:$M$1001,MATCH(ROWS($K$2:K839),$K$2:$K$1001,0),0), INDEX($R$1004:$W$1004,1,MATCH(COLUMNS($R$1006:S1006),$R$1006:$W$1006,0)))),"Fix")))</f>
        <v>0</v>
      </c>
      <c r="D839" s="3">
        <f>IF(OR(INDEX($L$2:$L$1001,MATCH(ROWS($K$2:K839),$K$2:$K$1001,0),1)&gt;=100000,INDEX($R$1005:$W$1005,1,MATCH(COLUMNS($R$1006:T1006),$R$1006:$W$1006,0))&gt;=100000), " ",IF(INDEX($R$2:$W$1001,MATCH(ROWS($K$2:K839),$K$2:$K$1001,0),MATCH(COLUMNS($R$1006:T1006),$R$1006:$W$1006,0)), HYPERLINK("#",""), HYPERLINK(CONCATENATE("#Metadata!", ADDRESS(INDEX($M$2:$M$1001,MATCH(ROWS($K$2:K839),$K$2:$K$1001,0),0), INDEX($R$1004:$W$1004,1,MATCH(COLUMNS($R$1006:T1006),$R$1006:$W$1006,0)))),"Fix")))</f>
        <v>0</v>
      </c>
      <c r="E839" s="3">
        <f>IF(OR(INDEX($L$2:$L$1001,MATCH(ROWS($K$2:K839),$K$2:$K$1001,0),1)&gt;=100000,INDEX($R$1005:$W$1005,1,MATCH(COLUMNS($R$1006:U1006),$R$1006:$W$1006,0))&gt;=100000), " ",IF(INDEX($R$2:$W$1001,MATCH(ROWS($K$2:K839),$K$2:$K$1001,0),MATCH(COLUMNS($R$1006:U1006),$R$1006:$W$1006,0)), HYPERLINK("#",""), HYPERLINK(CONCATENATE("#Metadata!", ADDRESS(INDEX($M$2:$M$1001,MATCH(ROWS($K$2:K839),$K$2:$K$1001,0),0), INDEX($R$1004:$W$1004,1,MATCH(COLUMNS($R$1006:U1006),$R$1006:$W$1006,0)))),"Fix")))</f>
        <v>0</v>
      </c>
      <c r="F839" s="3">
        <f>IF(OR(INDEX($L$2:$L$1001,MATCH(ROWS($K$2:K839),$K$2:$K$1001,0),1)&gt;=100000,INDEX($R$1005:$W$1005,1,MATCH(COLUMNS($R$1006:V1006),$R$1006:$W$1006,0))&gt;=100000), " ",IF(INDEX($R$2:$W$1001,MATCH(ROWS($K$2:K839),$K$2:$K$1001,0),MATCH(COLUMNS($R$1006:V1006),$R$1006:$W$1006,0)), HYPERLINK("#",""), HYPERLINK(CONCATENATE("#Metadata!", ADDRESS(INDEX($M$2:$M$1001,MATCH(ROWS($K$2:K839),$K$2:$K$1001,0),0), INDEX($R$1004:$W$1004,1,MATCH(COLUMNS($R$1006:V1006),$R$1006:$W$1006,0)))),"Fix")))</f>
        <v>0</v>
      </c>
      <c r="G839" s="3">
        <f>IF(OR(INDEX($L$2:$L$1001,MATCH(ROWS($K$2:K839),$K$2:$K$1001,0),1)&gt;=100000,INDEX($R$1005:$W$1005,1,MATCH(COLUMNS($R$1006:W1006),$R$1006:$W$1006,0))&gt;=100000), " ",IF(INDEX($R$2:$W$1001,MATCH(ROWS($K$2:K839),$K$2:$K$1001,0),MATCH(COLUMNS($R$1006:W1006),$R$1006:$W$1006,0)), HYPERLINK("#",""), HYPERLINK(CONCATENATE("#Metadata!", ADDRESS(INDEX($M$2:$M$1001,MATCH(ROWS($K$2:K839),$K$2:$K$1001,0),0), INDEX($R$1004:$W$1004,1,MATCH(COLUMNS($R$1006:W1006),$R$1006:$W$1006,0)))),"Fix")))</f>
        <v>0</v>
      </c>
      <c r="K839">
        <v>0</v>
      </c>
      <c r="L839">
        <v>0</v>
      </c>
      <c r="M839">
        <v>0</v>
      </c>
      <c r="N839">
        <f>IF(O839,TRUE,AND(R839:W839))</f>
        <v>0</v>
      </c>
      <c r="O839">
        <f>COUNTBLANK(Metadata!B839:G839)=COLUMNS(Metadata!B839:G839)</f>
        <v>0</v>
      </c>
      <c r="P839">
        <v>0</v>
      </c>
      <c r="R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S839">
        <f>IF(Metadata!C839="",FALSE,TRUE)</f>
        <v>0</v>
      </c>
      <c r="T839">
        <f>IF(Metadata!D839="",FALSE,TRUE)</f>
        <v>0</v>
      </c>
      <c r="U839">
        <f>IF(Metadata!E839="",FALSE,TRUE)</f>
        <v>0</v>
      </c>
      <c r="V839">
        <f>AND(IF(Metadata!F839="",FALSE,TRUE),exact(Metadata!F839,"rat gut metagenome"))</f>
        <v>0</v>
      </c>
      <c r="W839">
        <f>AND(IF(Metadata!G839="",FALSE,TRUE),exact(Metadata!G839,"1436733"))</f>
        <v>0</v>
      </c>
    </row>
    <row r="840" spans="1:23">
      <c r="A840" s="4">
        <f>IF(B840=" "," ",HYPERLINK(CONCATENATE("#metadata!",ADDRESS(INDEX($M$2:$M$1001,MATCH(ROWS($K$2:K840),$K$2:$K$1001,0),0),1)),INDEX($P$2:$P$1001,MATCH(ROWS($K$2:K840),$K$2:$K$1001,0),0)))</f>
        <v>0</v>
      </c>
      <c r="B840" s="3">
        <f>IF(OR(INDEX($L$2:$L$1001,MATCH(ROWS($K$2:K840),$K$2:$K$1001,0),1)&gt;=100000,INDEX($R$1005:$W$1005,1,MATCH(COLUMNS($R$1006:R1006),$R$1006:$W$1006,0))&gt;=100000), " ",IF(INDEX($R$2:$W$1001,MATCH(ROWS($K$2:K840),$K$2:$K$1001,0),MATCH(COLUMNS($R$1006:R1006),$R$1006:$W$1006,0)), HYPERLINK("#",""), HYPERLINK(CONCATENATE("#Metadata!", ADDRESS(INDEX($M$2:$M$1001,MATCH(ROWS($K$2:K840),$K$2:$K$1001,0),0), INDEX($R$1004:$W$1004,1,MATCH(COLUMNS($R$1006:R1006),$R$1006:$W$1006,0)))),"Fix")))</f>
        <v>0</v>
      </c>
      <c r="C840" s="3">
        <f>IF(OR(INDEX($L$2:$L$1001,MATCH(ROWS($K$2:K840),$K$2:$K$1001,0),1)&gt;=100000,INDEX($R$1005:$W$1005,1,MATCH(COLUMNS($R$1006:S1006),$R$1006:$W$1006,0))&gt;=100000), " ",IF(INDEX($R$2:$W$1001,MATCH(ROWS($K$2:K840),$K$2:$K$1001,0),MATCH(COLUMNS($R$1006:S1006),$R$1006:$W$1006,0)), HYPERLINK("#",""), HYPERLINK(CONCATENATE("#Metadata!", ADDRESS(INDEX($M$2:$M$1001,MATCH(ROWS($K$2:K840),$K$2:$K$1001,0),0), INDEX($R$1004:$W$1004,1,MATCH(COLUMNS($R$1006:S1006),$R$1006:$W$1006,0)))),"Fix")))</f>
        <v>0</v>
      </c>
      <c r="D840" s="3">
        <f>IF(OR(INDEX($L$2:$L$1001,MATCH(ROWS($K$2:K840),$K$2:$K$1001,0),1)&gt;=100000,INDEX($R$1005:$W$1005,1,MATCH(COLUMNS($R$1006:T1006),$R$1006:$W$1006,0))&gt;=100000), " ",IF(INDEX($R$2:$W$1001,MATCH(ROWS($K$2:K840),$K$2:$K$1001,0),MATCH(COLUMNS($R$1006:T1006),$R$1006:$W$1006,0)), HYPERLINK("#",""), HYPERLINK(CONCATENATE("#Metadata!", ADDRESS(INDEX($M$2:$M$1001,MATCH(ROWS($K$2:K840),$K$2:$K$1001,0),0), INDEX($R$1004:$W$1004,1,MATCH(COLUMNS($R$1006:T1006),$R$1006:$W$1006,0)))),"Fix")))</f>
        <v>0</v>
      </c>
      <c r="E840" s="3">
        <f>IF(OR(INDEX($L$2:$L$1001,MATCH(ROWS($K$2:K840),$K$2:$K$1001,0),1)&gt;=100000,INDEX($R$1005:$W$1005,1,MATCH(COLUMNS($R$1006:U1006),$R$1006:$W$1006,0))&gt;=100000), " ",IF(INDEX($R$2:$W$1001,MATCH(ROWS($K$2:K840),$K$2:$K$1001,0),MATCH(COLUMNS($R$1006:U1006),$R$1006:$W$1006,0)), HYPERLINK("#",""), HYPERLINK(CONCATENATE("#Metadata!", ADDRESS(INDEX($M$2:$M$1001,MATCH(ROWS($K$2:K840),$K$2:$K$1001,0),0), INDEX($R$1004:$W$1004,1,MATCH(COLUMNS($R$1006:U1006),$R$1006:$W$1006,0)))),"Fix")))</f>
        <v>0</v>
      </c>
      <c r="F840" s="3">
        <f>IF(OR(INDEX($L$2:$L$1001,MATCH(ROWS($K$2:K840),$K$2:$K$1001,0),1)&gt;=100000,INDEX($R$1005:$W$1005,1,MATCH(COLUMNS($R$1006:V1006),$R$1006:$W$1006,0))&gt;=100000), " ",IF(INDEX($R$2:$W$1001,MATCH(ROWS($K$2:K840),$K$2:$K$1001,0),MATCH(COLUMNS($R$1006:V1006),$R$1006:$W$1006,0)), HYPERLINK("#",""), HYPERLINK(CONCATENATE("#Metadata!", ADDRESS(INDEX($M$2:$M$1001,MATCH(ROWS($K$2:K840),$K$2:$K$1001,0),0), INDEX($R$1004:$W$1004,1,MATCH(COLUMNS($R$1006:V1006),$R$1006:$W$1006,0)))),"Fix")))</f>
        <v>0</v>
      </c>
      <c r="G840" s="3">
        <f>IF(OR(INDEX($L$2:$L$1001,MATCH(ROWS($K$2:K840),$K$2:$K$1001,0),1)&gt;=100000,INDEX($R$1005:$W$1005,1,MATCH(COLUMNS($R$1006:W1006),$R$1006:$W$1006,0))&gt;=100000), " ",IF(INDEX($R$2:$W$1001,MATCH(ROWS($K$2:K840),$K$2:$K$1001,0),MATCH(COLUMNS($R$1006:W1006),$R$1006:$W$1006,0)), HYPERLINK("#",""), HYPERLINK(CONCATENATE("#Metadata!", ADDRESS(INDEX($M$2:$M$1001,MATCH(ROWS($K$2:K840),$K$2:$K$1001,0),0), INDEX($R$1004:$W$1004,1,MATCH(COLUMNS($R$1006:W1006),$R$1006:$W$1006,0)))),"Fix")))</f>
        <v>0</v>
      </c>
      <c r="K840">
        <v>0</v>
      </c>
      <c r="L840">
        <v>0</v>
      </c>
      <c r="M840">
        <v>0</v>
      </c>
      <c r="N840">
        <f>IF(O840,TRUE,AND(R840:W840))</f>
        <v>0</v>
      </c>
      <c r="O840">
        <f>COUNTBLANK(Metadata!B840:G840)=COLUMNS(Metadata!B840:G840)</f>
        <v>0</v>
      </c>
      <c r="P840">
        <v>0</v>
      </c>
      <c r="R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S840">
        <f>IF(Metadata!C840="",FALSE,TRUE)</f>
        <v>0</v>
      </c>
      <c r="T840">
        <f>IF(Metadata!D840="",FALSE,TRUE)</f>
        <v>0</v>
      </c>
      <c r="U840">
        <f>IF(Metadata!E840="",FALSE,TRUE)</f>
        <v>0</v>
      </c>
      <c r="V840">
        <f>AND(IF(Metadata!F840="",FALSE,TRUE),exact(Metadata!F840,"rat gut metagenome"))</f>
        <v>0</v>
      </c>
      <c r="W840">
        <f>AND(IF(Metadata!G840="",FALSE,TRUE),exact(Metadata!G840,"1436733"))</f>
        <v>0</v>
      </c>
    </row>
    <row r="841" spans="1:23">
      <c r="A841" s="4">
        <f>IF(B841=" "," ",HYPERLINK(CONCATENATE("#metadata!",ADDRESS(INDEX($M$2:$M$1001,MATCH(ROWS($K$2:K841),$K$2:$K$1001,0),0),1)),INDEX($P$2:$P$1001,MATCH(ROWS($K$2:K841),$K$2:$K$1001,0),0)))</f>
        <v>0</v>
      </c>
      <c r="B841" s="3">
        <f>IF(OR(INDEX($L$2:$L$1001,MATCH(ROWS($K$2:K841),$K$2:$K$1001,0),1)&gt;=100000,INDEX($R$1005:$W$1005,1,MATCH(COLUMNS($R$1006:R1006),$R$1006:$W$1006,0))&gt;=100000), " ",IF(INDEX($R$2:$W$1001,MATCH(ROWS($K$2:K841),$K$2:$K$1001,0),MATCH(COLUMNS($R$1006:R1006),$R$1006:$W$1006,0)), HYPERLINK("#",""), HYPERLINK(CONCATENATE("#Metadata!", ADDRESS(INDEX($M$2:$M$1001,MATCH(ROWS($K$2:K841),$K$2:$K$1001,0),0), INDEX($R$1004:$W$1004,1,MATCH(COLUMNS($R$1006:R1006),$R$1006:$W$1006,0)))),"Fix")))</f>
        <v>0</v>
      </c>
      <c r="C841" s="3">
        <f>IF(OR(INDEX($L$2:$L$1001,MATCH(ROWS($K$2:K841),$K$2:$K$1001,0),1)&gt;=100000,INDEX($R$1005:$W$1005,1,MATCH(COLUMNS($R$1006:S1006),$R$1006:$W$1006,0))&gt;=100000), " ",IF(INDEX($R$2:$W$1001,MATCH(ROWS($K$2:K841),$K$2:$K$1001,0),MATCH(COLUMNS($R$1006:S1006),$R$1006:$W$1006,0)), HYPERLINK("#",""), HYPERLINK(CONCATENATE("#Metadata!", ADDRESS(INDEX($M$2:$M$1001,MATCH(ROWS($K$2:K841),$K$2:$K$1001,0),0), INDEX($R$1004:$W$1004,1,MATCH(COLUMNS($R$1006:S1006),$R$1006:$W$1006,0)))),"Fix")))</f>
        <v>0</v>
      </c>
      <c r="D841" s="3">
        <f>IF(OR(INDEX($L$2:$L$1001,MATCH(ROWS($K$2:K841),$K$2:$K$1001,0),1)&gt;=100000,INDEX($R$1005:$W$1005,1,MATCH(COLUMNS($R$1006:T1006),$R$1006:$W$1006,0))&gt;=100000), " ",IF(INDEX($R$2:$W$1001,MATCH(ROWS($K$2:K841),$K$2:$K$1001,0),MATCH(COLUMNS($R$1006:T1006),$R$1006:$W$1006,0)), HYPERLINK("#",""), HYPERLINK(CONCATENATE("#Metadata!", ADDRESS(INDEX($M$2:$M$1001,MATCH(ROWS($K$2:K841),$K$2:$K$1001,0),0), INDEX($R$1004:$W$1004,1,MATCH(COLUMNS($R$1006:T1006),$R$1006:$W$1006,0)))),"Fix")))</f>
        <v>0</v>
      </c>
      <c r="E841" s="3">
        <f>IF(OR(INDEX($L$2:$L$1001,MATCH(ROWS($K$2:K841),$K$2:$K$1001,0),1)&gt;=100000,INDEX($R$1005:$W$1005,1,MATCH(COLUMNS($R$1006:U1006),$R$1006:$W$1006,0))&gt;=100000), " ",IF(INDEX($R$2:$W$1001,MATCH(ROWS($K$2:K841),$K$2:$K$1001,0),MATCH(COLUMNS($R$1006:U1006),$R$1006:$W$1006,0)), HYPERLINK("#",""), HYPERLINK(CONCATENATE("#Metadata!", ADDRESS(INDEX($M$2:$M$1001,MATCH(ROWS($K$2:K841),$K$2:$K$1001,0),0), INDEX($R$1004:$W$1004,1,MATCH(COLUMNS($R$1006:U1006),$R$1006:$W$1006,0)))),"Fix")))</f>
        <v>0</v>
      </c>
      <c r="F841" s="3">
        <f>IF(OR(INDEX($L$2:$L$1001,MATCH(ROWS($K$2:K841),$K$2:$K$1001,0),1)&gt;=100000,INDEX($R$1005:$W$1005,1,MATCH(COLUMNS($R$1006:V1006),$R$1006:$W$1006,0))&gt;=100000), " ",IF(INDEX($R$2:$W$1001,MATCH(ROWS($K$2:K841),$K$2:$K$1001,0),MATCH(COLUMNS($R$1006:V1006),$R$1006:$W$1006,0)), HYPERLINK("#",""), HYPERLINK(CONCATENATE("#Metadata!", ADDRESS(INDEX($M$2:$M$1001,MATCH(ROWS($K$2:K841),$K$2:$K$1001,0),0), INDEX($R$1004:$W$1004,1,MATCH(COLUMNS($R$1006:V1006),$R$1006:$W$1006,0)))),"Fix")))</f>
        <v>0</v>
      </c>
      <c r="G841" s="3">
        <f>IF(OR(INDEX($L$2:$L$1001,MATCH(ROWS($K$2:K841),$K$2:$K$1001,0),1)&gt;=100000,INDEX($R$1005:$W$1005,1,MATCH(COLUMNS($R$1006:W1006),$R$1006:$W$1006,0))&gt;=100000), " ",IF(INDEX($R$2:$W$1001,MATCH(ROWS($K$2:K841),$K$2:$K$1001,0),MATCH(COLUMNS($R$1006:W1006),$R$1006:$W$1006,0)), HYPERLINK("#",""), HYPERLINK(CONCATENATE("#Metadata!", ADDRESS(INDEX($M$2:$M$1001,MATCH(ROWS($K$2:K841),$K$2:$K$1001,0),0), INDEX($R$1004:$W$1004,1,MATCH(COLUMNS($R$1006:W1006),$R$1006:$W$1006,0)))),"Fix")))</f>
        <v>0</v>
      </c>
      <c r="K841">
        <v>0</v>
      </c>
      <c r="L841">
        <v>0</v>
      </c>
      <c r="M841">
        <v>0</v>
      </c>
      <c r="N841">
        <f>IF(O841,TRUE,AND(R841:W841))</f>
        <v>0</v>
      </c>
      <c r="O841">
        <f>COUNTBLANK(Metadata!B841:G841)=COLUMNS(Metadata!B841:G841)</f>
        <v>0</v>
      </c>
      <c r="P841">
        <v>0</v>
      </c>
      <c r="R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S841">
        <f>IF(Metadata!C841="",FALSE,TRUE)</f>
        <v>0</v>
      </c>
      <c r="T841">
        <f>IF(Metadata!D841="",FALSE,TRUE)</f>
        <v>0</v>
      </c>
      <c r="U841">
        <f>IF(Metadata!E841="",FALSE,TRUE)</f>
        <v>0</v>
      </c>
      <c r="V841">
        <f>AND(IF(Metadata!F841="",FALSE,TRUE),exact(Metadata!F841,"rat gut metagenome"))</f>
        <v>0</v>
      </c>
      <c r="W841">
        <f>AND(IF(Metadata!G841="",FALSE,TRUE),exact(Metadata!G841,"1436733"))</f>
        <v>0</v>
      </c>
    </row>
    <row r="842" spans="1:23">
      <c r="A842" s="4">
        <f>IF(B842=" "," ",HYPERLINK(CONCATENATE("#metadata!",ADDRESS(INDEX($M$2:$M$1001,MATCH(ROWS($K$2:K842),$K$2:$K$1001,0),0),1)),INDEX($P$2:$P$1001,MATCH(ROWS($K$2:K842),$K$2:$K$1001,0),0)))</f>
        <v>0</v>
      </c>
      <c r="B842" s="3">
        <f>IF(OR(INDEX($L$2:$L$1001,MATCH(ROWS($K$2:K842),$K$2:$K$1001,0),1)&gt;=100000,INDEX($R$1005:$W$1005,1,MATCH(COLUMNS($R$1006:R1006),$R$1006:$W$1006,0))&gt;=100000), " ",IF(INDEX($R$2:$W$1001,MATCH(ROWS($K$2:K842),$K$2:$K$1001,0),MATCH(COLUMNS($R$1006:R1006),$R$1006:$W$1006,0)), HYPERLINK("#",""), HYPERLINK(CONCATENATE("#Metadata!", ADDRESS(INDEX($M$2:$M$1001,MATCH(ROWS($K$2:K842),$K$2:$K$1001,0),0), INDEX($R$1004:$W$1004,1,MATCH(COLUMNS($R$1006:R1006),$R$1006:$W$1006,0)))),"Fix")))</f>
        <v>0</v>
      </c>
      <c r="C842" s="3">
        <f>IF(OR(INDEX($L$2:$L$1001,MATCH(ROWS($K$2:K842),$K$2:$K$1001,0),1)&gt;=100000,INDEX($R$1005:$W$1005,1,MATCH(COLUMNS($R$1006:S1006),$R$1006:$W$1006,0))&gt;=100000), " ",IF(INDEX($R$2:$W$1001,MATCH(ROWS($K$2:K842),$K$2:$K$1001,0),MATCH(COLUMNS($R$1006:S1006),$R$1006:$W$1006,0)), HYPERLINK("#",""), HYPERLINK(CONCATENATE("#Metadata!", ADDRESS(INDEX($M$2:$M$1001,MATCH(ROWS($K$2:K842),$K$2:$K$1001,0),0), INDEX($R$1004:$W$1004,1,MATCH(COLUMNS($R$1006:S1006),$R$1006:$W$1006,0)))),"Fix")))</f>
        <v>0</v>
      </c>
      <c r="D842" s="3">
        <f>IF(OR(INDEX($L$2:$L$1001,MATCH(ROWS($K$2:K842),$K$2:$K$1001,0),1)&gt;=100000,INDEX($R$1005:$W$1005,1,MATCH(COLUMNS($R$1006:T1006),$R$1006:$W$1006,0))&gt;=100000), " ",IF(INDEX($R$2:$W$1001,MATCH(ROWS($K$2:K842),$K$2:$K$1001,0),MATCH(COLUMNS($R$1006:T1006),$R$1006:$W$1006,0)), HYPERLINK("#",""), HYPERLINK(CONCATENATE("#Metadata!", ADDRESS(INDEX($M$2:$M$1001,MATCH(ROWS($K$2:K842),$K$2:$K$1001,0),0), INDEX($R$1004:$W$1004,1,MATCH(COLUMNS($R$1006:T1006),$R$1006:$W$1006,0)))),"Fix")))</f>
        <v>0</v>
      </c>
      <c r="E842" s="3">
        <f>IF(OR(INDEX($L$2:$L$1001,MATCH(ROWS($K$2:K842),$K$2:$K$1001,0),1)&gt;=100000,INDEX($R$1005:$W$1005,1,MATCH(COLUMNS($R$1006:U1006),$R$1006:$W$1006,0))&gt;=100000), " ",IF(INDEX($R$2:$W$1001,MATCH(ROWS($K$2:K842),$K$2:$K$1001,0),MATCH(COLUMNS($R$1006:U1006),$R$1006:$W$1006,0)), HYPERLINK("#",""), HYPERLINK(CONCATENATE("#Metadata!", ADDRESS(INDEX($M$2:$M$1001,MATCH(ROWS($K$2:K842),$K$2:$K$1001,0),0), INDEX($R$1004:$W$1004,1,MATCH(COLUMNS($R$1006:U1006),$R$1006:$W$1006,0)))),"Fix")))</f>
        <v>0</v>
      </c>
      <c r="F842" s="3">
        <f>IF(OR(INDEX($L$2:$L$1001,MATCH(ROWS($K$2:K842),$K$2:$K$1001,0),1)&gt;=100000,INDEX($R$1005:$W$1005,1,MATCH(COLUMNS($R$1006:V1006),$R$1006:$W$1006,0))&gt;=100000), " ",IF(INDEX($R$2:$W$1001,MATCH(ROWS($K$2:K842),$K$2:$K$1001,0),MATCH(COLUMNS($R$1006:V1006),$R$1006:$W$1006,0)), HYPERLINK("#",""), HYPERLINK(CONCATENATE("#Metadata!", ADDRESS(INDEX($M$2:$M$1001,MATCH(ROWS($K$2:K842),$K$2:$K$1001,0),0), INDEX($R$1004:$W$1004,1,MATCH(COLUMNS($R$1006:V1006),$R$1006:$W$1006,0)))),"Fix")))</f>
        <v>0</v>
      </c>
      <c r="G842" s="3">
        <f>IF(OR(INDEX($L$2:$L$1001,MATCH(ROWS($K$2:K842),$K$2:$K$1001,0),1)&gt;=100000,INDEX($R$1005:$W$1005,1,MATCH(COLUMNS($R$1006:W1006),$R$1006:$W$1006,0))&gt;=100000), " ",IF(INDEX($R$2:$W$1001,MATCH(ROWS($K$2:K842),$K$2:$K$1001,0),MATCH(COLUMNS($R$1006:W1006),$R$1006:$W$1006,0)), HYPERLINK("#",""), HYPERLINK(CONCATENATE("#Metadata!", ADDRESS(INDEX($M$2:$M$1001,MATCH(ROWS($K$2:K842),$K$2:$K$1001,0),0), INDEX($R$1004:$W$1004,1,MATCH(COLUMNS($R$1006:W1006),$R$1006:$W$1006,0)))),"Fix")))</f>
        <v>0</v>
      </c>
      <c r="K842">
        <v>0</v>
      </c>
      <c r="L842">
        <v>0</v>
      </c>
      <c r="M842">
        <v>0</v>
      </c>
      <c r="N842">
        <f>IF(O842,TRUE,AND(R842:W842))</f>
        <v>0</v>
      </c>
      <c r="O842">
        <f>COUNTBLANK(Metadata!B842:G842)=COLUMNS(Metadata!B842:G842)</f>
        <v>0</v>
      </c>
      <c r="P842">
        <v>0</v>
      </c>
      <c r="R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S842">
        <f>IF(Metadata!C842="",FALSE,TRUE)</f>
        <v>0</v>
      </c>
      <c r="T842">
        <f>IF(Metadata!D842="",FALSE,TRUE)</f>
        <v>0</v>
      </c>
      <c r="U842">
        <f>IF(Metadata!E842="",FALSE,TRUE)</f>
        <v>0</v>
      </c>
      <c r="V842">
        <f>AND(IF(Metadata!F842="",FALSE,TRUE),exact(Metadata!F842,"rat gut metagenome"))</f>
        <v>0</v>
      </c>
      <c r="W842">
        <f>AND(IF(Metadata!G842="",FALSE,TRUE),exact(Metadata!G842,"1436733"))</f>
        <v>0</v>
      </c>
    </row>
    <row r="843" spans="1:23">
      <c r="A843" s="4">
        <f>IF(B843=" "," ",HYPERLINK(CONCATENATE("#metadata!",ADDRESS(INDEX($M$2:$M$1001,MATCH(ROWS($K$2:K843),$K$2:$K$1001,0),0),1)),INDEX($P$2:$P$1001,MATCH(ROWS($K$2:K843),$K$2:$K$1001,0),0)))</f>
        <v>0</v>
      </c>
      <c r="B843" s="3">
        <f>IF(OR(INDEX($L$2:$L$1001,MATCH(ROWS($K$2:K843),$K$2:$K$1001,0),1)&gt;=100000,INDEX($R$1005:$W$1005,1,MATCH(COLUMNS($R$1006:R1006),$R$1006:$W$1006,0))&gt;=100000), " ",IF(INDEX($R$2:$W$1001,MATCH(ROWS($K$2:K843),$K$2:$K$1001,0),MATCH(COLUMNS($R$1006:R1006),$R$1006:$W$1006,0)), HYPERLINK("#",""), HYPERLINK(CONCATENATE("#Metadata!", ADDRESS(INDEX($M$2:$M$1001,MATCH(ROWS($K$2:K843),$K$2:$K$1001,0),0), INDEX($R$1004:$W$1004,1,MATCH(COLUMNS($R$1006:R1006),$R$1006:$W$1006,0)))),"Fix")))</f>
        <v>0</v>
      </c>
      <c r="C843" s="3">
        <f>IF(OR(INDEX($L$2:$L$1001,MATCH(ROWS($K$2:K843),$K$2:$K$1001,0),1)&gt;=100000,INDEX($R$1005:$W$1005,1,MATCH(COLUMNS($R$1006:S1006),$R$1006:$W$1006,0))&gt;=100000), " ",IF(INDEX($R$2:$W$1001,MATCH(ROWS($K$2:K843),$K$2:$K$1001,0),MATCH(COLUMNS($R$1006:S1006),$R$1006:$W$1006,0)), HYPERLINK("#",""), HYPERLINK(CONCATENATE("#Metadata!", ADDRESS(INDEX($M$2:$M$1001,MATCH(ROWS($K$2:K843),$K$2:$K$1001,0),0), INDEX($R$1004:$W$1004,1,MATCH(COLUMNS($R$1006:S1006),$R$1006:$W$1006,0)))),"Fix")))</f>
        <v>0</v>
      </c>
      <c r="D843" s="3">
        <f>IF(OR(INDEX($L$2:$L$1001,MATCH(ROWS($K$2:K843),$K$2:$K$1001,0),1)&gt;=100000,INDEX($R$1005:$W$1005,1,MATCH(COLUMNS($R$1006:T1006),$R$1006:$W$1006,0))&gt;=100000), " ",IF(INDEX($R$2:$W$1001,MATCH(ROWS($K$2:K843),$K$2:$K$1001,0),MATCH(COLUMNS($R$1006:T1006),$R$1006:$W$1006,0)), HYPERLINK("#",""), HYPERLINK(CONCATENATE("#Metadata!", ADDRESS(INDEX($M$2:$M$1001,MATCH(ROWS($K$2:K843),$K$2:$K$1001,0),0), INDEX($R$1004:$W$1004,1,MATCH(COLUMNS($R$1006:T1006),$R$1006:$W$1006,0)))),"Fix")))</f>
        <v>0</v>
      </c>
      <c r="E843" s="3">
        <f>IF(OR(INDEX($L$2:$L$1001,MATCH(ROWS($K$2:K843),$K$2:$K$1001,0),1)&gt;=100000,INDEX($R$1005:$W$1005,1,MATCH(COLUMNS($R$1006:U1006),$R$1006:$W$1006,0))&gt;=100000), " ",IF(INDEX($R$2:$W$1001,MATCH(ROWS($K$2:K843),$K$2:$K$1001,0),MATCH(COLUMNS($R$1006:U1006),$R$1006:$W$1006,0)), HYPERLINK("#",""), HYPERLINK(CONCATENATE("#Metadata!", ADDRESS(INDEX($M$2:$M$1001,MATCH(ROWS($K$2:K843),$K$2:$K$1001,0),0), INDEX($R$1004:$W$1004,1,MATCH(COLUMNS($R$1006:U1006),$R$1006:$W$1006,0)))),"Fix")))</f>
        <v>0</v>
      </c>
      <c r="F843" s="3">
        <f>IF(OR(INDEX($L$2:$L$1001,MATCH(ROWS($K$2:K843),$K$2:$K$1001,0),1)&gt;=100000,INDEX($R$1005:$W$1005,1,MATCH(COLUMNS($R$1006:V1006),$R$1006:$W$1006,0))&gt;=100000), " ",IF(INDEX($R$2:$W$1001,MATCH(ROWS($K$2:K843),$K$2:$K$1001,0),MATCH(COLUMNS($R$1006:V1006),$R$1006:$W$1006,0)), HYPERLINK("#",""), HYPERLINK(CONCATENATE("#Metadata!", ADDRESS(INDEX($M$2:$M$1001,MATCH(ROWS($K$2:K843),$K$2:$K$1001,0),0), INDEX($R$1004:$W$1004,1,MATCH(COLUMNS($R$1006:V1006),$R$1006:$W$1006,0)))),"Fix")))</f>
        <v>0</v>
      </c>
      <c r="G843" s="3">
        <f>IF(OR(INDEX($L$2:$L$1001,MATCH(ROWS($K$2:K843),$K$2:$K$1001,0),1)&gt;=100000,INDEX($R$1005:$W$1005,1,MATCH(COLUMNS($R$1006:W1006),$R$1006:$W$1006,0))&gt;=100000), " ",IF(INDEX($R$2:$W$1001,MATCH(ROWS($K$2:K843),$K$2:$K$1001,0),MATCH(COLUMNS($R$1006:W1006),$R$1006:$W$1006,0)), HYPERLINK("#",""), HYPERLINK(CONCATENATE("#Metadata!", ADDRESS(INDEX($M$2:$M$1001,MATCH(ROWS($K$2:K843),$K$2:$K$1001,0),0), INDEX($R$1004:$W$1004,1,MATCH(COLUMNS($R$1006:W1006),$R$1006:$W$1006,0)))),"Fix")))</f>
        <v>0</v>
      </c>
      <c r="K843">
        <v>0</v>
      </c>
      <c r="L843">
        <v>0</v>
      </c>
      <c r="M843">
        <v>0</v>
      </c>
      <c r="N843">
        <f>IF(O843,TRUE,AND(R843:W843))</f>
        <v>0</v>
      </c>
      <c r="O843">
        <f>COUNTBLANK(Metadata!B843:G843)=COLUMNS(Metadata!B843:G843)</f>
        <v>0</v>
      </c>
      <c r="P843">
        <v>0</v>
      </c>
      <c r="R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S843">
        <f>IF(Metadata!C843="",FALSE,TRUE)</f>
        <v>0</v>
      </c>
      <c r="T843">
        <f>IF(Metadata!D843="",FALSE,TRUE)</f>
        <v>0</v>
      </c>
      <c r="U843">
        <f>IF(Metadata!E843="",FALSE,TRUE)</f>
        <v>0</v>
      </c>
      <c r="V843">
        <f>AND(IF(Metadata!F843="",FALSE,TRUE),exact(Metadata!F843,"rat gut metagenome"))</f>
        <v>0</v>
      </c>
      <c r="W843">
        <f>AND(IF(Metadata!G843="",FALSE,TRUE),exact(Metadata!G843,"1436733"))</f>
        <v>0</v>
      </c>
    </row>
    <row r="844" spans="1:23">
      <c r="A844" s="4">
        <f>IF(B844=" "," ",HYPERLINK(CONCATENATE("#metadata!",ADDRESS(INDEX($M$2:$M$1001,MATCH(ROWS($K$2:K844),$K$2:$K$1001,0),0),1)),INDEX($P$2:$P$1001,MATCH(ROWS($K$2:K844),$K$2:$K$1001,0),0)))</f>
        <v>0</v>
      </c>
      <c r="B844" s="3">
        <f>IF(OR(INDEX($L$2:$L$1001,MATCH(ROWS($K$2:K844),$K$2:$K$1001,0),1)&gt;=100000,INDEX($R$1005:$W$1005,1,MATCH(COLUMNS($R$1006:R1006),$R$1006:$W$1006,0))&gt;=100000), " ",IF(INDEX($R$2:$W$1001,MATCH(ROWS($K$2:K844),$K$2:$K$1001,0),MATCH(COLUMNS($R$1006:R1006),$R$1006:$W$1006,0)), HYPERLINK("#",""), HYPERLINK(CONCATENATE("#Metadata!", ADDRESS(INDEX($M$2:$M$1001,MATCH(ROWS($K$2:K844),$K$2:$K$1001,0),0), INDEX($R$1004:$W$1004,1,MATCH(COLUMNS($R$1006:R1006),$R$1006:$W$1006,0)))),"Fix")))</f>
        <v>0</v>
      </c>
      <c r="C844" s="3">
        <f>IF(OR(INDEX($L$2:$L$1001,MATCH(ROWS($K$2:K844),$K$2:$K$1001,0),1)&gt;=100000,INDEX($R$1005:$W$1005,1,MATCH(COLUMNS($R$1006:S1006),$R$1006:$W$1006,0))&gt;=100000), " ",IF(INDEX($R$2:$W$1001,MATCH(ROWS($K$2:K844),$K$2:$K$1001,0),MATCH(COLUMNS($R$1006:S1006),$R$1006:$W$1006,0)), HYPERLINK("#",""), HYPERLINK(CONCATENATE("#Metadata!", ADDRESS(INDEX($M$2:$M$1001,MATCH(ROWS($K$2:K844),$K$2:$K$1001,0),0), INDEX($R$1004:$W$1004,1,MATCH(COLUMNS($R$1006:S1006),$R$1006:$W$1006,0)))),"Fix")))</f>
        <v>0</v>
      </c>
      <c r="D844" s="3">
        <f>IF(OR(INDEX($L$2:$L$1001,MATCH(ROWS($K$2:K844),$K$2:$K$1001,0),1)&gt;=100000,INDEX($R$1005:$W$1005,1,MATCH(COLUMNS($R$1006:T1006),$R$1006:$W$1006,0))&gt;=100000), " ",IF(INDEX($R$2:$W$1001,MATCH(ROWS($K$2:K844),$K$2:$K$1001,0),MATCH(COLUMNS($R$1006:T1006),$R$1006:$W$1006,0)), HYPERLINK("#",""), HYPERLINK(CONCATENATE("#Metadata!", ADDRESS(INDEX($M$2:$M$1001,MATCH(ROWS($K$2:K844),$K$2:$K$1001,0),0), INDEX($R$1004:$W$1004,1,MATCH(COLUMNS($R$1006:T1006),$R$1006:$W$1006,0)))),"Fix")))</f>
        <v>0</v>
      </c>
      <c r="E844" s="3">
        <f>IF(OR(INDEX($L$2:$L$1001,MATCH(ROWS($K$2:K844),$K$2:$K$1001,0),1)&gt;=100000,INDEX($R$1005:$W$1005,1,MATCH(COLUMNS($R$1006:U1006),$R$1006:$W$1006,0))&gt;=100000), " ",IF(INDEX($R$2:$W$1001,MATCH(ROWS($K$2:K844),$K$2:$K$1001,0),MATCH(COLUMNS($R$1006:U1006),$R$1006:$W$1006,0)), HYPERLINK("#",""), HYPERLINK(CONCATENATE("#Metadata!", ADDRESS(INDEX($M$2:$M$1001,MATCH(ROWS($K$2:K844),$K$2:$K$1001,0),0), INDEX($R$1004:$W$1004,1,MATCH(COLUMNS($R$1006:U1006),$R$1006:$W$1006,0)))),"Fix")))</f>
        <v>0</v>
      </c>
      <c r="F844" s="3">
        <f>IF(OR(INDEX($L$2:$L$1001,MATCH(ROWS($K$2:K844),$K$2:$K$1001,0),1)&gt;=100000,INDEX($R$1005:$W$1005,1,MATCH(COLUMNS($R$1006:V1006),$R$1006:$W$1006,0))&gt;=100000), " ",IF(INDEX($R$2:$W$1001,MATCH(ROWS($K$2:K844),$K$2:$K$1001,0),MATCH(COLUMNS($R$1006:V1006),$R$1006:$W$1006,0)), HYPERLINK("#",""), HYPERLINK(CONCATENATE("#Metadata!", ADDRESS(INDEX($M$2:$M$1001,MATCH(ROWS($K$2:K844),$K$2:$K$1001,0),0), INDEX($R$1004:$W$1004,1,MATCH(COLUMNS($R$1006:V1006),$R$1006:$W$1006,0)))),"Fix")))</f>
        <v>0</v>
      </c>
      <c r="G844" s="3">
        <f>IF(OR(INDEX($L$2:$L$1001,MATCH(ROWS($K$2:K844),$K$2:$K$1001,0),1)&gt;=100000,INDEX($R$1005:$W$1005,1,MATCH(COLUMNS($R$1006:W1006),$R$1006:$W$1006,0))&gt;=100000), " ",IF(INDEX($R$2:$W$1001,MATCH(ROWS($K$2:K844),$K$2:$K$1001,0),MATCH(COLUMNS($R$1006:W1006),$R$1006:$W$1006,0)), HYPERLINK("#",""), HYPERLINK(CONCATENATE("#Metadata!", ADDRESS(INDEX($M$2:$M$1001,MATCH(ROWS($K$2:K844),$K$2:$K$1001,0),0), INDEX($R$1004:$W$1004,1,MATCH(COLUMNS($R$1006:W1006),$R$1006:$W$1006,0)))),"Fix")))</f>
        <v>0</v>
      </c>
      <c r="K844">
        <v>0</v>
      </c>
      <c r="L844">
        <v>0</v>
      </c>
      <c r="M844">
        <v>0</v>
      </c>
      <c r="N844">
        <f>IF(O844,TRUE,AND(R844:W844))</f>
        <v>0</v>
      </c>
      <c r="O844">
        <f>COUNTBLANK(Metadata!B844:G844)=COLUMNS(Metadata!B844:G844)</f>
        <v>0</v>
      </c>
      <c r="P844">
        <v>0</v>
      </c>
      <c r="R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S844">
        <f>IF(Metadata!C844="",FALSE,TRUE)</f>
        <v>0</v>
      </c>
      <c r="T844">
        <f>IF(Metadata!D844="",FALSE,TRUE)</f>
        <v>0</v>
      </c>
      <c r="U844">
        <f>IF(Metadata!E844="",FALSE,TRUE)</f>
        <v>0</v>
      </c>
      <c r="V844">
        <f>AND(IF(Metadata!F844="",FALSE,TRUE),exact(Metadata!F844,"rat gut metagenome"))</f>
        <v>0</v>
      </c>
      <c r="W844">
        <f>AND(IF(Metadata!G844="",FALSE,TRUE),exact(Metadata!G844,"1436733"))</f>
        <v>0</v>
      </c>
    </row>
    <row r="845" spans="1:23">
      <c r="A845" s="4">
        <f>IF(B845=" "," ",HYPERLINK(CONCATENATE("#metadata!",ADDRESS(INDEX($M$2:$M$1001,MATCH(ROWS($K$2:K845),$K$2:$K$1001,0),0),1)),INDEX($P$2:$P$1001,MATCH(ROWS($K$2:K845),$K$2:$K$1001,0),0)))</f>
        <v>0</v>
      </c>
      <c r="B845" s="3">
        <f>IF(OR(INDEX($L$2:$L$1001,MATCH(ROWS($K$2:K845),$K$2:$K$1001,0),1)&gt;=100000,INDEX($R$1005:$W$1005,1,MATCH(COLUMNS($R$1006:R1006),$R$1006:$W$1006,0))&gt;=100000), " ",IF(INDEX($R$2:$W$1001,MATCH(ROWS($K$2:K845),$K$2:$K$1001,0),MATCH(COLUMNS($R$1006:R1006),$R$1006:$W$1006,0)), HYPERLINK("#",""), HYPERLINK(CONCATENATE("#Metadata!", ADDRESS(INDEX($M$2:$M$1001,MATCH(ROWS($K$2:K845),$K$2:$K$1001,0),0), INDEX($R$1004:$W$1004,1,MATCH(COLUMNS($R$1006:R1006),$R$1006:$W$1006,0)))),"Fix")))</f>
        <v>0</v>
      </c>
      <c r="C845" s="3">
        <f>IF(OR(INDEX($L$2:$L$1001,MATCH(ROWS($K$2:K845),$K$2:$K$1001,0),1)&gt;=100000,INDEX($R$1005:$W$1005,1,MATCH(COLUMNS($R$1006:S1006),$R$1006:$W$1006,0))&gt;=100000), " ",IF(INDEX($R$2:$W$1001,MATCH(ROWS($K$2:K845),$K$2:$K$1001,0),MATCH(COLUMNS($R$1006:S1006),$R$1006:$W$1006,0)), HYPERLINK("#",""), HYPERLINK(CONCATENATE("#Metadata!", ADDRESS(INDEX($M$2:$M$1001,MATCH(ROWS($K$2:K845),$K$2:$K$1001,0),0), INDEX($R$1004:$W$1004,1,MATCH(COLUMNS($R$1006:S1006),$R$1006:$W$1006,0)))),"Fix")))</f>
        <v>0</v>
      </c>
      <c r="D845" s="3">
        <f>IF(OR(INDEX($L$2:$L$1001,MATCH(ROWS($K$2:K845),$K$2:$K$1001,0),1)&gt;=100000,INDEX($R$1005:$W$1005,1,MATCH(COLUMNS($R$1006:T1006),$R$1006:$W$1006,0))&gt;=100000), " ",IF(INDEX($R$2:$W$1001,MATCH(ROWS($K$2:K845),$K$2:$K$1001,0),MATCH(COLUMNS($R$1006:T1006),$R$1006:$W$1006,0)), HYPERLINK("#",""), HYPERLINK(CONCATENATE("#Metadata!", ADDRESS(INDEX($M$2:$M$1001,MATCH(ROWS($K$2:K845),$K$2:$K$1001,0),0), INDEX($R$1004:$W$1004,1,MATCH(COLUMNS($R$1006:T1006),$R$1006:$W$1006,0)))),"Fix")))</f>
        <v>0</v>
      </c>
      <c r="E845" s="3">
        <f>IF(OR(INDEX($L$2:$L$1001,MATCH(ROWS($K$2:K845),$K$2:$K$1001,0),1)&gt;=100000,INDEX($R$1005:$W$1005,1,MATCH(COLUMNS($R$1006:U1006),$R$1006:$W$1006,0))&gt;=100000), " ",IF(INDEX($R$2:$W$1001,MATCH(ROWS($K$2:K845),$K$2:$K$1001,0),MATCH(COLUMNS($R$1006:U1006),$R$1006:$W$1006,0)), HYPERLINK("#",""), HYPERLINK(CONCATENATE("#Metadata!", ADDRESS(INDEX($M$2:$M$1001,MATCH(ROWS($K$2:K845),$K$2:$K$1001,0),0), INDEX($R$1004:$W$1004,1,MATCH(COLUMNS($R$1006:U1006),$R$1006:$W$1006,0)))),"Fix")))</f>
        <v>0</v>
      </c>
      <c r="F845" s="3">
        <f>IF(OR(INDEX($L$2:$L$1001,MATCH(ROWS($K$2:K845),$K$2:$K$1001,0),1)&gt;=100000,INDEX($R$1005:$W$1005,1,MATCH(COLUMNS($R$1006:V1006),$R$1006:$W$1006,0))&gt;=100000), " ",IF(INDEX($R$2:$W$1001,MATCH(ROWS($K$2:K845),$K$2:$K$1001,0),MATCH(COLUMNS($R$1006:V1006),$R$1006:$W$1006,0)), HYPERLINK("#",""), HYPERLINK(CONCATENATE("#Metadata!", ADDRESS(INDEX($M$2:$M$1001,MATCH(ROWS($K$2:K845),$K$2:$K$1001,0),0), INDEX($R$1004:$W$1004,1,MATCH(COLUMNS($R$1006:V1006),$R$1006:$W$1006,0)))),"Fix")))</f>
        <v>0</v>
      </c>
      <c r="G845" s="3">
        <f>IF(OR(INDEX($L$2:$L$1001,MATCH(ROWS($K$2:K845),$K$2:$K$1001,0),1)&gt;=100000,INDEX($R$1005:$W$1005,1,MATCH(COLUMNS($R$1006:W1006),$R$1006:$W$1006,0))&gt;=100000), " ",IF(INDEX($R$2:$W$1001,MATCH(ROWS($K$2:K845),$K$2:$K$1001,0),MATCH(COLUMNS($R$1006:W1006),$R$1006:$W$1006,0)), HYPERLINK("#",""), HYPERLINK(CONCATENATE("#Metadata!", ADDRESS(INDEX($M$2:$M$1001,MATCH(ROWS($K$2:K845),$K$2:$K$1001,0),0), INDEX($R$1004:$W$1004,1,MATCH(COLUMNS($R$1006:W1006),$R$1006:$W$1006,0)))),"Fix")))</f>
        <v>0</v>
      </c>
      <c r="K845">
        <v>0</v>
      </c>
      <c r="L845">
        <v>0</v>
      </c>
      <c r="M845">
        <v>0</v>
      </c>
      <c r="N845">
        <f>IF(O845,TRUE,AND(R845:W845))</f>
        <v>0</v>
      </c>
      <c r="O845">
        <f>COUNTBLANK(Metadata!B845:G845)=COLUMNS(Metadata!B845:G845)</f>
        <v>0</v>
      </c>
      <c r="P845">
        <v>0</v>
      </c>
      <c r="R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S845">
        <f>IF(Metadata!C845="",FALSE,TRUE)</f>
        <v>0</v>
      </c>
      <c r="T845">
        <f>IF(Metadata!D845="",FALSE,TRUE)</f>
        <v>0</v>
      </c>
      <c r="U845">
        <f>IF(Metadata!E845="",FALSE,TRUE)</f>
        <v>0</v>
      </c>
      <c r="V845">
        <f>AND(IF(Metadata!F845="",FALSE,TRUE),exact(Metadata!F845,"rat gut metagenome"))</f>
        <v>0</v>
      </c>
      <c r="W845">
        <f>AND(IF(Metadata!G845="",FALSE,TRUE),exact(Metadata!G845,"1436733"))</f>
        <v>0</v>
      </c>
    </row>
    <row r="846" spans="1:23">
      <c r="A846" s="4">
        <f>IF(B846=" "," ",HYPERLINK(CONCATENATE("#metadata!",ADDRESS(INDEX($M$2:$M$1001,MATCH(ROWS($K$2:K846),$K$2:$K$1001,0),0),1)),INDEX($P$2:$P$1001,MATCH(ROWS($K$2:K846),$K$2:$K$1001,0),0)))</f>
        <v>0</v>
      </c>
      <c r="B846" s="3">
        <f>IF(OR(INDEX($L$2:$L$1001,MATCH(ROWS($K$2:K846),$K$2:$K$1001,0),1)&gt;=100000,INDEX($R$1005:$W$1005,1,MATCH(COLUMNS($R$1006:R1006),$R$1006:$W$1006,0))&gt;=100000), " ",IF(INDEX($R$2:$W$1001,MATCH(ROWS($K$2:K846),$K$2:$K$1001,0),MATCH(COLUMNS($R$1006:R1006),$R$1006:$W$1006,0)), HYPERLINK("#",""), HYPERLINK(CONCATENATE("#Metadata!", ADDRESS(INDEX($M$2:$M$1001,MATCH(ROWS($K$2:K846),$K$2:$K$1001,0),0), INDEX($R$1004:$W$1004,1,MATCH(COLUMNS($R$1006:R1006),$R$1006:$W$1006,0)))),"Fix")))</f>
        <v>0</v>
      </c>
      <c r="C846" s="3">
        <f>IF(OR(INDEX($L$2:$L$1001,MATCH(ROWS($K$2:K846),$K$2:$K$1001,0),1)&gt;=100000,INDEX($R$1005:$W$1005,1,MATCH(COLUMNS($R$1006:S1006),$R$1006:$W$1006,0))&gt;=100000), " ",IF(INDEX($R$2:$W$1001,MATCH(ROWS($K$2:K846),$K$2:$K$1001,0),MATCH(COLUMNS($R$1006:S1006),$R$1006:$W$1006,0)), HYPERLINK("#",""), HYPERLINK(CONCATENATE("#Metadata!", ADDRESS(INDEX($M$2:$M$1001,MATCH(ROWS($K$2:K846),$K$2:$K$1001,0),0), INDEX($R$1004:$W$1004,1,MATCH(COLUMNS($R$1006:S1006),$R$1006:$W$1006,0)))),"Fix")))</f>
        <v>0</v>
      </c>
      <c r="D846" s="3">
        <f>IF(OR(INDEX($L$2:$L$1001,MATCH(ROWS($K$2:K846),$K$2:$K$1001,0),1)&gt;=100000,INDEX($R$1005:$W$1005,1,MATCH(COLUMNS($R$1006:T1006),$R$1006:$W$1006,0))&gt;=100000), " ",IF(INDEX($R$2:$W$1001,MATCH(ROWS($K$2:K846),$K$2:$K$1001,0),MATCH(COLUMNS($R$1006:T1006),$R$1006:$W$1006,0)), HYPERLINK("#",""), HYPERLINK(CONCATENATE("#Metadata!", ADDRESS(INDEX($M$2:$M$1001,MATCH(ROWS($K$2:K846),$K$2:$K$1001,0),0), INDEX($R$1004:$W$1004,1,MATCH(COLUMNS($R$1006:T1006),$R$1006:$W$1006,0)))),"Fix")))</f>
        <v>0</v>
      </c>
      <c r="E846" s="3">
        <f>IF(OR(INDEX($L$2:$L$1001,MATCH(ROWS($K$2:K846),$K$2:$K$1001,0),1)&gt;=100000,INDEX($R$1005:$W$1005,1,MATCH(COLUMNS($R$1006:U1006),$R$1006:$W$1006,0))&gt;=100000), " ",IF(INDEX($R$2:$W$1001,MATCH(ROWS($K$2:K846),$K$2:$K$1001,0),MATCH(COLUMNS($R$1006:U1006),$R$1006:$W$1006,0)), HYPERLINK("#",""), HYPERLINK(CONCATENATE("#Metadata!", ADDRESS(INDEX($M$2:$M$1001,MATCH(ROWS($K$2:K846),$K$2:$K$1001,0),0), INDEX($R$1004:$W$1004,1,MATCH(COLUMNS($R$1006:U1006),$R$1006:$W$1006,0)))),"Fix")))</f>
        <v>0</v>
      </c>
      <c r="F846" s="3">
        <f>IF(OR(INDEX($L$2:$L$1001,MATCH(ROWS($K$2:K846),$K$2:$K$1001,0),1)&gt;=100000,INDEX($R$1005:$W$1005,1,MATCH(COLUMNS($R$1006:V1006),$R$1006:$W$1006,0))&gt;=100000), " ",IF(INDEX($R$2:$W$1001,MATCH(ROWS($K$2:K846),$K$2:$K$1001,0),MATCH(COLUMNS($R$1006:V1006),$R$1006:$W$1006,0)), HYPERLINK("#",""), HYPERLINK(CONCATENATE("#Metadata!", ADDRESS(INDEX($M$2:$M$1001,MATCH(ROWS($K$2:K846),$K$2:$K$1001,0),0), INDEX($R$1004:$W$1004,1,MATCH(COLUMNS($R$1006:V1006),$R$1006:$W$1006,0)))),"Fix")))</f>
        <v>0</v>
      </c>
      <c r="G846" s="3">
        <f>IF(OR(INDEX($L$2:$L$1001,MATCH(ROWS($K$2:K846),$K$2:$K$1001,0),1)&gt;=100000,INDEX($R$1005:$W$1005,1,MATCH(COLUMNS($R$1006:W1006),$R$1006:$W$1006,0))&gt;=100000), " ",IF(INDEX($R$2:$W$1001,MATCH(ROWS($K$2:K846),$K$2:$K$1001,0),MATCH(COLUMNS($R$1006:W1006),$R$1006:$W$1006,0)), HYPERLINK("#",""), HYPERLINK(CONCATENATE("#Metadata!", ADDRESS(INDEX($M$2:$M$1001,MATCH(ROWS($K$2:K846),$K$2:$K$1001,0),0), INDEX($R$1004:$W$1004,1,MATCH(COLUMNS($R$1006:W1006),$R$1006:$W$1006,0)))),"Fix")))</f>
        <v>0</v>
      </c>
      <c r="K846">
        <v>0</v>
      </c>
      <c r="L846">
        <v>0</v>
      </c>
      <c r="M846">
        <v>0</v>
      </c>
      <c r="N846">
        <f>IF(O846,TRUE,AND(R846:W846))</f>
        <v>0</v>
      </c>
      <c r="O846">
        <f>COUNTBLANK(Metadata!B846:G846)=COLUMNS(Metadata!B846:G846)</f>
        <v>0</v>
      </c>
      <c r="P846">
        <v>0</v>
      </c>
      <c r="R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S846">
        <f>IF(Metadata!C846="",FALSE,TRUE)</f>
        <v>0</v>
      </c>
      <c r="T846">
        <f>IF(Metadata!D846="",FALSE,TRUE)</f>
        <v>0</v>
      </c>
      <c r="U846">
        <f>IF(Metadata!E846="",FALSE,TRUE)</f>
        <v>0</v>
      </c>
      <c r="V846">
        <f>AND(IF(Metadata!F846="",FALSE,TRUE),exact(Metadata!F846,"rat gut metagenome"))</f>
        <v>0</v>
      </c>
      <c r="W846">
        <f>AND(IF(Metadata!G846="",FALSE,TRUE),exact(Metadata!G846,"1436733"))</f>
        <v>0</v>
      </c>
    </row>
    <row r="847" spans="1:23">
      <c r="A847" s="4">
        <f>IF(B847=" "," ",HYPERLINK(CONCATENATE("#metadata!",ADDRESS(INDEX($M$2:$M$1001,MATCH(ROWS($K$2:K847),$K$2:$K$1001,0),0),1)),INDEX($P$2:$P$1001,MATCH(ROWS($K$2:K847),$K$2:$K$1001,0),0)))</f>
        <v>0</v>
      </c>
      <c r="B847" s="3">
        <f>IF(OR(INDEX($L$2:$L$1001,MATCH(ROWS($K$2:K847),$K$2:$K$1001,0),1)&gt;=100000,INDEX($R$1005:$W$1005,1,MATCH(COLUMNS($R$1006:R1006),$R$1006:$W$1006,0))&gt;=100000), " ",IF(INDEX($R$2:$W$1001,MATCH(ROWS($K$2:K847),$K$2:$K$1001,0),MATCH(COLUMNS($R$1006:R1006),$R$1006:$W$1006,0)), HYPERLINK("#",""), HYPERLINK(CONCATENATE("#Metadata!", ADDRESS(INDEX($M$2:$M$1001,MATCH(ROWS($K$2:K847),$K$2:$K$1001,0),0), INDEX($R$1004:$W$1004,1,MATCH(COLUMNS($R$1006:R1006),$R$1006:$W$1006,0)))),"Fix")))</f>
        <v>0</v>
      </c>
      <c r="C847" s="3">
        <f>IF(OR(INDEX($L$2:$L$1001,MATCH(ROWS($K$2:K847),$K$2:$K$1001,0),1)&gt;=100000,INDEX($R$1005:$W$1005,1,MATCH(COLUMNS($R$1006:S1006),$R$1006:$W$1006,0))&gt;=100000), " ",IF(INDEX($R$2:$W$1001,MATCH(ROWS($K$2:K847),$K$2:$K$1001,0),MATCH(COLUMNS($R$1006:S1006),$R$1006:$W$1006,0)), HYPERLINK("#",""), HYPERLINK(CONCATENATE("#Metadata!", ADDRESS(INDEX($M$2:$M$1001,MATCH(ROWS($K$2:K847),$K$2:$K$1001,0),0), INDEX($R$1004:$W$1004,1,MATCH(COLUMNS($R$1006:S1006),$R$1006:$W$1006,0)))),"Fix")))</f>
        <v>0</v>
      </c>
      <c r="D847" s="3">
        <f>IF(OR(INDEX($L$2:$L$1001,MATCH(ROWS($K$2:K847),$K$2:$K$1001,0),1)&gt;=100000,INDEX($R$1005:$W$1005,1,MATCH(COLUMNS($R$1006:T1006),$R$1006:$W$1006,0))&gt;=100000), " ",IF(INDEX($R$2:$W$1001,MATCH(ROWS($K$2:K847),$K$2:$K$1001,0),MATCH(COLUMNS($R$1006:T1006),$R$1006:$W$1006,0)), HYPERLINK("#",""), HYPERLINK(CONCATENATE("#Metadata!", ADDRESS(INDEX($M$2:$M$1001,MATCH(ROWS($K$2:K847),$K$2:$K$1001,0),0), INDEX($R$1004:$W$1004,1,MATCH(COLUMNS($R$1006:T1006),$R$1006:$W$1006,0)))),"Fix")))</f>
        <v>0</v>
      </c>
      <c r="E847" s="3">
        <f>IF(OR(INDEX($L$2:$L$1001,MATCH(ROWS($K$2:K847),$K$2:$K$1001,0),1)&gt;=100000,INDEX($R$1005:$W$1005,1,MATCH(COLUMNS($R$1006:U1006),$R$1006:$W$1006,0))&gt;=100000), " ",IF(INDEX($R$2:$W$1001,MATCH(ROWS($K$2:K847),$K$2:$K$1001,0),MATCH(COLUMNS($R$1006:U1006),$R$1006:$W$1006,0)), HYPERLINK("#",""), HYPERLINK(CONCATENATE("#Metadata!", ADDRESS(INDEX($M$2:$M$1001,MATCH(ROWS($K$2:K847),$K$2:$K$1001,0),0), INDEX($R$1004:$W$1004,1,MATCH(COLUMNS($R$1006:U1006),$R$1006:$W$1006,0)))),"Fix")))</f>
        <v>0</v>
      </c>
      <c r="F847" s="3">
        <f>IF(OR(INDEX($L$2:$L$1001,MATCH(ROWS($K$2:K847),$K$2:$K$1001,0),1)&gt;=100000,INDEX($R$1005:$W$1005,1,MATCH(COLUMNS($R$1006:V1006),$R$1006:$W$1006,0))&gt;=100000), " ",IF(INDEX($R$2:$W$1001,MATCH(ROWS($K$2:K847),$K$2:$K$1001,0),MATCH(COLUMNS($R$1006:V1006),$R$1006:$W$1006,0)), HYPERLINK("#",""), HYPERLINK(CONCATENATE("#Metadata!", ADDRESS(INDEX($M$2:$M$1001,MATCH(ROWS($K$2:K847),$K$2:$K$1001,0),0), INDEX($R$1004:$W$1004,1,MATCH(COLUMNS($R$1006:V1006),$R$1006:$W$1006,0)))),"Fix")))</f>
        <v>0</v>
      </c>
      <c r="G847" s="3">
        <f>IF(OR(INDEX($L$2:$L$1001,MATCH(ROWS($K$2:K847),$K$2:$K$1001,0),1)&gt;=100000,INDEX($R$1005:$W$1005,1,MATCH(COLUMNS($R$1006:W1006),$R$1006:$W$1006,0))&gt;=100000), " ",IF(INDEX($R$2:$W$1001,MATCH(ROWS($K$2:K847),$K$2:$K$1001,0),MATCH(COLUMNS($R$1006:W1006),$R$1006:$W$1006,0)), HYPERLINK("#",""), HYPERLINK(CONCATENATE("#Metadata!", ADDRESS(INDEX($M$2:$M$1001,MATCH(ROWS($K$2:K847),$K$2:$K$1001,0),0), INDEX($R$1004:$W$1004,1,MATCH(COLUMNS($R$1006:W1006),$R$1006:$W$1006,0)))),"Fix")))</f>
        <v>0</v>
      </c>
      <c r="K847">
        <v>0</v>
      </c>
      <c r="L847">
        <v>0</v>
      </c>
      <c r="M847">
        <v>0</v>
      </c>
      <c r="N847">
        <f>IF(O847,TRUE,AND(R847:W847))</f>
        <v>0</v>
      </c>
      <c r="O847">
        <f>COUNTBLANK(Metadata!B847:G847)=COLUMNS(Metadata!B847:G847)</f>
        <v>0</v>
      </c>
      <c r="P847">
        <v>0</v>
      </c>
      <c r="R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S847">
        <f>IF(Metadata!C847="",FALSE,TRUE)</f>
        <v>0</v>
      </c>
      <c r="T847">
        <f>IF(Metadata!D847="",FALSE,TRUE)</f>
        <v>0</v>
      </c>
      <c r="U847">
        <f>IF(Metadata!E847="",FALSE,TRUE)</f>
        <v>0</v>
      </c>
      <c r="V847">
        <f>AND(IF(Metadata!F847="",FALSE,TRUE),exact(Metadata!F847,"rat gut metagenome"))</f>
        <v>0</v>
      </c>
      <c r="W847">
        <f>AND(IF(Metadata!G847="",FALSE,TRUE),exact(Metadata!G847,"1436733"))</f>
        <v>0</v>
      </c>
    </row>
    <row r="848" spans="1:23">
      <c r="A848" s="4">
        <f>IF(B848=" "," ",HYPERLINK(CONCATENATE("#metadata!",ADDRESS(INDEX($M$2:$M$1001,MATCH(ROWS($K$2:K848),$K$2:$K$1001,0),0),1)),INDEX($P$2:$P$1001,MATCH(ROWS($K$2:K848),$K$2:$K$1001,0),0)))</f>
        <v>0</v>
      </c>
      <c r="B848" s="3">
        <f>IF(OR(INDEX($L$2:$L$1001,MATCH(ROWS($K$2:K848),$K$2:$K$1001,0),1)&gt;=100000,INDEX($R$1005:$W$1005,1,MATCH(COLUMNS($R$1006:R1006),$R$1006:$W$1006,0))&gt;=100000), " ",IF(INDEX($R$2:$W$1001,MATCH(ROWS($K$2:K848),$K$2:$K$1001,0),MATCH(COLUMNS($R$1006:R1006),$R$1006:$W$1006,0)), HYPERLINK("#",""), HYPERLINK(CONCATENATE("#Metadata!", ADDRESS(INDEX($M$2:$M$1001,MATCH(ROWS($K$2:K848),$K$2:$K$1001,0),0), INDEX($R$1004:$W$1004,1,MATCH(COLUMNS($R$1006:R1006),$R$1006:$W$1006,0)))),"Fix")))</f>
        <v>0</v>
      </c>
      <c r="C848" s="3">
        <f>IF(OR(INDEX($L$2:$L$1001,MATCH(ROWS($K$2:K848),$K$2:$K$1001,0),1)&gt;=100000,INDEX($R$1005:$W$1005,1,MATCH(COLUMNS($R$1006:S1006),$R$1006:$W$1006,0))&gt;=100000), " ",IF(INDEX($R$2:$W$1001,MATCH(ROWS($K$2:K848),$K$2:$K$1001,0),MATCH(COLUMNS($R$1006:S1006),$R$1006:$W$1006,0)), HYPERLINK("#",""), HYPERLINK(CONCATENATE("#Metadata!", ADDRESS(INDEX($M$2:$M$1001,MATCH(ROWS($K$2:K848),$K$2:$K$1001,0),0), INDEX($R$1004:$W$1004,1,MATCH(COLUMNS($R$1006:S1006),$R$1006:$W$1006,0)))),"Fix")))</f>
        <v>0</v>
      </c>
      <c r="D848" s="3">
        <f>IF(OR(INDEX($L$2:$L$1001,MATCH(ROWS($K$2:K848),$K$2:$K$1001,0),1)&gt;=100000,INDEX($R$1005:$W$1005,1,MATCH(COLUMNS($R$1006:T1006),$R$1006:$W$1006,0))&gt;=100000), " ",IF(INDEX($R$2:$W$1001,MATCH(ROWS($K$2:K848),$K$2:$K$1001,0),MATCH(COLUMNS($R$1006:T1006),$R$1006:$W$1006,0)), HYPERLINK("#",""), HYPERLINK(CONCATENATE("#Metadata!", ADDRESS(INDEX($M$2:$M$1001,MATCH(ROWS($K$2:K848),$K$2:$K$1001,0),0), INDEX($R$1004:$W$1004,1,MATCH(COLUMNS($R$1006:T1006),$R$1006:$W$1006,0)))),"Fix")))</f>
        <v>0</v>
      </c>
      <c r="E848" s="3">
        <f>IF(OR(INDEX($L$2:$L$1001,MATCH(ROWS($K$2:K848),$K$2:$K$1001,0),1)&gt;=100000,INDEX($R$1005:$W$1005,1,MATCH(COLUMNS($R$1006:U1006),$R$1006:$W$1006,0))&gt;=100000), " ",IF(INDEX($R$2:$W$1001,MATCH(ROWS($K$2:K848),$K$2:$K$1001,0),MATCH(COLUMNS($R$1006:U1006),$R$1006:$W$1006,0)), HYPERLINK("#",""), HYPERLINK(CONCATENATE("#Metadata!", ADDRESS(INDEX($M$2:$M$1001,MATCH(ROWS($K$2:K848),$K$2:$K$1001,0),0), INDEX($R$1004:$W$1004,1,MATCH(COLUMNS($R$1006:U1006),$R$1006:$W$1006,0)))),"Fix")))</f>
        <v>0</v>
      </c>
      <c r="F848" s="3">
        <f>IF(OR(INDEX($L$2:$L$1001,MATCH(ROWS($K$2:K848),$K$2:$K$1001,0),1)&gt;=100000,INDEX($R$1005:$W$1005,1,MATCH(COLUMNS($R$1006:V1006),$R$1006:$W$1006,0))&gt;=100000), " ",IF(INDEX($R$2:$W$1001,MATCH(ROWS($K$2:K848),$K$2:$K$1001,0),MATCH(COLUMNS($R$1006:V1006),$R$1006:$W$1006,0)), HYPERLINK("#",""), HYPERLINK(CONCATENATE("#Metadata!", ADDRESS(INDEX($M$2:$M$1001,MATCH(ROWS($K$2:K848),$K$2:$K$1001,0),0), INDEX($R$1004:$W$1004,1,MATCH(COLUMNS($R$1006:V1006),$R$1006:$W$1006,0)))),"Fix")))</f>
        <v>0</v>
      </c>
      <c r="G848" s="3">
        <f>IF(OR(INDEX($L$2:$L$1001,MATCH(ROWS($K$2:K848),$K$2:$K$1001,0),1)&gt;=100000,INDEX($R$1005:$W$1005,1,MATCH(COLUMNS($R$1006:W1006),$R$1006:$W$1006,0))&gt;=100000), " ",IF(INDEX($R$2:$W$1001,MATCH(ROWS($K$2:K848),$K$2:$K$1001,0),MATCH(COLUMNS($R$1006:W1006),$R$1006:$W$1006,0)), HYPERLINK("#",""), HYPERLINK(CONCATENATE("#Metadata!", ADDRESS(INDEX($M$2:$M$1001,MATCH(ROWS($K$2:K848),$K$2:$K$1001,0),0), INDEX($R$1004:$W$1004,1,MATCH(COLUMNS($R$1006:W1006),$R$1006:$W$1006,0)))),"Fix")))</f>
        <v>0</v>
      </c>
      <c r="K848">
        <v>0</v>
      </c>
      <c r="L848">
        <v>0</v>
      </c>
      <c r="M848">
        <v>0</v>
      </c>
      <c r="N848">
        <f>IF(O848,TRUE,AND(R848:W848))</f>
        <v>0</v>
      </c>
      <c r="O848">
        <f>COUNTBLANK(Metadata!B848:G848)=COLUMNS(Metadata!B848:G848)</f>
        <v>0</v>
      </c>
      <c r="P848">
        <v>0</v>
      </c>
      <c r="R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S848">
        <f>IF(Metadata!C848="",FALSE,TRUE)</f>
        <v>0</v>
      </c>
      <c r="T848">
        <f>IF(Metadata!D848="",FALSE,TRUE)</f>
        <v>0</v>
      </c>
      <c r="U848">
        <f>IF(Metadata!E848="",FALSE,TRUE)</f>
        <v>0</v>
      </c>
      <c r="V848">
        <f>AND(IF(Metadata!F848="",FALSE,TRUE),exact(Metadata!F848,"rat gut metagenome"))</f>
        <v>0</v>
      </c>
      <c r="W848">
        <f>AND(IF(Metadata!G848="",FALSE,TRUE),exact(Metadata!G848,"1436733"))</f>
        <v>0</v>
      </c>
    </row>
    <row r="849" spans="1:23">
      <c r="A849" s="4">
        <f>IF(B849=" "," ",HYPERLINK(CONCATENATE("#metadata!",ADDRESS(INDEX($M$2:$M$1001,MATCH(ROWS($K$2:K849),$K$2:$K$1001,0),0),1)),INDEX($P$2:$P$1001,MATCH(ROWS($K$2:K849),$K$2:$K$1001,0),0)))</f>
        <v>0</v>
      </c>
      <c r="B849" s="3">
        <f>IF(OR(INDEX($L$2:$L$1001,MATCH(ROWS($K$2:K849),$K$2:$K$1001,0),1)&gt;=100000,INDEX($R$1005:$W$1005,1,MATCH(COLUMNS($R$1006:R1006),$R$1006:$W$1006,0))&gt;=100000), " ",IF(INDEX($R$2:$W$1001,MATCH(ROWS($K$2:K849),$K$2:$K$1001,0),MATCH(COLUMNS($R$1006:R1006),$R$1006:$W$1006,0)), HYPERLINK("#",""), HYPERLINK(CONCATENATE("#Metadata!", ADDRESS(INDEX($M$2:$M$1001,MATCH(ROWS($K$2:K849),$K$2:$K$1001,0),0), INDEX($R$1004:$W$1004,1,MATCH(COLUMNS($R$1006:R1006),$R$1006:$W$1006,0)))),"Fix")))</f>
        <v>0</v>
      </c>
      <c r="C849" s="3">
        <f>IF(OR(INDEX($L$2:$L$1001,MATCH(ROWS($K$2:K849),$K$2:$K$1001,0),1)&gt;=100000,INDEX($R$1005:$W$1005,1,MATCH(COLUMNS($R$1006:S1006),$R$1006:$W$1006,0))&gt;=100000), " ",IF(INDEX($R$2:$W$1001,MATCH(ROWS($K$2:K849),$K$2:$K$1001,0),MATCH(COLUMNS($R$1006:S1006),$R$1006:$W$1006,0)), HYPERLINK("#",""), HYPERLINK(CONCATENATE("#Metadata!", ADDRESS(INDEX($M$2:$M$1001,MATCH(ROWS($K$2:K849),$K$2:$K$1001,0),0), INDEX($R$1004:$W$1004,1,MATCH(COLUMNS($R$1006:S1006),$R$1006:$W$1006,0)))),"Fix")))</f>
        <v>0</v>
      </c>
      <c r="D849" s="3">
        <f>IF(OR(INDEX($L$2:$L$1001,MATCH(ROWS($K$2:K849),$K$2:$K$1001,0),1)&gt;=100000,INDEX($R$1005:$W$1005,1,MATCH(COLUMNS($R$1006:T1006),$R$1006:$W$1006,0))&gt;=100000), " ",IF(INDEX($R$2:$W$1001,MATCH(ROWS($K$2:K849),$K$2:$K$1001,0),MATCH(COLUMNS($R$1006:T1006),$R$1006:$W$1006,0)), HYPERLINK("#",""), HYPERLINK(CONCATENATE("#Metadata!", ADDRESS(INDEX($M$2:$M$1001,MATCH(ROWS($K$2:K849),$K$2:$K$1001,0),0), INDEX($R$1004:$W$1004,1,MATCH(COLUMNS($R$1006:T1006),$R$1006:$W$1006,0)))),"Fix")))</f>
        <v>0</v>
      </c>
      <c r="E849" s="3">
        <f>IF(OR(INDEX($L$2:$L$1001,MATCH(ROWS($K$2:K849),$K$2:$K$1001,0),1)&gt;=100000,INDEX($R$1005:$W$1005,1,MATCH(COLUMNS($R$1006:U1006),$R$1006:$W$1006,0))&gt;=100000), " ",IF(INDEX($R$2:$W$1001,MATCH(ROWS($K$2:K849),$K$2:$K$1001,0),MATCH(COLUMNS($R$1006:U1006),$R$1006:$W$1006,0)), HYPERLINK("#",""), HYPERLINK(CONCATENATE("#Metadata!", ADDRESS(INDEX($M$2:$M$1001,MATCH(ROWS($K$2:K849),$K$2:$K$1001,0),0), INDEX($R$1004:$W$1004,1,MATCH(COLUMNS($R$1006:U1006),$R$1006:$W$1006,0)))),"Fix")))</f>
        <v>0</v>
      </c>
      <c r="F849" s="3">
        <f>IF(OR(INDEX($L$2:$L$1001,MATCH(ROWS($K$2:K849),$K$2:$K$1001,0),1)&gt;=100000,INDEX($R$1005:$W$1005,1,MATCH(COLUMNS($R$1006:V1006),$R$1006:$W$1006,0))&gt;=100000), " ",IF(INDEX($R$2:$W$1001,MATCH(ROWS($K$2:K849),$K$2:$K$1001,0),MATCH(COLUMNS($R$1006:V1006),$R$1006:$W$1006,0)), HYPERLINK("#",""), HYPERLINK(CONCATENATE("#Metadata!", ADDRESS(INDEX($M$2:$M$1001,MATCH(ROWS($K$2:K849),$K$2:$K$1001,0),0), INDEX($R$1004:$W$1004,1,MATCH(COLUMNS($R$1006:V1006),$R$1006:$W$1006,0)))),"Fix")))</f>
        <v>0</v>
      </c>
      <c r="G849" s="3">
        <f>IF(OR(INDEX($L$2:$L$1001,MATCH(ROWS($K$2:K849),$K$2:$K$1001,0),1)&gt;=100000,INDEX($R$1005:$W$1005,1,MATCH(COLUMNS($R$1006:W1006),$R$1006:$W$1006,0))&gt;=100000), " ",IF(INDEX($R$2:$W$1001,MATCH(ROWS($K$2:K849),$K$2:$K$1001,0),MATCH(COLUMNS($R$1006:W1006),$R$1006:$W$1006,0)), HYPERLINK("#",""), HYPERLINK(CONCATENATE("#Metadata!", ADDRESS(INDEX($M$2:$M$1001,MATCH(ROWS($K$2:K849),$K$2:$K$1001,0),0), INDEX($R$1004:$W$1004,1,MATCH(COLUMNS($R$1006:W1006),$R$1006:$W$1006,0)))),"Fix")))</f>
        <v>0</v>
      </c>
      <c r="K849">
        <v>0</v>
      </c>
      <c r="L849">
        <v>0</v>
      </c>
      <c r="M849">
        <v>0</v>
      </c>
      <c r="N849">
        <f>IF(O849,TRUE,AND(R849:W849))</f>
        <v>0</v>
      </c>
      <c r="O849">
        <f>COUNTBLANK(Metadata!B849:G849)=COLUMNS(Metadata!B849:G849)</f>
        <v>0</v>
      </c>
      <c r="P849">
        <v>0</v>
      </c>
      <c r="R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S849">
        <f>IF(Metadata!C849="",FALSE,TRUE)</f>
        <v>0</v>
      </c>
      <c r="T849">
        <f>IF(Metadata!D849="",FALSE,TRUE)</f>
        <v>0</v>
      </c>
      <c r="U849">
        <f>IF(Metadata!E849="",FALSE,TRUE)</f>
        <v>0</v>
      </c>
      <c r="V849">
        <f>AND(IF(Metadata!F849="",FALSE,TRUE),exact(Metadata!F849,"rat gut metagenome"))</f>
        <v>0</v>
      </c>
      <c r="W849">
        <f>AND(IF(Metadata!G849="",FALSE,TRUE),exact(Metadata!G849,"1436733"))</f>
        <v>0</v>
      </c>
    </row>
    <row r="850" spans="1:23">
      <c r="A850" s="4">
        <f>IF(B850=" "," ",HYPERLINK(CONCATENATE("#metadata!",ADDRESS(INDEX($M$2:$M$1001,MATCH(ROWS($K$2:K850),$K$2:$K$1001,0),0),1)),INDEX($P$2:$P$1001,MATCH(ROWS($K$2:K850),$K$2:$K$1001,0),0)))</f>
        <v>0</v>
      </c>
      <c r="B850" s="3">
        <f>IF(OR(INDEX($L$2:$L$1001,MATCH(ROWS($K$2:K850),$K$2:$K$1001,0),1)&gt;=100000,INDEX($R$1005:$W$1005,1,MATCH(COLUMNS($R$1006:R1006),$R$1006:$W$1006,0))&gt;=100000), " ",IF(INDEX($R$2:$W$1001,MATCH(ROWS($K$2:K850),$K$2:$K$1001,0),MATCH(COLUMNS($R$1006:R1006),$R$1006:$W$1006,0)), HYPERLINK("#",""), HYPERLINK(CONCATENATE("#Metadata!", ADDRESS(INDEX($M$2:$M$1001,MATCH(ROWS($K$2:K850),$K$2:$K$1001,0),0), INDEX($R$1004:$W$1004,1,MATCH(COLUMNS($R$1006:R1006),$R$1006:$W$1006,0)))),"Fix")))</f>
        <v>0</v>
      </c>
      <c r="C850" s="3">
        <f>IF(OR(INDEX($L$2:$L$1001,MATCH(ROWS($K$2:K850),$K$2:$K$1001,0),1)&gt;=100000,INDEX($R$1005:$W$1005,1,MATCH(COLUMNS($R$1006:S1006),$R$1006:$W$1006,0))&gt;=100000), " ",IF(INDEX($R$2:$W$1001,MATCH(ROWS($K$2:K850),$K$2:$K$1001,0),MATCH(COLUMNS($R$1006:S1006),$R$1006:$W$1006,0)), HYPERLINK("#",""), HYPERLINK(CONCATENATE("#Metadata!", ADDRESS(INDEX($M$2:$M$1001,MATCH(ROWS($K$2:K850),$K$2:$K$1001,0),0), INDEX($R$1004:$W$1004,1,MATCH(COLUMNS($R$1006:S1006),$R$1006:$W$1006,0)))),"Fix")))</f>
        <v>0</v>
      </c>
      <c r="D850" s="3">
        <f>IF(OR(INDEX($L$2:$L$1001,MATCH(ROWS($K$2:K850),$K$2:$K$1001,0),1)&gt;=100000,INDEX($R$1005:$W$1005,1,MATCH(COLUMNS($R$1006:T1006),$R$1006:$W$1006,0))&gt;=100000), " ",IF(INDEX($R$2:$W$1001,MATCH(ROWS($K$2:K850),$K$2:$K$1001,0),MATCH(COLUMNS($R$1006:T1006),$R$1006:$W$1006,0)), HYPERLINK("#",""), HYPERLINK(CONCATENATE("#Metadata!", ADDRESS(INDEX($M$2:$M$1001,MATCH(ROWS($K$2:K850),$K$2:$K$1001,0),0), INDEX($R$1004:$W$1004,1,MATCH(COLUMNS($R$1006:T1006),$R$1006:$W$1006,0)))),"Fix")))</f>
        <v>0</v>
      </c>
      <c r="E850" s="3">
        <f>IF(OR(INDEX($L$2:$L$1001,MATCH(ROWS($K$2:K850),$K$2:$K$1001,0),1)&gt;=100000,INDEX($R$1005:$W$1005,1,MATCH(COLUMNS($R$1006:U1006),$R$1006:$W$1006,0))&gt;=100000), " ",IF(INDEX($R$2:$W$1001,MATCH(ROWS($K$2:K850),$K$2:$K$1001,0),MATCH(COLUMNS($R$1006:U1006),$R$1006:$W$1006,0)), HYPERLINK("#",""), HYPERLINK(CONCATENATE("#Metadata!", ADDRESS(INDEX($M$2:$M$1001,MATCH(ROWS($K$2:K850),$K$2:$K$1001,0),0), INDEX($R$1004:$W$1004,1,MATCH(COLUMNS($R$1006:U1006),$R$1006:$W$1006,0)))),"Fix")))</f>
        <v>0</v>
      </c>
      <c r="F850" s="3">
        <f>IF(OR(INDEX($L$2:$L$1001,MATCH(ROWS($K$2:K850),$K$2:$K$1001,0),1)&gt;=100000,INDEX($R$1005:$W$1005,1,MATCH(COLUMNS($R$1006:V1006),$R$1006:$W$1006,0))&gt;=100000), " ",IF(INDEX($R$2:$W$1001,MATCH(ROWS($K$2:K850),$K$2:$K$1001,0),MATCH(COLUMNS($R$1006:V1006),$R$1006:$W$1006,0)), HYPERLINK("#",""), HYPERLINK(CONCATENATE("#Metadata!", ADDRESS(INDEX($M$2:$M$1001,MATCH(ROWS($K$2:K850),$K$2:$K$1001,0),0), INDEX($R$1004:$W$1004,1,MATCH(COLUMNS($R$1006:V1006),$R$1006:$W$1006,0)))),"Fix")))</f>
        <v>0</v>
      </c>
      <c r="G850" s="3">
        <f>IF(OR(INDEX($L$2:$L$1001,MATCH(ROWS($K$2:K850),$K$2:$K$1001,0),1)&gt;=100000,INDEX($R$1005:$W$1005,1,MATCH(COLUMNS($R$1006:W1006),$R$1006:$W$1006,0))&gt;=100000), " ",IF(INDEX($R$2:$W$1001,MATCH(ROWS($K$2:K850),$K$2:$K$1001,0),MATCH(COLUMNS($R$1006:W1006),$R$1006:$W$1006,0)), HYPERLINK("#",""), HYPERLINK(CONCATENATE("#Metadata!", ADDRESS(INDEX($M$2:$M$1001,MATCH(ROWS($K$2:K850),$K$2:$K$1001,0),0), INDEX($R$1004:$W$1004,1,MATCH(COLUMNS($R$1006:W1006),$R$1006:$W$1006,0)))),"Fix")))</f>
        <v>0</v>
      </c>
      <c r="K850">
        <v>0</v>
      </c>
      <c r="L850">
        <v>0</v>
      </c>
      <c r="M850">
        <v>0</v>
      </c>
      <c r="N850">
        <f>IF(O850,TRUE,AND(R850:W850))</f>
        <v>0</v>
      </c>
      <c r="O850">
        <f>COUNTBLANK(Metadata!B850:G850)=COLUMNS(Metadata!B850:G850)</f>
        <v>0</v>
      </c>
      <c r="P850">
        <v>0</v>
      </c>
      <c r="R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S850">
        <f>IF(Metadata!C850="",FALSE,TRUE)</f>
        <v>0</v>
      </c>
      <c r="T850">
        <f>IF(Metadata!D850="",FALSE,TRUE)</f>
        <v>0</v>
      </c>
      <c r="U850">
        <f>IF(Metadata!E850="",FALSE,TRUE)</f>
        <v>0</v>
      </c>
      <c r="V850">
        <f>AND(IF(Metadata!F850="",FALSE,TRUE),exact(Metadata!F850,"rat gut metagenome"))</f>
        <v>0</v>
      </c>
      <c r="W850">
        <f>AND(IF(Metadata!G850="",FALSE,TRUE),exact(Metadata!G850,"1436733"))</f>
        <v>0</v>
      </c>
    </row>
    <row r="851" spans="1:23">
      <c r="A851" s="4">
        <f>IF(B851=" "," ",HYPERLINK(CONCATENATE("#metadata!",ADDRESS(INDEX($M$2:$M$1001,MATCH(ROWS($K$2:K851),$K$2:$K$1001,0),0),1)),INDEX($P$2:$P$1001,MATCH(ROWS($K$2:K851),$K$2:$K$1001,0),0)))</f>
        <v>0</v>
      </c>
      <c r="B851" s="3">
        <f>IF(OR(INDEX($L$2:$L$1001,MATCH(ROWS($K$2:K851),$K$2:$K$1001,0),1)&gt;=100000,INDEX($R$1005:$W$1005,1,MATCH(COLUMNS($R$1006:R1006),$R$1006:$W$1006,0))&gt;=100000), " ",IF(INDEX($R$2:$W$1001,MATCH(ROWS($K$2:K851),$K$2:$K$1001,0),MATCH(COLUMNS($R$1006:R1006),$R$1006:$W$1006,0)), HYPERLINK("#",""), HYPERLINK(CONCATENATE("#Metadata!", ADDRESS(INDEX($M$2:$M$1001,MATCH(ROWS($K$2:K851),$K$2:$K$1001,0),0), INDEX($R$1004:$W$1004,1,MATCH(COLUMNS($R$1006:R1006),$R$1006:$W$1006,0)))),"Fix")))</f>
        <v>0</v>
      </c>
      <c r="C851" s="3">
        <f>IF(OR(INDEX($L$2:$L$1001,MATCH(ROWS($K$2:K851),$K$2:$K$1001,0),1)&gt;=100000,INDEX($R$1005:$W$1005,1,MATCH(COLUMNS($R$1006:S1006),$R$1006:$W$1006,0))&gt;=100000), " ",IF(INDEX($R$2:$W$1001,MATCH(ROWS($K$2:K851),$K$2:$K$1001,0),MATCH(COLUMNS($R$1006:S1006),$R$1006:$W$1006,0)), HYPERLINK("#",""), HYPERLINK(CONCATENATE("#Metadata!", ADDRESS(INDEX($M$2:$M$1001,MATCH(ROWS($K$2:K851),$K$2:$K$1001,0),0), INDEX($R$1004:$W$1004,1,MATCH(COLUMNS($R$1006:S1006),$R$1006:$W$1006,0)))),"Fix")))</f>
        <v>0</v>
      </c>
      <c r="D851" s="3">
        <f>IF(OR(INDEX($L$2:$L$1001,MATCH(ROWS($K$2:K851),$K$2:$K$1001,0),1)&gt;=100000,INDEX($R$1005:$W$1005,1,MATCH(COLUMNS($R$1006:T1006),$R$1006:$W$1006,0))&gt;=100000), " ",IF(INDEX($R$2:$W$1001,MATCH(ROWS($K$2:K851),$K$2:$K$1001,0),MATCH(COLUMNS($R$1006:T1006),$R$1006:$W$1006,0)), HYPERLINK("#",""), HYPERLINK(CONCATENATE("#Metadata!", ADDRESS(INDEX($M$2:$M$1001,MATCH(ROWS($K$2:K851),$K$2:$K$1001,0),0), INDEX($R$1004:$W$1004,1,MATCH(COLUMNS($R$1006:T1006),$R$1006:$W$1006,0)))),"Fix")))</f>
        <v>0</v>
      </c>
      <c r="E851" s="3">
        <f>IF(OR(INDEX($L$2:$L$1001,MATCH(ROWS($K$2:K851),$K$2:$K$1001,0),1)&gt;=100000,INDEX($R$1005:$W$1005,1,MATCH(COLUMNS($R$1006:U1006),$R$1006:$W$1006,0))&gt;=100000), " ",IF(INDEX($R$2:$W$1001,MATCH(ROWS($K$2:K851),$K$2:$K$1001,0),MATCH(COLUMNS($R$1006:U1006),$R$1006:$W$1006,0)), HYPERLINK("#",""), HYPERLINK(CONCATENATE("#Metadata!", ADDRESS(INDEX($M$2:$M$1001,MATCH(ROWS($K$2:K851),$K$2:$K$1001,0),0), INDEX($R$1004:$W$1004,1,MATCH(COLUMNS($R$1006:U1006),$R$1006:$W$1006,0)))),"Fix")))</f>
        <v>0</v>
      </c>
      <c r="F851" s="3">
        <f>IF(OR(INDEX($L$2:$L$1001,MATCH(ROWS($K$2:K851),$K$2:$K$1001,0),1)&gt;=100000,INDEX($R$1005:$W$1005,1,MATCH(COLUMNS($R$1006:V1006),$R$1006:$W$1006,0))&gt;=100000), " ",IF(INDEX($R$2:$W$1001,MATCH(ROWS($K$2:K851),$K$2:$K$1001,0),MATCH(COLUMNS($R$1006:V1006),$R$1006:$W$1006,0)), HYPERLINK("#",""), HYPERLINK(CONCATENATE("#Metadata!", ADDRESS(INDEX($M$2:$M$1001,MATCH(ROWS($K$2:K851),$K$2:$K$1001,0),0), INDEX($R$1004:$W$1004,1,MATCH(COLUMNS($R$1006:V1006),$R$1006:$W$1006,0)))),"Fix")))</f>
        <v>0</v>
      </c>
      <c r="G851" s="3">
        <f>IF(OR(INDEX($L$2:$L$1001,MATCH(ROWS($K$2:K851),$K$2:$K$1001,0),1)&gt;=100000,INDEX($R$1005:$W$1005,1,MATCH(COLUMNS($R$1006:W1006),$R$1006:$W$1006,0))&gt;=100000), " ",IF(INDEX($R$2:$W$1001,MATCH(ROWS($K$2:K851),$K$2:$K$1001,0),MATCH(COLUMNS($R$1006:W1006),$R$1006:$W$1006,0)), HYPERLINK("#",""), HYPERLINK(CONCATENATE("#Metadata!", ADDRESS(INDEX($M$2:$M$1001,MATCH(ROWS($K$2:K851),$K$2:$K$1001,0),0), INDEX($R$1004:$W$1004,1,MATCH(COLUMNS($R$1006:W1006),$R$1006:$W$1006,0)))),"Fix")))</f>
        <v>0</v>
      </c>
      <c r="K851">
        <v>0</v>
      </c>
      <c r="L851">
        <v>0</v>
      </c>
      <c r="M851">
        <v>0</v>
      </c>
      <c r="N851">
        <f>IF(O851,TRUE,AND(R851:W851))</f>
        <v>0</v>
      </c>
      <c r="O851">
        <f>COUNTBLANK(Metadata!B851:G851)=COLUMNS(Metadata!B851:G851)</f>
        <v>0</v>
      </c>
      <c r="P851">
        <v>0</v>
      </c>
      <c r="R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S851">
        <f>IF(Metadata!C851="",FALSE,TRUE)</f>
        <v>0</v>
      </c>
      <c r="T851">
        <f>IF(Metadata!D851="",FALSE,TRUE)</f>
        <v>0</v>
      </c>
      <c r="U851">
        <f>IF(Metadata!E851="",FALSE,TRUE)</f>
        <v>0</v>
      </c>
      <c r="V851">
        <f>AND(IF(Metadata!F851="",FALSE,TRUE),exact(Metadata!F851,"rat gut metagenome"))</f>
        <v>0</v>
      </c>
      <c r="W851">
        <f>AND(IF(Metadata!G851="",FALSE,TRUE),exact(Metadata!G851,"1436733"))</f>
        <v>0</v>
      </c>
    </row>
    <row r="852" spans="1:23">
      <c r="A852" s="4">
        <f>IF(B852=" "," ",HYPERLINK(CONCATENATE("#metadata!",ADDRESS(INDEX($M$2:$M$1001,MATCH(ROWS($K$2:K852),$K$2:$K$1001,0),0),1)),INDEX($P$2:$P$1001,MATCH(ROWS($K$2:K852),$K$2:$K$1001,0),0)))</f>
        <v>0</v>
      </c>
      <c r="B852" s="3">
        <f>IF(OR(INDEX($L$2:$L$1001,MATCH(ROWS($K$2:K852),$K$2:$K$1001,0),1)&gt;=100000,INDEX($R$1005:$W$1005,1,MATCH(COLUMNS($R$1006:R1006),$R$1006:$W$1006,0))&gt;=100000), " ",IF(INDEX($R$2:$W$1001,MATCH(ROWS($K$2:K852),$K$2:$K$1001,0),MATCH(COLUMNS($R$1006:R1006),$R$1006:$W$1006,0)), HYPERLINK("#",""), HYPERLINK(CONCATENATE("#Metadata!", ADDRESS(INDEX($M$2:$M$1001,MATCH(ROWS($K$2:K852),$K$2:$K$1001,0),0), INDEX($R$1004:$W$1004,1,MATCH(COLUMNS($R$1006:R1006),$R$1006:$W$1006,0)))),"Fix")))</f>
        <v>0</v>
      </c>
      <c r="C852" s="3">
        <f>IF(OR(INDEX($L$2:$L$1001,MATCH(ROWS($K$2:K852),$K$2:$K$1001,0),1)&gt;=100000,INDEX($R$1005:$W$1005,1,MATCH(COLUMNS($R$1006:S1006),$R$1006:$W$1006,0))&gt;=100000), " ",IF(INDEX($R$2:$W$1001,MATCH(ROWS($K$2:K852),$K$2:$K$1001,0),MATCH(COLUMNS($R$1006:S1006),$R$1006:$W$1006,0)), HYPERLINK("#",""), HYPERLINK(CONCATENATE("#Metadata!", ADDRESS(INDEX($M$2:$M$1001,MATCH(ROWS($K$2:K852),$K$2:$K$1001,0),0), INDEX($R$1004:$W$1004,1,MATCH(COLUMNS($R$1006:S1006),$R$1006:$W$1006,0)))),"Fix")))</f>
        <v>0</v>
      </c>
      <c r="D852" s="3">
        <f>IF(OR(INDEX($L$2:$L$1001,MATCH(ROWS($K$2:K852),$K$2:$K$1001,0),1)&gt;=100000,INDEX($R$1005:$W$1005,1,MATCH(COLUMNS($R$1006:T1006),$R$1006:$W$1006,0))&gt;=100000), " ",IF(INDEX($R$2:$W$1001,MATCH(ROWS($K$2:K852),$K$2:$K$1001,0),MATCH(COLUMNS($R$1006:T1006),$R$1006:$W$1006,0)), HYPERLINK("#",""), HYPERLINK(CONCATENATE("#Metadata!", ADDRESS(INDEX($M$2:$M$1001,MATCH(ROWS($K$2:K852),$K$2:$K$1001,0),0), INDEX($R$1004:$W$1004,1,MATCH(COLUMNS($R$1006:T1006),$R$1006:$W$1006,0)))),"Fix")))</f>
        <v>0</v>
      </c>
      <c r="E852" s="3">
        <f>IF(OR(INDEX($L$2:$L$1001,MATCH(ROWS($K$2:K852),$K$2:$K$1001,0),1)&gt;=100000,INDEX($R$1005:$W$1005,1,MATCH(COLUMNS($R$1006:U1006),$R$1006:$W$1006,0))&gt;=100000), " ",IF(INDEX($R$2:$W$1001,MATCH(ROWS($K$2:K852),$K$2:$K$1001,0),MATCH(COLUMNS($R$1006:U1006),$R$1006:$W$1006,0)), HYPERLINK("#",""), HYPERLINK(CONCATENATE("#Metadata!", ADDRESS(INDEX($M$2:$M$1001,MATCH(ROWS($K$2:K852),$K$2:$K$1001,0),0), INDEX($R$1004:$W$1004,1,MATCH(COLUMNS($R$1006:U1006),$R$1006:$W$1006,0)))),"Fix")))</f>
        <v>0</v>
      </c>
      <c r="F852" s="3">
        <f>IF(OR(INDEX($L$2:$L$1001,MATCH(ROWS($K$2:K852),$K$2:$K$1001,0),1)&gt;=100000,INDEX($R$1005:$W$1005,1,MATCH(COLUMNS($R$1006:V1006),$R$1006:$W$1006,0))&gt;=100000), " ",IF(INDEX($R$2:$W$1001,MATCH(ROWS($K$2:K852),$K$2:$K$1001,0),MATCH(COLUMNS($R$1006:V1006),$R$1006:$W$1006,0)), HYPERLINK("#",""), HYPERLINK(CONCATENATE("#Metadata!", ADDRESS(INDEX($M$2:$M$1001,MATCH(ROWS($K$2:K852),$K$2:$K$1001,0),0), INDEX($R$1004:$W$1004,1,MATCH(COLUMNS($R$1006:V1006),$R$1006:$W$1006,0)))),"Fix")))</f>
        <v>0</v>
      </c>
      <c r="G852" s="3">
        <f>IF(OR(INDEX($L$2:$L$1001,MATCH(ROWS($K$2:K852),$K$2:$K$1001,0),1)&gt;=100000,INDEX($R$1005:$W$1005,1,MATCH(COLUMNS($R$1006:W1006),$R$1006:$W$1006,0))&gt;=100000), " ",IF(INDEX($R$2:$W$1001,MATCH(ROWS($K$2:K852),$K$2:$K$1001,0),MATCH(COLUMNS($R$1006:W1006),$R$1006:$W$1006,0)), HYPERLINK("#",""), HYPERLINK(CONCATENATE("#Metadata!", ADDRESS(INDEX($M$2:$M$1001,MATCH(ROWS($K$2:K852),$K$2:$K$1001,0),0), INDEX($R$1004:$W$1004,1,MATCH(COLUMNS($R$1006:W1006),$R$1006:$W$1006,0)))),"Fix")))</f>
        <v>0</v>
      </c>
      <c r="K852">
        <v>0</v>
      </c>
      <c r="L852">
        <v>0</v>
      </c>
      <c r="M852">
        <v>0</v>
      </c>
      <c r="N852">
        <f>IF(O852,TRUE,AND(R852:W852))</f>
        <v>0</v>
      </c>
      <c r="O852">
        <f>COUNTBLANK(Metadata!B852:G852)=COLUMNS(Metadata!B852:G852)</f>
        <v>0</v>
      </c>
      <c r="P852">
        <v>0</v>
      </c>
      <c r="R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S852">
        <f>IF(Metadata!C852="",FALSE,TRUE)</f>
        <v>0</v>
      </c>
      <c r="T852">
        <f>IF(Metadata!D852="",FALSE,TRUE)</f>
        <v>0</v>
      </c>
      <c r="U852">
        <f>IF(Metadata!E852="",FALSE,TRUE)</f>
        <v>0</v>
      </c>
      <c r="V852">
        <f>AND(IF(Metadata!F852="",FALSE,TRUE),exact(Metadata!F852,"rat gut metagenome"))</f>
        <v>0</v>
      </c>
      <c r="W852">
        <f>AND(IF(Metadata!G852="",FALSE,TRUE),exact(Metadata!G852,"1436733"))</f>
        <v>0</v>
      </c>
    </row>
    <row r="853" spans="1:23">
      <c r="A853" s="4">
        <f>IF(B853=" "," ",HYPERLINK(CONCATENATE("#metadata!",ADDRESS(INDEX($M$2:$M$1001,MATCH(ROWS($K$2:K853),$K$2:$K$1001,0),0),1)),INDEX($P$2:$P$1001,MATCH(ROWS($K$2:K853),$K$2:$K$1001,0),0)))</f>
        <v>0</v>
      </c>
      <c r="B853" s="3">
        <f>IF(OR(INDEX($L$2:$L$1001,MATCH(ROWS($K$2:K853),$K$2:$K$1001,0),1)&gt;=100000,INDEX($R$1005:$W$1005,1,MATCH(COLUMNS($R$1006:R1006),$R$1006:$W$1006,0))&gt;=100000), " ",IF(INDEX($R$2:$W$1001,MATCH(ROWS($K$2:K853),$K$2:$K$1001,0),MATCH(COLUMNS($R$1006:R1006),$R$1006:$W$1006,0)), HYPERLINK("#",""), HYPERLINK(CONCATENATE("#Metadata!", ADDRESS(INDEX($M$2:$M$1001,MATCH(ROWS($K$2:K853),$K$2:$K$1001,0),0), INDEX($R$1004:$W$1004,1,MATCH(COLUMNS($R$1006:R1006),$R$1006:$W$1006,0)))),"Fix")))</f>
        <v>0</v>
      </c>
      <c r="C853" s="3">
        <f>IF(OR(INDEX($L$2:$L$1001,MATCH(ROWS($K$2:K853),$K$2:$K$1001,0),1)&gt;=100000,INDEX($R$1005:$W$1005,1,MATCH(COLUMNS($R$1006:S1006),$R$1006:$W$1006,0))&gt;=100000), " ",IF(INDEX($R$2:$W$1001,MATCH(ROWS($K$2:K853),$K$2:$K$1001,0),MATCH(COLUMNS($R$1006:S1006),$R$1006:$W$1006,0)), HYPERLINK("#",""), HYPERLINK(CONCATENATE("#Metadata!", ADDRESS(INDEX($M$2:$M$1001,MATCH(ROWS($K$2:K853),$K$2:$K$1001,0),0), INDEX($R$1004:$W$1004,1,MATCH(COLUMNS($R$1006:S1006),$R$1006:$W$1006,0)))),"Fix")))</f>
        <v>0</v>
      </c>
      <c r="D853" s="3">
        <f>IF(OR(INDEX($L$2:$L$1001,MATCH(ROWS($K$2:K853),$K$2:$K$1001,0),1)&gt;=100000,INDEX($R$1005:$W$1005,1,MATCH(COLUMNS($R$1006:T1006),$R$1006:$W$1006,0))&gt;=100000), " ",IF(INDEX($R$2:$W$1001,MATCH(ROWS($K$2:K853),$K$2:$K$1001,0),MATCH(COLUMNS($R$1006:T1006),$R$1006:$W$1006,0)), HYPERLINK("#",""), HYPERLINK(CONCATENATE("#Metadata!", ADDRESS(INDEX($M$2:$M$1001,MATCH(ROWS($K$2:K853),$K$2:$K$1001,0),0), INDEX($R$1004:$W$1004,1,MATCH(COLUMNS($R$1006:T1006),$R$1006:$W$1006,0)))),"Fix")))</f>
        <v>0</v>
      </c>
      <c r="E853" s="3">
        <f>IF(OR(INDEX($L$2:$L$1001,MATCH(ROWS($K$2:K853),$K$2:$K$1001,0),1)&gt;=100000,INDEX($R$1005:$W$1005,1,MATCH(COLUMNS($R$1006:U1006),$R$1006:$W$1006,0))&gt;=100000), " ",IF(INDEX($R$2:$W$1001,MATCH(ROWS($K$2:K853),$K$2:$K$1001,0),MATCH(COLUMNS($R$1006:U1006),$R$1006:$W$1006,0)), HYPERLINK("#",""), HYPERLINK(CONCATENATE("#Metadata!", ADDRESS(INDEX($M$2:$M$1001,MATCH(ROWS($K$2:K853),$K$2:$K$1001,0),0), INDEX($R$1004:$W$1004,1,MATCH(COLUMNS($R$1006:U1006),$R$1006:$W$1006,0)))),"Fix")))</f>
        <v>0</v>
      </c>
      <c r="F853" s="3">
        <f>IF(OR(INDEX($L$2:$L$1001,MATCH(ROWS($K$2:K853),$K$2:$K$1001,0),1)&gt;=100000,INDEX($R$1005:$W$1005,1,MATCH(COLUMNS($R$1006:V1006),$R$1006:$W$1006,0))&gt;=100000), " ",IF(INDEX($R$2:$W$1001,MATCH(ROWS($K$2:K853),$K$2:$K$1001,0),MATCH(COLUMNS($R$1006:V1006),$R$1006:$W$1006,0)), HYPERLINK("#",""), HYPERLINK(CONCATENATE("#Metadata!", ADDRESS(INDEX($M$2:$M$1001,MATCH(ROWS($K$2:K853),$K$2:$K$1001,0),0), INDEX($R$1004:$W$1004,1,MATCH(COLUMNS($R$1006:V1006),$R$1006:$W$1006,0)))),"Fix")))</f>
        <v>0</v>
      </c>
      <c r="G853" s="3">
        <f>IF(OR(INDEX($L$2:$L$1001,MATCH(ROWS($K$2:K853),$K$2:$K$1001,0),1)&gt;=100000,INDEX($R$1005:$W$1005,1,MATCH(COLUMNS($R$1006:W1006),$R$1006:$W$1006,0))&gt;=100000), " ",IF(INDEX($R$2:$W$1001,MATCH(ROWS($K$2:K853),$K$2:$K$1001,0),MATCH(COLUMNS($R$1006:W1006),$R$1006:$W$1006,0)), HYPERLINK("#",""), HYPERLINK(CONCATENATE("#Metadata!", ADDRESS(INDEX($M$2:$M$1001,MATCH(ROWS($K$2:K853),$K$2:$K$1001,0),0), INDEX($R$1004:$W$1004,1,MATCH(COLUMNS($R$1006:W1006),$R$1006:$W$1006,0)))),"Fix")))</f>
        <v>0</v>
      </c>
      <c r="K853">
        <v>0</v>
      </c>
      <c r="L853">
        <v>0</v>
      </c>
      <c r="M853">
        <v>0</v>
      </c>
      <c r="N853">
        <f>IF(O853,TRUE,AND(R853:W853))</f>
        <v>0</v>
      </c>
      <c r="O853">
        <f>COUNTBLANK(Metadata!B853:G853)=COLUMNS(Metadata!B853:G853)</f>
        <v>0</v>
      </c>
      <c r="P853">
        <v>0</v>
      </c>
      <c r="R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S853">
        <f>IF(Metadata!C853="",FALSE,TRUE)</f>
        <v>0</v>
      </c>
      <c r="T853">
        <f>IF(Metadata!D853="",FALSE,TRUE)</f>
        <v>0</v>
      </c>
      <c r="U853">
        <f>IF(Metadata!E853="",FALSE,TRUE)</f>
        <v>0</v>
      </c>
      <c r="V853">
        <f>AND(IF(Metadata!F853="",FALSE,TRUE),exact(Metadata!F853,"rat gut metagenome"))</f>
        <v>0</v>
      </c>
      <c r="W853">
        <f>AND(IF(Metadata!G853="",FALSE,TRUE),exact(Metadata!G853,"1436733"))</f>
        <v>0</v>
      </c>
    </row>
    <row r="854" spans="1:23">
      <c r="A854" s="4">
        <f>IF(B854=" "," ",HYPERLINK(CONCATENATE("#metadata!",ADDRESS(INDEX($M$2:$M$1001,MATCH(ROWS($K$2:K854),$K$2:$K$1001,0),0),1)),INDEX($P$2:$P$1001,MATCH(ROWS($K$2:K854),$K$2:$K$1001,0),0)))</f>
        <v>0</v>
      </c>
      <c r="B854" s="3">
        <f>IF(OR(INDEX($L$2:$L$1001,MATCH(ROWS($K$2:K854),$K$2:$K$1001,0),1)&gt;=100000,INDEX($R$1005:$W$1005,1,MATCH(COLUMNS($R$1006:R1006),$R$1006:$W$1006,0))&gt;=100000), " ",IF(INDEX($R$2:$W$1001,MATCH(ROWS($K$2:K854),$K$2:$K$1001,0),MATCH(COLUMNS($R$1006:R1006),$R$1006:$W$1006,0)), HYPERLINK("#",""), HYPERLINK(CONCATENATE("#Metadata!", ADDRESS(INDEX($M$2:$M$1001,MATCH(ROWS($K$2:K854),$K$2:$K$1001,0),0), INDEX($R$1004:$W$1004,1,MATCH(COLUMNS($R$1006:R1006),$R$1006:$W$1006,0)))),"Fix")))</f>
        <v>0</v>
      </c>
      <c r="C854" s="3">
        <f>IF(OR(INDEX($L$2:$L$1001,MATCH(ROWS($K$2:K854),$K$2:$K$1001,0),1)&gt;=100000,INDEX($R$1005:$W$1005,1,MATCH(COLUMNS($R$1006:S1006),$R$1006:$W$1006,0))&gt;=100000), " ",IF(INDEX($R$2:$W$1001,MATCH(ROWS($K$2:K854),$K$2:$K$1001,0),MATCH(COLUMNS($R$1006:S1006),$R$1006:$W$1006,0)), HYPERLINK("#",""), HYPERLINK(CONCATENATE("#Metadata!", ADDRESS(INDEX($M$2:$M$1001,MATCH(ROWS($K$2:K854),$K$2:$K$1001,0),0), INDEX($R$1004:$W$1004,1,MATCH(COLUMNS($R$1006:S1006),$R$1006:$W$1006,0)))),"Fix")))</f>
        <v>0</v>
      </c>
      <c r="D854" s="3">
        <f>IF(OR(INDEX($L$2:$L$1001,MATCH(ROWS($K$2:K854),$K$2:$K$1001,0),1)&gt;=100000,INDEX($R$1005:$W$1005,1,MATCH(COLUMNS($R$1006:T1006),$R$1006:$W$1006,0))&gt;=100000), " ",IF(INDEX($R$2:$W$1001,MATCH(ROWS($K$2:K854),$K$2:$K$1001,0),MATCH(COLUMNS($R$1006:T1006),$R$1006:$W$1006,0)), HYPERLINK("#",""), HYPERLINK(CONCATENATE("#Metadata!", ADDRESS(INDEX($M$2:$M$1001,MATCH(ROWS($K$2:K854),$K$2:$K$1001,0),0), INDEX($R$1004:$W$1004,1,MATCH(COLUMNS($R$1006:T1006),$R$1006:$W$1006,0)))),"Fix")))</f>
        <v>0</v>
      </c>
      <c r="E854" s="3">
        <f>IF(OR(INDEX($L$2:$L$1001,MATCH(ROWS($K$2:K854),$K$2:$K$1001,0),1)&gt;=100000,INDEX($R$1005:$W$1005,1,MATCH(COLUMNS($R$1006:U1006),$R$1006:$W$1006,0))&gt;=100000), " ",IF(INDEX($R$2:$W$1001,MATCH(ROWS($K$2:K854),$K$2:$K$1001,0),MATCH(COLUMNS($R$1006:U1006),$R$1006:$W$1006,0)), HYPERLINK("#",""), HYPERLINK(CONCATENATE("#Metadata!", ADDRESS(INDEX($M$2:$M$1001,MATCH(ROWS($K$2:K854),$K$2:$K$1001,0),0), INDEX($R$1004:$W$1004,1,MATCH(COLUMNS($R$1006:U1006),$R$1006:$W$1006,0)))),"Fix")))</f>
        <v>0</v>
      </c>
      <c r="F854" s="3">
        <f>IF(OR(INDEX($L$2:$L$1001,MATCH(ROWS($K$2:K854),$K$2:$K$1001,0),1)&gt;=100000,INDEX($R$1005:$W$1005,1,MATCH(COLUMNS($R$1006:V1006),$R$1006:$W$1006,0))&gt;=100000), " ",IF(INDEX($R$2:$W$1001,MATCH(ROWS($K$2:K854),$K$2:$K$1001,0),MATCH(COLUMNS($R$1006:V1006),$R$1006:$W$1006,0)), HYPERLINK("#",""), HYPERLINK(CONCATENATE("#Metadata!", ADDRESS(INDEX($M$2:$M$1001,MATCH(ROWS($K$2:K854),$K$2:$K$1001,0),0), INDEX($R$1004:$W$1004,1,MATCH(COLUMNS($R$1006:V1006),$R$1006:$W$1006,0)))),"Fix")))</f>
        <v>0</v>
      </c>
      <c r="G854" s="3">
        <f>IF(OR(INDEX($L$2:$L$1001,MATCH(ROWS($K$2:K854),$K$2:$K$1001,0),1)&gt;=100000,INDEX($R$1005:$W$1005,1,MATCH(COLUMNS($R$1006:W1006),$R$1006:$W$1006,0))&gt;=100000), " ",IF(INDEX($R$2:$W$1001,MATCH(ROWS($K$2:K854),$K$2:$K$1001,0),MATCH(COLUMNS($R$1006:W1006),$R$1006:$W$1006,0)), HYPERLINK("#",""), HYPERLINK(CONCATENATE("#Metadata!", ADDRESS(INDEX($M$2:$M$1001,MATCH(ROWS($K$2:K854),$K$2:$K$1001,0),0), INDEX($R$1004:$W$1004,1,MATCH(COLUMNS($R$1006:W1006),$R$1006:$W$1006,0)))),"Fix")))</f>
        <v>0</v>
      </c>
      <c r="K854">
        <v>0</v>
      </c>
      <c r="L854">
        <v>0</v>
      </c>
      <c r="M854">
        <v>0</v>
      </c>
      <c r="N854">
        <f>IF(O854,TRUE,AND(R854:W854))</f>
        <v>0</v>
      </c>
      <c r="O854">
        <f>COUNTBLANK(Metadata!B854:G854)=COLUMNS(Metadata!B854:G854)</f>
        <v>0</v>
      </c>
      <c r="P854">
        <v>0</v>
      </c>
      <c r="R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S854">
        <f>IF(Metadata!C854="",FALSE,TRUE)</f>
        <v>0</v>
      </c>
      <c r="T854">
        <f>IF(Metadata!D854="",FALSE,TRUE)</f>
        <v>0</v>
      </c>
      <c r="U854">
        <f>IF(Metadata!E854="",FALSE,TRUE)</f>
        <v>0</v>
      </c>
      <c r="V854">
        <f>AND(IF(Metadata!F854="",FALSE,TRUE),exact(Metadata!F854,"rat gut metagenome"))</f>
        <v>0</v>
      </c>
      <c r="W854">
        <f>AND(IF(Metadata!G854="",FALSE,TRUE),exact(Metadata!G854,"1436733"))</f>
        <v>0</v>
      </c>
    </row>
    <row r="855" spans="1:23">
      <c r="A855" s="4">
        <f>IF(B855=" "," ",HYPERLINK(CONCATENATE("#metadata!",ADDRESS(INDEX($M$2:$M$1001,MATCH(ROWS($K$2:K855),$K$2:$K$1001,0),0),1)),INDEX($P$2:$P$1001,MATCH(ROWS($K$2:K855),$K$2:$K$1001,0),0)))</f>
        <v>0</v>
      </c>
      <c r="B855" s="3">
        <f>IF(OR(INDEX($L$2:$L$1001,MATCH(ROWS($K$2:K855),$K$2:$K$1001,0),1)&gt;=100000,INDEX($R$1005:$W$1005,1,MATCH(COLUMNS($R$1006:R1006),$R$1006:$W$1006,0))&gt;=100000), " ",IF(INDEX($R$2:$W$1001,MATCH(ROWS($K$2:K855),$K$2:$K$1001,0),MATCH(COLUMNS($R$1006:R1006),$R$1006:$W$1006,0)), HYPERLINK("#",""), HYPERLINK(CONCATENATE("#Metadata!", ADDRESS(INDEX($M$2:$M$1001,MATCH(ROWS($K$2:K855),$K$2:$K$1001,0),0), INDEX($R$1004:$W$1004,1,MATCH(COLUMNS($R$1006:R1006),$R$1006:$W$1006,0)))),"Fix")))</f>
        <v>0</v>
      </c>
      <c r="C855" s="3">
        <f>IF(OR(INDEX($L$2:$L$1001,MATCH(ROWS($K$2:K855),$K$2:$K$1001,0),1)&gt;=100000,INDEX($R$1005:$W$1005,1,MATCH(COLUMNS($R$1006:S1006),$R$1006:$W$1006,0))&gt;=100000), " ",IF(INDEX($R$2:$W$1001,MATCH(ROWS($K$2:K855),$K$2:$K$1001,0),MATCH(COLUMNS($R$1006:S1006),$R$1006:$W$1006,0)), HYPERLINK("#",""), HYPERLINK(CONCATENATE("#Metadata!", ADDRESS(INDEX($M$2:$M$1001,MATCH(ROWS($K$2:K855),$K$2:$K$1001,0),0), INDEX($R$1004:$W$1004,1,MATCH(COLUMNS($R$1006:S1006),$R$1006:$W$1006,0)))),"Fix")))</f>
        <v>0</v>
      </c>
      <c r="D855" s="3">
        <f>IF(OR(INDEX($L$2:$L$1001,MATCH(ROWS($K$2:K855),$K$2:$K$1001,0),1)&gt;=100000,INDEX($R$1005:$W$1005,1,MATCH(COLUMNS($R$1006:T1006),$R$1006:$W$1006,0))&gt;=100000), " ",IF(INDEX($R$2:$W$1001,MATCH(ROWS($K$2:K855),$K$2:$K$1001,0),MATCH(COLUMNS($R$1006:T1006),$R$1006:$W$1006,0)), HYPERLINK("#",""), HYPERLINK(CONCATENATE("#Metadata!", ADDRESS(INDEX($M$2:$M$1001,MATCH(ROWS($K$2:K855),$K$2:$K$1001,0),0), INDEX($R$1004:$W$1004,1,MATCH(COLUMNS($R$1006:T1006),$R$1006:$W$1006,0)))),"Fix")))</f>
        <v>0</v>
      </c>
      <c r="E855" s="3">
        <f>IF(OR(INDEX($L$2:$L$1001,MATCH(ROWS($K$2:K855),$K$2:$K$1001,0),1)&gt;=100000,INDEX($R$1005:$W$1005,1,MATCH(COLUMNS($R$1006:U1006),$R$1006:$W$1006,0))&gt;=100000), " ",IF(INDEX($R$2:$W$1001,MATCH(ROWS($K$2:K855),$K$2:$K$1001,0),MATCH(COLUMNS($R$1006:U1006),$R$1006:$W$1006,0)), HYPERLINK("#",""), HYPERLINK(CONCATENATE("#Metadata!", ADDRESS(INDEX($M$2:$M$1001,MATCH(ROWS($K$2:K855),$K$2:$K$1001,0),0), INDEX($R$1004:$W$1004,1,MATCH(COLUMNS($R$1006:U1006),$R$1006:$W$1006,0)))),"Fix")))</f>
        <v>0</v>
      </c>
      <c r="F855" s="3">
        <f>IF(OR(INDEX($L$2:$L$1001,MATCH(ROWS($K$2:K855),$K$2:$K$1001,0),1)&gt;=100000,INDEX($R$1005:$W$1005,1,MATCH(COLUMNS($R$1006:V1006),$R$1006:$W$1006,0))&gt;=100000), " ",IF(INDEX($R$2:$W$1001,MATCH(ROWS($K$2:K855),$K$2:$K$1001,0),MATCH(COLUMNS($R$1006:V1006),$R$1006:$W$1006,0)), HYPERLINK("#",""), HYPERLINK(CONCATENATE("#Metadata!", ADDRESS(INDEX($M$2:$M$1001,MATCH(ROWS($K$2:K855),$K$2:$K$1001,0),0), INDEX($R$1004:$W$1004,1,MATCH(COLUMNS($R$1006:V1006),$R$1006:$W$1006,0)))),"Fix")))</f>
        <v>0</v>
      </c>
      <c r="G855" s="3">
        <f>IF(OR(INDEX($L$2:$L$1001,MATCH(ROWS($K$2:K855),$K$2:$K$1001,0),1)&gt;=100000,INDEX($R$1005:$W$1005,1,MATCH(COLUMNS($R$1006:W1006),$R$1006:$W$1006,0))&gt;=100000), " ",IF(INDEX($R$2:$W$1001,MATCH(ROWS($K$2:K855),$K$2:$K$1001,0),MATCH(COLUMNS($R$1006:W1006),$R$1006:$W$1006,0)), HYPERLINK("#",""), HYPERLINK(CONCATENATE("#Metadata!", ADDRESS(INDEX($M$2:$M$1001,MATCH(ROWS($K$2:K855),$K$2:$K$1001,0),0), INDEX($R$1004:$W$1004,1,MATCH(COLUMNS($R$1006:W1006),$R$1006:$W$1006,0)))),"Fix")))</f>
        <v>0</v>
      </c>
      <c r="K855">
        <v>0</v>
      </c>
      <c r="L855">
        <v>0</v>
      </c>
      <c r="M855">
        <v>0</v>
      </c>
      <c r="N855">
        <f>IF(O855,TRUE,AND(R855:W855))</f>
        <v>0</v>
      </c>
      <c r="O855">
        <f>COUNTBLANK(Metadata!B855:G855)=COLUMNS(Metadata!B855:G855)</f>
        <v>0</v>
      </c>
      <c r="P855">
        <v>0</v>
      </c>
      <c r="R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S855">
        <f>IF(Metadata!C855="",FALSE,TRUE)</f>
        <v>0</v>
      </c>
      <c r="T855">
        <f>IF(Metadata!D855="",FALSE,TRUE)</f>
        <v>0</v>
      </c>
      <c r="U855">
        <f>IF(Metadata!E855="",FALSE,TRUE)</f>
        <v>0</v>
      </c>
      <c r="V855">
        <f>AND(IF(Metadata!F855="",FALSE,TRUE),exact(Metadata!F855,"rat gut metagenome"))</f>
        <v>0</v>
      </c>
      <c r="W855">
        <f>AND(IF(Metadata!G855="",FALSE,TRUE),exact(Metadata!G855,"1436733"))</f>
        <v>0</v>
      </c>
    </row>
    <row r="856" spans="1:23">
      <c r="A856" s="4">
        <f>IF(B856=" "," ",HYPERLINK(CONCATENATE("#metadata!",ADDRESS(INDEX($M$2:$M$1001,MATCH(ROWS($K$2:K856),$K$2:$K$1001,0),0),1)),INDEX($P$2:$P$1001,MATCH(ROWS($K$2:K856),$K$2:$K$1001,0),0)))</f>
        <v>0</v>
      </c>
      <c r="B856" s="3">
        <f>IF(OR(INDEX($L$2:$L$1001,MATCH(ROWS($K$2:K856),$K$2:$K$1001,0),1)&gt;=100000,INDEX($R$1005:$W$1005,1,MATCH(COLUMNS($R$1006:R1006),$R$1006:$W$1006,0))&gt;=100000), " ",IF(INDEX($R$2:$W$1001,MATCH(ROWS($K$2:K856),$K$2:$K$1001,0),MATCH(COLUMNS($R$1006:R1006),$R$1006:$W$1006,0)), HYPERLINK("#",""), HYPERLINK(CONCATENATE("#Metadata!", ADDRESS(INDEX($M$2:$M$1001,MATCH(ROWS($K$2:K856),$K$2:$K$1001,0),0), INDEX($R$1004:$W$1004,1,MATCH(COLUMNS($R$1006:R1006),$R$1006:$W$1006,0)))),"Fix")))</f>
        <v>0</v>
      </c>
      <c r="C856" s="3">
        <f>IF(OR(INDEX($L$2:$L$1001,MATCH(ROWS($K$2:K856),$K$2:$K$1001,0),1)&gt;=100000,INDEX($R$1005:$W$1005,1,MATCH(COLUMNS($R$1006:S1006),$R$1006:$W$1006,0))&gt;=100000), " ",IF(INDEX($R$2:$W$1001,MATCH(ROWS($K$2:K856),$K$2:$K$1001,0),MATCH(COLUMNS($R$1006:S1006),$R$1006:$W$1006,0)), HYPERLINK("#",""), HYPERLINK(CONCATENATE("#Metadata!", ADDRESS(INDEX($M$2:$M$1001,MATCH(ROWS($K$2:K856),$K$2:$K$1001,0),0), INDEX($R$1004:$W$1004,1,MATCH(COLUMNS($R$1006:S1006),$R$1006:$W$1006,0)))),"Fix")))</f>
        <v>0</v>
      </c>
      <c r="D856" s="3">
        <f>IF(OR(INDEX($L$2:$L$1001,MATCH(ROWS($K$2:K856),$K$2:$K$1001,0),1)&gt;=100000,INDEX($R$1005:$W$1005,1,MATCH(COLUMNS($R$1006:T1006),$R$1006:$W$1006,0))&gt;=100000), " ",IF(INDEX($R$2:$W$1001,MATCH(ROWS($K$2:K856),$K$2:$K$1001,0),MATCH(COLUMNS($R$1006:T1006),$R$1006:$W$1006,0)), HYPERLINK("#",""), HYPERLINK(CONCATENATE("#Metadata!", ADDRESS(INDEX($M$2:$M$1001,MATCH(ROWS($K$2:K856),$K$2:$K$1001,0),0), INDEX($R$1004:$W$1004,1,MATCH(COLUMNS($R$1006:T1006),$R$1006:$W$1006,0)))),"Fix")))</f>
        <v>0</v>
      </c>
      <c r="E856" s="3">
        <f>IF(OR(INDEX($L$2:$L$1001,MATCH(ROWS($K$2:K856),$K$2:$K$1001,0),1)&gt;=100000,INDEX($R$1005:$W$1005,1,MATCH(COLUMNS($R$1006:U1006),$R$1006:$W$1006,0))&gt;=100000), " ",IF(INDEX($R$2:$W$1001,MATCH(ROWS($K$2:K856),$K$2:$K$1001,0),MATCH(COLUMNS($R$1006:U1006),$R$1006:$W$1006,0)), HYPERLINK("#",""), HYPERLINK(CONCATENATE("#Metadata!", ADDRESS(INDEX($M$2:$M$1001,MATCH(ROWS($K$2:K856),$K$2:$K$1001,0),0), INDEX($R$1004:$W$1004,1,MATCH(COLUMNS($R$1006:U1006),$R$1006:$W$1006,0)))),"Fix")))</f>
        <v>0</v>
      </c>
      <c r="F856" s="3">
        <f>IF(OR(INDEX($L$2:$L$1001,MATCH(ROWS($K$2:K856),$K$2:$K$1001,0),1)&gt;=100000,INDEX($R$1005:$W$1005,1,MATCH(COLUMNS($R$1006:V1006),$R$1006:$W$1006,0))&gt;=100000), " ",IF(INDEX($R$2:$W$1001,MATCH(ROWS($K$2:K856),$K$2:$K$1001,0),MATCH(COLUMNS($R$1006:V1006),$R$1006:$W$1006,0)), HYPERLINK("#",""), HYPERLINK(CONCATENATE("#Metadata!", ADDRESS(INDEX($M$2:$M$1001,MATCH(ROWS($K$2:K856),$K$2:$K$1001,0),0), INDEX($R$1004:$W$1004,1,MATCH(COLUMNS($R$1006:V1006),$R$1006:$W$1006,0)))),"Fix")))</f>
        <v>0</v>
      </c>
      <c r="G856" s="3">
        <f>IF(OR(INDEX($L$2:$L$1001,MATCH(ROWS($K$2:K856),$K$2:$K$1001,0),1)&gt;=100000,INDEX($R$1005:$W$1005,1,MATCH(COLUMNS($R$1006:W1006),$R$1006:$W$1006,0))&gt;=100000), " ",IF(INDEX($R$2:$W$1001,MATCH(ROWS($K$2:K856),$K$2:$K$1001,0),MATCH(COLUMNS($R$1006:W1006),$R$1006:$W$1006,0)), HYPERLINK("#",""), HYPERLINK(CONCATENATE("#Metadata!", ADDRESS(INDEX($M$2:$M$1001,MATCH(ROWS($K$2:K856),$K$2:$K$1001,0),0), INDEX($R$1004:$W$1004,1,MATCH(COLUMNS($R$1006:W1006),$R$1006:$W$1006,0)))),"Fix")))</f>
        <v>0</v>
      </c>
      <c r="K856">
        <v>0</v>
      </c>
      <c r="L856">
        <v>0</v>
      </c>
      <c r="M856">
        <v>0</v>
      </c>
      <c r="N856">
        <f>IF(O856,TRUE,AND(R856:W856))</f>
        <v>0</v>
      </c>
      <c r="O856">
        <f>COUNTBLANK(Metadata!B856:G856)=COLUMNS(Metadata!B856:G856)</f>
        <v>0</v>
      </c>
      <c r="P856">
        <v>0</v>
      </c>
      <c r="R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S856">
        <f>IF(Metadata!C856="",FALSE,TRUE)</f>
        <v>0</v>
      </c>
      <c r="T856">
        <f>IF(Metadata!D856="",FALSE,TRUE)</f>
        <v>0</v>
      </c>
      <c r="U856">
        <f>IF(Metadata!E856="",FALSE,TRUE)</f>
        <v>0</v>
      </c>
      <c r="V856">
        <f>AND(IF(Metadata!F856="",FALSE,TRUE),exact(Metadata!F856,"rat gut metagenome"))</f>
        <v>0</v>
      </c>
      <c r="W856">
        <f>AND(IF(Metadata!G856="",FALSE,TRUE),exact(Metadata!G856,"1436733"))</f>
        <v>0</v>
      </c>
    </row>
    <row r="857" spans="1:23">
      <c r="A857" s="4">
        <f>IF(B857=" "," ",HYPERLINK(CONCATENATE("#metadata!",ADDRESS(INDEX($M$2:$M$1001,MATCH(ROWS($K$2:K857),$K$2:$K$1001,0),0),1)),INDEX($P$2:$P$1001,MATCH(ROWS($K$2:K857),$K$2:$K$1001,0),0)))</f>
        <v>0</v>
      </c>
      <c r="B857" s="3">
        <f>IF(OR(INDEX($L$2:$L$1001,MATCH(ROWS($K$2:K857),$K$2:$K$1001,0),1)&gt;=100000,INDEX($R$1005:$W$1005,1,MATCH(COLUMNS($R$1006:R1006),$R$1006:$W$1006,0))&gt;=100000), " ",IF(INDEX($R$2:$W$1001,MATCH(ROWS($K$2:K857),$K$2:$K$1001,0),MATCH(COLUMNS($R$1006:R1006),$R$1006:$W$1006,0)), HYPERLINK("#",""), HYPERLINK(CONCATENATE("#Metadata!", ADDRESS(INDEX($M$2:$M$1001,MATCH(ROWS($K$2:K857),$K$2:$K$1001,0),0), INDEX($R$1004:$W$1004,1,MATCH(COLUMNS($R$1006:R1006),$R$1006:$W$1006,0)))),"Fix")))</f>
        <v>0</v>
      </c>
      <c r="C857" s="3">
        <f>IF(OR(INDEX($L$2:$L$1001,MATCH(ROWS($K$2:K857),$K$2:$K$1001,0),1)&gt;=100000,INDEX($R$1005:$W$1005,1,MATCH(COLUMNS($R$1006:S1006),$R$1006:$W$1006,0))&gt;=100000), " ",IF(INDEX($R$2:$W$1001,MATCH(ROWS($K$2:K857),$K$2:$K$1001,0),MATCH(COLUMNS($R$1006:S1006),$R$1006:$W$1006,0)), HYPERLINK("#",""), HYPERLINK(CONCATENATE("#Metadata!", ADDRESS(INDEX($M$2:$M$1001,MATCH(ROWS($K$2:K857),$K$2:$K$1001,0),0), INDEX($R$1004:$W$1004,1,MATCH(COLUMNS($R$1006:S1006),$R$1006:$W$1006,0)))),"Fix")))</f>
        <v>0</v>
      </c>
      <c r="D857" s="3">
        <f>IF(OR(INDEX($L$2:$L$1001,MATCH(ROWS($K$2:K857),$K$2:$K$1001,0),1)&gt;=100000,INDEX($R$1005:$W$1005,1,MATCH(COLUMNS($R$1006:T1006),$R$1006:$W$1006,0))&gt;=100000), " ",IF(INDEX($R$2:$W$1001,MATCH(ROWS($K$2:K857),$K$2:$K$1001,0),MATCH(COLUMNS($R$1006:T1006),$R$1006:$W$1006,0)), HYPERLINK("#",""), HYPERLINK(CONCATENATE("#Metadata!", ADDRESS(INDEX($M$2:$M$1001,MATCH(ROWS($K$2:K857),$K$2:$K$1001,0),0), INDEX($R$1004:$W$1004,1,MATCH(COLUMNS($R$1006:T1006),$R$1006:$W$1006,0)))),"Fix")))</f>
        <v>0</v>
      </c>
      <c r="E857" s="3">
        <f>IF(OR(INDEX($L$2:$L$1001,MATCH(ROWS($K$2:K857),$K$2:$K$1001,0),1)&gt;=100000,INDEX($R$1005:$W$1005,1,MATCH(COLUMNS($R$1006:U1006),$R$1006:$W$1006,0))&gt;=100000), " ",IF(INDEX($R$2:$W$1001,MATCH(ROWS($K$2:K857),$K$2:$K$1001,0),MATCH(COLUMNS($R$1006:U1006),$R$1006:$W$1006,0)), HYPERLINK("#",""), HYPERLINK(CONCATENATE("#Metadata!", ADDRESS(INDEX($M$2:$M$1001,MATCH(ROWS($K$2:K857),$K$2:$K$1001,0),0), INDEX($R$1004:$W$1004,1,MATCH(COLUMNS($R$1006:U1006),$R$1006:$W$1006,0)))),"Fix")))</f>
        <v>0</v>
      </c>
      <c r="F857" s="3">
        <f>IF(OR(INDEX($L$2:$L$1001,MATCH(ROWS($K$2:K857),$K$2:$K$1001,0),1)&gt;=100000,INDEX($R$1005:$W$1005,1,MATCH(COLUMNS($R$1006:V1006),$R$1006:$W$1006,0))&gt;=100000), " ",IF(INDEX($R$2:$W$1001,MATCH(ROWS($K$2:K857),$K$2:$K$1001,0),MATCH(COLUMNS($R$1006:V1006),$R$1006:$W$1006,0)), HYPERLINK("#",""), HYPERLINK(CONCATENATE("#Metadata!", ADDRESS(INDEX($M$2:$M$1001,MATCH(ROWS($K$2:K857),$K$2:$K$1001,0),0), INDEX($R$1004:$W$1004,1,MATCH(COLUMNS($R$1006:V1006),$R$1006:$W$1006,0)))),"Fix")))</f>
        <v>0</v>
      </c>
      <c r="G857" s="3">
        <f>IF(OR(INDEX($L$2:$L$1001,MATCH(ROWS($K$2:K857),$K$2:$K$1001,0),1)&gt;=100000,INDEX($R$1005:$W$1005,1,MATCH(COLUMNS($R$1006:W1006),$R$1006:$W$1006,0))&gt;=100000), " ",IF(INDEX($R$2:$W$1001,MATCH(ROWS($K$2:K857),$K$2:$K$1001,0),MATCH(COLUMNS($R$1006:W1006),$R$1006:$W$1006,0)), HYPERLINK("#",""), HYPERLINK(CONCATENATE("#Metadata!", ADDRESS(INDEX($M$2:$M$1001,MATCH(ROWS($K$2:K857),$K$2:$K$1001,0),0), INDEX($R$1004:$W$1004,1,MATCH(COLUMNS($R$1006:W1006),$R$1006:$W$1006,0)))),"Fix")))</f>
        <v>0</v>
      </c>
      <c r="K857">
        <v>0</v>
      </c>
      <c r="L857">
        <v>0</v>
      </c>
      <c r="M857">
        <v>0</v>
      </c>
      <c r="N857">
        <f>IF(O857,TRUE,AND(R857:W857))</f>
        <v>0</v>
      </c>
      <c r="O857">
        <f>COUNTBLANK(Metadata!B857:G857)=COLUMNS(Metadata!B857:G857)</f>
        <v>0</v>
      </c>
      <c r="P857">
        <v>0</v>
      </c>
      <c r="R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S857">
        <f>IF(Metadata!C857="",FALSE,TRUE)</f>
        <v>0</v>
      </c>
      <c r="T857">
        <f>IF(Metadata!D857="",FALSE,TRUE)</f>
        <v>0</v>
      </c>
      <c r="U857">
        <f>IF(Metadata!E857="",FALSE,TRUE)</f>
        <v>0</v>
      </c>
      <c r="V857">
        <f>AND(IF(Metadata!F857="",FALSE,TRUE),exact(Metadata!F857,"rat gut metagenome"))</f>
        <v>0</v>
      </c>
      <c r="W857">
        <f>AND(IF(Metadata!G857="",FALSE,TRUE),exact(Metadata!G857,"1436733"))</f>
        <v>0</v>
      </c>
    </row>
    <row r="858" spans="1:23">
      <c r="A858" s="4">
        <f>IF(B858=" "," ",HYPERLINK(CONCATENATE("#metadata!",ADDRESS(INDEX($M$2:$M$1001,MATCH(ROWS($K$2:K858),$K$2:$K$1001,0),0),1)),INDEX($P$2:$P$1001,MATCH(ROWS($K$2:K858),$K$2:$K$1001,0),0)))</f>
        <v>0</v>
      </c>
      <c r="B858" s="3">
        <f>IF(OR(INDEX($L$2:$L$1001,MATCH(ROWS($K$2:K858),$K$2:$K$1001,0),1)&gt;=100000,INDEX($R$1005:$W$1005,1,MATCH(COLUMNS($R$1006:R1006),$R$1006:$W$1006,0))&gt;=100000), " ",IF(INDEX($R$2:$W$1001,MATCH(ROWS($K$2:K858),$K$2:$K$1001,0),MATCH(COLUMNS($R$1006:R1006),$R$1006:$W$1006,0)), HYPERLINK("#",""), HYPERLINK(CONCATENATE("#Metadata!", ADDRESS(INDEX($M$2:$M$1001,MATCH(ROWS($K$2:K858),$K$2:$K$1001,0),0), INDEX($R$1004:$W$1004,1,MATCH(COLUMNS($R$1006:R1006),$R$1006:$W$1006,0)))),"Fix")))</f>
        <v>0</v>
      </c>
      <c r="C858" s="3">
        <f>IF(OR(INDEX($L$2:$L$1001,MATCH(ROWS($K$2:K858),$K$2:$K$1001,0),1)&gt;=100000,INDEX($R$1005:$W$1005,1,MATCH(COLUMNS($R$1006:S1006),$R$1006:$W$1006,0))&gt;=100000), " ",IF(INDEX($R$2:$W$1001,MATCH(ROWS($K$2:K858),$K$2:$K$1001,0),MATCH(COLUMNS($R$1006:S1006),$R$1006:$W$1006,0)), HYPERLINK("#",""), HYPERLINK(CONCATENATE("#Metadata!", ADDRESS(INDEX($M$2:$M$1001,MATCH(ROWS($K$2:K858),$K$2:$K$1001,0),0), INDEX($R$1004:$W$1004,1,MATCH(COLUMNS($R$1006:S1006),$R$1006:$W$1006,0)))),"Fix")))</f>
        <v>0</v>
      </c>
      <c r="D858" s="3">
        <f>IF(OR(INDEX($L$2:$L$1001,MATCH(ROWS($K$2:K858),$K$2:$K$1001,0),1)&gt;=100000,INDEX($R$1005:$W$1005,1,MATCH(COLUMNS($R$1006:T1006),$R$1006:$W$1006,0))&gt;=100000), " ",IF(INDEX($R$2:$W$1001,MATCH(ROWS($K$2:K858),$K$2:$K$1001,0),MATCH(COLUMNS($R$1006:T1006),$R$1006:$W$1006,0)), HYPERLINK("#",""), HYPERLINK(CONCATENATE("#Metadata!", ADDRESS(INDEX($M$2:$M$1001,MATCH(ROWS($K$2:K858),$K$2:$K$1001,0),0), INDEX($R$1004:$W$1004,1,MATCH(COLUMNS($R$1006:T1006),$R$1006:$W$1006,0)))),"Fix")))</f>
        <v>0</v>
      </c>
      <c r="E858" s="3">
        <f>IF(OR(INDEX($L$2:$L$1001,MATCH(ROWS($K$2:K858),$K$2:$K$1001,0),1)&gt;=100000,INDEX($R$1005:$W$1005,1,MATCH(COLUMNS($R$1006:U1006),$R$1006:$W$1006,0))&gt;=100000), " ",IF(INDEX($R$2:$W$1001,MATCH(ROWS($K$2:K858),$K$2:$K$1001,0),MATCH(COLUMNS($R$1006:U1006),$R$1006:$W$1006,0)), HYPERLINK("#",""), HYPERLINK(CONCATENATE("#Metadata!", ADDRESS(INDEX($M$2:$M$1001,MATCH(ROWS($K$2:K858),$K$2:$K$1001,0),0), INDEX($R$1004:$W$1004,1,MATCH(COLUMNS($R$1006:U1006),$R$1006:$W$1006,0)))),"Fix")))</f>
        <v>0</v>
      </c>
      <c r="F858" s="3">
        <f>IF(OR(INDEX($L$2:$L$1001,MATCH(ROWS($K$2:K858),$K$2:$K$1001,0),1)&gt;=100000,INDEX($R$1005:$W$1005,1,MATCH(COLUMNS($R$1006:V1006),$R$1006:$W$1006,0))&gt;=100000), " ",IF(INDEX($R$2:$W$1001,MATCH(ROWS($K$2:K858),$K$2:$K$1001,0),MATCH(COLUMNS($R$1006:V1006),$R$1006:$W$1006,0)), HYPERLINK("#",""), HYPERLINK(CONCATENATE("#Metadata!", ADDRESS(INDEX($M$2:$M$1001,MATCH(ROWS($K$2:K858),$K$2:$K$1001,0),0), INDEX($R$1004:$W$1004,1,MATCH(COLUMNS($R$1006:V1006),$R$1006:$W$1006,0)))),"Fix")))</f>
        <v>0</v>
      </c>
      <c r="G858" s="3">
        <f>IF(OR(INDEX($L$2:$L$1001,MATCH(ROWS($K$2:K858),$K$2:$K$1001,0),1)&gt;=100000,INDEX($R$1005:$W$1005,1,MATCH(COLUMNS($R$1006:W1006),$R$1006:$W$1006,0))&gt;=100000), " ",IF(INDEX($R$2:$W$1001,MATCH(ROWS($K$2:K858),$K$2:$K$1001,0),MATCH(COLUMNS($R$1006:W1006),$R$1006:$W$1006,0)), HYPERLINK("#",""), HYPERLINK(CONCATENATE("#Metadata!", ADDRESS(INDEX($M$2:$M$1001,MATCH(ROWS($K$2:K858),$K$2:$K$1001,0),0), INDEX($R$1004:$W$1004,1,MATCH(COLUMNS($R$1006:W1006),$R$1006:$W$1006,0)))),"Fix")))</f>
        <v>0</v>
      </c>
      <c r="K858">
        <v>0</v>
      </c>
      <c r="L858">
        <v>0</v>
      </c>
      <c r="M858">
        <v>0</v>
      </c>
      <c r="N858">
        <f>IF(O858,TRUE,AND(R858:W858))</f>
        <v>0</v>
      </c>
      <c r="O858">
        <f>COUNTBLANK(Metadata!B858:G858)=COLUMNS(Metadata!B858:G858)</f>
        <v>0</v>
      </c>
      <c r="P858">
        <v>0</v>
      </c>
      <c r="R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S858">
        <f>IF(Metadata!C858="",FALSE,TRUE)</f>
        <v>0</v>
      </c>
      <c r="T858">
        <f>IF(Metadata!D858="",FALSE,TRUE)</f>
        <v>0</v>
      </c>
      <c r="U858">
        <f>IF(Metadata!E858="",FALSE,TRUE)</f>
        <v>0</v>
      </c>
      <c r="V858">
        <f>AND(IF(Metadata!F858="",FALSE,TRUE),exact(Metadata!F858,"rat gut metagenome"))</f>
        <v>0</v>
      </c>
      <c r="W858">
        <f>AND(IF(Metadata!G858="",FALSE,TRUE),exact(Metadata!G858,"1436733"))</f>
        <v>0</v>
      </c>
    </row>
    <row r="859" spans="1:23">
      <c r="A859" s="4">
        <f>IF(B859=" "," ",HYPERLINK(CONCATENATE("#metadata!",ADDRESS(INDEX($M$2:$M$1001,MATCH(ROWS($K$2:K859),$K$2:$K$1001,0),0),1)),INDEX($P$2:$P$1001,MATCH(ROWS($K$2:K859),$K$2:$K$1001,0),0)))</f>
        <v>0</v>
      </c>
      <c r="B859" s="3">
        <f>IF(OR(INDEX($L$2:$L$1001,MATCH(ROWS($K$2:K859),$K$2:$K$1001,0),1)&gt;=100000,INDEX($R$1005:$W$1005,1,MATCH(COLUMNS($R$1006:R1006),$R$1006:$W$1006,0))&gt;=100000), " ",IF(INDEX($R$2:$W$1001,MATCH(ROWS($K$2:K859),$K$2:$K$1001,0),MATCH(COLUMNS($R$1006:R1006),$R$1006:$W$1006,0)), HYPERLINK("#",""), HYPERLINK(CONCATENATE("#Metadata!", ADDRESS(INDEX($M$2:$M$1001,MATCH(ROWS($K$2:K859),$K$2:$K$1001,0),0), INDEX($R$1004:$W$1004,1,MATCH(COLUMNS($R$1006:R1006),$R$1006:$W$1006,0)))),"Fix")))</f>
        <v>0</v>
      </c>
      <c r="C859" s="3">
        <f>IF(OR(INDEX($L$2:$L$1001,MATCH(ROWS($K$2:K859),$K$2:$K$1001,0),1)&gt;=100000,INDEX($R$1005:$W$1005,1,MATCH(COLUMNS($R$1006:S1006),$R$1006:$W$1006,0))&gt;=100000), " ",IF(INDEX($R$2:$W$1001,MATCH(ROWS($K$2:K859),$K$2:$K$1001,0),MATCH(COLUMNS($R$1006:S1006),$R$1006:$W$1006,0)), HYPERLINK("#",""), HYPERLINK(CONCATENATE("#Metadata!", ADDRESS(INDEX($M$2:$M$1001,MATCH(ROWS($K$2:K859),$K$2:$K$1001,0),0), INDEX($R$1004:$W$1004,1,MATCH(COLUMNS($R$1006:S1006),$R$1006:$W$1006,0)))),"Fix")))</f>
        <v>0</v>
      </c>
      <c r="D859" s="3">
        <f>IF(OR(INDEX($L$2:$L$1001,MATCH(ROWS($K$2:K859),$K$2:$K$1001,0),1)&gt;=100000,INDEX($R$1005:$W$1005,1,MATCH(COLUMNS($R$1006:T1006),$R$1006:$W$1006,0))&gt;=100000), " ",IF(INDEX($R$2:$W$1001,MATCH(ROWS($K$2:K859),$K$2:$K$1001,0),MATCH(COLUMNS($R$1006:T1006),$R$1006:$W$1006,0)), HYPERLINK("#",""), HYPERLINK(CONCATENATE("#Metadata!", ADDRESS(INDEX($M$2:$M$1001,MATCH(ROWS($K$2:K859),$K$2:$K$1001,0),0), INDEX($R$1004:$W$1004,1,MATCH(COLUMNS($R$1006:T1006),$R$1006:$W$1006,0)))),"Fix")))</f>
        <v>0</v>
      </c>
      <c r="E859" s="3">
        <f>IF(OR(INDEX($L$2:$L$1001,MATCH(ROWS($K$2:K859),$K$2:$K$1001,0),1)&gt;=100000,INDEX($R$1005:$W$1005,1,MATCH(COLUMNS($R$1006:U1006),$R$1006:$W$1006,0))&gt;=100000), " ",IF(INDEX($R$2:$W$1001,MATCH(ROWS($K$2:K859),$K$2:$K$1001,0),MATCH(COLUMNS($R$1006:U1006),$R$1006:$W$1006,0)), HYPERLINK("#",""), HYPERLINK(CONCATENATE("#Metadata!", ADDRESS(INDEX($M$2:$M$1001,MATCH(ROWS($K$2:K859),$K$2:$K$1001,0),0), INDEX($R$1004:$W$1004,1,MATCH(COLUMNS($R$1006:U1006),$R$1006:$W$1006,0)))),"Fix")))</f>
        <v>0</v>
      </c>
      <c r="F859" s="3">
        <f>IF(OR(INDEX($L$2:$L$1001,MATCH(ROWS($K$2:K859),$K$2:$K$1001,0),1)&gt;=100000,INDEX($R$1005:$W$1005,1,MATCH(COLUMNS($R$1006:V1006),$R$1006:$W$1006,0))&gt;=100000), " ",IF(INDEX($R$2:$W$1001,MATCH(ROWS($K$2:K859),$K$2:$K$1001,0),MATCH(COLUMNS($R$1006:V1006),$R$1006:$W$1006,0)), HYPERLINK("#",""), HYPERLINK(CONCATENATE("#Metadata!", ADDRESS(INDEX($M$2:$M$1001,MATCH(ROWS($K$2:K859),$K$2:$K$1001,0),0), INDEX($R$1004:$W$1004,1,MATCH(COLUMNS($R$1006:V1006),$R$1006:$W$1006,0)))),"Fix")))</f>
        <v>0</v>
      </c>
      <c r="G859" s="3">
        <f>IF(OR(INDEX($L$2:$L$1001,MATCH(ROWS($K$2:K859),$K$2:$K$1001,0),1)&gt;=100000,INDEX($R$1005:$W$1005,1,MATCH(COLUMNS($R$1006:W1006),$R$1006:$W$1006,0))&gt;=100000), " ",IF(INDEX($R$2:$W$1001,MATCH(ROWS($K$2:K859),$K$2:$K$1001,0),MATCH(COLUMNS($R$1006:W1006),$R$1006:$W$1006,0)), HYPERLINK("#",""), HYPERLINK(CONCATENATE("#Metadata!", ADDRESS(INDEX($M$2:$M$1001,MATCH(ROWS($K$2:K859),$K$2:$K$1001,0),0), INDEX($R$1004:$W$1004,1,MATCH(COLUMNS($R$1006:W1006),$R$1006:$W$1006,0)))),"Fix")))</f>
        <v>0</v>
      </c>
      <c r="K859">
        <v>0</v>
      </c>
      <c r="L859">
        <v>0</v>
      </c>
      <c r="M859">
        <v>0</v>
      </c>
      <c r="N859">
        <f>IF(O859,TRUE,AND(R859:W859))</f>
        <v>0</v>
      </c>
      <c r="O859">
        <f>COUNTBLANK(Metadata!B859:G859)=COLUMNS(Metadata!B859:G859)</f>
        <v>0</v>
      </c>
      <c r="P859">
        <v>0</v>
      </c>
      <c r="R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S859">
        <f>IF(Metadata!C859="",FALSE,TRUE)</f>
        <v>0</v>
      </c>
      <c r="T859">
        <f>IF(Metadata!D859="",FALSE,TRUE)</f>
        <v>0</v>
      </c>
      <c r="U859">
        <f>IF(Metadata!E859="",FALSE,TRUE)</f>
        <v>0</v>
      </c>
      <c r="V859">
        <f>AND(IF(Metadata!F859="",FALSE,TRUE),exact(Metadata!F859,"rat gut metagenome"))</f>
        <v>0</v>
      </c>
      <c r="W859">
        <f>AND(IF(Metadata!G859="",FALSE,TRUE),exact(Metadata!G859,"1436733"))</f>
        <v>0</v>
      </c>
    </row>
    <row r="860" spans="1:23">
      <c r="A860" s="4">
        <f>IF(B860=" "," ",HYPERLINK(CONCATENATE("#metadata!",ADDRESS(INDEX($M$2:$M$1001,MATCH(ROWS($K$2:K860),$K$2:$K$1001,0),0),1)),INDEX($P$2:$P$1001,MATCH(ROWS($K$2:K860),$K$2:$K$1001,0),0)))</f>
        <v>0</v>
      </c>
      <c r="B860" s="3">
        <f>IF(OR(INDEX($L$2:$L$1001,MATCH(ROWS($K$2:K860),$K$2:$K$1001,0),1)&gt;=100000,INDEX($R$1005:$W$1005,1,MATCH(COLUMNS($R$1006:R1006),$R$1006:$W$1006,0))&gt;=100000), " ",IF(INDEX($R$2:$W$1001,MATCH(ROWS($K$2:K860),$K$2:$K$1001,0),MATCH(COLUMNS($R$1006:R1006),$R$1006:$W$1006,0)), HYPERLINK("#",""), HYPERLINK(CONCATENATE("#Metadata!", ADDRESS(INDEX($M$2:$M$1001,MATCH(ROWS($K$2:K860),$K$2:$K$1001,0),0), INDEX($R$1004:$W$1004,1,MATCH(COLUMNS($R$1006:R1006),$R$1006:$W$1006,0)))),"Fix")))</f>
        <v>0</v>
      </c>
      <c r="C860" s="3">
        <f>IF(OR(INDEX($L$2:$L$1001,MATCH(ROWS($K$2:K860),$K$2:$K$1001,0),1)&gt;=100000,INDEX($R$1005:$W$1005,1,MATCH(COLUMNS($R$1006:S1006),$R$1006:$W$1006,0))&gt;=100000), " ",IF(INDEX($R$2:$W$1001,MATCH(ROWS($K$2:K860),$K$2:$K$1001,0),MATCH(COLUMNS($R$1006:S1006),$R$1006:$W$1006,0)), HYPERLINK("#",""), HYPERLINK(CONCATENATE("#Metadata!", ADDRESS(INDEX($M$2:$M$1001,MATCH(ROWS($K$2:K860),$K$2:$K$1001,0),0), INDEX($R$1004:$W$1004,1,MATCH(COLUMNS($R$1006:S1006),$R$1006:$W$1006,0)))),"Fix")))</f>
        <v>0</v>
      </c>
      <c r="D860" s="3">
        <f>IF(OR(INDEX($L$2:$L$1001,MATCH(ROWS($K$2:K860),$K$2:$K$1001,0),1)&gt;=100000,INDEX($R$1005:$W$1005,1,MATCH(COLUMNS($R$1006:T1006),$R$1006:$W$1006,0))&gt;=100000), " ",IF(INDEX($R$2:$W$1001,MATCH(ROWS($K$2:K860),$K$2:$K$1001,0),MATCH(COLUMNS($R$1006:T1006),$R$1006:$W$1006,0)), HYPERLINK("#",""), HYPERLINK(CONCATENATE("#Metadata!", ADDRESS(INDEX($M$2:$M$1001,MATCH(ROWS($K$2:K860),$K$2:$K$1001,0),0), INDEX($R$1004:$W$1004,1,MATCH(COLUMNS($R$1006:T1006),$R$1006:$W$1006,0)))),"Fix")))</f>
        <v>0</v>
      </c>
      <c r="E860" s="3">
        <f>IF(OR(INDEX($L$2:$L$1001,MATCH(ROWS($K$2:K860),$K$2:$K$1001,0),1)&gt;=100000,INDEX($R$1005:$W$1005,1,MATCH(COLUMNS($R$1006:U1006),$R$1006:$W$1006,0))&gt;=100000), " ",IF(INDEX($R$2:$W$1001,MATCH(ROWS($K$2:K860),$K$2:$K$1001,0),MATCH(COLUMNS($R$1006:U1006),$R$1006:$W$1006,0)), HYPERLINK("#",""), HYPERLINK(CONCATENATE("#Metadata!", ADDRESS(INDEX($M$2:$M$1001,MATCH(ROWS($K$2:K860),$K$2:$K$1001,0),0), INDEX($R$1004:$W$1004,1,MATCH(COLUMNS($R$1006:U1006),$R$1006:$W$1006,0)))),"Fix")))</f>
        <v>0</v>
      </c>
      <c r="F860" s="3">
        <f>IF(OR(INDEX($L$2:$L$1001,MATCH(ROWS($K$2:K860),$K$2:$K$1001,0),1)&gt;=100000,INDEX($R$1005:$W$1005,1,MATCH(COLUMNS($R$1006:V1006),$R$1006:$W$1006,0))&gt;=100000), " ",IF(INDEX($R$2:$W$1001,MATCH(ROWS($K$2:K860),$K$2:$K$1001,0),MATCH(COLUMNS($R$1006:V1006),$R$1006:$W$1006,0)), HYPERLINK("#",""), HYPERLINK(CONCATENATE("#Metadata!", ADDRESS(INDEX($M$2:$M$1001,MATCH(ROWS($K$2:K860),$K$2:$K$1001,0),0), INDEX($R$1004:$W$1004,1,MATCH(COLUMNS($R$1006:V1006),$R$1006:$W$1006,0)))),"Fix")))</f>
        <v>0</v>
      </c>
      <c r="G860" s="3">
        <f>IF(OR(INDEX($L$2:$L$1001,MATCH(ROWS($K$2:K860),$K$2:$K$1001,0),1)&gt;=100000,INDEX($R$1005:$W$1005,1,MATCH(COLUMNS($R$1006:W1006),$R$1006:$W$1006,0))&gt;=100000), " ",IF(INDEX($R$2:$W$1001,MATCH(ROWS($K$2:K860),$K$2:$K$1001,0),MATCH(COLUMNS($R$1006:W1006),$R$1006:$W$1006,0)), HYPERLINK("#",""), HYPERLINK(CONCATENATE("#Metadata!", ADDRESS(INDEX($M$2:$M$1001,MATCH(ROWS($K$2:K860),$K$2:$K$1001,0),0), INDEX($R$1004:$W$1004,1,MATCH(COLUMNS($R$1006:W1006),$R$1006:$W$1006,0)))),"Fix")))</f>
        <v>0</v>
      </c>
      <c r="K860">
        <v>0</v>
      </c>
      <c r="L860">
        <v>0</v>
      </c>
      <c r="M860">
        <v>0</v>
      </c>
      <c r="N860">
        <f>IF(O860,TRUE,AND(R860:W860))</f>
        <v>0</v>
      </c>
      <c r="O860">
        <f>COUNTBLANK(Metadata!B860:G860)=COLUMNS(Metadata!B860:G860)</f>
        <v>0</v>
      </c>
      <c r="P860">
        <v>0</v>
      </c>
      <c r="R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S860">
        <f>IF(Metadata!C860="",FALSE,TRUE)</f>
        <v>0</v>
      </c>
      <c r="T860">
        <f>IF(Metadata!D860="",FALSE,TRUE)</f>
        <v>0</v>
      </c>
      <c r="U860">
        <f>IF(Metadata!E860="",FALSE,TRUE)</f>
        <v>0</v>
      </c>
      <c r="V860">
        <f>AND(IF(Metadata!F860="",FALSE,TRUE),exact(Metadata!F860,"rat gut metagenome"))</f>
        <v>0</v>
      </c>
      <c r="W860">
        <f>AND(IF(Metadata!G860="",FALSE,TRUE),exact(Metadata!G860,"1436733"))</f>
        <v>0</v>
      </c>
    </row>
    <row r="861" spans="1:23">
      <c r="A861" s="4">
        <f>IF(B861=" "," ",HYPERLINK(CONCATENATE("#metadata!",ADDRESS(INDEX($M$2:$M$1001,MATCH(ROWS($K$2:K861),$K$2:$K$1001,0),0),1)),INDEX($P$2:$P$1001,MATCH(ROWS($K$2:K861),$K$2:$K$1001,0),0)))</f>
        <v>0</v>
      </c>
      <c r="B861" s="3">
        <f>IF(OR(INDEX($L$2:$L$1001,MATCH(ROWS($K$2:K861),$K$2:$K$1001,0),1)&gt;=100000,INDEX($R$1005:$W$1005,1,MATCH(COLUMNS($R$1006:R1006),$R$1006:$W$1006,0))&gt;=100000), " ",IF(INDEX($R$2:$W$1001,MATCH(ROWS($K$2:K861),$K$2:$K$1001,0),MATCH(COLUMNS($R$1006:R1006),$R$1006:$W$1006,0)), HYPERLINK("#",""), HYPERLINK(CONCATENATE("#Metadata!", ADDRESS(INDEX($M$2:$M$1001,MATCH(ROWS($K$2:K861),$K$2:$K$1001,0),0), INDEX($R$1004:$W$1004,1,MATCH(COLUMNS($R$1006:R1006),$R$1006:$W$1006,0)))),"Fix")))</f>
        <v>0</v>
      </c>
      <c r="C861" s="3">
        <f>IF(OR(INDEX($L$2:$L$1001,MATCH(ROWS($K$2:K861),$K$2:$K$1001,0),1)&gt;=100000,INDEX($R$1005:$W$1005,1,MATCH(COLUMNS($R$1006:S1006),$R$1006:$W$1006,0))&gt;=100000), " ",IF(INDEX($R$2:$W$1001,MATCH(ROWS($K$2:K861),$K$2:$K$1001,0),MATCH(COLUMNS($R$1006:S1006),$R$1006:$W$1006,0)), HYPERLINK("#",""), HYPERLINK(CONCATENATE("#Metadata!", ADDRESS(INDEX($M$2:$M$1001,MATCH(ROWS($K$2:K861),$K$2:$K$1001,0),0), INDEX($R$1004:$W$1004,1,MATCH(COLUMNS($R$1006:S1006),$R$1006:$W$1006,0)))),"Fix")))</f>
        <v>0</v>
      </c>
      <c r="D861" s="3">
        <f>IF(OR(INDEX($L$2:$L$1001,MATCH(ROWS($K$2:K861),$K$2:$K$1001,0),1)&gt;=100000,INDEX($R$1005:$W$1005,1,MATCH(COLUMNS($R$1006:T1006),$R$1006:$W$1006,0))&gt;=100000), " ",IF(INDEX($R$2:$W$1001,MATCH(ROWS($K$2:K861),$K$2:$K$1001,0),MATCH(COLUMNS($R$1006:T1006),$R$1006:$W$1006,0)), HYPERLINK("#",""), HYPERLINK(CONCATENATE("#Metadata!", ADDRESS(INDEX($M$2:$M$1001,MATCH(ROWS($K$2:K861),$K$2:$K$1001,0),0), INDEX($R$1004:$W$1004,1,MATCH(COLUMNS($R$1006:T1006),$R$1006:$W$1006,0)))),"Fix")))</f>
        <v>0</v>
      </c>
      <c r="E861" s="3">
        <f>IF(OR(INDEX($L$2:$L$1001,MATCH(ROWS($K$2:K861),$K$2:$K$1001,0),1)&gt;=100000,INDEX($R$1005:$W$1005,1,MATCH(COLUMNS($R$1006:U1006),$R$1006:$W$1006,0))&gt;=100000), " ",IF(INDEX($R$2:$W$1001,MATCH(ROWS($K$2:K861),$K$2:$K$1001,0),MATCH(COLUMNS($R$1006:U1006),$R$1006:$W$1006,0)), HYPERLINK("#",""), HYPERLINK(CONCATENATE("#Metadata!", ADDRESS(INDEX($M$2:$M$1001,MATCH(ROWS($K$2:K861),$K$2:$K$1001,0),0), INDEX($R$1004:$W$1004,1,MATCH(COLUMNS($R$1006:U1006),$R$1006:$W$1006,0)))),"Fix")))</f>
        <v>0</v>
      </c>
      <c r="F861" s="3">
        <f>IF(OR(INDEX($L$2:$L$1001,MATCH(ROWS($K$2:K861),$K$2:$K$1001,0),1)&gt;=100000,INDEX($R$1005:$W$1005,1,MATCH(COLUMNS($R$1006:V1006),$R$1006:$W$1006,0))&gt;=100000), " ",IF(INDEX($R$2:$W$1001,MATCH(ROWS($K$2:K861),$K$2:$K$1001,0),MATCH(COLUMNS($R$1006:V1006),$R$1006:$W$1006,0)), HYPERLINK("#",""), HYPERLINK(CONCATENATE("#Metadata!", ADDRESS(INDEX($M$2:$M$1001,MATCH(ROWS($K$2:K861),$K$2:$K$1001,0),0), INDEX($R$1004:$W$1004,1,MATCH(COLUMNS($R$1006:V1006),$R$1006:$W$1006,0)))),"Fix")))</f>
        <v>0</v>
      </c>
      <c r="G861" s="3">
        <f>IF(OR(INDEX($L$2:$L$1001,MATCH(ROWS($K$2:K861),$K$2:$K$1001,0),1)&gt;=100000,INDEX($R$1005:$W$1005,1,MATCH(COLUMNS($R$1006:W1006),$R$1006:$W$1006,0))&gt;=100000), " ",IF(INDEX($R$2:$W$1001,MATCH(ROWS($K$2:K861),$K$2:$K$1001,0),MATCH(COLUMNS($R$1006:W1006),$R$1006:$W$1006,0)), HYPERLINK("#",""), HYPERLINK(CONCATENATE("#Metadata!", ADDRESS(INDEX($M$2:$M$1001,MATCH(ROWS($K$2:K861),$K$2:$K$1001,0),0), INDEX($R$1004:$W$1004,1,MATCH(COLUMNS($R$1006:W1006),$R$1006:$W$1006,0)))),"Fix")))</f>
        <v>0</v>
      </c>
      <c r="K861">
        <v>0</v>
      </c>
      <c r="L861">
        <v>0</v>
      </c>
      <c r="M861">
        <v>0</v>
      </c>
      <c r="N861">
        <f>IF(O861,TRUE,AND(R861:W861))</f>
        <v>0</v>
      </c>
      <c r="O861">
        <f>COUNTBLANK(Metadata!B861:G861)=COLUMNS(Metadata!B861:G861)</f>
        <v>0</v>
      </c>
      <c r="P861">
        <v>0</v>
      </c>
      <c r="R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S861">
        <f>IF(Metadata!C861="",FALSE,TRUE)</f>
        <v>0</v>
      </c>
      <c r="T861">
        <f>IF(Metadata!D861="",FALSE,TRUE)</f>
        <v>0</v>
      </c>
      <c r="U861">
        <f>IF(Metadata!E861="",FALSE,TRUE)</f>
        <v>0</v>
      </c>
      <c r="V861">
        <f>AND(IF(Metadata!F861="",FALSE,TRUE),exact(Metadata!F861,"rat gut metagenome"))</f>
        <v>0</v>
      </c>
      <c r="W861">
        <f>AND(IF(Metadata!G861="",FALSE,TRUE),exact(Metadata!G861,"1436733"))</f>
        <v>0</v>
      </c>
    </row>
    <row r="862" spans="1:23">
      <c r="A862" s="4">
        <f>IF(B862=" "," ",HYPERLINK(CONCATENATE("#metadata!",ADDRESS(INDEX($M$2:$M$1001,MATCH(ROWS($K$2:K862),$K$2:$K$1001,0),0),1)),INDEX($P$2:$P$1001,MATCH(ROWS($K$2:K862),$K$2:$K$1001,0),0)))</f>
        <v>0</v>
      </c>
      <c r="B862" s="3">
        <f>IF(OR(INDEX($L$2:$L$1001,MATCH(ROWS($K$2:K862),$K$2:$K$1001,0),1)&gt;=100000,INDEX($R$1005:$W$1005,1,MATCH(COLUMNS($R$1006:R1006),$R$1006:$W$1006,0))&gt;=100000), " ",IF(INDEX($R$2:$W$1001,MATCH(ROWS($K$2:K862),$K$2:$K$1001,0),MATCH(COLUMNS($R$1006:R1006),$R$1006:$W$1006,0)), HYPERLINK("#",""), HYPERLINK(CONCATENATE("#Metadata!", ADDRESS(INDEX($M$2:$M$1001,MATCH(ROWS($K$2:K862),$K$2:$K$1001,0),0), INDEX($R$1004:$W$1004,1,MATCH(COLUMNS($R$1006:R1006),$R$1006:$W$1006,0)))),"Fix")))</f>
        <v>0</v>
      </c>
      <c r="C862" s="3">
        <f>IF(OR(INDEX($L$2:$L$1001,MATCH(ROWS($K$2:K862),$K$2:$K$1001,0),1)&gt;=100000,INDEX($R$1005:$W$1005,1,MATCH(COLUMNS($R$1006:S1006),$R$1006:$W$1006,0))&gt;=100000), " ",IF(INDEX($R$2:$W$1001,MATCH(ROWS($K$2:K862),$K$2:$K$1001,0),MATCH(COLUMNS($R$1006:S1006),$R$1006:$W$1006,0)), HYPERLINK("#",""), HYPERLINK(CONCATENATE("#Metadata!", ADDRESS(INDEX($M$2:$M$1001,MATCH(ROWS($K$2:K862),$K$2:$K$1001,0),0), INDEX($R$1004:$W$1004,1,MATCH(COLUMNS($R$1006:S1006),$R$1006:$W$1006,0)))),"Fix")))</f>
        <v>0</v>
      </c>
      <c r="D862" s="3">
        <f>IF(OR(INDEX($L$2:$L$1001,MATCH(ROWS($K$2:K862),$K$2:$K$1001,0),1)&gt;=100000,INDEX($R$1005:$W$1005,1,MATCH(COLUMNS($R$1006:T1006),$R$1006:$W$1006,0))&gt;=100000), " ",IF(INDEX($R$2:$W$1001,MATCH(ROWS($K$2:K862),$K$2:$K$1001,0),MATCH(COLUMNS($R$1006:T1006),$R$1006:$W$1006,0)), HYPERLINK("#",""), HYPERLINK(CONCATENATE("#Metadata!", ADDRESS(INDEX($M$2:$M$1001,MATCH(ROWS($K$2:K862),$K$2:$K$1001,0),0), INDEX($R$1004:$W$1004,1,MATCH(COLUMNS($R$1006:T1006),$R$1006:$W$1006,0)))),"Fix")))</f>
        <v>0</v>
      </c>
      <c r="E862" s="3">
        <f>IF(OR(INDEX($L$2:$L$1001,MATCH(ROWS($K$2:K862),$K$2:$K$1001,0),1)&gt;=100000,INDEX($R$1005:$W$1005,1,MATCH(COLUMNS($R$1006:U1006),$R$1006:$W$1006,0))&gt;=100000), " ",IF(INDEX($R$2:$W$1001,MATCH(ROWS($K$2:K862),$K$2:$K$1001,0),MATCH(COLUMNS($R$1006:U1006),$R$1006:$W$1006,0)), HYPERLINK("#",""), HYPERLINK(CONCATENATE("#Metadata!", ADDRESS(INDEX($M$2:$M$1001,MATCH(ROWS($K$2:K862),$K$2:$K$1001,0),0), INDEX($R$1004:$W$1004,1,MATCH(COLUMNS($R$1006:U1006),$R$1006:$W$1006,0)))),"Fix")))</f>
        <v>0</v>
      </c>
      <c r="F862" s="3">
        <f>IF(OR(INDEX($L$2:$L$1001,MATCH(ROWS($K$2:K862),$K$2:$K$1001,0),1)&gt;=100000,INDEX($R$1005:$W$1005,1,MATCH(COLUMNS($R$1006:V1006),$R$1006:$W$1006,0))&gt;=100000), " ",IF(INDEX($R$2:$W$1001,MATCH(ROWS($K$2:K862),$K$2:$K$1001,0),MATCH(COLUMNS($R$1006:V1006),$R$1006:$W$1006,0)), HYPERLINK("#",""), HYPERLINK(CONCATENATE("#Metadata!", ADDRESS(INDEX($M$2:$M$1001,MATCH(ROWS($K$2:K862),$K$2:$K$1001,0),0), INDEX($R$1004:$W$1004,1,MATCH(COLUMNS($R$1006:V1006),$R$1006:$W$1006,0)))),"Fix")))</f>
        <v>0</v>
      </c>
      <c r="G862" s="3">
        <f>IF(OR(INDEX($L$2:$L$1001,MATCH(ROWS($K$2:K862),$K$2:$K$1001,0),1)&gt;=100000,INDEX($R$1005:$W$1005,1,MATCH(COLUMNS($R$1006:W1006),$R$1006:$W$1006,0))&gt;=100000), " ",IF(INDEX($R$2:$W$1001,MATCH(ROWS($K$2:K862),$K$2:$K$1001,0),MATCH(COLUMNS($R$1006:W1006),$R$1006:$W$1006,0)), HYPERLINK("#",""), HYPERLINK(CONCATENATE("#Metadata!", ADDRESS(INDEX($M$2:$M$1001,MATCH(ROWS($K$2:K862),$K$2:$K$1001,0),0), INDEX($R$1004:$W$1004,1,MATCH(COLUMNS($R$1006:W1006),$R$1006:$W$1006,0)))),"Fix")))</f>
        <v>0</v>
      </c>
      <c r="K862">
        <v>0</v>
      </c>
      <c r="L862">
        <v>0</v>
      </c>
      <c r="M862">
        <v>0</v>
      </c>
      <c r="N862">
        <f>IF(O862,TRUE,AND(R862:W862))</f>
        <v>0</v>
      </c>
      <c r="O862">
        <f>COUNTBLANK(Metadata!B862:G862)=COLUMNS(Metadata!B862:G862)</f>
        <v>0</v>
      </c>
      <c r="P862">
        <v>0</v>
      </c>
      <c r="R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S862">
        <f>IF(Metadata!C862="",FALSE,TRUE)</f>
        <v>0</v>
      </c>
      <c r="T862">
        <f>IF(Metadata!D862="",FALSE,TRUE)</f>
        <v>0</v>
      </c>
      <c r="U862">
        <f>IF(Metadata!E862="",FALSE,TRUE)</f>
        <v>0</v>
      </c>
      <c r="V862">
        <f>AND(IF(Metadata!F862="",FALSE,TRUE),exact(Metadata!F862,"rat gut metagenome"))</f>
        <v>0</v>
      </c>
      <c r="W862">
        <f>AND(IF(Metadata!G862="",FALSE,TRUE),exact(Metadata!G862,"1436733"))</f>
        <v>0</v>
      </c>
    </row>
    <row r="863" spans="1:23">
      <c r="A863" s="4">
        <f>IF(B863=" "," ",HYPERLINK(CONCATENATE("#metadata!",ADDRESS(INDEX($M$2:$M$1001,MATCH(ROWS($K$2:K863),$K$2:$K$1001,0),0),1)),INDEX($P$2:$P$1001,MATCH(ROWS($K$2:K863),$K$2:$K$1001,0),0)))</f>
        <v>0</v>
      </c>
      <c r="B863" s="3">
        <f>IF(OR(INDEX($L$2:$L$1001,MATCH(ROWS($K$2:K863),$K$2:$K$1001,0),1)&gt;=100000,INDEX($R$1005:$W$1005,1,MATCH(COLUMNS($R$1006:R1006),$R$1006:$W$1006,0))&gt;=100000), " ",IF(INDEX($R$2:$W$1001,MATCH(ROWS($K$2:K863),$K$2:$K$1001,0),MATCH(COLUMNS($R$1006:R1006),$R$1006:$W$1006,0)), HYPERLINK("#",""), HYPERLINK(CONCATENATE("#Metadata!", ADDRESS(INDEX($M$2:$M$1001,MATCH(ROWS($K$2:K863),$K$2:$K$1001,0),0), INDEX($R$1004:$W$1004,1,MATCH(COLUMNS($R$1006:R1006),$R$1006:$W$1006,0)))),"Fix")))</f>
        <v>0</v>
      </c>
      <c r="C863" s="3">
        <f>IF(OR(INDEX($L$2:$L$1001,MATCH(ROWS($K$2:K863),$K$2:$K$1001,0),1)&gt;=100000,INDEX($R$1005:$W$1005,1,MATCH(COLUMNS($R$1006:S1006),$R$1006:$W$1006,0))&gt;=100000), " ",IF(INDEX($R$2:$W$1001,MATCH(ROWS($K$2:K863),$K$2:$K$1001,0),MATCH(COLUMNS($R$1006:S1006),$R$1006:$W$1006,0)), HYPERLINK("#",""), HYPERLINK(CONCATENATE("#Metadata!", ADDRESS(INDEX($M$2:$M$1001,MATCH(ROWS($K$2:K863),$K$2:$K$1001,0),0), INDEX($R$1004:$W$1004,1,MATCH(COLUMNS($R$1006:S1006),$R$1006:$W$1006,0)))),"Fix")))</f>
        <v>0</v>
      </c>
      <c r="D863" s="3">
        <f>IF(OR(INDEX($L$2:$L$1001,MATCH(ROWS($K$2:K863),$K$2:$K$1001,0),1)&gt;=100000,INDEX($R$1005:$W$1005,1,MATCH(COLUMNS($R$1006:T1006),$R$1006:$W$1006,0))&gt;=100000), " ",IF(INDEX($R$2:$W$1001,MATCH(ROWS($K$2:K863),$K$2:$K$1001,0),MATCH(COLUMNS($R$1006:T1006),$R$1006:$W$1006,0)), HYPERLINK("#",""), HYPERLINK(CONCATENATE("#Metadata!", ADDRESS(INDEX($M$2:$M$1001,MATCH(ROWS($K$2:K863),$K$2:$K$1001,0),0), INDEX($R$1004:$W$1004,1,MATCH(COLUMNS($R$1006:T1006),$R$1006:$W$1006,0)))),"Fix")))</f>
        <v>0</v>
      </c>
      <c r="E863" s="3">
        <f>IF(OR(INDEX($L$2:$L$1001,MATCH(ROWS($K$2:K863),$K$2:$K$1001,0),1)&gt;=100000,INDEX($R$1005:$W$1005,1,MATCH(COLUMNS($R$1006:U1006),$R$1006:$W$1006,0))&gt;=100000), " ",IF(INDEX($R$2:$W$1001,MATCH(ROWS($K$2:K863),$K$2:$K$1001,0),MATCH(COLUMNS($R$1006:U1006),$R$1006:$W$1006,0)), HYPERLINK("#",""), HYPERLINK(CONCATENATE("#Metadata!", ADDRESS(INDEX($M$2:$M$1001,MATCH(ROWS($K$2:K863),$K$2:$K$1001,0),0), INDEX($R$1004:$W$1004,1,MATCH(COLUMNS($R$1006:U1006),$R$1006:$W$1006,0)))),"Fix")))</f>
        <v>0</v>
      </c>
      <c r="F863" s="3">
        <f>IF(OR(INDEX($L$2:$L$1001,MATCH(ROWS($K$2:K863),$K$2:$K$1001,0),1)&gt;=100000,INDEX($R$1005:$W$1005,1,MATCH(COLUMNS($R$1006:V1006),$R$1006:$W$1006,0))&gt;=100000), " ",IF(INDEX($R$2:$W$1001,MATCH(ROWS($K$2:K863),$K$2:$K$1001,0),MATCH(COLUMNS($R$1006:V1006),$R$1006:$W$1006,0)), HYPERLINK("#",""), HYPERLINK(CONCATENATE("#Metadata!", ADDRESS(INDEX($M$2:$M$1001,MATCH(ROWS($K$2:K863),$K$2:$K$1001,0),0), INDEX($R$1004:$W$1004,1,MATCH(COLUMNS($R$1006:V1006),$R$1006:$W$1006,0)))),"Fix")))</f>
        <v>0</v>
      </c>
      <c r="G863" s="3">
        <f>IF(OR(INDEX($L$2:$L$1001,MATCH(ROWS($K$2:K863),$K$2:$K$1001,0),1)&gt;=100000,INDEX($R$1005:$W$1005,1,MATCH(COLUMNS($R$1006:W1006),$R$1006:$W$1006,0))&gt;=100000), " ",IF(INDEX($R$2:$W$1001,MATCH(ROWS($K$2:K863),$K$2:$K$1001,0),MATCH(COLUMNS($R$1006:W1006),$R$1006:$W$1006,0)), HYPERLINK("#",""), HYPERLINK(CONCATENATE("#Metadata!", ADDRESS(INDEX($M$2:$M$1001,MATCH(ROWS($K$2:K863),$K$2:$K$1001,0),0), INDEX($R$1004:$W$1004,1,MATCH(COLUMNS($R$1006:W1006),$R$1006:$W$1006,0)))),"Fix")))</f>
        <v>0</v>
      </c>
      <c r="K863">
        <v>0</v>
      </c>
      <c r="L863">
        <v>0</v>
      </c>
      <c r="M863">
        <v>0</v>
      </c>
      <c r="N863">
        <f>IF(O863,TRUE,AND(R863:W863))</f>
        <v>0</v>
      </c>
      <c r="O863">
        <f>COUNTBLANK(Metadata!B863:G863)=COLUMNS(Metadata!B863:G863)</f>
        <v>0</v>
      </c>
      <c r="P863">
        <v>0</v>
      </c>
      <c r="R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S863">
        <f>IF(Metadata!C863="",FALSE,TRUE)</f>
        <v>0</v>
      </c>
      <c r="T863">
        <f>IF(Metadata!D863="",FALSE,TRUE)</f>
        <v>0</v>
      </c>
      <c r="U863">
        <f>IF(Metadata!E863="",FALSE,TRUE)</f>
        <v>0</v>
      </c>
      <c r="V863">
        <f>AND(IF(Metadata!F863="",FALSE,TRUE),exact(Metadata!F863,"rat gut metagenome"))</f>
        <v>0</v>
      </c>
      <c r="W863">
        <f>AND(IF(Metadata!G863="",FALSE,TRUE),exact(Metadata!G863,"1436733"))</f>
        <v>0</v>
      </c>
    </row>
    <row r="864" spans="1:23">
      <c r="A864" s="4">
        <f>IF(B864=" "," ",HYPERLINK(CONCATENATE("#metadata!",ADDRESS(INDEX($M$2:$M$1001,MATCH(ROWS($K$2:K864),$K$2:$K$1001,0),0),1)),INDEX($P$2:$P$1001,MATCH(ROWS($K$2:K864),$K$2:$K$1001,0),0)))</f>
        <v>0</v>
      </c>
      <c r="B864" s="3">
        <f>IF(OR(INDEX($L$2:$L$1001,MATCH(ROWS($K$2:K864),$K$2:$K$1001,0),1)&gt;=100000,INDEX($R$1005:$W$1005,1,MATCH(COLUMNS($R$1006:R1006),$R$1006:$W$1006,0))&gt;=100000), " ",IF(INDEX($R$2:$W$1001,MATCH(ROWS($K$2:K864),$K$2:$K$1001,0),MATCH(COLUMNS($R$1006:R1006),$R$1006:$W$1006,0)), HYPERLINK("#",""), HYPERLINK(CONCATENATE("#Metadata!", ADDRESS(INDEX($M$2:$M$1001,MATCH(ROWS($K$2:K864),$K$2:$K$1001,0),0), INDEX($R$1004:$W$1004,1,MATCH(COLUMNS($R$1006:R1006),$R$1006:$W$1006,0)))),"Fix")))</f>
        <v>0</v>
      </c>
      <c r="C864" s="3">
        <f>IF(OR(INDEX($L$2:$L$1001,MATCH(ROWS($K$2:K864),$K$2:$K$1001,0),1)&gt;=100000,INDEX($R$1005:$W$1005,1,MATCH(COLUMNS($R$1006:S1006),$R$1006:$W$1006,0))&gt;=100000), " ",IF(INDEX($R$2:$W$1001,MATCH(ROWS($K$2:K864),$K$2:$K$1001,0),MATCH(COLUMNS($R$1006:S1006),$R$1006:$W$1006,0)), HYPERLINK("#",""), HYPERLINK(CONCATENATE("#Metadata!", ADDRESS(INDEX($M$2:$M$1001,MATCH(ROWS($K$2:K864),$K$2:$K$1001,0),0), INDEX($R$1004:$W$1004,1,MATCH(COLUMNS($R$1006:S1006),$R$1006:$W$1006,0)))),"Fix")))</f>
        <v>0</v>
      </c>
      <c r="D864" s="3">
        <f>IF(OR(INDEX($L$2:$L$1001,MATCH(ROWS($K$2:K864),$K$2:$K$1001,0),1)&gt;=100000,INDEX($R$1005:$W$1005,1,MATCH(COLUMNS($R$1006:T1006),$R$1006:$W$1006,0))&gt;=100000), " ",IF(INDEX($R$2:$W$1001,MATCH(ROWS($K$2:K864),$K$2:$K$1001,0),MATCH(COLUMNS($R$1006:T1006),$R$1006:$W$1006,0)), HYPERLINK("#",""), HYPERLINK(CONCATENATE("#Metadata!", ADDRESS(INDEX($M$2:$M$1001,MATCH(ROWS($K$2:K864),$K$2:$K$1001,0),0), INDEX($R$1004:$W$1004,1,MATCH(COLUMNS($R$1006:T1006),$R$1006:$W$1006,0)))),"Fix")))</f>
        <v>0</v>
      </c>
      <c r="E864" s="3">
        <f>IF(OR(INDEX($L$2:$L$1001,MATCH(ROWS($K$2:K864),$K$2:$K$1001,0),1)&gt;=100000,INDEX($R$1005:$W$1005,1,MATCH(COLUMNS($R$1006:U1006),$R$1006:$W$1006,0))&gt;=100000), " ",IF(INDEX($R$2:$W$1001,MATCH(ROWS($K$2:K864),$K$2:$K$1001,0),MATCH(COLUMNS($R$1006:U1006),$R$1006:$W$1006,0)), HYPERLINK("#",""), HYPERLINK(CONCATENATE("#Metadata!", ADDRESS(INDEX($M$2:$M$1001,MATCH(ROWS($K$2:K864),$K$2:$K$1001,0),0), INDEX($R$1004:$W$1004,1,MATCH(COLUMNS($R$1006:U1006),$R$1006:$W$1006,0)))),"Fix")))</f>
        <v>0</v>
      </c>
      <c r="F864" s="3">
        <f>IF(OR(INDEX($L$2:$L$1001,MATCH(ROWS($K$2:K864),$K$2:$K$1001,0),1)&gt;=100000,INDEX($R$1005:$W$1005,1,MATCH(COLUMNS($R$1006:V1006),$R$1006:$W$1006,0))&gt;=100000), " ",IF(INDEX($R$2:$W$1001,MATCH(ROWS($K$2:K864),$K$2:$K$1001,0),MATCH(COLUMNS($R$1006:V1006),$R$1006:$W$1006,0)), HYPERLINK("#",""), HYPERLINK(CONCATENATE("#Metadata!", ADDRESS(INDEX($M$2:$M$1001,MATCH(ROWS($K$2:K864),$K$2:$K$1001,0),0), INDEX($R$1004:$W$1004,1,MATCH(COLUMNS($R$1006:V1006),$R$1006:$W$1006,0)))),"Fix")))</f>
        <v>0</v>
      </c>
      <c r="G864" s="3">
        <f>IF(OR(INDEX($L$2:$L$1001,MATCH(ROWS($K$2:K864),$K$2:$K$1001,0),1)&gt;=100000,INDEX($R$1005:$W$1005,1,MATCH(COLUMNS($R$1006:W1006),$R$1006:$W$1006,0))&gt;=100000), " ",IF(INDEX($R$2:$W$1001,MATCH(ROWS($K$2:K864),$K$2:$K$1001,0),MATCH(COLUMNS($R$1006:W1006),$R$1006:$W$1006,0)), HYPERLINK("#",""), HYPERLINK(CONCATENATE("#Metadata!", ADDRESS(INDEX($M$2:$M$1001,MATCH(ROWS($K$2:K864),$K$2:$K$1001,0),0), INDEX($R$1004:$W$1004,1,MATCH(COLUMNS($R$1006:W1006),$R$1006:$W$1006,0)))),"Fix")))</f>
        <v>0</v>
      </c>
      <c r="K864">
        <v>0</v>
      </c>
      <c r="L864">
        <v>0</v>
      </c>
      <c r="M864">
        <v>0</v>
      </c>
      <c r="N864">
        <f>IF(O864,TRUE,AND(R864:W864))</f>
        <v>0</v>
      </c>
      <c r="O864">
        <f>COUNTBLANK(Metadata!B864:G864)=COLUMNS(Metadata!B864:G864)</f>
        <v>0</v>
      </c>
      <c r="P864">
        <v>0</v>
      </c>
      <c r="R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S864">
        <f>IF(Metadata!C864="",FALSE,TRUE)</f>
        <v>0</v>
      </c>
      <c r="T864">
        <f>IF(Metadata!D864="",FALSE,TRUE)</f>
        <v>0</v>
      </c>
      <c r="U864">
        <f>IF(Metadata!E864="",FALSE,TRUE)</f>
        <v>0</v>
      </c>
      <c r="V864">
        <f>AND(IF(Metadata!F864="",FALSE,TRUE),exact(Metadata!F864,"rat gut metagenome"))</f>
        <v>0</v>
      </c>
      <c r="W864">
        <f>AND(IF(Metadata!G864="",FALSE,TRUE),exact(Metadata!G864,"1436733"))</f>
        <v>0</v>
      </c>
    </row>
    <row r="865" spans="1:23">
      <c r="A865" s="4">
        <f>IF(B865=" "," ",HYPERLINK(CONCATENATE("#metadata!",ADDRESS(INDEX($M$2:$M$1001,MATCH(ROWS($K$2:K865),$K$2:$K$1001,0),0),1)),INDEX($P$2:$P$1001,MATCH(ROWS($K$2:K865),$K$2:$K$1001,0),0)))</f>
        <v>0</v>
      </c>
      <c r="B865" s="3">
        <f>IF(OR(INDEX($L$2:$L$1001,MATCH(ROWS($K$2:K865),$K$2:$K$1001,0),1)&gt;=100000,INDEX($R$1005:$W$1005,1,MATCH(COLUMNS($R$1006:R1006),$R$1006:$W$1006,0))&gt;=100000), " ",IF(INDEX($R$2:$W$1001,MATCH(ROWS($K$2:K865),$K$2:$K$1001,0),MATCH(COLUMNS($R$1006:R1006),$R$1006:$W$1006,0)), HYPERLINK("#",""), HYPERLINK(CONCATENATE("#Metadata!", ADDRESS(INDEX($M$2:$M$1001,MATCH(ROWS($K$2:K865),$K$2:$K$1001,0),0), INDEX($R$1004:$W$1004,1,MATCH(COLUMNS($R$1006:R1006),$R$1006:$W$1006,0)))),"Fix")))</f>
        <v>0</v>
      </c>
      <c r="C865" s="3">
        <f>IF(OR(INDEX($L$2:$L$1001,MATCH(ROWS($K$2:K865),$K$2:$K$1001,0),1)&gt;=100000,INDEX($R$1005:$W$1005,1,MATCH(COLUMNS($R$1006:S1006),$R$1006:$W$1006,0))&gt;=100000), " ",IF(INDEX($R$2:$W$1001,MATCH(ROWS($K$2:K865),$K$2:$K$1001,0),MATCH(COLUMNS($R$1006:S1006),$R$1006:$W$1006,0)), HYPERLINK("#",""), HYPERLINK(CONCATENATE("#Metadata!", ADDRESS(INDEX($M$2:$M$1001,MATCH(ROWS($K$2:K865),$K$2:$K$1001,0),0), INDEX($R$1004:$W$1004,1,MATCH(COLUMNS($R$1006:S1006),$R$1006:$W$1006,0)))),"Fix")))</f>
        <v>0</v>
      </c>
      <c r="D865" s="3">
        <f>IF(OR(INDEX($L$2:$L$1001,MATCH(ROWS($K$2:K865),$K$2:$K$1001,0),1)&gt;=100000,INDEX($R$1005:$W$1005,1,MATCH(COLUMNS($R$1006:T1006),$R$1006:$W$1006,0))&gt;=100000), " ",IF(INDEX($R$2:$W$1001,MATCH(ROWS($K$2:K865),$K$2:$K$1001,0),MATCH(COLUMNS($R$1006:T1006),$R$1006:$W$1006,0)), HYPERLINK("#",""), HYPERLINK(CONCATENATE("#Metadata!", ADDRESS(INDEX($M$2:$M$1001,MATCH(ROWS($K$2:K865),$K$2:$K$1001,0),0), INDEX($R$1004:$W$1004,1,MATCH(COLUMNS($R$1006:T1006),$R$1006:$W$1006,0)))),"Fix")))</f>
        <v>0</v>
      </c>
      <c r="E865" s="3">
        <f>IF(OR(INDEX($L$2:$L$1001,MATCH(ROWS($K$2:K865),$K$2:$K$1001,0),1)&gt;=100000,INDEX($R$1005:$W$1005,1,MATCH(COLUMNS($R$1006:U1006),$R$1006:$W$1006,0))&gt;=100000), " ",IF(INDEX($R$2:$W$1001,MATCH(ROWS($K$2:K865),$K$2:$K$1001,0),MATCH(COLUMNS($R$1006:U1006),$R$1006:$W$1006,0)), HYPERLINK("#",""), HYPERLINK(CONCATENATE("#Metadata!", ADDRESS(INDEX($M$2:$M$1001,MATCH(ROWS($K$2:K865),$K$2:$K$1001,0),0), INDEX($R$1004:$W$1004,1,MATCH(COLUMNS($R$1006:U1006),$R$1006:$W$1006,0)))),"Fix")))</f>
        <v>0</v>
      </c>
      <c r="F865" s="3">
        <f>IF(OR(INDEX($L$2:$L$1001,MATCH(ROWS($K$2:K865),$K$2:$K$1001,0),1)&gt;=100000,INDEX($R$1005:$W$1005,1,MATCH(COLUMNS($R$1006:V1006),$R$1006:$W$1006,0))&gt;=100000), " ",IF(INDEX($R$2:$W$1001,MATCH(ROWS($K$2:K865),$K$2:$K$1001,0),MATCH(COLUMNS($R$1006:V1006),$R$1006:$W$1006,0)), HYPERLINK("#",""), HYPERLINK(CONCATENATE("#Metadata!", ADDRESS(INDEX($M$2:$M$1001,MATCH(ROWS($K$2:K865),$K$2:$K$1001,0),0), INDEX($R$1004:$W$1004,1,MATCH(COLUMNS($R$1006:V1006),$R$1006:$W$1006,0)))),"Fix")))</f>
        <v>0</v>
      </c>
      <c r="G865" s="3">
        <f>IF(OR(INDEX($L$2:$L$1001,MATCH(ROWS($K$2:K865),$K$2:$K$1001,0),1)&gt;=100000,INDEX($R$1005:$W$1005,1,MATCH(COLUMNS($R$1006:W1006),$R$1006:$W$1006,0))&gt;=100000), " ",IF(INDEX($R$2:$W$1001,MATCH(ROWS($K$2:K865),$K$2:$K$1001,0),MATCH(COLUMNS($R$1006:W1006),$R$1006:$W$1006,0)), HYPERLINK("#",""), HYPERLINK(CONCATENATE("#Metadata!", ADDRESS(INDEX($M$2:$M$1001,MATCH(ROWS($K$2:K865),$K$2:$K$1001,0),0), INDEX($R$1004:$W$1004,1,MATCH(COLUMNS($R$1006:W1006),$R$1006:$W$1006,0)))),"Fix")))</f>
        <v>0</v>
      </c>
      <c r="K865">
        <v>0</v>
      </c>
      <c r="L865">
        <v>0</v>
      </c>
      <c r="M865">
        <v>0</v>
      </c>
      <c r="N865">
        <f>IF(O865,TRUE,AND(R865:W865))</f>
        <v>0</v>
      </c>
      <c r="O865">
        <f>COUNTBLANK(Metadata!B865:G865)=COLUMNS(Metadata!B865:G865)</f>
        <v>0</v>
      </c>
      <c r="P865">
        <v>0</v>
      </c>
      <c r="R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S865">
        <f>IF(Metadata!C865="",FALSE,TRUE)</f>
        <v>0</v>
      </c>
      <c r="T865">
        <f>IF(Metadata!D865="",FALSE,TRUE)</f>
        <v>0</v>
      </c>
      <c r="U865">
        <f>IF(Metadata!E865="",FALSE,TRUE)</f>
        <v>0</v>
      </c>
      <c r="V865">
        <f>AND(IF(Metadata!F865="",FALSE,TRUE),exact(Metadata!F865,"rat gut metagenome"))</f>
        <v>0</v>
      </c>
      <c r="W865">
        <f>AND(IF(Metadata!G865="",FALSE,TRUE),exact(Metadata!G865,"1436733"))</f>
        <v>0</v>
      </c>
    </row>
    <row r="866" spans="1:23">
      <c r="A866" s="4">
        <f>IF(B866=" "," ",HYPERLINK(CONCATENATE("#metadata!",ADDRESS(INDEX($M$2:$M$1001,MATCH(ROWS($K$2:K866),$K$2:$K$1001,0),0),1)),INDEX($P$2:$P$1001,MATCH(ROWS($K$2:K866),$K$2:$K$1001,0),0)))</f>
        <v>0</v>
      </c>
      <c r="B866" s="3">
        <f>IF(OR(INDEX($L$2:$L$1001,MATCH(ROWS($K$2:K866),$K$2:$K$1001,0),1)&gt;=100000,INDEX($R$1005:$W$1005,1,MATCH(COLUMNS($R$1006:R1006),$R$1006:$W$1006,0))&gt;=100000), " ",IF(INDEX($R$2:$W$1001,MATCH(ROWS($K$2:K866),$K$2:$K$1001,0),MATCH(COLUMNS($R$1006:R1006),$R$1006:$W$1006,0)), HYPERLINK("#",""), HYPERLINK(CONCATENATE("#Metadata!", ADDRESS(INDEX($M$2:$M$1001,MATCH(ROWS($K$2:K866),$K$2:$K$1001,0),0), INDEX($R$1004:$W$1004,1,MATCH(COLUMNS($R$1006:R1006),$R$1006:$W$1006,0)))),"Fix")))</f>
        <v>0</v>
      </c>
      <c r="C866" s="3">
        <f>IF(OR(INDEX($L$2:$L$1001,MATCH(ROWS($K$2:K866),$K$2:$K$1001,0),1)&gt;=100000,INDEX($R$1005:$W$1005,1,MATCH(COLUMNS($R$1006:S1006),$R$1006:$W$1006,0))&gt;=100000), " ",IF(INDEX($R$2:$W$1001,MATCH(ROWS($K$2:K866),$K$2:$K$1001,0),MATCH(COLUMNS($R$1006:S1006),$R$1006:$W$1006,0)), HYPERLINK("#",""), HYPERLINK(CONCATENATE("#Metadata!", ADDRESS(INDEX($M$2:$M$1001,MATCH(ROWS($K$2:K866),$K$2:$K$1001,0),0), INDEX($R$1004:$W$1004,1,MATCH(COLUMNS($R$1006:S1006),$R$1006:$W$1006,0)))),"Fix")))</f>
        <v>0</v>
      </c>
      <c r="D866" s="3">
        <f>IF(OR(INDEX($L$2:$L$1001,MATCH(ROWS($K$2:K866),$K$2:$K$1001,0),1)&gt;=100000,INDEX($R$1005:$W$1005,1,MATCH(COLUMNS($R$1006:T1006),$R$1006:$W$1006,0))&gt;=100000), " ",IF(INDEX($R$2:$W$1001,MATCH(ROWS($K$2:K866),$K$2:$K$1001,0),MATCH(COLUMNS($R$1006:T1006),$R$1006:$W$1006,0)), HYPERLINK("#",""), HYPERLINK(CONCATENATE("#Metadata!", ADDRESS(INDEX($M$2:$M$1001,MATCH(ROWS($K$2:K866),$K$2:$K$1001,0),0), INDEX($R$1004:$W$1004,1,MATCH(COLUMNS($R$1006:T1006),$R$1006:$W$1006,0)))),"Fix")))</f>
        <v>0</v>
      </c>
      <c r="E866" s="3">
        <f>IF(OR(INDEX($L$2:$L$1001,MATCH(ROWS($K$2:K866),$K$2:$K$1001,0),1)&gt;=100000,INDEX($R$1005:$W$1005,1,MATCH(COLUMNS($R$1006:U1006),$R$1006:$W$1006,0))&gt;=100000), " ",IF(INDEX($R$2:$W$1001,MATCH(ROWS($K$2:K866),$K$2:$K$1001,0),MATCH(COLUMNS($R$1006:U1006),$R$1006:$W$1006,0)), HYPERLINK("#",""), HYPERLINK(CONCATENATE("#Metadata!", ADDRESS(INDEX($M$2:$M$1001,MATCH(ROWS($K$2:K866),$K$2:$K$1001,0),0), INDEX($R$1004:$W$1004,1,MATCH(COLUMNS($R$1006:U1006),$R$1006:$W$1006,0)))),"Fix")))</f>
        <v>0</v>
      </c>
      <c r="F866" s="3">
        <f>IF(OR(INDEX($L$2:$L$1001,MATCH(ROWS($K$2:K866),$K$2:$K$1001,0),1)&gt;=100000,INDEX($R$1005:$W$1005,1,MATCH(COLUMNS($R$1006:V1006),$R$1006:$W$1006,0))&gt;=100000), " ",IF(INDEX($R$2:$W$1001,MATCH(ROWS($K$2:K866),$K$2:$K$1001,0),MATCH(COLUMNS($R$1006:V1006),$R$1006:$W$1006,0)), HYPERLINK("#",""), HYPERLINK(CONCATENATE("#Metadata!", ADDRESS(INDEX($M$2:$M$1001,MATCH(ROWS($K$2:K866),$K$2:$K$1001,0),0), INDEX($R$1004:$W$1004,1,MATCH(COLUMNS($R$1006:V1006),$R$1006:$W$1006,0)))),"Fix")))</f>
        <v>0</v>
      </c>
      <c r="G866" s="3">
        <f>IF(OR(INDEX($L$2:$L$1001,MATCH(ROWS($K$2:K866),$K$2:$K$1001,0),1)&gt;=100000,INDEX($R$1005:$W$1005,1,MATCH(COLUMNS($R$1006:W1006),$R$1006:$W$1006,0))&gt;=100000), " ",IF(INDEX($R$2:$W$1001,MATCH(ROWS($K$2:K866),$K$2:$K$1001,0),MATCH(COLUMNS($R$1006:W1006),$R$1006:$W$1006,0)), HYPERLINK("#",""), HYPERLINK(CONCATENATE("#Metadata!", ADDRESS(INDEX($M$2:$M$1001,MATCH(ROWS($K$2:K866),$K$2:$K$1001,0),0), INDEX($R$1004:$W$1004,1,MATCH(COLUMNS($R$1006:W1006),$R$1006:$W$1006,0)))),"Fix")))</f>
        <v>0</v>
      </c>
      <c r="K866">
        <v>0</v>
      </c>
      <c r="L866">
        <v>0</v>
      </c>
      <c r="M866">
        <v>0</v>
      </c>
      <c r="N866">
        <f>IF(O866,TRUE,AND(R866:W866))</f>
        <v>0</v>
      </c>
      <c r="O866">
        <f>COUNTBLANK(Metadata!B866:G866)=COLUMNS(Metadata!B866:G866)</f>
        <v>0</v>
      </c>
      <c r="P866">
        <v>0</v>
      </c>
      <c r="R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S866">
        <f>IF(Metadata!C866="",FALSE,TRUE)</f>
        <v>0</v>
      </c>
      <c r="T866">
        <f>IF(Metadata!D866="",FALSE,TRUE)</f>
        <v>0</v>
      </c>
      <c r="U866">
        <f>IF(Metadata!E866="",FALSE,TRUE)</f>
        <v>0</v>
      </c>
      <c r="V866">
        <f>AND(IF(Metadata!F866="",FALSE,TRUE),exact(Metadata!F866,"rat gut metagenome"))</f>
        <v>0</v>
      </c>
      <c r="W866">
        <f>AND(IF(Metadata!G866="",FALSE,TRUE),exact(Metadata!G866,"1436733"))</f>
        <v>0</v>
      </c>
    </row>
    <row r="867" spans="1:23">
      <c r="A867" s="4">
        <f>IF(B867=" "," ",HYPERLINK(CONCATENATE("#metadata!",ADDRESS(INDEX($M$2:$M$1001,MATCH(ROWS($K$2:K867),$K$2:$K$1001,0),0),1)),INDEX($P$2:$P$1001,MATCH(ROWS($K$2:K867),$K$2:$K$1001,0),0)))</f>
        <v>0</v>
      </c>
      <c r="B867" s="3">
        <f>IF(OR(INDEX($L$2:$L$1001,MATCH(ROWS($K$2:K867),$K$2:$K$1001,0),1)&gt;=100000,INDEX($R$1005:$W$1005,1,MATCH(COLUMNS($R$1006:R1006),$R$1006:$W$1006,0))&gt;=100000), " ",IF(INDEX($R$2:$W$1001,MATCH(ROWS($K$2:K867),$K$2:$K$1001,0),MATCH(COLUMNS($R$1006:R1006),$R$1006:$W$1006,0)), HYPERLINK("#",""), HYPERLINK(CONCATENATE("#Metadata!", ADDRESS(INDEX($M$2:$M$1001,MATCH(ROWS($K$2:K867),$K$2:$K$1001,0),0), INDEX($R$1004:$W$1004,1,MATCH(COLUMNS($R$1006:R1006),$R$1006:$W$1006,0)))),"Fix")))</f>
        <v>0</v>
      </c>
      <c r="C867" s="3">
        <f>IF(OR(INDEX($L$2:$L$1001,MATCH(ROWS($K$2:K867),$K$2:$K$1001,0),1)&gt;=100000,INDEX($R$1005:$W$1005,1,MATCH(COLUMNS($R$1006:S1006),$R$1006:$W$1006,0))&gt;=100000), " ",IF(INDEX($R$2:$W$1001,MATCH(ROWS($K$2:K867),$K$2:$K$1001,0),MATCH(COLUMNS($R$1006:S1006),$R$1006:$W$1006,0)), HYPERLINK("#",""), HYPERLINK(CONCATENATE("#Metadata!", ADDRESS(INDEX($M$2:$M$1001,MATCH(ROWS($K$2:K867),$K$2:$K$1001,0),0), INDEX($R$1004:$W$1004,1,MATCH(COLUMNS($R$1006:S1006),$R$1006:$W$1006,0)))),"Fix")))</f>
        <v>0</v>
      </c>
      <c r="D867" s="3">
        <f>IF(OR(INDEX($L$2:$L$1001,MATCH(ROWS($K$2:K867),$K$2:$K$1001,0),1)&gt;=100000,INDEX($R$1005:$W$1005,1,MATCH(COLUMNS($R$1006:T1006),$R$1006:$W$1006,0))&gt;=100000), " ",IF(INDEX($R$2:$W$1001,MATCH(ROWS($K$2:K867),$K$2:$K$1001,0),MATCH(COLUMNS($R$1006:T1006),$R$1006:$W$1006,0)), HYPERLINK("#",""), HYPERLINK(CONCATENATE("#Metadata!", ADDRESS(INDEX($M$2:$M$1001,MATCH(ROWS($K$2:K867),$K$2:$K$1001,0),0), INDEX($R$1004:$W$1004,1,MATCH(COLUMNS($R$1006:T1006),$R$1006:$W$1006,0)))),"Fix")))</f>
        <v>0</v>
      </c>
      <c r="E867" s="3">
        <f>IF(OR(INDEX($L$2:$L$1001,MATCH(ROWS($K$2:K867),$K$2:$K$1001,0),1)&gt;=100000,INDEX($R$1005:$W$1005,1,MATCH(COLUMNS($R$1006:U1006),$R$1006:$W$1006,0))&gt;=100000), " ",IF(INDEX($R$2:$W$1001,MATCH(ROWS($K$2:K867),$K$2:$K$1001,0),MATCH(COLUMNS($R$1006:U1006),$R$1006:$W$1006,0)), HYPERLINK("#",""), HYPERLINK(CONCATENATE("#Metadata!", ADDRESS(INDEX($M$2:$M$1001,MATCH(ROWS($K$2:K867),$K$2:$K$1001,0),0), INDEX($R$1004:$W$1004,1,MATCH(COLUMNS($R$1006:U1006),$R$1006:$W$1006,0)))),"Fix")))</f>
        <v>0</v>
      </c>
      <c r="F867" s="3">
        <f>IF(OR(INDEX($L$2:$L$1001,MATCH(ROWS($K$2:K867),$K$2:$K$1001,0),1)&gt;=100000,INDEX($R$1005:$W$1005,1,MATCH(COLUMNS($R$1006:V1006),$R$1006:$W$1006,0))&gt;=100000), " ",IF(INDEX($R$2:$W$1001,MATCH(ROWS($K$2:K867),$K$2:$K$1001,0),MATCH(COLUMNS($R$1006:V1006),$R$1006:$W$1006,0)), HYPERLINK("#",""), HYPERLINK(CONCATENATE("#Metadata!", ADDRESS(INDEX($M$2:$M$1001,MATCH(ROWS($K$2:K867),$K$2:$K$1001,0),0), INDEX($R$1004:$W$1004,1,MATCH(COLUMNS($R$1006:V1006),$R$1006:$W$1006,0)))),"Fix")))</f>
        <v>0</v>
      </c>
      <c r="G867" s="3">
        <f>IF(OR(INDEX($L$2:$L$1001,MATCH(ROWS($K$2:K867),$K$2:$K$1001,0),1)&gt;=100000,INDEX($R$1005:$W$1005,1,MATCH(COLUMNS($R$1006:W1006),$R$1006:$W$1006,0))&gt;=100000), " ",IF(INDEX($R$2:$W$1001,MATCH(ROWS($K$2:K867),$K$2:$K$1001,0),MATCH(COLUMNS($R$1006:W1006),$R$1006:$W$1006,0)), HYPERLINK("#",""), HYPERLINK(CONCATENATE("#Metadata!", ADDRESS(INDEX($M$2:$M$1001,MATCH(ROWS($K$2:K867),$K$2:$K$1001,0),0), INDEX($R$1004:$W$1004,1,MATCH(COLUMNS($R$1006:W1006),$R$1006:$W$1006,0)))),"Fix")))</f>
        <v>0</v>
      </c>
      <c r="K867">
        <v>0</v>
      </c>
      <c r="L867">
        <v>0</v>
      </c>
      <c r="M867">
        <v>0</v>
      </c>
      <c r="N867">
        <f>IF(O867,TRUE,AND(R867:W867))</f>
        <v>0</v>
      </c>
      <c r="O867">
        <f>COUNTBLANK(Metadata!B867:G867)=COLUMNS(Metadata!B867:G867)</f>
        <v>0</v>
      </c>
      <c r="P867">
        <v>0</v>
      </c>
      <c r="R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S867">
        <f>IF(Metadata!C867="",FALSE,TRUE)</f>
        <v>0</v>
      </c>
      <c r="T867">
        <f>IF(Metadata!D867="",FALSE,TRUE)</f>
        <v>0</v>
      </c>
      <c r="U867">
        <f>IF(Metadata!E867="",FALSE,TRUE)</f>
        <v>0</v>
      </c>
      <c r="V867">
        <f>AND(IF(Metadata!F867="",FALSE,TRUE),exact(Metadata!F867,"rat gut metagenome"))</f>
        <v>0</v>
      </c>
      <c r="W867">
        <f>AND(IF(Metadata!G867="",FALSE,TRUE),exact(Metadata!G867,"1436733"))</f>
        <v>0</v>
      </c>
    </row>
    <row r="868" spans="1:23">
      <c r="A868" s="4">
        <f>IF(B868=" "," ",HYPERLINK(CONCATENATE("#metadata!",ADDRESS(INDEX($M$2:$M$1001,MATCH(ROWS($K$2:K868),$K$2:$K$1001,0),0),1)),INDEX($P$2:$P$1001,MATCH(ROWS($K$2:K868),$K$2:$K$1001,0),0)))</f>
        <v>0</v>
      </c>
      <c r="B868" s="3">
        <f>IF(OR(INDEX($L$2:$L$1001,MATCH(ROWS($K$2:K868),$K$2:$K$1001,0),1)&gt;=100000,INDEX($R$1005:$W$1005,1,MATCH(COLUMNS($R$1006:R1006),$R$1006:$W$1006,0))&gt;=100000), " ",IF(INDEX($R$2:$W$1001,MATCH(ROWS($K$2:K868),$K$2:$K$1001,0),MATCH(COLUMNS($R$1006:R1006),$R$1006:$W$1006,0)), HYPERLINK("#",""), HYPERLINK(CONCATENATE("#Metadata!", ADDRESS(INDEX($M$2:$M$1001,MATCH(ROWS($K$2:K868),$K$2:$K$1001,0),0), INDEX($R$1004:$W$1004,1,MATCH(COLUMNS($R$1006:R1006),$R$1006:$W$1006,0)))),"Fix")))</f>
        <v>0</v>
      </c>
      <c r="C868" s="3">
        <f>IF(OR(INDEX($L$2:$L$1001,MATCH(ROWS($K$2:K868),$K$2:$K$1001,0),1)&gt;=100000,INDEX($R$1005:$W$1005,1,MATCH(COLUMNS($R$1006:S1006),$R$1006:$W$1006,0))&gt;=100000), " ",IF(INDEX($R$2:$W$1001,MATCH(ROWS($K$2:K868),$K$2:$K$1001,0),MATCH(COLUMNS($R$1006:S1006),$R$1006:$W$1006,0)), HYPERLINK("#",""), HYPERLINK(CONCATENATE("#Metadata!", ADDRESS(INDEX($M$2:$M$1001,MATCH(ROWS($K$2:K868),$K$2:$K$1001,0),0), INDEX($R$1004:$W$1004,1,MATCH(COLUMNS($R$1006:S1006),$R$1006:$W$1006,0)))),"Fix")))</f>
        <v>0</v>
      </c>
      <c r="D868" s="3">
        <f>IF(OR(INDEX($L$2:$L$1001,MATCH(ROWS($K$2:K868),$K$2:$K$1001,0),1)&gt;=100000,INDEX($R$1005:$W$1005,1,MATCH(COLUMNS($R$1006:T1006),$R$1006:$W$1006,0))&gt;=100000), " ",IF(INDEX($R$2:$W$1001,MATCH(ROWS($K$2:K868),$K$2:$K$1001,0),MATCH(COLUMNS($R$1006:T1006),$R$1006:$W$1006,0)), HYPERLINK("#",""), HYPERLINK(CONCATENATE("#Metadata!", ADDRESS(INDEX($M$2:$M$1001,MATCH(ROWS($K$2:K868),$K$2:$K$1001,0),0), INDEX($R$1004:$W$1004,1,MATCH(COLUMNS($R$1006:T1006),$R$1006:$W$1006,0)))),"Fix")))</f>
        <v>0</v>
      </c>
      <c r="E868" s="3">
        <f>IF(OR(INDEX($L$2:$L$1001,MATCH(ROWS($K$2:K868),$K$2:$K$1001,0),1)&gt;=100000,INDEX($R$1005:$W$1005,1,MATCH(COLUMNS($R$1006:U1006),$R$1006:$W$1006,0))&gt;=100000), " ",IF(INDEX($R$2:$W$1001,MATCH(ROWS($K$2:K868),$K$2:$K$1001,0),MATCH(COLUMNS($R$1006:U1006),$R$1006:$W$1006,0)), HYPERLINK("#",""), HYPERLINK(CONCATENATE("#Metadata!", ADDRESS(INDEX($M$2:$M$1001,MATCH(ROWS($K$2:K868),$K$2:$K$1001,0),0), INDEX($R$1004:$W$1004,1,MATCH(COLUMNS($R$1006:U1006),$R$1006:$W$1006,0)))),"Fix")))</f>
        <v>0</v>
      </c>
      <c r="F868" s="3">
        <f>IF(OR(INDEX($L$2:$L$1001,MATCH(ROWS($K$2:K868),$K$2:$K$1001,0),1)&gt;=100000,INDEX($R$1005:$W$1005,1,MATCH(COLUMNS($R$1006:V1006),$R$1006:$W$1006,0))&gt;=100000), " ",IF(INDEX($R$2:$W$1001,MATCH(ROWS($K$2:K868),$K$2:$K$1001,0),MATCH(COLUMNS($R$1006:V1006),$R$1006:$W$1006,0)), HYPERLINK("#",""), HYPERLINK(CONCATENATE("#Metadata!", ADDRESS(INDEX($M$2:$M$1001,MATCH(ROWS($K$2:K868),$K$2:$K$1001,0),0), INDEX($R$1004:$W$1004,1,MATCH(COLUMNS($R$1006:V1006),$R$1006:$W$1006,0)))),"Fix")))</f>
        <v>0</v>
      </c>
      <c r="G868" s="3">
        <f>IF(OR(INDEX($L$2:$L$1001,MATCH(ROWS($K$2:K868),$K$2:$K$1001,0),1)&gt;=100000,INDEX($R$1005:$W$1005,1,MATCH(COLUMNS($R$1006:W1006),$R$1006:$W$1006,0))&gt;=100000), " ",IF(INDEX($R$2:$W$1001,MATCH(ROWS($K$2:K868),$K$2:$K$1001,0),MATCH(COLUMNS($R$1006:W1006),$R$1006:$W$1006,0)), HYPERLINK("#",""), HYPERLINK(CONCATENATE("#Metadata!", ADDRESS(INDEX($M$2:$M$1001,MATCH(ROWS($K$2:K868),$K$2:$K$1001,0),0), INDEX($R$1004:$W$1004,1,MATCH(COLUMNS($R$1006:W1006),$R$1006:$W$1006,0)))),"Fix")))</f>
        <v>0</v>
      </c>
      <c r="K868">
        <v>0</v>
      </c>
      <c r="L868">
        <v>0</v>
      </c>
      <c r="M868">
        <v>0</v>
      </c>
      <c r="N868">
        <f>IF(O868,TRUE,AND(R868:W868))</f>
        <v>0</v>
      </c>
      <c r="O868">
        <f>COUNTBLANK(Metadata!B868:G868)=COLUMNS(Metadata!B868:G868)</f>
        <v>0</v>
      </c>
      <c r="P868">
        <v>0</v>
      </c>
      <c r="R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S868">
        <f>IF(Metadata!C868="",FALSE,TRUE)</f>
        <v>0</v>
      </c>
      <c r="T868">
        <f>IF(Metadata!D868="",FALSE,TRUE)</f>
        <v>0</v>
      </c>
      <c r="U868">
        <f>IF(Metadata!E868="",FALSE,TRUE)</f>
        <v>0</v>
      </c>
      <c r="V868">
        <f>AND(IF(Metadata!F868="",FALSE,TRUE),exact(Metadata!F868,"rat gut metagenome"))</f>
        <v>0</v>
      </c>
      <c r="W868">
        <f>AND(IF(Metadata!G868="",FALSE,TRUE),exact(Metadata!G868,"1436733"))</f>
        <v>0</v>
      </c>
    </row>
    <row r="869" spans="1:23">
      <c r="A869" s="4">
        <f>IF(B869=" "," ",HYPERLINK(CONCATENATE("#metadata!",ADDRESS(INDEX($M$2:$M$1001,MATCH(ROWS($K$2:K869),$K$2:$K$1001,0),0),1)),INDEX($P$2:$P$1001,MATCH(ROWS($K$2:K869),$K$2:$K$1001,0),0)))</f>
        <v>0</v>
      </c>
      <c r="B869" s="3">
        <f>IF(OR(INDEX($L$2:$L$1001,MATCH(ROWS($K$2:K869),$K$2:$K$1001,0),1)&gt;=100000,INDEX($R$1005:$W$1005,1,MATCH(COLUMNS($R$1006:R1006),$R$1006:$W$1006,0))&gt;=100000), " ",IF(INDEX($R$2:$W$1001,MATCH(ROWS($K$2:K869),$K$2:$K$1001,0),MATCH(COLUMNS($R$1006:R1006),$R$1006:$W$1006,0)), HYPERLINK("#",""), HYPERLINK(CONCATENATE("#Metadata!", ADDRESS(INDEX($M$2:$M$1001,MATCH(ROWS($K$2:K869),$K$2:$K$1001,0),0), INDEX($R$1004:$W$1004,1,MATCH(COLUMNS($R$1006:R1006),$R$1006:$W$1006,0)))),"Fix")))</f>
        <v>0</v>
      </c>
      <c r="C869" s="3">
        <f>IF(OR(INDEX($L$2:$L$1001,MATCH(ROWS($K$2:K869),$K$2:$K$1001,0),1)&gt;=100000,INDEX($R$1005:$W$1005,1,MATCH(COLUMNS($R$1006:S1006),$R$1006:$W$1006,0))&gt;=100000), " ",IF(INDEX($R$2:$W$1001,MATCH(ROWS($K$2:K869),$K$2:$K$1001,0),MATCH(COLUMNS($R$1006:S1006),$R$1006:$W$1006,0)), HYPERLINK("#",""), HYPERLINK(CONCATENATE("#Metadata!", ADDRESS(INDEX($M$2:$M$1001,MATCH(ROWS($K$2:K869),$K$2:$K$1001,0),0), INDEX($R$1004:$W$1004,1,MATCH(COLUMNS($R$1006:S1006),$R$1006:$W$1006,0)))),"Fix")))</f>
        <v>0</v>
      </c>
      <c r="D869" s="3">
        <f>IF(OR(INDEX($L$2:$L$1001,MATCH(ROWS($K$2:K869),$K$2:$K$1001,0),1)&gt;=100000,INDEX($R$1005:$W$1005,1,MATCH(COLUMNS($R$1006:T1006),$R$1006:$W$1006,0))&gt;=100000), " ",IF(INDEX($R$2:$W$1001,MATCH(ROWS($K$2:K869),$K$2:$K$1001,0),MATCH(COLUMNS($R$1006:T1006),$R$1006:$W$1006,0)), HYPERLINK("#",""), HYPERLINK(CONCATENATE("#Metadata!", ADDRESS(INDEX($M$2:$M$1001,MATCH(ROWS($K$2:K869),$K$2:$K$1001,0),0), INDEX($R$1004:$W$1004,1,MATCH(COLUMNS($R$1006:T1006),$R$1006:$W$1006,0)))),"Fix")))</f>
        <v>0</v>
      </c>
      <c r="E869" s="3">
        <f>IF(OR(INDEX($L$2:$L$1001,MATCH(ROWS($K$2:K869),$K$2:$K$1001,0),1)&gt;=100000,INDEX($R$1005:$W$1005,1,MATCH(COLUMNS($R$1006:U1006),$R$1006:$W$1006,0))&gt;=100000), " ",IF(INDEX($R$2:$W$1001,MATCH(ROWS($K$2:K869),$K$2:$K$1001,0),MATCH(COLUMNS($R$1006:U1006),$R$1006:$W$1006,0)), HYPERLINK("#",""), HYPERLINK(CONCATENATE("#Metadata!", ADDRESS(INDEX($M$2:$M$1001,MATCH(ROWS($K$2:K869),$K$2:$K$1001,0),0), INDEX($R$1004:$W$1004,1,MATCH(COLUMNS($R$1006:U1006),$R$1006:$W$1006,0)))),"Fix")))</f>
        <v>0</v>
      </c>
      <c r="F869" s="3">
        <f>IF(OR(INDEX($L$2:$L$1001,MATCH(ROWS($K$2:K869),$K$2:$K$1001,0),1)&gt;=100000,INDEX($R$1005:$W$1005,1,MATCH(COLUMNS($R$1006:V1006),$R$1006:$W$1006,0))&gt;=100000), " ",IF(INDEX($R$2:$W$1001,MATCH(ROWS($K$2:K869),$K$2:$K$1001,0),MATCH(COLUMNS($R$1006:V1006),$R$1006:$W$1006,0)), HYPERLINK("#",""), HYPERLINK(CONCATENATE("#Metadata!", ADDRESS(INDEX($M$2:$M$1001,MATCH(ROWS($K$2:K869),$K$2:$K$1001,0),0), INDEX($R$1004:$W$1004,1,MATCH(COLUMNS($R$1006:V1006),$R$1006:$W$1006,0)))),"Fix")))</f>
        <v>0</v>
      </c>
      <c r="G869" s="3">
        <f>IF(OR(INDEX($L$2:$L$1001,MATCH(ROWS($K$2:K869),$K$2:$K$1001,0),1)&gt;=100000,INDEX($R$1005:$W$1005,1,MATCH(COLUMNS($R$1006:W1006),$R$1006:$W$1006,0))&gt;=100000), " ",IF(INDEX($R$2:$W$1001,MATCH(ROWS($K$2:K869),$K$2:$K$1001,0),MATCH(COLUMNS($R$1006:W1006),$R$1006:$W$1006,0)), HYPERLINK("#",""), HYPERLINK(CONCATENATE("#Metadata!", ADDRESS(INDEX($M$2:$M$1001,MATCH(ROWS($K$2:K869),$K$2:$K$1001,0),0), INDEX($R$1004:$W$1004,1,MATCH(COLUMNS($R$1006:W1006),$R$1006:$W$1006,0)))),"Fix")))</f>
        <v>0</v>
      </c>
      <c r="K869">
        <v>0</v>
      </c>
      <c r="L869">
        <v>0</v>
      </c>
      <c r="M869">
        <v>0</v>
      </c>
      <c r="N869">
        <f>IF(O869,TRUE,AND(R869:W869))</f>
        <v>0</v>
      </c>
      <c r="O869">
        <f>COUNTBLANK(Metadata!B869:G869)=COLUMNS(Metadata!B869:G869)</f>
        <v>0</v>
      </c>
      <c r="P869">
        <v>0</v>
      </c>
      <c r="R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S869">
        <f>IF(Metadata!C869="",FALSE,TRUE)</f>
        <v>0</v>
      </c>
      <c r="T869">
        <f>IF(Metadata!D869="",FALSE,TRUE)</f>
        <v>0</v>
      </c>
      <c r="U869">
        <f>IF(Metadata!E869="",FALSE,TRUE)</f>
        <v>0</v>
      </c>
      <c r="V869">
        <f>AND(IF(Metadata!F869="",FALSE,TRUE),exact(Metadata!F869,"rat gut metagenome"))</f>
        <v>0</v>
      </c>
      <c r="W869">
        <f>AND(IF(Metadata!G869="",FALSE,TRUE),exact(Metadata!G869,"1436733"))</f>
        <v>0</v>
      </c>
    </row>
    <row r="870" spans="1:23">
      <c r="A870" s="4">
        <f>IF(B870=" "," ",HYPERLINK(CONCATENATE("#metadata!",ADDRESS(INDEX($M$2:$M$1001,MATCH(ROWS($K$2:K870),$K$2:$K$1001,0),0),1)),INDEX($P$2:$P$1001,MATCH(ROWS($K$2:K870),$K$2:$K$1001,0),0)))</f>
        <v>0</v>
      </c>
      <c r="B870" s="3">
        <f>IF(OR(INDEX($L$2:$L$1001,MATCH(ROWS($K$2:K870),$K$2:$K$1001,0),1)&gt;=100000,INDEX($R$1005:$W$1005,1,MATCH(COLUMNS($R$1006:R1006),$R$1006:$W$1006,0))&gt;=100000), " ",IF(INDEX($R$2:$W$1001,MATCH(ROWS($K$2:K870),$K$2:$K$1001,0),MATCH(COLUMNS($R$1006:R1006),$R$1006:$W$1006,0)), HYPERLINK("#",""), HYPERLINK(CONCATENATE("#Metadata!", ADDRESS(INDEX($M$2:$M$1001,MATCH(ROWS($K$2:K870),$K$2:$K$1001,0),0), INDEX($R$1004:$W$1004,1,MATCH(COLUMNS($R$1006:R1006),$R$1006:$W$1006,0)))),"Fix")))</f>
        <v>0</v>
      </c>
      <c r="C870" s="3">
        <f>IF(OR(INDEX($L$2:$L$1001,MATCH(ROWS($K$2:K870),$K$2:$K$1001,0),1)&gt;=100000,INDEX($R$1005:$W$1005,1,MATCH(COLUMNS($R$1006:S1006),$R$1006:$W$1006,0))&gt;=100000), " ",IF(INDEX($R$2:$W$1001,MATCH(ROWS($K$2:K870),$K$2:$K$1001,0),MATCH(COLUMNS($R$1006:S1006),$R$1006:$W$1006,0)), HYPERLINK("#",""), HYPERLINK(CONCATENATE("#Metadata!", ADDRESS(INDEX($M$2:$M$1001,MATCH(ROWS($K$2:K870),$K$2:$K$1001,0),0), INDEX($R$1004:$W$1004,1,MATCH(COLUMNS($R$1006:S1006),$R$1006:$W$1006,0)))),"Fix")))</f>
        <v>0</v>
      </c>
      <c r="D870" s="3">
        <f>IF(OR(INDEX($L$2:$L$1001,MATCH(ROWS($K$2:K870),$K$2:$K$1001,0),1)&gt;=100000,INDEX($R$1005:$W$1005,1,MATCH(COLUMNS($R$1006:T1006),$R$1006:$W$1006,0))&gt;=100000), " ",IF(INDEX($R$2:$W$1001,MATCH(ROWS($K$2:K870),$K$2:$K$1001,0),MATCH(COLUMNS($R$1006:T1006),$R$1006:$W$1006,0)), HYPERLINK("#",""), HYPERLINK(CONCATENATE("#Metadata!", ADDRESS(INDEX($M$2:$M$1001,MATCH(ROWS($K$2:K870),$K$2:$K$1001,0),0), INDEX($R$1004:$W$1004,1,MATCH(COLUMNS($R$1006:T1006),$R$1006:$W$1006,0)))),"Fix")))</f>
        <v>0</v>
      </c>
      <c r="E870" s="3">
        <f>IF(OR(INDEX($L$2:$L$1001,MATCH(ROWS($K$2:K870),$K$2:$K$1001,0),1)&gt;=100000,INDEX($R$1005:$W$1005,1,MATCH(COLUMNS($R$1006:U1006),$R$1006:$W$1006,0))&gt;=100000), " ",IF(INDEX($R$2:$W$1001,MATCH(ROWS($K$2:K870),$K$2:$K$1001,0),MATCH(COLUMNS($R$1006:U1006),$R$1006:$W$1006,0)), HYPERLINK("#",""), HYPERLINK(CONCATENATE("#Metadata!", ADDRESS(INDEX($M$2:$M$1001,MATCH(ROWS($K$2:K870),$K$2:$K$1001,0),0), INDEX($R$1004:$W$1004,1,MATCH(COLUMNS($R$1006:U1006),$R$1006:$W$1006,0)))),"Fix")))</f>
        <v>0</v>
      </c>
      <c r="F870" s="3">
        <f>IF(OR(INDEX($L$2:$L$1001,MATCH(ROWS($K$2:K870),$K$2:$K$1001,0),1)&gt;=100000,INDEX($R$1005:$W$1005,1,MATCH(COLUMNS($R$1006:V1006),$R$1006:$W$1006,0))&gt;=100000), " ",IF(INDEX($R$2:$W$1001,MATCH(ROWS($K$2:K870),$K$2:$K$1001,0),MATCH(COLUMNS($R$1006:V1006),$R$1006:$W$1006,0)), HYPERLINK("#",""), HYPERLINK(CONCATENATE("#Metadata!", ADDRESS(INDEX($M$2:$M$1001,MATCH(ROWS($K$2:K870),$K$2:$K$1001,0),0), INDEX($R$1004:$W$1004,1,MATCH(COLUMNS($R$1006:V1006),$R$1006:$W$1006,0)))),"Fix")))</f>
        <v>0</v>
      </c>
      <c r="G870" s="3">
        <f>IF(OR(INDEX($L$2:$L$1001,MATCH(ROWS($K$2:K870),$K$2:$K$1001,0),1)&gt;=100000,INDEX($R$1005:$W$1005,1,MATCH(COLUMNS($R$1006:W1006),$R$1006:$W$1006,0))&gt;=100000), " ",IF(INDEX($R$2:$W$1001,MATCH(ROWS($K$2:K870),$K$2:$K$1001,0),MATCH(COLUMNS($R$1006:W1006),$R$1006:$W$1006,0)), HYPERLINK("#",""), HYPERLINK(CONCATENATE("#Metadata!", ADDRESS(INDEX($M$2:$M$1001,MATCH(ROWS($K$2:K870),$K$2:$K$1001,0),0), INDEX($R$1004:$W$1004,1,MATCH(COLUMNS($R$1006:W1006),$R$1006:$W$1006,0)))),"Fix")))</f>
        <v>0</v>
      </c>
      <c r="K870">
        <v>0</v>
      </c>
      <c r="L870">
        <v>0</v>
      </c>
      <c r="M870">
        <v>0</v>
      </c>
      <c r="N870">
        <f>IF(O870,TRUE,AND(R870:W870))</f>
        <v>0</v>
      </c>
      <c r="O870">
        <f>COUNTBLANK(Metadata!B870:G870)=COLUMNS(Metadata!B870:G870)</f>
        <v>0</v>
      </c>
      <c r="P870">
        <v>0</v>
      </c>
      <c r="R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S870">
        <f>IF(Metadata!C870="",FALSE,TRUE)</f>
        <v>0</v>
      </c>
      <c r="T870">
        <f>IF(Metadata!D870="",FALSE,TRUE)</f>
        <v>0</v>
      </c>
      <c r="U870">
        <f>IF(Metadata!E870="",FALSE,TRUE)</f>
        <v>0</v>
      </c>
      <c r="V870">
        <f>AND(IF(Metadata!F870="",FALSE,TRUE),exact(Metadata!F870,"rat gut metagenome"))</f>
        <v>0</v>
      </c>
      <c r="W870">
        <f>AND(IF(Metadata!G870="",FALSE,TRUE),exact(Metadata!G870,"1436733"))</f>
        <v>0</v>
      </c>
    </row>
    <row r="871" spans="1:23">
      <c r="A871" s="4">
        <f>IF(B871=" "," ",HYPERLINK(CONCATENATE("#metadata!",ADDRESS(INDEX($M$2:$M$1001,MATCH(ROWS($K$2:K871),$K$2:$K$1001,0),0),1)),INDEX($P$2:$P$1001,MATCH(ROWS($K$2:K871),$K$2:$K$1001,0),0)))</f>
        <v>0</v>
      </c>
      <c r="B871" s="3">
        <f>IF(OR(INDEX($L$2:$L$1001,MATCH(ROWS($K$2:K871),$K$2:$K$1001,0),1)&gt;=100000,INDEX($R$1005:$W$1005,1,MATCH(COLUMNS($R$1006:R1006),$R$1006:$W$1006,0))&gt;=100000), " ",IF(INDEX($R$2:$W$1001,MATCH(ROWS($K$2:K871),$K$2:$K$1001,0),MATCH(COLUMNS($R$1006:R1006),$R$1006:$W$1006,0)), HYPERLINK("#",""), HYPERLINK(CONCATENATE("#Metadata!", ADDRESS(INDEX($M$2:$M$1001,MATCH(ROWS($K$2:K871),$K$2:$K$1001,0),0), INDEX($R$1004:$W$1004,1,MATCH(COLUMNS($R$1006:R1006),$R$1006:$W$1006,0)))),"Fix")))</f>
        <v>0</v>
      </c>
      <c r="C871" s="3">
        <f>IF(OR(INDEX($L$2:$L$1001,MATCH(ROWS($K$2:K871),$K$2:$K$1001,0),1)&gt;=100000,INDEX($R$1005:$W$1005,1,MATCH(COLUMNS($R$1006:S1006),$R$1006:$W$1006,0))&gt;=100000), " ",IF(INDEX($R$2:$W$1001,MATCH(ROWS($K$2:K871),$K$2:$K$1001,0),MATCH(COLUMNS($R$1006:S1006),$R$1006:$W$1006,0)), HYPERLINK("#",""), HYPERLINK(CONCATENATE("#Metadata!", ADDRESS(INDEX($M$2:$M$1001,MATCH(ROWS($K$2:K871),$K$2:$K$1001,0),0), INDEX($R$1004:$W$1004,1,MATCH(COLUMNS($R$1006:S1006),$R$1006:$W$1006,0)))),"Fix")))</f>
        <v>0</v>
      </c>
      <c r="D871" s="3">
        <f>IF(OR(INDEX($L$2:$L$1001,MATCH(ROWS($K$2:K871),$K$2:$K$1001,0),1)&gt;=100000,INDEX($R$1005:$W$1005,1,MATCH(COLUMNS($R$1006:T1006),$R$1006:$W$1006,0))&gt;=100000), " ",IF(INDEX($R$2:$W$1001,MATCH(ROWS($K$2:K871),$K$2:$K$1001,0),MATCH(COLUMNS($R$1006:T1006),$R$1006:$W$1006,0)), HYPERLINK("#",""), HYPERLINK(CONCATENATE("#Metadata!", ADDRESS(INDEX($M$2:$M$1001,MATCH(ROWS($K$2:K871),$K$2:$K$1001,0),0), INDEX($R$1004:$W$1004,1,MATCH(COLUMNS($R$1006:T1006),$R$1006:$W$1006,0)))),"Fix")))</f>
        <v>0</v>
      </c>
      <c r="E871" s="3">
        <f>IF(OR(INDEX($L$2:$L$1001,MATCH(ROWS($K$2:K871),$K$2:$K$1001,0),1)&gt;=100000,INDEX($R$1005:$W$1005,1,MATCH(COLUMNS($R$1006:U1006),$R$1006:$W$1006,0))&gt;=100000), " ",IF(INDEX($R$2:$W$1001,MATCH(ROWS($K$2:K871),$K$2:$K$1001,0),MATCH(COLUMNS($R$1006:U1006),$R$1006:$W$1006,0)), HYPERLINK("#",""), HYPERLINK(CONCATENATE("#Metadata!", ADDRESS(INDEX($M$2:$M$1001,MATCH(ROWS($K$2:K871),$K$2:$K$1001,0),0), INDEX($R$1004:$W$1004,1,MATCH(COLUMNS($R$1006:U1006),$R$1006:$W$1006,0)))),"Fix")))</f>
        <v>0</v>
      </c>
      <c r="F871" s="3">
        <f>IF(OR(INDEX($L$2:$L$1001,MATCH(ROWS($K$2:K871),$K$2:$K$1001,0),1)&gt;=100000,INDEX($R$1005:$W$1005,1,MATCH(COLUMNS($R$1006:V1006),$R$1006:$W$1006,0))&gt;=100000), " ",IF(INDEX($R$2:$W$1001,MATCH(ROWS($K$2:K871),$K$2:$K$1001,0),MATCH(COLUMNS($R$1006:V1006),$R$1006:$W$1006,0)), HYPERLINK("#",""), HYPERLINK(CONCATENATE("#Metadata!", ADDRESS(INDEX($M$2:$M$1001,MATCH(ROWS($K$2:K871),$K$2:$K$1001,0),0), INDEX($R$1004:$W$1004,1,MATCH(COLUMNS($R$1006:V1006),$R$1006:$W$1006,0)))),"Fix")))</f>
        <v>0</v>
      </c>
      <c r="G871" s="3">
        <f>IF(OR(INDEX($L$2:$L$1001,MATCH(ROWS($K$2:K871),$K$2:$K$1001,0),1)&gt;=100000,INDEX($R$1005:$W$1005,1,MATCH(COLUMNS($R$1006:W1006),$R$1006:$W$1006,0))&gt;=100000), " ",IF(INDEX($R$2:$W$1001,MATCH(ROWS($K$2:K871),$K$2:$K$1001,0),MATCH(COLUMNS($R$1006:W1006),$R$1006:$W$1006,0)), HYPERLINK("#",""), HYPERLINK(CONCATENATE("#Metadata!", ADDRESS(INDEX($M$2:$M$1001,MATCH(ROWS($K$2:K871),$K$2:$K$1001,0),0), INDEX($R$1004:$W$1004,1,MATCH(COLUMNS($R$1006:W1006),$R$1006:$W$1006,0)))),"Fix")))</f>
        <v>0</v>
      </c>
      <c r="K871">
        <v>0</v>
      </c>
      <c r="L871">
        <v>0</v>
      </c>
      <c r="M871">
        <v>0</v>
      </c>
      <c r="N871">
        <f>IF(O871,TRUE,AND(R871:W871))</f>
        <v>0</v>
      </c>
      <c r="O871">
        <f>COUNTBLANK(Metadata!B871:G871)=COLUMNS(Metadata!B871:G871)</f>
        <v>0</v>
      </c>
      <c r="P871">
        <v>0</v>
      </c>
      <c r="R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S871">
        <f>IF(Metadata!C871="",FALSE,TRUE)</f>
        <v>0</v>
      </c>
      <c r="T871">
        <f>IF(Metadata!D871="",FALSE,TRUE)</f>
        <v>0</v>
      </c>
      <c r="U871">
        <f>IF(Metadata!E871="",FALSE,TRUE)</f>
        <v>0</v>
      </c>
      <c r="V871">
        <f>AND(IF(Metadata!F871="",FALSE,TRUE),exact(Metadata!F871,"rat gut metagenome"))</f>
        <v>0</v>
      </c>
      <c r="W871">
        <f>AND(IF(Metadata!G871="",FALSE,TRUE),exact(Metadata!G871,"1436733"))</f>
        <v>0</v>
      </c>
    </row>
    <row r="872" spans="1:23">
      <c r="A872" s="4">
        <f>IF(B872=" "," ",HYPERLINK(CONCATENATE("#metadata!",ADDRESS(INDEX($M$2:$M$1001,MATCH(ROWS($K$2:K872),$K$2:$K$1001,0),0),1)),INDEX($P$2:$P$1001,MATCH(ROWS($K$2:K872),$K$2:$K$1001,0),0)))</f>
        <v>0</v>
      </c>
      <c r="B872" s="3">
        <f>IF(OR(INDEX($L$2:$L$1001,MATCH(ROWS($K$2:K872),$K$2:$K$1001,0),1)&gt;=100000,INDEX($R$1005:$W$1005,1,MATCH(COLUMNS($R$1006:R1006),$R$1006:$W$1006,0))&gt;=100000), " ",IF(INDEX($R$2:$W$1001,MATCH(ROWS($K$2:K872),$K$2:$K$1001,0),MATCH(COLUMNS($R$1006:R1006),$R$1006:$W$1006,0)), HYPERLINK("#",""), HYPERLINK(CONCATENATE("#Metadata!", ADDRESS(INDEX($M$2:$M$1001,MATCH(ROWS($K$2:K872),$K$2:$K$1001,0),0), INDEX($R$1004:$W$1004,1,MATCH(COLUMNS($R$1006:R1006),$R$1006:$W$1006,0)))),"Fix")))</f>
        <v>0</v>
      </c>
      <c r="C872" s="3">
        <f>IF(OR(INDEX($L$2:$L$1001,MATCH(ROWS($K$2:K872),$K$2:$K$1001,0),1)&gt;=100000,INDEX($R$1005:$W$1005,1,MATCH(COLUMNS($R$1006:S1006),$R$1006:$W$1006,0))&gt;=100000), " ",IF(INDEX($R$2:$W$1001,MATCH(ROWS($K$2:K872),$K$2:$K$1001,0),MATCH(COLUMNS($R$1006:S1006),$R$1006:$W$1006,0)), HYPERLINK("#",""), HYPERLINK(CONCATENATE("#Metadata!", ADDRESS(INDEX($M$2:$M$1001,MATCH(ROWS($K$2:K872),$K$2:$K$1001,0),0), INDEX($R$1004:$W$1004,1,MATCH(COLUMNS($R$1006:S1006),$R$1006:$W$1006,0)))),"Fix")))</f>
        <v>0</v>
      </c>
      <c r="D872" s="3">
        <f>IF(OR(INDEX($L$2:$L$1001,MATCH(ROWS($K$2:K872),$K$2:$K$1001,0),1)&gt;=100000,INDEX($R$1005:$W$1005,1,MATCH(COLUMNS($R$1006:T1006),$R$1006:$W$1006,0))&gt;=100000), " ",IF(INDEX($R$2:$W$1001,MATCH(ROWS($K$2:K872),$K$2:$K$1001,0),MATCH(COLUMNS($R$1006:T1006),$R$1006:$W$1006,0)), HYPERLINK("#",""), HYPERLINK(CONCATENATE("#Metadata!", ADDRESS(INDEX($M$2:$M$1001,MATCH(ROWS($K$2:K872),$K$2:$K$1001,0),0), INDEX($R$1004:$W$1004,1,MATCH(COLUMNS($R$1006:T1006),$R$1006:$W$1006,0)))),"Fix")))</f>
        <v>0</v>
      </c>
      <c r="E872" s="3">
        <f>IF(OR(INDEX($L$2:$L$1001,MATCH(ROWS($K$2:K872),$K$2:$K$1001,0),1)&gt;=100000,INDEX($R$1005:$W$1005,1,MATCH(COLUMNS($R$1006:U1006),$R$1006:$W$1006,0))&gt;=100000), " ",IF(INDEX($R$2:$W$1001,MATCH(ROWS($K$2:K872),$K$2:$K$1001,0),MATCH(COLUMNS($R$1006:U1006),$R$1006:$W$1006,0)), HYPERLINK("#",""), HYPERLINK(CONCATENATE("#Metadata!", ADDRESS(INDEX($M$2:$M$1001,MATCH(ROWS($K$2:K872),$K$2:$K$1001,0),0), INDEX($R$1004:$W$1004,1,MATCH(COLUMNS($R$1006:U1006),$R$1006:$W$1006,0)))),"Fix")))</f>
        <v>0</v>
      </c>
      <c r="F872" s="3">
        <f>IF(OR(INDEX($L$2:$L$1001,MATCH(ROWS($K$2:K872),$K$2:$K$1001,0),1)&gt;=100000,INDEX($R$1005:$W$1005,1,MATCH(COLUMNS($R$1006:V1006),$R$1006:$W$1006,0))&gt;=100000), " ",IF(INDEX($R$2:$W$1001,MATCH(ROWS($K$2:K872),$K$2:$K$1001,0),MATCH(COLUMNS($R$1006:V1006),$R$1006:$W$1006,0)), HYPERLINK("#",""), HYPERLINK(CONCATENATE("#Metadata!", ADDRESS(INDEX($M$2:$M$1001,MATCH(ROWS($K$2:K872),$K$2:$K$1001,0),0), INDEX($R$1004:$W$1004,1,MATCH(COLUMNS($R$1006:V1006),$R$1006:$W$1006,0)))),"Fix")))</f>
        <v>0</v>
      </c>
      <c r="G872" s="3">
        <f>IF(OR(INDEX($L$2:$L$1001,MATCH(ROWS($K$2:K872),$K$2:$K$1001,0),1)&gt;=100000,INDEX($R$1005:$W$1005,1,MATCH(COLUMNS($R$1006:W1006),$R$1006:$W$1006,0))&gt;=100000), " ",IF(INDEX($R$2:$W$1001,MATCH(ROWS($K$2:K872),$K$2:$K$1001,0),MATCH(COLUMNS($R$1006:W1006),$R$1006:$W$1006,0)), HYPERLINK("#",""), HYPERLINK(CONCATENATE("#Metadata!", ADDRESS(INDEX($M$2:$M$1001,MATCH(ROWS($K$2:K872),$K$2:$K$1001,0),0), INDEX($R$1004:$W$1004,1,MATCH(COLUMNS($R$1006:W1006),$R$1006:$W$1006,0)))),"Fix")))</f>
        <v>0</v>
      </c>
      <c r="K872">
        <v>0</v>
      </c>
      <c r="L872">
        <v>0</v>
      </c>
      <c r="M872">
        <v>0</v>
      </c>
      <c r="N872">
        <f>IF(O872,TRUE,AND(R872:W872))</f>
        <v>0</v>
      </c>
      <c r="O872">
        <f>COUNTBLANK(Metadata!B872:G872)=COLUMNS(Metadata!B872:G872)</f>
        <v>0</v>
      </c>
      <c r="P872">
        <v>0</v>
      </c>
      <c r="R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S872">
        <f>IF(Metadata!C872="",FALSE,TRUE)</f>
        <v>0</v>
      </c>
      <c r="T872">
        <f>IF(Metadata!D872="",FALSE,TRUE)</f>
        <v>0</v>
      </c>
      <c r="U872">
        <f>IF(Metadata!E872="",FALSE,TRUE)</f>
        <v>0</v>
      </c>
      <c r="V872">
        <f>AND(IF(Metadata!F872="",FALSE,TRUE),exact(Metadata!F872,"rat gut metagenome"))</f>
        <v>0</v>
      </c>
      <c r="W872">
        <f>AND(IF(Metadata!G872="",FALSE,TRUE),exact(Metadata!G872,"1436733"))</f>
        <v>0</v>
      </c>
    </row>
    <row r="873" spans="1:23">
      <c r="A873" s="4">
        <f>IF(B873=" "," ",HYPERLINK(CONCATENATE("#metadata!",ADDRESS(INDEX($M$2:$M$1001,MATCH(ROWS($K$2:K873),$K$2:$K$1001,0),0),1)),INDEX($P$2:$P$1001,MATCH(ROWS($K$2:K873),$K$2:$K$1001,0),0)))</f>
        <v>0</v>
      </c>
      <c r="B873" s="3">
        <f>IF(OR(INDEX($L$2:$L$1001,MATCH(ROWS($K$2:K873),$K$2:$K$1001,0),1)&gt;=100000,INDEX($R$1005:$W$1005,1,MATCH(COLUMNS($R$1006:R1006),$R$1006:$W$1006,0))&gt;=100000), " ",IF(INDEX($R$2:$W$1001,MATCH(ROWS($K$2:K873),$K$2:$K$1001,0),MATCH(COLUMNS($R$1006:R1006),$R$1006:$W$1006,0)), HYPERLINK("#",""), HYPERLINK(CONCATENATE("#Metadata!", ADDRESS(INDEX($M$2:$M$1001,MATCH(ROWS($K$2:K873),$K$2:$K$1001,0),0), INDEX($R$1004:$W$1004,1,MATCH(COLUMNS($R$1006:R1006),$R$1006:$W$1006,0)))),"Fix")))</f>
        <v>0</v>
      </c>
      <c r="C873" s="3">
        <f>IF(OR(INDEX($L$2:$L$1001,MATCH(ROWS($K$2:K873),$K$2:$K$1001,0),1)&gt;=100000,INDEX($R$1005:$W$1005,1,MATCH(COLUMNS($R$1006:S1006),$R$1006:$W$1006,0))&gt;=100000), " ",IF(INDEX($R$2:$W$1001,MATCH(ROWS($K$2:K873),$K$2:$K$1001,0),MATCH(COLUMNS($R$1006:S1006),$R$1006:$W$1006,0)), HYPERLINK("#",""), HYPERLINK(CONCATENATE("#Metadata!", ADDRESS(INDEX($M$2:$M$1001,MATCH(ROWS($K$2:K873),$K$2:$K$1001,0),0), INDEX($R$1004:$W$1004,1,MATCH(COLUMNS($R$1006:S1006),$R$1006:$W$1006,0)))),"Fix")))</f>
        <v>0</v>
      </c>
      <c r="D873" s="3">
        <f>IF(OR(INDEX($L$2:$L$1001,MATCH(ROWS($K$2:K873),$K$2:$K$1001,0),1)&gt;=100000,INDEX($R$1005:$W$1005,1,MATCH(COLUMNS($R$1006:T1006),$R$1006:$W$1006,0))&gt;=100000), " ",IF(INDEX($R$2:$W$1001,MATCH(ROWS($K$2:K873),$K$2:$K$1001,0),MATCH(COLUMNS($R$1006:T1006),$R$1006:$W$1006,0)), HYPERLINK("#",""), HYPERLINK(CONCATENATE("#Metadata!", ADDRESS(INDEX($M$2:$M$1001,MATCH(ROWS($K$2:K873),$K$2:$K$1001,0),0), INDEX($R$1004:$W$1004,1,MATCH(COLUMNS($R$1006:T1006),$R$1006:$W$1006,0)))),"Fix")))</f>
        <v>0</v>
      </c>
      <c r="E873" s="3">
        <f>IF(OR(INDEX($L$2:$L$1001,MATCH(ROWS($K$2:K873),$K$2:$K$1001,0),1)&gt;=100000,INDEX($R$1005:$W$1005,1,MATCH(COLUMNS($R$1006:U1006),$R$1006:$W$1006,0))&gt;=100000), " ",IF(INDEX($R$2:$W$1001,MATCH(ROWS($K$2:K873),$K$2:$K$1001,0),MATCH(COLUMNS($R$1006:U1006),$R$1006:$W$1006,0)), HYPERLINK("#",""), HYPERLINK(CONCATENATE("#Metadata!", ADDRESS(INDEX($M$2:$M$1001,MATCH(ROWS($K$2:K873),$K$2:$K$1001,0),0), INDEX($R$1004:$W$1004,1,MATCH(COLUMNS($R$1006:U1006),$R$1006:$W$1006,0)))),"Fix")))</f>
        <v>0</v>
      </c>
      <c r="F873" s="3">
        <f>IF(OR(INDEX($L$2:$L$1001,MATCH(ROWS($K$2:K873),$K$2:$K$1001,0),1)&gt;=100000,INDEX($R$1005:$W$1005,1,MATCH(COLUMNS($R$1006:V1006),$R$1006:$W$1006,0))&gt;=100000), " ",IF(INDEX($R$2:$W$1001,MATCH(ROWS($K$2:K873),$K$2:$K$1001,0),MATCH(COLUMNS($R$1006:V1006),$R$1006:$W$1006,0)), HYPERLINK("#",""), HYPERLINK(CONCATENATE("#Metadata!", ADDRESS(INDEX($M$2:$M$1001,MATCH(ROWS($K$2:K873),$K$2:$K$1001,0),0), INDEX($R$1004:$W$1004,1,MATCH(COLUMNS($R$1006:V1006),$R$1006:$W$1006,0)))),"Fix")))</f>
        <v>0</v>
      </c>
      <c r="G873" s="3">
        <f>IF(OR(INDEX($L$2:$L$1001,MATCH(ROWS($K$2:K873),$K$2:$K$1001,0),1)&gt;=100000,INDEX($R$1005:$W$1005,1,MATCH(COLUMNS($R$1006:W1006),$R$1006:$W$1006,0))&gt;=100000), " ",IF(INDEX($R$2:$W$1001,MATCH(ROWS($K$2:K873),$K$2:$K$1001,0),MATCH(COLUMNS($R$1006:W1006),$R$1006:$W$1006,0)), HYPERLINK("#",""), HYPERLINK(CONCATENATE("#Metadata!", ADDRESS(INDEX($M$2:$M$1001,MATCH(ROWS($K$2:K873),$K$2:$K$1001,0),0), INDEX($R$1004:$W$1004,1,MATCH(COLUMNS($R$1006:W1006),$R$1006:$W$1006,0)))),"Fix")))</f>
        <v>0</v>
      </c>
      <c r="K873">
        <v>0</v>
      </c>
      <c r="L873">
        <v>0</v>
      </c>
      <c r="M873">
        <v>0</v>
      </c>
      <c r="N873">
        <f>IF(O873,TRUE,AND(R873:W873))</f>
        <v>0</v>
      </c>
      <c r="O873">
        <f>COUNTBLANK(Metadata!B873:G873)=COLUMNS(Metadata!B873:G873)</f>
        <v>0</v>
      </c>
      <c r="P873">
        <v>0</v>
      </c>
      <c r="R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S873">
        <f>IF(Metadata!C873="",FALSE,TRUE)</f>
        <v>0</v>
      </c>
      <c r="T873">
        <f>IF(Metadata!D873="",FALSE,TRUE)</f>
        <v>0</v>
      </c>
      <c r="U873">
        <f>IF(Metadata!E873="",FALSE,TRUE)</f>
        <v>0</v>
      </c>
      <c r="V873">
        <f>AND(IF(Metadata!F873="",FALSE,TRUE),exact(Metadata!F873,"rat gut metagenome"))</f>
        <v>0</v>
      </c>
      <c r="W873">
        <f>AND(IF(Metadata!G873="",FALSE,TRUE),exact(Metadata!G873,"1436733"))</f>
        <v>0</v>
      </c>
    </row>
    <row r="874" spans="1:23">
      <c r="A874" s="4">
        <f>IF(B874=" "," ",HYPERLINK(CONCATENATE("#metadata!",ADDRESS(INDEX($M$2:$M$1001,MATCH(ROWS($K$2:K874),$K$2:$K$1001,0),0),1)),INDEX($P$2:$P$1001,MATCH(ROWS($K$2:K874),$K$2:$K$1001,0),0)))</f>
        <v>0</v>
      </c>
      <c r="B874" s="3">
        <f>IF(OR(INDEX($L$2:$L$1001,MATCH(ROWS($K$2:K874),$K$2:$K$1001,0),1)&gt;=100000,INDEX($R$1005:$W$1005,1,MATCH(COLUMNS($R$1006:R1006),$R$1006:$W$1006,0))&gt;=100000), " ",IF(INDEX($R$2:$W$1001,MATCH(ROWS($K$2:K874),$K$2:$K$1001,0),MATCH(COLUMNS($R$1006:R1006),$R$1006:$W$1006,0)), HYPERLINK("#",""), HYPERLINK(CONCATENATE("#Metadata!", ADDRESS(INDEX($M$2:$M$1001,MATCH(ROWS($K$2:K874),$K$2:$K$1001,0),0), INDEX($R$1004:$W$1004,1,MATCH(COLUMNS($R$1006:R1006),$R$1006:$W$1006,0)))),"Fix")))</f>
        <v>0</v>
      </c>
      <c r="C874" s="3">
        <f>IF(OR(INDEX($L$2:$L$1001,MATCH(ROWS($K$2:K874),$K$2:$K$1001,0),1)&gt;=100000,INDEX($R$1005:$W$1005,1,MATCH(COLUMNS($R$1006:S1006),$R$1006:$W$1006,0))&gt;=100000), " ",IF(INDEX($R$2:$W$1001,MATCH(ROWS($K$2:K874),$K$2:$K$1001,0),MATCH(COLUMNS($R$1006:S1006),$R$1006:$W$1006,0)), HYPERLINK("#",""), HYPERLINK(CONCATENATE("#Metadata!", ADDRESS(INDEX($M$2:$M$1001,MATCH(ROWS($K$2:K874),$K$2:$K$1001,0),0), INDEX($R$1004:$W$1004,1,MATCH(COLUMNS($R$1006:S1006),$R$1006:$W$1006,0)))),"Fix")))</f>
        <v>0</v>
      </c>
      <c r="D874" s="3">
        <f>IF(OR(INDEX($L$2:$L$1001,MATCH(ROWS($K$2:K874),$K$2:$K$1001,0),1)&gt;=100000,INDEX($R$1005:$W$1005,1,MATCH(COLUMNS($R$1006:T1006),$R$1006:$W$1006,0))&gt;=100000), " ",IF(INDEX($R$2:$W$1001,MATCH(ROWS($K$2:K874),$K$2:$K$1001,0),MATCH(COLUMNS($R$1006:T1006),$R$1006:$W$1006,0)), HYPERLINK("#",""), HYPERLINK(CONCATENATE("#Metadata!", ADDRESS(INDEX($M$2:$M$1001,MATCH(ROWS($K$2:K874),$K$2:$K$1001,0),0), INDEX($R$1004:$W$1004,1,MATCH(COLUMNS($R$1006:T1006),$R$1006:$W$1006,0)))),"Fix")))</f>
        <v>0</v>
      </c>
      <c r="E874" s="3">
        <f>IF(OR(INDEX($L$2:$L$1001,MATCH(ROWS($K$2:K874),$K$2:$K$1001,0),1)&gt;=100000,INDEX($R$1005:$W$1005,1,MATCH(COLUMNS($R$1006:U1006),$R$1006:$W$1006,0))&gt;=100000), " ",IF(INDEX($R$2:$W$1001,MATCH(ROWS($K$2:K874),$K$2:$K$1001,0),MATCH(COLUMNS($R$1006:U1006),$R$1006:$W$1006,0)), HYPERLINK("#",""), HYPERLINK(CONCATENATE("#Metadata!", ADDRESS(INDEX($M$2:$M$1001,MATCH(ROWS($K$2:K874),$K$2:$K$1001,0),0), INDEX($R$1004:$W$1004,1,MATCH(COLUMNS($R$1006:U1006),$R$1006:$W$1006,0)))),"Fix")))</f>
        <v>0</v>
      </c>
      <c r="F874" s="3">
        <f>IF(OR(INDEX($L$2:$L$1001,MATCH(ROWS($K$2:K874),$K$2:$K$1001,0),1)&gt;=100000,INDEX($R$1005:$W$1005,1,MATCH(COLUMNS($R$1006:V1006),$R$1006:$W$1006,0))&gt;=100000), " ",IF(INDEX($R$2:$W$1001,MATCH(ROWS($K$2:K874),$K$2:$K$1001,0),MATCH(COLUMNS($R$1006:V1006),$R$1006:$W$1006,0)), HYPERLINK("#",""), HYPERLINK(CONCATENATE("#Metadata!", ADDRESS(INDEX($M$2:$M$1001,MATCH(ROWS($K$2:K874),$K$2:$K$1001,0),0), INDEX($R$1004:$W$1004,1,MATCH(COLUMNS($R$1006:V1006),$R$1006:$W$1006,0)))),"Fix")))</f>
        <v>0</v>
      </c>
      <c r="G874" s="3">
        <f>IF(OR(INDEX($L$2:$L$1001,MATCH(ROWS($K$2:K874),$K$2:$K$1001,0),1)&gt;=100000,INDEX($R$1005:$W$1005,1,MATCH(COLUMNS($R$1006:W1006),$R$1006:$W$1006,0))&gt;=100000), " ",IF(INDEX($R$2:$W$1001,MATCH(ROWS($K$2:K874),$K$2:$K$1001,0),MATCH(COLUMNS($R$1006:W1006),$R$1006:$W$1006,0)), HYPERLINK("#",""), HYPERLINK(CONCATENATE("#Metadata!", ADDRESS(INDEX($M$2:$M$1001,MATCH(ROWS($K$2:K874),$K$2:$K$1001,0),0), INDEX($R$1004:$W$1004,1,MATCH(COLUMNS($R$1006:W1006),$R$1006:$W$1006,0)))),"Fix")))</f>
        <v>0</v>
      </c>
      <c r="K874">
        <v>0</v>
      </c>
      <c r="L874">
        <v>0</v>
      </c>
      <c r="M874">
        <v>0</v>
      </c>
      <c r="N874">
        <f>IF(O874,TRUE,AND(R874:W874))</f>
        <v>0</v>
      </c>
      <c r="O874">
        <f>COUNTBLANK(Metadata!B874:G874)=COLUMNS(Metadata!B874:G874)</f>
        <v>0</v>
      </c>
      <c r="P874">
        <v>0</v>
      </c>
      <c r="R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S874">
        <f>IF(Metadata!C874="",FALSE,TRUE)</f>
        <v>0</v>
      </c>
      <c r="T874">
        <f>IF(Metadata!D874="",FALSE,TRUE)</f>
        <v>0</v>
      </c>
      <c r="U874">
        <f>IF(Metadata!E874="",FALSE,TRUE)</f>
        <v>0</v>
      </c>
      <c r="V874">
        <f>AND(IF(Metadata!F874="",FALSE,TRUE),exact(Metadata!F874,"rat gut metagenome"))</f>
        <v>0</v>
      </c>
      <c r="W874">
        <f>AND(IF(Metadata!G874="",FALSE,TRUE),exact(Metadata!G874,"1436733"))</f>
        <v>0</v>
      </c>
    </row>
    <row r="875" spans="1:23">
      <c r="A875" s="4">
        <f>IF(B875=" "," ",HYPERLINK(CONCATENATE("#metadata!",ADDRESS(INDEX($M$2:$M$1001,MATCH(ROWS($K$2:K875),$K$2:$K$1001,0),0),1)),INDEX($P$2:$P$1001,MATCH(ROWS($K$2:K875),$K$2:$K$1001,0),0)))</f>
        <v>0</v>
      </c>
      <c r="B875" s="3">
        <f>IF(OR(INDEX($L$2:$L$1001,MATCH(ROWS($K$2:K875),$K$2:$K$1001,0),1)&gt;=100000,INDEX($R$1005:$W$1005,1,MATCH(COLUMNS($R$1006:R1006),$R$1006:$W$1006,0))&gt;=100000), " ",IF(INDEX($R$2:$W$1001,MATCH(ROWS($K$2:K875),$K$2:$K$1001,0),MATCH(COLUMNS($R$1006:R1006),$R$1006:$W$1006,0)), HYPERLINK("#",""), HYPERLINK(CONCATENATE("#Metadata!", ADDRESS(INDEX($M$2:$M$1001,MATCH(ROWS($K$2:K875),$K$2:$K$1001,0),0), INDEX($R$1004:$W$1004,1,MATCH(COLUMNS($R$1006:R1006),$R$1006:$W$1006,0)))),"Fix")))</f>
        <v>0</v>
      </c>
      <c r="C875" s="3">
        <f>IF(OR(INDEX($L$2:$L$1001,MATCH(ROWS($K$2:K875),$K$2:$K$1001,0),1)&gt;=100000,INDEX($R$1005:$W$1005,1,MATCH(COLUMNS($R$1006:S1006),$R$1006:$W$1006,0))&gt;=100000), " ",IF(INDEX($R$2:$W$1001,MATCH(ROWS($K$2:K875),$K$2:$K$1001,0),MATCH(COLUMNS($R$1006:S1006),$R$1006:$W$1006,0)), HYPERLINK("#",""), HYPERLINK(CONCATENATE("#Metadata!", ADDRESS(INDEX($M$2:$M$1001,MATCH(ROWS($K$2:K875),$K$2:$K$1001,0),0), INDEX($R$1004:$W$1004,1,MATCH(COLUMNS($R$1006:S1006),$R$1006:$W$1006,0)))),"Fix")))</f>
        <v>0</v>
      </c>
      <c r="D875" s="3">
        <f>IF(OR(INDEX($L$2:$L$1001,MATCH(ROWS($K$2:K875),$K$2:$K$1001,0),1)&gt;=100000,INDEX($R$1005:$W$1005,1,MATCH(COLUMNS($R$1006:T1006),$R$1006:$W$1006,0))&gt;=100000), " ",IF(INDEX($R$2:$W$1001,MATCH(ROWS($K$2:K875),$K$2:$K$1001,0),MATCH(COLUMNS($R$1006:T1006),$R$1006:$W$1006,0)), HYPERLINK("#",""), HYPERLINK(CONCATENATE("#Metadata!", ADDRESS(INDEX($M$2:$M$1001,MATCH(ROWS($K$2:K875),$K$2:$K$1001,0),0), INDEX($R$1004:$W$1004,1,MATCH(COLUMNS($R$1006:T1006),$R$1006:$W$1006,0)))),"Fix")))</f>
        <v>0</v>
      </c>
      <c r="E875" s="3">
        <f>IF(OR(INDEX($L$2:$L$1001,MATCH(ROWS($K$2:K875),$K$2:$K$1001,0),1)&gt;=100000,INDEX($R$1005:$W$1005,1,MATCH(COLUMNS($R$1006:U1006),$R$1006:$W$1006,0))&gt;=100000), " ",IF(INDEX($R$2:$W$1001,MATCH(ROWS($K$2:K875),$K$2:$K$1001,0),MATCH(COLUMNS($R$1006:U1006),$R$1006:$W$1006,0)), HYPERLINK("#",""), HYPERLINK(CONCATENATE("#Metadata!", ADDRESS(INDEX($M$2:$M$1001,MATCH(ROWS($K$2:K875),$K$2:$K$1001,0),0), INDEX($R$1004:$W$1004,1,MATCH(COLUMNS($R$1006:U1006),$R$1006:$W$1006,0)))),"Fix")))</f>
        <v>0</v>
      </c>
      <c r="F875" s="3">
        <f>IF(OR(INDEX($L$2:$L$1001,MATCH(ROWS($K$2:K875),$K$2:$K$1001,0),1)&gt;=100000,INDEX($R$1005:$W$1005,1,MATCH(COLUMNS($R$1006:V1006),$R$1006:$W$1006,0))&gt;=100000), " ",IF(INDEX($R$2:$W$1001,MATCH(ROWS($K$2:K875),$K$2:$K$1001,0),MATCH(COLUMNS($R$1006:V1006),$R$1006:$W$1006,0)), HYPERLINK("#",""), HYPERLINK(CONCATENATE("#Metadata!", ADDRESS(INDEX($M$2:$M$1001,MATCH(ROWS($K$2:K875),$K$2:$K$1001,0),0), INDEX($R$1004:$W$1004,1,MATCH(COLUMNS($R$1006:V1006),$R$1006:$W$1006,0)))),"Fix")))</f>
        <v>0</v>
      </c>
      <c r="G875" s="3">
        <f>IF(OR(INDEX($L$2:$L$1001,MATCH(ROWS($K$2:K875),$K$2:$K$1001,0),1)&gt;=100000,INDEX($R$1005:$W$1005,1,MATCH(COLUMNS($R$1006:W1006),$R$1006:$W$1006,0))&gt;=100000), " ",IF(INDEX($R$2:$W$1001,MATCH(ROWS($K$2:K875),$K$2:$K$1001,0),MATCH(COLUMNS($R$1006:W1006),$R$1006:$W$1006,0)), HYPERLINK("#",""), HYPERLINK(CONCATENATE("#Metadata!", ADDRESS(INDEX($M$2:$M$1001,MATCH(ROWS($K$2:K875),$K$2:$K$1001,0),0), INDEX($R$1004:$W$1004,1,MATCH(COLUMNS($R$1006:W1006),$R$1006:$W$1006,0)))),"Fix")))</f>
        <v>0</v>
      </c>
      <c r="K875">
        <v>0</v>
      </c>
      <c r="L875">
        <v>0</v>
      </c>
      <c r="M875">
        <v>0</v>
      </c>
      <c r="N875">
        <f>IF(O875,TRUE,AND(R875:W875))</f>
        <v>0</v>
      </c>
      <c r="O875">
        <f>COUNTBLANK(Metadata!B875:G875)=COLUMNS(Metadata!B875:G875)</f>
        <v>0</v>
      </c>
      <c r="P875">
        <v>0</v>
      </c>
      <c r="R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S875">
        <f>IF(Metadata!C875="",FALSE,TRUE)</f>
        <v>0</v>
      </c>
      <c r="T875">
        <f>IF(Metadata!D875="",FALSE,TRUE)</f>
        <v>0</v>
      </c>
      <c r="U875">
        <f>IF(Metadata!E875="",FALSE,TRUE)</f>
        <v>0</v>
      </c>
      <c r="V875">
        <f>AND(IF(Metadata!F875="",FALSE,TRUE),exact(Metadata!F875,"rat gut metagenome"))</f>
        <v>0</v>
      </c>
      <c r="W875">
        <f>AND(IF(Metadata!G875="",FALSE,TRUE),exact(Metadata!G875,"1436733"))</f>
        <v>0</v>
      </c>
    </row>
    <row r="876" spans="1:23">
      <c r="A876" s="4">
        <f>IF(B876=" "," ",HYPERLINK(CONCATENATE("#metadata!",ADDRESS(INDEX($M$2:$M$1001,MATCH(ROWS($K$2:K876),$K$2:$K$1001,0),0),1)),INDEX($P$2:$P$1001,MATCH(ROWS($K$2:K876),$K$2:$K$1001,0),0)))</f>
        <v>0</v>
      </c>
      <c r="B876" s="3">
        <f>IF(OR(INDEX($L$2:$L$1001,MATCH(ROWS($K$2:K876),$K$2:$K$1001,0),1)&gt;=100000,INDEX($R$1005:$W$1005,1,MATCH(COLUMNS($R$1006:R1006),$R$1006:$W$1006,0))&gt;=100000), " ",IF(INDEX($R$2:$W$1001,MATCH(ROWS($K$2:K876),$K$2:$K$1001,0),MATCH(COLUMNS($R$1006:R1006),$R$1006:$W$1006,0)), HYPERLINK("#",""), HYPERLINK(CONCATENATE("#Metadata!", ADDRESS(INDEX($M$2:$M$1001,MATCH(ROWS($K$2:K876),$K$2:$K$1001,0),0), INDEX($R$1004:$W$1004,1,MATCH(COLUMNS($R$1006:R1006),$R$1006:$W$1006,0)))),"Fix")))</f>
        <v>0</v>
      </c>
      <c r="C876" s="3">
        <f>IF(OR(INDEX($L$2:$L$1001,MATCH(ROWS($K$2:K876),$K$2:$K$1001,0),1)&gt;=100000,INDEX($R$1005:$W$1005,1,MATCH(COLUMNS($R$1006:S1006),$R$1006:$W$1006,0))&gt;=100000), " ",IF(INDEX($R$2:$W$1001,MATCH(ROWS($K$2:K876),$K$2:$K$1001,0),MATCH(COLUMNS($R$1006:S1006),$R$1006:$W$1006,0)), HYPERLINK("#",""), HYPERLINK(CONCATENATE("#Metadata!", ADDRESS(INDEX($M$2:$M$1001,MATCH(ROWS($K$2:K876),$K$2:$K$1001,0),0), INDEX($R$1004:$W$1004,1,MATCH(COLUMNS($R$1006:S1006),$R$1006:$W$1006,0)))),"Fix")))</f>
        <v>0</v>
      </c>
      <c r="D876" s="3">
        <f>IF(OR(INDEX($L$2:$L$1001,MATCH(ROWS($K$2:K876),$K$2:$K$1001,0),1)&gt;=100000,INDEX($R$1005:$W$1005,1,MATCH(COLUMNS($R$1006:T1006),$R$1006:$W$1006,0))&gt;=100000), " ",IF(INDEX($R$2:$W$1001,MATCH(ROWS($K$2:K876),$K$2:$K$1001,0),MATCH(COLUMNS($R$1006:T1006),$R$1006:$W$1006,0)), HYPERLINK("#",""), HYPERLINK(CONCATENATE("#Metadata!", ADDRESS(INDEX($M$2:$M$1001,MATCH(ROWS($K$2:K876),$K$2:$K$1001,0),0), INDEX($R$1004:$W$1004,1,MATCH(COLUMNS($R$1006:T1006),$R$1006:$W$1006,0)))),"Fix")))</f>
        <v>0</v>
      </c>
      <c r="E876" s="3">
        <f>IF(OR(INDEX($L$2:$L$1001,MATCH(ROWS($K$2:K876),$K$2:$K$1001,0),1)&gt;=100000,INDEX($R$1005:$W$1005,1,MATCH(COLUMNS($R$1006:U1006),$R$1006:$W$1006,0))&gt;=100000), " ",IF(INDEX($R$2:$W$1001,MATCH(ROWS($K$2:K876),$K$2:$K$1001,0),MATCH(COLUMNS($R$1006:U1006),$R$1006:$W$1006,0)), HYPERLINK("#",""), HYPERLINK(CONCATENATE("#Metadata!", ADDRESS(INDEX($M$2:$M$1001,MATCH(ROWS($K$2:K876),$K$2:$K$1001,0),0), INDEX($R$1004:$W$1004,1,MATCH(COLUMNS($R$1006:U1006),$R$1006:$W$1006,0)))),"Fix")))</f>
        <v>0</v>
      </c>
      <c r="F876" s="3">
        <f>IF(OR(INDEX($L$2:$L$1001,MATCH(ROWS($K$2:K876),$K$2:$K$1001,0),1)&gt;=100000,INDEX($R$1005:$W$1005,1,MATCH(COLUMNS($R$1006:V1006),$R$1006:$W$1006,0))&gt;=100000), " ",IF(INDEX($R$2:$W$1001,MATCH(ROWS($K$2:K876),$K$2:$K$1001,0),MATCH(COLUMNS($R$1006:V1006),$R$1006:$W$1006,0)), HYPERLINK("#",""), HYPERLINK(CONCATENATE("#Metadata!", ADDRESS(INDEX($M$2:$M$1001,MATCH(ROWS($K$2:K876),$K$2:$K$1001,0),0), INDEX($R$1004:$W$1004,1,MATCH(COLUMNS($R$1006:V1006),$R$1006:$W$1006,0)))),"Fix")))</f>
        <v>0</v>
      </c>
      <c r="G876" s="3">
        <f>IF(OR(INDEX($L$2:$L$1001,MATCH(ROWS($K$2:K876),$K$2:$K$1001,0),1)&gt;=100000,INDEX($R$1005:$W$1005,1,MATCH(COLUMNS($R$1006:W1006),$R$1006:$W$1006,0))&gt;=100000), " ",IF(INDEX($R$2:$W$1001,MATCH(ROWS($K$2:K876),$K$2:$K$1001,0),MATCH(COLUMNS($R$1006:W1006),$R$1006:$W$1006,0)), HYPERLINK("#",""), HYPERLINK(CONCATENATE("#Metadata!", ADDRESS(INDEX($M$2:$M$1001,MATCH(ROWS($K$2:K876),$K$2:$K$1001,0),0), INDEX($R$1004:$W$1004,1,MATCH(COLUMNS($R$1006:W1006),$R$1006:$W$1006,0)))),"Fix")))</f>
        <v>0</v>
      </c>
      <c r="K876">
        <v>0</v>
      </c>
      <c r="L876">
        <v>0</v>
      </c>
      <c r="M876">
        <v>0</v>
      </c>
      <c r="N876">
        <f>IF(O876,TRUE,AND(R876:W876))</f>
        <v>0</v>
      </c>
      <c r="O876">
        <f>COUNTBLANK(Metadata!B876:G876)=COLUMNS(Metadata!B876:G876)</f>
        <v>0</v>
      </c>
      <c r="P876">
        <v>0</v>
      </c>
      <c r="R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S876">
        <f>IF(Metadata!C876="",FALSE,TRUE)</f>
        <v>0</v>
      </c>
      <c r="T876">
        <f>IF(Metadata!D876="",FALSE,TRUE)</f>
        <v>0</v>
      </c>
      <c r="U876">
        <f>IF(Metadata!E876="",FALSE,TRUE)</f>
        <v>0</v>
      </c>
      <c r="V876">
        <f>AND(IF(Metadata!F876="",FALSE,TRUE),exact(Metadata!F876,"rat gut metagenome"))</f>
        <v>0</v>
      </c>
      <c r="W876">
        <f>AND(IF(Metadata!G876="",FALSE,TRUE),exact(Metadata!G876,"1436733"))</f>
        <v>0</v>
      </c>
    </row>
    <row r="877" spans="1:23">
      <c r="A877" s="4">
        <f>IF(B877=" "," ",HYPERLINK(CONCATENATE("#metadata!",ADDRESS(INDEX($M$2:$M$1001,MATCH(ROWS($K$2:K877),$K$2:$K$1001,0),0),1)),INDEX($P$2:$P$1001,MATCH(ROWS($K$2:K877),$K$2:$K$1001,0),0)))</f>
        <v>0</v>
      </c>
      <c r="B877" s="3">
        <f>IF(OR(INDEX($L$2:$L$1001,MATCH(ROWS($K$2:K877),$K$2:$K$1001,0),1)&gt;=100000,INDEX($R$1005:$W$1005,1,MATCH(COLUMNS($R$1006:R1006),$R$1006:$W$1006,0))&gt;=100000), " ",IF(INDEX($R$2:$W$1001,MATCH(ROWS($K$2:K877),$K$2:$K$1001,0),MATCH(COLUMNS($R$1006:R1006),$R$1006:$W$1006,0)), HYPERLINK("#",""), HYPERLINK(CONCATENATE("#Metadata!", ADDRESS(INDEX($M$2:$M$1001,MATCH(ROWS($K$2:K877),$K$2:$K$1001,0),0), INDEX($R$1004:$W$1004,1,MATCH(COLUMNS($R$1006:R1006),$R$1006:$W$1006,0)))),"Fix")))</f>
        <v>0</v>
      </c>
      <c r="C877" s="3">
        <f>IF(OR(INDEX($L$2:$L$1001,MATCH(ROWS($K$2:K877),$K$2:$K$1001,0),1)&gt;=100000,INDEX($R$1005:$W$1005,1,MATCH(COLUMNS($R$1006:S1006),$R$1006:$W$1006,0))&gt;=100000), " ",IF(INDEX($R$2:$W$1001,MATCH(ROWS($K$2:K877),$K$2:$K$1001,0),MATCH(COLUMNS($R$1006:S1006),$R$1006:$W$1006,0)), HYPERLINK("#",""), HYPERLINK(CONCATENATE("#Metadata!", ADDRESS(INDEX($M$2:$M$1001,MATCH(ROWS($K$2:K877),$K$2:$K$1001,0),0), INDEX($R$1004:$W$1004,1,MATCH(COLUMNS($R$1006:S1006),$R$1006:$W$1006,0)))),"Fix")))</f>
        <v>0</v>
      </c>
      <c r="D877" s="3">
        <f>IF(OR(INDEX($L$2:$L$1001,MATCH(ROWS($K$2:K877),$K$2:$K$1001,0),1)&gt;=100000,INDEX($R$1005:$W$1005,1,MATCH(COLUMNS($R$1006:T1006),$R$1006:$W$1006,0))&gt;=100000), " ",IF(INDEX($R$2:$W$1001,MATCH(ROWS($K$2:K877),$K$2:$K$1001,0),MATCH(COLUMNS($R$1006:T1006),$R$1006:$W$1006,0)), HYPERLINK("#",""), HYPERLINK(CONCATENATE("#Metadata!", ADDRESS(INDEX($M$2:$M$1001,MATCH(ROWS($K$2:K877),$K$2:$K$1001,0),0), INDEX($R$1004:$W$1004,1,MATCH(COLUMNS($R$1006:T1006),$R$1006:$W$1006,0)))),"Fix")))</f>
        <v>0</v>
      </c>
      <c r="E877" s="3">
        <f>IF(OR(INDEX($L$2:$L$1001,MATCH(ROWS($K$2:K877),$K$2:$K$1001,0),1)&gt;=100000,INDEX($R$1005:$W$1005,1,MATCH(COLUMNS($R$1006:U1006),$R$1006:$W$1006,0))&gt;=100000), " ",IF(INDEX($R$2:$W$1001,MATCH(ROWS($K$2:K877),$K$2:$K$1001,0),MATCH(COLUMNS($R$1006:U1006),$R$1006:$W$1006,0)), HYPERLINK("#",""), HYPERLINK(CONCATENATE("#Metadata!", ADDRESS(INDEX($M$2:$M$1001,MATCH(ROWS($K$2:K877),$K$2:$K$1001,0),0), INDEX($R$1004:$W$1004,1,MATCH(COLUMNS($R$1006:U1006),$R$1006:$W$1006,0)))),"Fix")))</f>
        <v>0</v>
      </c>
      <c r="F877" s="3">
        <f>IF(OR(INDEX($L$2:$L$1001,MATCH(ROWS($K$2:K877),$K$2:$K$1001,0),1)&gt;=100000,INDEX($R$1005:$W$1005,1,MATCH(COLUMNS($R$1006:V1006),$R$1006:$W$1006,0))&gt;=100000), " ",IF(INDEX($R$2:$W$1001,MATCH(ROWS($K$2:K877),$K$2:$K$1001,0),MATCH(COLUMNS($R$1006:V1006),$R$1006:$W$1006,0)), HYPERLINK("#",""), HYPERLINK(CONCATENATE("#Metadata!", ADDRESS(INDEX($M$2:$M$1001,MATCH(ROWS($K$2:K877),$K$2:$K$1001,0),0), INDEX($R$1004:$W$1004,1,MATCH(COLUMNS($R$1006:V1006),$R$1006:$W$1006,0)))),"Fix")))</f>
        <v>0</v>
      </c>
      <c r="G877" s="3">
        <f>IF(OR(INDEX($L$2:$L$1001,MATCH(ROWS($K$2:K877),$K$2:$K$1001,0),1)&gt;=100000,INDEX($R$1005:$W$1005,1,MATCH(COLUMNS($R$1006:W1006),$R$1006:$W$1006,0))&gt;=100000), " ",IF(INDEX($R$2:$W$1001,MATCH(ROWS($K$2:K877),$K$2:$K$1001,0),MATCH(COLUMNS($R$1006:W1006),$R$1006:$W$1006,0)), HYPERLINK("#",""), HYPERLINK(CONCATENATE("#Metadata!", ADDRESS(INDEX($M$2:$M$1001,MATCH(ROWS($K$2:K877),$K$2:$K$1001,0),0), INDEX($R$1004:$W$1004,1,MATCH(COLUMNS($R$1006:W1006),$R$1006:$W$1006,0)))),"Fix")))</f>
        <v>0</v>
      </c>
      <c r="K877">
        <v>0</v>
      </c>
      <c r="L877">
        <v>0</v>
      </c>
      <c r="M877">
        <v>0</v>
      </c>
      <c r="N877">
        <f>IF(O877,TRUE,AND(R877:W877))</f>
        <v>0</v>
      </c>
      <c r="O877">
        <f>COUNTBLANK(Metadata!B877:G877)=COLUMNS(Metadata!B877:G877)</f>
        <v>0</v>
      </c>
      <c r="P877">
        <v>0</v>
      </c>
      <c r="R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S877">
        <f>IF(Metadata!C877="",FALSE,TRUE)</f>
        <v>0</v>
      </c>
      <c r="T877">
        <f>IF(Metadata!D877="",FALSE,TRUE)</f>
        <v>0</v>
      </c>
      <c r="U877">
        <f>IF(Metadata!E877="",FALSE,TRUE)</f>
        <v>0</v>
      </c>
      <c r="V877">
        <f>AND(IF(Metadata!F877="",FALSE,TRUE),exact(Metadata!F877,"rat gut metagenome"))</f>
        <v>0</v>
      </c>
      <c r="W877">
        <f>AND(IF(Metadata!G877="",FALSE,TRUE),exact(Metadata!G877,"1436733"))</f>
        <v>0</v>
      </c>
    </row>
    <row r="878" spans="1:23">
      <c r="A878" s="4">
        <f>IF(B878=" "," ",HYPERLINK(CONCATENATE("#metadata!",ADDRESS(INDEX($M$2:$M$1001,MATCH(ROWS($K$2:K878),$K$2:$K$1001,0),0),1)),INDEX($P$2:$P$1001,MATCH(ROWS($K$2:K878),$K$2:$K$1001,0),0)))</f>
        <v>0</v>
      </c>
      <c r="B878" s="3">
        <f>IF(OR(INDEX($L$2:$L$1001,MATCH(ROWS($K$2:K878),$K$2:$K$1001,0),1)&gt;=100000,INDEX($R$1005:$W$1005,1,MATCH(COLUMNS($R$1006:R1006),$R$1006:$W$1006,0))&gt;=100000), " ",IF(INDEX($R$2:$W$1001,MATCH(ROWS($K$2:K878),$K$2:$K$1001,0),MATCH(COLUMNS($R$1006:R1006),$R$1006:$W$1006,0)), HYPERLINK("#",""), HYPERLINK(CONCATENATE("#Metadata!", ADDRESS(INDEX($M$2:$M$1001,MATCH(ROWS($K$2:K878),$K$2:$K$1001,0),0), INDEX($R$1004:$W$1004,1,MATCH(COLUMNS($R$1006:R1006),$R$1006:$W$1006,0)))),"Fix")))</f>
        <v>0</v>
      </c>
      <c r="C878" s="3">
        <f>IF(OR(INDEX($L$2:$L$1001,MATCH(ROWS($K$2:K878),$K$2:$K$1001,0),1)&gt;=100000,INDEX($R$1005:$W$1005,1,MATCH(COLUMNS($R$1006:S1006),$R$1006:$W$1006,0))&gt;=100000), " ",IF(INDEX($R$2:$W$1001,MATCH(ROWS($K$2:K878),$K$2:$K$1001,0),MATCH(COLUMNS($R$1006:S1006),$R$1006:$W$1006,0)), HYPERLINK("#",""), HYPERLINK(CONCATENATE("#Metadata!", ADDRESS(INDEX($M$2:$M$1001,MATCH(ROWS($K$2:K878),$K$2:$K$1001,0),0), INDEX($R$1004:$W$1004,1,MATCH(COLUMNS($R$1006:S1006),$R$1006:$W$1006,0)))),"Fix")))</f>
        <v>0</v>
      </c>
      <c r="D878" s="3">
        <f>IF(OR(INDEX($L$2:$L$1001,MATCH(ROWS($K$2:K878),$K$2:$K$1001,0),1)&gt;=100000,INDEX($R$1005:$W$1005,1,MATCH(COLUMNS($R$1006:T1006),$R$1006:$W$1006,0))&gt;=100000), " ",IF(INDEX($R$2:$W$1001,MATCH(ROWS($K$2:K878),$K$2:$K$1001,0),MATCH(COLUMNS($R$1006:T1006),$R$1006:$W$1006,0)), HYPERLINK("#",""), HYPERLINK(CONCATENATE("#Metadata!", ADDRESS(INDEX($M$2:$M$1001,MATCH(ROWS($K$2:K878),$K$2:$K$1001,0),0), INDEX($R$1004:$W$1004,1,MATCH(COLUMNS($R$1006:T1006),$R$1006:$W$1006,0)))),"Fix")))</f>
        <v>0</v>
      </c>
      <c r="E878" s="3">
        <f>IF(OR(INDEX($L$2:$L$1001,MATCH(ROWS($K$2:K878),$K$2:$K$1001,0),1)&gt;=100000,INDEX($R$1005:$W$1005,1,MATCH(COLUMNS($R$1006:U1006),$R$1006:$W$1006,0))&gt;=100000), " ",IF(INDEX($R$2:$W$1001,MATCH(ROWS($K$2:K878),$K$2:$K$1001,0),MATCH(COLUMNS($R$1006:U1006),$R$1006:$W$1006,0)), HYPERLINK("#",""), HYPERLINK(CONCATENATE("#Metadata!", ADDRESS(INDEX($M$2:$M$1001,MATCH(ROWS($K$2:K878),$K$2:$K$1001,0),0), INDEX($R$1004:$W$1004,1,MATCH(COLUMNS($R$1006:U1006),$R$1006:$W$1006,0)))),"Fix")))</f>
        <v>0</v>
      </c>
      <c r="F878" s="3">
        <f>IF(OR(INDEX($L$2:$L$1001,MATCH(ROWS($K$2:K878),$K$2:$K$1001,0),1)&gt;=100000,INDEX($R$1005:$W$1005,1,MATCH(COLUMNS($R$1006:V1006),$R$1006:$W$1006,0))&gt;=100000), " ",IF(INDEX($R$2:$W$1001,MATCH(ROWS($K$2:K878),$K$2:$K$1001,0),MATCH(COLUMNS($R$1006:V1006),$R$1006:$W$1006,0)), HYPERLINK("#",""), HYPERLINK(CONCATENATE("#Metadata!", ADDRESS(INDEX($M$2:$M$1001,MATCH(ROWS($K$2:K878),$K$2:$K$1001,0),0), INDEX($R$1004:$W$1004,1,MATCH(COLUMNS($R$1006:V1006),$R$1006:$W$1006,0)))),"Fix")))</f>
        <v>0</v>
      </c>
      <c r="G878" s="3">
        <f>IF(OR(INDEX($L$2:$L$1001,MATCH(ROWS($K$2:K878),$K$2:$K$1001,0),1)&gt;=100000,INDEX($R$1005:$W$1005,1,MATCH(COLUMNS($R$1006:W1006),$R$1006:$W$1006,0))&gt;=100000), " ",IF(INDEX($R$2:$W$1001,MATCH(ROWS($K$2:K878),$K$2:$K$1001,0),MATCH(COLUMNS($R$1006:W1006),$R$1006:$W$1006,0)), HYPERLINK("#",""), HYPERLINK(CONCATENATE("#Metadata!", ADDRESS(INDEX($M$2:$M$1001,MATCH(ROWS($K$2:K878),$K$2:$K$1001,0),0), INDEX($R$1004:$W$1004,1,MATCH(COLUMNS($R$1006:W1006),$R$1006:$W$1006,0)))),"Fix")))</f>
        <v>0</v>
      </c>
      <c r="K878">
        <v>0</v>
      </c>
      <c r="L878">
        <v>0</v>
      </c>
      <c r="M878">
        <v>0</v>
      </c>
      <c r="N878">
        <f>IF(O878,TRUE,AND(R878:W878))</f>
        <v>0</v>
      </c>
      <c r="O878">
        <f>COUNTBLANK(Metadata!B878:G878)=COLUMNS(Metadata!B878:G878)</f>
        <v>0</v>
      </c>
      <c r="P878">
        <v>0</v>
      </c>
      <c r="R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S878">
        <f>IF(Metadata!C878="",FALSE,TRUE)</f>
        <v>0</v>
      </c>
      <c r="T878">
        <f>IF(Metadata!D878="",FALSE,TRUE)</f>
        <v>0</v>
      </c>
      <c r="U878">
        <f>IF(Metadata!E878="",FALSE,TRUE)</f>
        <v>0</v>
      </c>
      <c r="V878">
        <f>AND(IF(Metadata!F878="",FALSE,TRUE),exact(Metadata!F878,"rat gut metagenome"))</f>
        <v>0</v>
      </c>
      <c r="W878">
        <f>AND(IF(Metadata!G878="",FALSE,TRUE),exact(Metadata!G878,"1436733"))</f>
        <v>0</v>
      </c>
    </row>
    <row r="879" spans="1:23">
      <c r="A879" s="4">
        <f>IF(B879=" "," ",HYPERLINK(CONCATENATE("#metadata!",ADDRESS(INDEX($M$2:$M$1001,MATCH(ROWS($K$2:K879),$K$2:$K$1001,0),0),1)),INDEX($P$2:$P$1001,MATCH(ROWS($K$2:K879),$K$2:$K$1001,0),0)))</f>
        <v>0</v>
      </c>
      <c r="B879" s="3">
        <f>IF(OR(INDEX($L$2:$L$1001,MATCH(ROWS($K$2:K879),$K$2:$K$1001,0),1)&gt;=100000,INDEX($R$1005:$W$1005,1,MATCH(COLUMNS($R$1006:R1006),$R$1006:$W$1006,0))&gt;=100000), " ",IF(INDEX($R$2:$W$1001,MATCH(ROWS($K$2:K879),$K$2:$K$1001,0),MATCH(COLUMNS($R$1006:R1006),$R$1006:$W$1006,0)), HYPERLINK("#",""), HYPERLINK(CONCATENATE("#Metadata!", ADDRESS(INDEX($M$2:$M$1001,MATCH(ROWS($K$2:K879),$K$2:$K$1001,0),0), INDEX($R$1004:$W$1004,1,MATCH(COLUMNS($R$1006:R1006),$R$1006:$W$1006,0)))),"Fix")))</f>
        <v>0</v>
      </c>
      <c r="C879" s="3">
        <f>IF(OR(INDEX($L$2:$L$1001,MATCH(ROWS($K$2:K879),$K$2:$K$1001,0),1)&gt;=100000,INDEX($R$1005:$W$1005,1,MATCH(COLUMNS($R$1006:S1006),$R$1006:$W$1006,0))&gt;=100000), " ",IF(INDEX($R$2:$W$1001,MATCH(ROWS($K$2:K879),$K$2:$K$1001,0),MATCH(COLUMNS($R$1006:S1006),$R$1006:$W$1006,0)), HYPERLINK("#",""), HYPERLINK(CONCATENATE("#Metadata!", ADDRESS(INDEX($M$2:$M$1001,MATCH(ROWS($K$2:K879),$K$2:$K$1001,0),0), INDEX($R$1004:$W$1004,1,MATCH(COLUMNS($R$1006:S1006),$R$1006:$W$1006,0)))),"Fix")))</f>
        <v>0</v>
      </c>
      <c r="D879" s="3">
        <f>IF(OR(INDEX($L$2:$L$1001,MATCH(ROWS($K$2:K879),$K$2:$K$1001,0),1)&gt;=100000,INDEX($R$1005:$W$1005,1,MATCH(COLUMNS($R$1006:T1006),$R$1006:$W$1006,0))&gt;=100000), " ",IF(INDEX($R$2:$W$1001,MATCH(ROWS($K$2:K879),$K$2:$K$1001,0),MATCH(COLUMNS($R$1006:T1006),$R$1006:$W$1006,0)), HYPERLINK("#",""), HYPERLINK(CONCATENATE("#Metadata!", ADDRESS(INDEX($M$2:$M$1001,MATCH(ROWS($K$2:K879),$K$2:$K$1001,0),0), INDEX($R$1004:$W$1004,1,MATCH(COLUMNS($R$1006:T1006),$R$1006:$W$1006,0)))),"Fix")))</f>
        <v>0</v>
      </c>
      <c r="E879" s="3">
        <f>IF(OR(INDEX($L$2:$L$1001,MATCH(ROWS($K$2:K879),$K$2:$K$1001,0),1)&gt;=100000,INDEX($R$1005:$W$1005,1,MATCH(COLUMNS($R$1006:U1006),$R$1006:$W$1006,0))&gt;=100000), " ",IF(INDEX($R$2:$W$1001,MATCH(ROWS($K$2:K879),$K$2:$K$1001,0),MATCH(COLUMNS($R$1006:U1006),$R$1006:$W$1006,0)), HYPERLINK("#",""), HYPERLINK(CONCATENATE("#Metadata!", ADDRESS(INDEX($M$2:$M$1001,MATCH(ROWS($K$2:K879),$K$2:$K$1001,0),0), INDEX($R$1004:$W$1004,1,MATCH(COLUMNS($R$1006:U1006),$R$1006:$W$1006,0)))),"Fix")))</f>
        <v>0</v>
      </c>
      <c r="F879" s="3">
        <f>IF(OR(INDEX($L$2:$L$1001,MATCH(ROWS($K$2:K879),$K$2:$K$1001,0),1)&gt;=100000,INDEX($R$1005:$W$1005,1,MATCH(COLUMNS($R$1006:V1006),$R$1006:$W$1006,0))&gt;=100000), " ",IF(INDEX($R$2:$W$1001,MATCH(ROWS($K$2:K879),$K$2:$K$1001,0),MATCH(COLUMNS($R$1006:V1006),$R$1006:$W$1006,0)), HYPERLINK("#",""), HYPERLINK(CONCATENATE("#Metadata!", ADDRESS(INDEX($M$2:$M$1001,MATCH(ROWS($K$2:K879),$K$2:$K$1001,0),0), INDEX($R$1004:$W$1004,1,MATCH(COLUMNS($R$1006:V1006),$R$1006:$W$1006,0)))),"Fix")))</f>
        <v>0</v>
      </c>
      <c r="G879" s="3">
        <f>IF(OR(INDEX($L$2:$L$1001,MATCH(ROWS($K$2:K879),$K$2:$K$1001,0),1)&gt;=100000,INDEX($R$1005:$W$1005,1,MATCH(COLUMNS($R$1006:W1006),$R$1006:$W$1006,0))&gt;=100000), " ",IF(INDEX($R$2:$W$1001,MATCH(ROWS($K$2:K879),$K$2:$K$1001,0),MATCH(COLUMNS($R$1006:W1006),$R$1006:$W$1006,0)), HYPERLINK("#",""), HYPERLINK(CONCATENATE("#Metadata!", ADDRESS(INDEX($M$2:$M$1001,MATCH(ROWS($K$2:K879),$K$2:$K$1001,0),0), INDEX($R$1004:$W$1004,1,MATCH(COLUMNS($R$1006:W1006),$R$1006:$W$1006,0)))),"Fix")))</f>
        <v>0</v>
      </c>
      <c r="K879">
        <v>0</v>
      </c>
      <c r="L879">
        <v>0</v>
      </c>
      <c r="M879">
        <v>0</v>
      </c>
      <c r="N879">
        <f>IF(O879,TRUE,AND(R879:W879))</f>
        <v>0</v>
      </c>
      <c r="O879">
        <f>COUNTBLANK(Metadata!B879:G879)=COLUMNS(Metadata!B879:G879)</f>
        <v>0</v>
      </c>
      <c r="P879">
        <v>0</v>
      </c>
      <c r="R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S879">
        <f>IF(Metadata!C879="",FALSE,TRUE)</f>
        <v>0</v>
      </c>
      <c r="T879">
        <f>IF(Metadata!D879="",FALSE,TRUE)</f>
        <v>0</v>
      </c>
      <c r="U879">
        <f>IF(Metadata!E879="",FALSE,TRUE)</f>
        <v>0</v>
      </c>
      <c r="V879">
        <f>AND(IF(Metadata!F879="",FALSE,TRUE),exact(Metadata!F879,"rat gut metagenome"))</f>
        <v>0</v>
      </c>
      <c r="W879">
        <f>AND(IF(Metadata!G879="",FALSE,TRUE),exact(Metadata!G879,"1436733"))</f>
        <v>0</v>
      </c>
    </row>
    <row r="880" spans="1:23">
      <c r="A880" s="4">
        <f>IF(B880=" "," ",HYPERLINK(CONCATENATE("#metadata!",ADDRESS(INDEX($M$2:$M$1001,MATCH(ROWS($K$2:K880),$K$2:$K$1001,0),0),1)),INDEX($P$2:$P$1001,MATCH(ROWS($K$2:K880),$K$2:$K$1001,0),0)))</f>
        <v>0</v>
      </c>
      <c r="B880" s="3">
        <f>IF(OR(INDEX($L$2:$L$1001,MATCH(ROWS($K$2:K880),$K$2:$K$1001,0),1)&gt;=100000,INDEX($R$1005:$W$1005,1,MATCH(COLUMNS($R$1006:R1006),$R$1006:$W$1006,0))&gt;=100000), " ",IF(INDEX($R$2:$W$1001,MATCH(ROWS($K$2:K880),$K$2:$K$1001,0),MATCH(COLUMNS($R$1006:R1006),$R$1006:$W$1006,0)), HYPERLINK("#",""), HYPERLINK(CONCATENATE("#Metadata!", ADDRESS(INDEX($M$2:$M$1001,MATCH(ROWS($K$2:K880),$K$2:$K$1001,0),0), INDEX($R$1004:$W$1004,1,MATCH(COLUMNS($R$1006:R1006),$R$1006:$W$1006,0)))),"Fix")))</f>
        <v>0</v>
      </c>
      <c r="C880" s="3">
        <f>IF(OR(INDEX($L$2:$L$1001,MATCH(ROWS($K$2:K880),$K$2:$K$1001,0),1)&gt;=100000,INDEX($R$1005:$W$1005,1,MATCH(COLUMNS($R$1006:S1006),$R$1006:$W$1006,0))&gt;=100000), " ",IF(INDEX($R$2:$W$1001,MATCH(ROWS($K$2:K880),$K$2:$K$1001,0),MATCH(COLUMNS($R$1006:S1006),$R$1006:$W$1006,0)), HYPERLINK("#",""), HYPERLINK(CONCATENATE("#Metadata!", ADDRESS(INDEX($M$2:$M$1001,MATCH(ROWS($K$2:K880),$K$2:$K$1001,0),0), INDEX($R$1004:$W$1004,1,MATCH(COLUMNS($R$1006:S1006),$R$1006:$W$1006,0)))),"Fix")))</f>
        <v>0</v>
      </c>
      <c r="D880" s="3">
        <f>IF(OR(INDEX($L$2:$L$1001,MATCH(ROWS($K$2:K880),$K$2:$K$1001,0),1)&gt;=100000,INDEX($R$1005:$W$1005,1,MATCH(COLUMNS($R$1006:T1006),$R$1006:$W$1006,0))&gt;=100000), " ",IF(INDEX($R$2:$W$1001,MATCH(ROWS($K$2:K880),$K$2:$K$1001,0),MATCH(COLUMNS($R$1006:T1006),$R$1006:$W$1006,0)), HYPERLINK("#",""), HYPERLINK(CONCATENATE("#Metadata!", ADDRESS(INDEX($M$2:$M$1001,MATCH(ROWS($K$2:K880),$K$2:$K$1001,0),0), INDEX($R$1004:$W$1004,1,MATCH(COLUMNS($R$1006:T1006),$R$1006:$W$1006,0)))),"Fix")))</f>
        <v>0</v>
      </c>
      <c r="E880" s="3">
        <f>IF(OR(INDEX($L$2:$L$1001,MATCH(ROWS($K$2:K880),$K$2:$K$1001,0),1)&gt;=100000,INDEX($R$1005:$W$1005,1,MATCH(COLUMNS($R$1006:U1006),$R$1006:$W$1006,0))&gt;=100000), " ",IF(INDEX($R$2:$W$1001,MATCH(ROWS($K$2:K880),$K$2:$K$1001,0),MATCH(COLUMNS($R$1006:U1006),$R$1006:$W$1006,0)), HYPERLINK("#",""), HYPERLINK(CONCATENATE("#Metadata!", ADDRESS(INDEX($M$2:$M$1001,MATCH(ROWS($K$2:K880),$K$2:$K$1001,0),0), INDEX($R$1004:$W$1004,1,MATCH(COLUMNS($R$1006:U1006),$R$1006:$W$1006,0)))),"Fix")))</f>
        <v>0</v>
      </c>
      <c r="F880" s="3">
        <f>IF(OR(INDEX($L$2:$L$1001,MATCH(ROWS($K$2:K880),$K$2:$K$1001,0),1)&gt;=100000,INDEX($R$1005:$W$1005,1,MATCH(COLUMNS($R$1006:V1006),$R$1006:$W$1006,0))&gt;=100000), " ",IF(INDEX($R$2:$W$1001,MATCH(ROWS($K$2:K880),$K$2:$K$1001,0),MATCH(COLUMNS($R$1006:V1006),$R$1006:$W$1006,0)), HYPERLINK("#",""), HYPERLINK(CONCATENATE("#Metadata!", ADDRESS(INDEX($M$2:$M$1001,MATCH(ROWS($K$2:K880),$K$2:$K$1001,0),0), INDEX($R$1004:$W$1004,1,MATCH(COLUMNS($R$1006:V1006),$R$1006:$W$1006,0)))),"Fix")))</f>
        <v>0</v>
      </c>
      <c r="G880" s="3">
        <f>IF(OR(INDEX($L$2:$L$1001,MATCH(ROWS($K$2:K880),$K$2:$K$1001,0),1)&gt;=100000,INDEX($R$1005:$W$1005,1,MATCH(COLUMNS($R$1006:W1006),$R$1006:$W$1006,0))&gt;=100000), " ",IF(INDEX($R$2:$W$1001,MATCH(ROWS($K$2:K880),$K$2:$K$1001,0),MATCH(COLUMNS($R$1006:W1006),$R$1006:$W$1006,0)), HYPERLINK("#",""), HYPERLINK(CONCATENATE("#Metadata!", ADDRESS(INDEX($M$2:$M$1001,MATCH(ROWS($K$2:K880),$K$2:$K$1001,0),0), INDEX($R$1004:$W$1004,1,MATCH(COLUMNS($R$1006:W1006),$R$1006:$W$1006,0)))),"Fix")))</f>
        <v>0</v>
      </c>
      <c r="K880">
        <v>0</v>
      </c>
      <c r="L880">
        <v>0</v>
      </c>
      <c r="M880">
        <v>0</v>
      </c>
      <c r="N880">
        <f>IF(O880,TRUE,AND(R880:W880))</f>
        <v>0</v>
      </c>
      <c r="O880">
        <f>COUNTBLANK(Metadata!B880:G880)=COLUMNS(Metadata!B880:G880)</f>
        <v>0</v>
      </c>
      <c r="P880">
        <v>0</v>
      </c>
      <c r="R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S880">
        <f>IF(Metadata!C880="",FALSE,TRUE)</f>
        <v>0</v>
      </c>
      <c r="T880">
        <f>IF(Metadata!D880="",FALSE,TRUE)</f>
        <v>0</v>
      </c>
      <c r="U880">
        <f>IF(Metadata!E880="",FALSE,TRUE)</f>
        <v>0</v>
      </c>
      <c r="V880">
        <f>AND(IF(Metadata!F880="",FALSE,TRUE),exact(Metadata!F880,"rat gut metagenome"))</f>
        <v>0</v>
      </c>
      <c r="W880">
        <f>AND(IF(Metadata!G880="",FALSE,TRUE),exact(Metadata!G880,"1436733"))</f>
        <v>0</v>
      </c>
    </row>
    <row r="881" spans="1:23">
      <c r="A881" s="4">
        <f>IF(B881=" "," ",HYPERLINK(CONCATENATE("#metadata!",ADDRESS(INDEX($M$2:$M$1001,MATCH(ROWS($K$2:K881),$K$2:$K$1001,0),0),1)),INDEX($P$2:$P$1001,MATCH(ROWS($K$2:K881),$K$2:$K$1001,0),0)))</f>
        <v>0</v>
      </c>
      <c r="B881" s="3">
        <f>IF(OR(INDEX($L$2:$L$1001,MATCH(ROWS($K$2:K881),$K$2:$K$1001,0),1)&gt;=100000,INDEX($R$1005:$W$1005,1,MATCH(COLUMNS($R$1006:R1006),$R$1006:$W$1006,0))&gt;=100000), " ",IF(INDEX($R$2:$W$1001,MATCH(ROWS($K$2:K881),$K$2:$K$1001,0),MATCH(COLUMNS($R$1006:R1006),$R$1006:$W$1006,0)), HYPERLINK("#",""), HYPERLINK(CONCATENATE("#Metadata!", ADDRESS(INDEX($M$2:$M$1001,MATCH(ROWS($K$2:K881),$K$2:$K$1001,0),0), INDEX($R$1004:$W$1004,1,MATCH(COLUMNS($R$1006:R1006),$R$1006:$W$1006,0)))),"Fix")))</f>
        <v>0</v>
      </c>
      <c r="C881" s="3">
        <f>IF(OR(INDEX($L$2:$L$1001,MATCH(ROWS($K$2:K881),$K$2:$K$1001,0),1)&gt;=100000,INDEX($R$1005:$W$1005,1,MATCH(COLUMNS($R$1006:S1006),$R$1006:$W$1006,0))&gt;=100000), " ",IF(INDEX($R$2:$W$1001,MATCH(ROWS($K$2:K881),$K$2:$K$1001,0),MATCH(COLUMNS($R$1006:S1006),$R$1006:$W$1006,0)), HYPERLINK("#",""), HYPERLINK(CONCATENATE("#Metadata!", ADDRESS(INDEX($M$2:$M$1001,MATCH(ROWS($K$2:K881),$K$2:$K$1001,0),0), INDEX($R$1004:$W$1004,1,MATCH(COLUMNS($R$1006:S1006),$R$1006:$W$1006,0)))),"Fix")))</f>
        <v>0</v>
      </c>
      <c r="D881" s="3">
        <f>IF(OR(INDEX($L$2:$L$1001,MATCH(ROWS($K$2:K881),$K$2:$K$1001,0),1)&gt;=100000,INDEX($R$1005:$W$1005,1,MATCH(COLUMNS($R$1006:T1006),$R$1006:$W$1006,0))&gt;=100000), " ",IF(INDEX($R$2:$W$1001,MATCH(ROWS($K$2:K881),$K$2:$K$1001,0),MATCH(COLUMNS($R$1006:T1006),$R$1006:$W$1006,0)), HYPERLINK("#",""), HYPERLINK(CONCATENATE("#Metadata!", ADDRESS(INDEX($M$2:$M$1001,MATCH(ROWS($K$2:K881),$K$2:$K$1001,0),0), INDEX($R$1004:$W$1004,1,MATCH(COLUMNS($R$1006:T1006),$R$1006:$W$1006,0)))),"Fix")))</f>
        <v>0</v>
      </c>
      <c r="E881" s="3">
        <f>IF(OR(INDEX($L$2:$L$1001,MATCH(ROWS($K$2:K881),$K$2:$K$1001,0),1)&gt;=100000,INDEX($R$1005:$W$1005,1,MATCH(COLUMNS($R$1006:U1006),$R$1006:$W$1006,0))&gt;=100000), " ",IF(INDEX($R$2:$W$1001,MATCH(ROWS($K$2:K881),$K$2:$K$1001,0),MATCH(COLUMNS($R$1006:U1006),$R$1006:$W$1006,0)), HYPERLINK("#",""), HYPERLINK(CONCATENATE("#Metadata!", ADDRESS(INDEX($M$2:$M$1001,MATCH(ROWS($K$2:K881),$K$2:$K$1001,0),0), INDEX($R$1004:$W$1004,1,MATCH(COLUMNS($R$1006:U1006),$R$1006:$W$1006,0)))),"Fix")))</f>
        <v>0</v>
      </c>
      <c r="F881" s="3">
        <f>IF(OR(INDEX($L$2:$L$1001,MATCH(ROWS($K$2:K881),$K$2:$K$1001,0),1)&gt;=100000,INDEX($R$1005:$W$1005,1,MATCH(COLUMNS($R$1006:V1006),$R$1006:$W$1006,0))&gt;=100000), " ",IF(INDEX($R$2:$W$1001,MATCH(ROWS($K$2:K881),$K$2:$K$1001,0),MATCH(COLUMNS($R$1006:V1006),$R$1006:$W$1006,0)), HYPERLINK("#",""), HYPERLINK(CONCATENATE("#Metadata!", ADDRESS(INDEX($M$2:$M$1001,MATCH(ROWS($K$2:K881),$K$2:$K$1001,0),0), INDEX($R$1004:$W$1004,1,MATCH(COLUMNS($R$1006:V1006),$R$1006:$W$1006,0)))),"Fix")))</f>
        <v>0</v>
      </c>
      <c r="G881" s="3">
        <f>IF(OR(INDEX($L$2:$L$1001,MATCH(ROWS($K$2:K881),$K$2:$K$1001,0),1)&gt;=100000,INDEX($R$1005:$W$1005,1,MATCH(COLUMNS($R$1006:W1006),$R$1006:$W$1006,0))&gt;=100000), " ",IF(INDEX($R$2:$W$1001,MATCH(ROWS($K$2:K881),$K$2:$K$1001,0),MATCH(COLUMNS($R$1006:W1006),$R$1006:$W$1006,0)), HYPERLINK("#",""), HYPERLINK(CONCATENATE("#Metadata!", ADDRESS(INDEX($M$2:$M$1001,MATCH(ROWS($K$2:K881),$K$2:$K$1001,0),0), INDEX($R$1004:$W$1004,1,MATCH(COLUMNS($R$1006:W1006),$R$1006:$W$1006,0)))),"Fix")))</f>
        <v>0</v>
      </c>
      <c r="K881">
        <v>0</v>
      </c>
      <c r="L881">
        <v>0</v>
      </c>
      <c r="M881">
        <v>0</v>
      </c>
      <c r="N881">
        <f>IF(O881,TRUE,AND(R881:W881))</f>
        <v>0</v>
      </c>
      <c r="O881">
        <f>COUNTBLANK(Metadata!B881:G881)=COLUMNS(Metadata!B881:G881)</f>
        <v>0</v>
      </c>
      <c r="P881">
        <v>0</v>
      </c>
      <c r="R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S881">
        <f>IF(Metadata!C881="",FALSE,TRUE)</f>
        <v>0</v>
      </c>
      <c r="T881">
        <f>IF(Metadata!D881="",FALSE,TRUE)</f>
        <v>0</v>
      </c>
      <c r="U881">
        <f>IF(Metadata!E881="",FALSE,TRUE)</f>
        <v>0</v>
      </c>
      <c r="V881">
        <f>AND(IF(Metadata!F881="",FALSE,TRUE),exact(Metadata!F881,"rat gut metagenome"))</f>
        <v>0</v>
      </c>
      <c r="W881">
        <f>AND(IF(Metadata!G881="",FALSE,TRUE),exact(Metadata!G881,"1436733"))</f>
        <v>0</v>
      </c>
    </row>
    <row r="882" spans="1:23">
      <c r="A882" s="4">
        <f>IF(B882=" "," ",HYPERLINK(CONCATENATE("#metadata!",ADDRESS(INDEX($M$2:$M$1001,MATCH(ROWS($K$2:K882),$K$2:$K$1001,0),0),1)),INDEX($P$2:$P$1001,MATCH(ROWS($K$2:K882),$K$2:$K$1001,0),0)))</f>
        <v>0</v>
      </c>
      <c r="B882" s="3">
        <f>IF(OR(INDEX($L$2:$L$1001,MATCH(ROWS($K$2:K882),$K$2:$K$1001,0),1)&gt;=100000,INDEX($R$1005:$W$1005,1,MATCH(COLUMNS($R$1006:R1006),$R$1006:$W$1006,0))&gt;=100000), " ",IF(INDEX($R$2:$W$1001,MATCH(ROWS($K$2:K882),$K$2:$K$1001,0),MATCH(COLUMNS($R$1006:R1006),$R$1006:$W$1006,0)), HYPERLINK("#",""), HYPERLINK(CONCATENATE("#Metadata!", ADDRESS(INDEX($M$2:$M$1001,MATCH(ROWS($K$2:K882),$K$2:$K$1001,0),0), INDEX($R$1004:$W$1004,1,MATCH(COLUMNS($R$1006:R1006),$R$1006:$W$1006,0)))),"Fix")))</f>
        <v>0</v>
      </c>
      <c r="C882" s="3">
        <f>IF(OR(INDEX($L$2:$L$1001,MATCH(ROWS($K$2:K882),$K$2:$K$1001,0),1)&gt;=100000,INDEX($R$1005:$W$1005,1,MATCH(COLUMNS($R$1006:S1006),$R$1006:$W$1006,0))&gt;=100000), " ",IF(INDEX($R$2:$W$1001,MATCH(ROWS($K$2:K882),$K$2:$K$1001,0),MATCH(COLUMNS($R$1006:S1006),$R$1006:$W$1006,0)), HYPERLINK("#",""), HYPERLINK(CONCATENATE("#Metadata!", ADDRESS(INDEX($M$2:$M$1001,MATCH(ROWS($K$2:K882),$K$2:$K$1001,0),0), INDEX($R$1004:$W$1004,1,MATCH(COLUMNS($R$1006:S1006),$R$1006:$W$1006,0)))),"Fix")))</f>
        <v>0</v>
      </c>
      <c r="D882" s="3">
        <f>IF(OR(INDEX($L$2:$L$1001,MATCH(ROWS($K$2:K882),$K$2:$K$1001,0),1)&gt;=100000,INDEX($R$1005:$W$1005,1,MATCH(COLUMNS($R$1006:T1006),$R$1006:$W$1006,0))&gt;=100000), " ",IF(INDEX($R$2:$W$1001,MATCH(ROWS($K$2:K882),$K$2:$K$1001,0),MATCH(COLUMNS($R$1006:T1006),$R$1006:$W$1006,0)), HYPERLINK("#",""), HYPERLINK(CONCATENATE("#Metadata!", ADDRESS(INDEX($M$2:$M$1001,MATCH(ROWS($K$2:K882),$K$2:$K$1001,0),0), INDEX($R$1004:$W$1004,1,MATCH(COLUMNS($R$1006:T1006),$R$1006:$W$1006,0)))),"Fix")))</f>
        <v>0</v>
      </c>
      <c r="E882" s="3">
        <f>IF(OR(INDEX($L$2:$L$1001,MATCH(ROWS($K$2:K882),$K$2:$K$1001,0),1)&gt;=100000,INDEX($R$1005:$W$1005,1,MATCH(COLUMNS($R$1006:U1006),$R$1006:$W$1006,0))&gt;=100000), " ",IF(INDEX($R$2:$W$1001,MATCH(ROWS($K$2:K882),$K$2:$K$1001,0),MATCH(COLUMNS($R$1006:U1006),$R$1006:$W$1006,0)), HYPERLINK("#",""), HYPERLINK(CONCATENATE("#Metadata!", ADDRESS(INDEX($M$2:$M$1001,MATCH(ROWS($K$2:K882),$K$2:$K$1001,0),0), INDEX($R$1004:$W$1004,1,MATCH(COLUMNS($R$1006:U1006),$R$1006:$W$1006,0)))),"Fix")))</f>
        <v>0</v>
      </c>
      <c r="F882" s="3">
        <f>IF(OR(INDEX($L$2:$L$1001,MATCH(ROWS($K$2:K882),$K$2:$K$1001,0),1)&gt;=100000,INDEX($R$1005:$W$1005,1,MATCH(COLUMNS($R$1006:V1006),$R$1006:$W$1006,0))&gt;=100000), " ",IF(INDEX($R$2:$W$1001,MATCH(ROWS($K$2:K882),$K$2:$K$1001,0),MATCH(COLUMNS($R$1006:V1006),$R$1006:$W$1006,0)), HYPERLINK("#",""), HYPERLINK(CONCATENATE("#Metadata!", ADDRESS(INDEX($M$2:$M$1001,MATCH(ROWS($K$2:K882),$K$2:$K$1001,0),0), INDEX($R$1004:$W$1004,1,MATCH(COLUMNS($R$1006:V1006),$R$1006:$W$1006,0)))),"Fix")))</f>
        <v>0</v>
      </c>
      <c r="G882" s="3">
        <f>IF(OR(INDEX($L$2:$L$1001,MATCH(ROWS($K$2:K882),$K$2:$K$1001,0),1)&gt;=100000,INDEX($R$1005:$W$1005,1,MATCH(COLUMNS($R$1006:W1006),$R$1006:$W$1006,0))&gt;=100000), " ",IF(INDEX($R$2:$W$1001,MATCH(ROWS($K$2:K882),$K$2:$K$1001,0),MATCH(COLUMNS($R$1006:W1006),$R$1006:$W$1006,0)), HYPERLINK("#",""), HYPERLINK(CONCATENATE("#Metadata!", ADDRESS(INDEX($M$2:$M$1001,MATCH(ROWS($K$2:K882),$K$2:$K$1001,0),0), INDEX($R$1004:$W$1004,1,MATCH(COLUMNS($R$1006:W1006),$R$1006:$W$1006,0)))),"Fix")))</f>
        <v>0</v>
      </c>
      <c r="K882">
        <v>0</v>
      </c>
      <c r="L882">
        <v>0</v>
      </c>
      <c r="M882">
        <v>0</v>
      </c>
      <c r="N882">
        <f>IF(O882,TRUE,AND(R882:W882))</f>
        <v>0</v>
      </c>
      <c r="O882">
        <f>COUNTBLANK(Metadata!B882:G882)=COLUMNS(Metadata!B882:G882)</f>
        <v>0</v>
      </c>
      <c r="P882">
        <v>0</v>
      </c>
      <c r="R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S882">
        <f>IF(Metadata!C882="",FALSE,TRUE)</f>
        <v>0</v>
      </c>
      <c r="T882">
        <f>IF(Metadata!D882="",FALSE,TRUE)</f>
        <v>0</v>
      </c>
      <c r="U882">
        <f>IF(Metadata!E882="",FALSE,TRUE)</f>
        <v>0</v>
      </c>
      <c r="V882">
        <f>AND(IF(Metadata!F882="",FALSE,TRUE),exact(Metadata!F882,"rat gut metagenome"))</f>
        <v>0</v>
      </c>
      <c r="W882">
        <f>AND(IF(Metadata!G882="",FALSE,TRUE),exact(Metadata!G882,"1436733"))</f>
        <v>0</v>
      </c>
    </row>
    <row r="883" spans="1:23">
      <c r="A883" s="4">
        <f>IF(B883=" "," ",HYPERLINK(CONCATENATE("#metadata!",ADDRESS(INDEX($M$2:$M$1001,MATCH(ROWS($K$2:K883),$K$2:$K$1001,0),0),1)),INDEX($P$2:$P$1001,MATCH(ROWS($K$2:K883),$K$2:$K$1001,0),0)))</f>
        <v>0</v>
      </c>
      <c r="B883" s="3">
        <f>IF(OR(INDEX($L$2:$L$1001,MATCH(ROWS($K$2:K883),$K$2:$K$1001,0),1)&gt;=100000,INDEX($R$1005:$W$1005,1,MATCH(COLUMNS($R$1006:R1006),$R$1006:$W$1006,0))&gt;=100000), " ",IF(INDEX($R$2:$W$1001,MATCH(ROWS($K$2:K883),$K$2:$K$1001,0),MATCH(COLUMNS($R$1006:R1006),$R$1006:$W$1006,0)), HYPERLINK("#",""), HYPERLINK(CONCATENATE("#Metadata!", ADDRESS(INDEX($M$2:$M$1001,MATCH(ROWS($K$2:K883),$K$2:$K$1001,0),0), INDEX($R$1004:$W$1004,1,MATCH(COLUMNS($R$1006:R1006),$R$1006:$W$1006,0)))),"Fix")))</f>
        <v>0</v>
      </c>
      <c r="C883" s="3">
        <f>IF(OR(INDEX($L$2:$L$1001,MATCH(ROWS($K$2:K883),$K$2:$K$1001,0),1)&gt;=100000,INDEX($R$1005:$W$1005,1,MATCH(COLUMNS($R$1006:S1006),$R$1006:$W$1006,0))&gt;=100000), " ",IF(INDEX($R$2:$W$1001,MATCH(ROWS($K$2:K883),$K$2:$K$1001,0),MATCH(COLUMNS($R$1006:S1006),$R$1006:$W$1006,0)), HYPERLINK("#",""), HYPERLINK(CONCATENATE("#Metadata!", ADDRESS(INDEX($M$2:$M$1001,MATCH(ROWS($K$2:K883),$K$2:$K$1001,0),0), INDEX($R$1004:$W$1004,1,MATCH(COLUMNS($R$1006:S1006),$R$1006:$W$1006,0)))),"Fix")))</f>
        <v>0</v>
      </c>
      <c r="D883" s="3">
        <f>IF(OR(INDEX($L$2:$L$1001,MATCH(ROWS($K$2:K883),$K$2:$K$1001,0),1)&gt;=100000,INDEX($R$1005:$W$1005,1,MATCH(COLUMNS($R$1006:T1006),$R$1006:$W$1006,0))&gt;=100000), " ",IF(INDEX($R$2:$W$1001,MATCH(ROWS($K$2:K883),$K$2:$K$1001,0),MATCH(COLUMNS($R$1006:T1006),$R$1006:$W$1006,0)), HYPERLINK("#",""), HYPERLINK(CONCATENATE("#Metadata!", ADDRESS(INDEX($M$2:$M$1001,MATCH(ROWS($K$2:K883),$K$2:$K$1001,0),0), INDEX($R$1004:$W$1004,1,MATCH(COLUMNS($R$1006:T1006),$R$1006:$W$1006,0)))),"Fix")))</f>
        <v>0</v>
      </c>
      <c r="E883" s="3">
        <f>IF(OR(INDEX($L$2:$L$1001,MATCH(ROWS($K$2:K883),$K$2:$K$1001,0),1)&gt;=100000,INDEX($R$1005:$W$1005,1,MATCH(COLUMNS($R$1006:U1006),$R$1006:$W$1006,0))&gt;=100000), " ",IF(INDEX($R$2:$W$1001,MATCH(ROWS($K$2:K883),$K$2:$K$1001,0),MATCH(COLUMNS($R$1006:U1006),$R$1006:$W$1006,0)), HYPERLINK("#",""), HYPERLINK(CONCATENATE("#Metadata!", ADDRESS(INDEX($M$2:$M$1001,MATCH(ROWS($K$2:K883),$K$2:$K$1001,0),0), INDEX($R$1004:$W$1004,1,MATCH(COLUMNS($R$1006:U1006),$R$1006:$W$1006,0)))),"Fix")))</f>
        <v>0</v>
      </c>
      <c r="F883" s="3">
        <f>IF(OR(INDEX($L$2:$L$1001,MATCH(ROWS($K$2:K883),$K$2:$K$1001,0),1)&gt;=100000,INDEX($R$1005:$W$1005,1,MATCH(COLUMNS($R$1006:V1006),$R$1006:$W$1006,0))&gt;=100000), " ",IF(INDEX($R$2:$W$1001,MATCH(ROWS($K$2:K883),$K$2:$K$1001,0),MATCH(COLUMNS($R$1006:V1006),$R$1006:$W$1006,0)), HYPERLINK("#",""), HYPERLINK(CONCATENATE("#Metadata!", ADDRESS(INDEX($M$2:$M$1001,MATCH(ROWS($K$2:K883),$K$2:$K$1001,0),0), INDEX($R$1004:$W$1004,1,MATCH(COLUMNS($R$1006:V1006),$R$1006:$W$1006,0)))),"Fix")))</f>
        <v>0</v>
      </c>
      <c r="G883" s="3">
        <f>IF(OR(INDEX($L$2:$L$1001,MATCH(ROWS($K$2:K883),$K$2:$K$1001,0),1)&gt;=100000,INDEX($R$1005:$W$1005,1,MATCH(COLUMNS($R$1006:W1006),$R$1006:$W$1006,0))&gt;=100000), " ",IF(INDEX($R$2:$W$1001,MATCH(ROWS($K$2:K883),$K$2:$K$1001,0),MATCH(COLUMNS($R$1006:W1006),$R$1006:$W$1006,0)), HYPERLINK("#",""), HYPERLINK(CONCATENATE("#Metadata!", ADDRESS(INDEX($M$2:$M$1001,MATCH(ROWS($K$2:K883),$K$2:$K$1001,0),0), INDEX($R$1004:$W$1004,1,MATCH(COLUMNS($R$1006:W1006),$R$1006:$W$1006,0)))),"Fix")))</f>
        <v>0</v>
      </c>
      <c r="K883">
        <v>0</v>
      </c>
      <c r="L883">
        <v>0</v>
      </c>
      <c r="M883">
        <v>0</v>
      </c>
      <c r="N883">
        <f>IF(O883,TRUE,AND(R883:W883))</f>
        <v>0</v>
      </c>
      <c r="O883">
        <f>COUNTBLANK(Metadata!B883:G883)=COLUMNS(Metadata!B883:G883)</f>
        <v>0</v>
      </c>
      <c r="P883">
        <v>0</v>
      </c>
      <c r="R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S883">
        <f>IF(Metadata!C883="",FALSE,TRUE)</f>
        <v>0</v>
      </c>
      <c r="T883">
        <f>IF(Metadata!D883="",FALSE,TRUE)</f>
        <v>0</v>
      </c>
      <c r="U883">
        <f>IF(Metadata!E883="",FALSE,TRUE)</f>
        <v>0</v>
      </c>
      <c r="V883">
        <f>AND(IF(Metadata!F883="",FALSE,TRUE),exact(Metadata!F883,"rat gut metagenome"))</f>
        <v>0</v>
      </c>
      <c r="W883">
        <f>AND(IF(Metadata!G883="",FALSE,TRUE),exact(Metadata!G883,"1436733"))</f>
        <v>0</v>
      </c>
    </row>
    <row r="884" spans="1:23">
      <c r="A884" s="4">
        <f>IF(B884=" "," ",HYPERLINK(CONCATENATE("#metadata!",ADDRESS(INDEX($M$2:$M$1001,MATCH(ROWS($K$2:K884),$K$2:$K$1001,0),0),1)),INDEX($P$2:$P$1001,MATCH(ROWS($K$2:K884),$K$2:$K$1001,0),0)))</f>
        <v>0</v>
      </c>
      <c r="B884" s="3">
        <f>IF(OR(INDEX($L$2:$L$1001,MATCH(ROWS($K$2:K884),$K$2:$K$1001,0),1)&gt;=100000,INDEX($R$1005:$W$1005,1,MATCH(COLUMNS($R$1006:R1006),$R$1006:$W$1006,0))&gt;=100000), " ",IF(INDEX($R$2:$W$1001,MATCH(ROWS($K$2:K884),$K$2:$K$1001,0),MATCH(COLUMNS($R$1006:R1006),$R$1006:$W$1006,0)), HYPERLINK("#",""), HYPERLINK(CONCATENATE("#Metadata!", ADDRESS(INDEX($M$2:$M$1001,MATCH(ROWS($K$2:K884),$K$2:$K$1001,0),0), INDEX($R$1004:$W$1004,1,MATCH(COLUMNS($R$1006:R1006),$R$1006:$W$1006,0)))),"Fix")))</f>
        <v>0</v>
      </c>
      <c r="C884" s="3">
        <f>IF(OR(INDEX($L$2:$L$1001,MATCH(ROWS($K$2:K884),$K$2:$K$1001,0),1)&gt;=100000,INDEX($R$1005:$W$1005,1,MATCH(COLUMNS($R$1006:S1006),$R$1006:$W$1006,0))&gt;=100000), " ",IF(INDEX($R$2:$W$1001,MATCH(ROWS($K$2:K884),$K$2:$K$1001,0),MATCH(COLUMNS($R$1006:S1006),$R$1006:$W$1006,0)), HYPERLINK("#",""), HYPERLINK(CONCATENATE("#Metadata!", ADDRESS(INDEX($M$2:$M$1001,MATCH(ROWS($K$2:K884),$K$2:$K$1001,0),0), INDEX($R$1004:$W$1004,1,MATCH(COLUMNS($R$1006:S1006),$R$1006:$W$1006,0)))),"Fix")))</f>
        <v>0</v>
      </c>
      <c r="D884" s="3">
        <f>IF(OR(INDEX($L$2:$L$1001,MATCH(ROWS($K$2:K884),$K$2:$K$1001,0),1)&gt;=100000,INDEX($R$1005:$W$1005,1,MATCH(COLUMNS($R$1006:T1006),$R$1006:$W$1006,0))&gt;=100000), " ",IF(INDEX($R$2:$W$1001,MATCH(ROWS($K$2:K884),$K$2:$K$1001,0),MATCH(COLUMNS($R$1006:T1006),$R$1006:$W$1006,0)), HYPERLINK("#",""), HYPERLINK(CONCATENATE("#Metadata!", ADDRESS(INDEX($M$2:$M$1001,MATCH(ROWS($K$2:K884),$K$2:$K$1001,0),0), INDEX($R$1004:$W$1004,1,MATCH(COLUMNS($R$1006:T1006),$R$1006:$W$1006,0)))),"Fix")))</f>
        <v>0</v>
      </c>
      <c r="E884" s="3">
        <f>IF(OR(INDEX($L$2:$L$1001,MATCH(ROWS($K$2:K884),$K$2:$K$1001,0),1)&gt;=100000,INDEX($R$1005:$W$1005,1,MATCH(COLUMNS($R$1006:U1006),$R$1006:$W$1006,0))&gt;=100000), " ",IF(INDEX($R$2:$W$1001,MATCH(ROWS($K$2:K884),$K$2:$K$1001,0),MATCH(COLUMNS($R$1006:U1006),$R$1006:$W$1006,0)), HYPERLINK("#",""), HYPERLINK(CONCATENATE("#Metadata!", ADDRESS(INDEX($M$2:$M$1001,MATCH(ROWS($K$2:K884),$K$2:$K$1001,0),0), INDEX($R$1004:$W$1004,1,MATCH(COLUMNS($R$1006:U1006),$R$1006:$W$1006,0)))),"Fix")))</f>
        <v>0</v>
      </c>
      <c r="F884" s="3">
        <f>IF(OR(INDEX($L$2:$L$1001,MATCH(ROWS($K$2:K884),$K$2:$K$1001,0),1)&gt;=100000,INDEX($R$1005:$W$1005,1,MATCH(COLUMNS($R$1006:V1006),$R$1006:$W$1006,0))&gt;=100000), " ",IF(INDEX($R$2:$W$1001,MATCH(ROWS($K$2:K884),$K$2:$K$1001,0),MATCH(COLUMNS($R$1006:V1006),$R$1006:$W$1006,0)), HYPERLINK("#",""), HYPERLINK(CONCATENATE("#Metadata!", ADDRESS(INDEX($M$2:$M$1001,MATCH(ROWS($K$2:K884),$K$2:$K$1001,0),0), INDEX($R$1004:$W$1004,1,MATCH(COLUMNS($R$1006:V1006),$R$1006:$W$1006,0)))),"Fix")))</f>
        <v>0</v>
      </c>
      <c r="G884" s="3">
        <f>IF(OR(INDEX($L$2:$L$1001,MATCH(ROWS($K$2:K884),$K$2:$K$1001,0),1)&gt;=100000,INDEX($R$1005:$W$1005,1,MATCH(COLUMNS($R$1006:W1006),$R$1006:$W$1006,0))&gt;=100000), " ",IF(INDEX($R$2:$W$1001,MATCH(ROWS($K$2:K884),$K$2:$K$1001,0),MATCH(COLUMNS($R$1006:W1006),$R$1006:$W$1006,0)), HYPERLINK("#",""), HYPERLINK(CONCATENATE("#Metadata!", ADDRESS(INDEX($M$2:$M$1001,MATCH(ROWS($K$2:K884),$K$2:$K$1001,0),0), INDEX($R$1004:$W$1004,1,MATCH(COLUMNS($R$1006:W1006),$R$1006:$W$1006,0)))),"Fix")))</f>
        <v>0</v>
      </c>
      <c r="K884">
        <v>0</v>
      </c>
      <c r="L884">
        <v>0</v>
      </c>
      <c r="M884">
        <v>0</v>
      </c>
      <c r="N884">
        <f>IF(O884,TRUE,AND(R884:W884))</f>
        <v>0</v>
      </c>
      <c r="O884">
        <f>COUNTBLANK(Metadata!B884:G884)=COLUMNS(Metadata!B884:G884)</f>
        <v>0</v>
      </c>
      <c r="P884">
        <v>0</v>
      </c>
      <c r="R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S884">
        <f>IF(Metadata!C884="",FALSE,TRUE)</f>
        <v>0</v>
      </c>
      <c r="T884">
        <f>IF(Metadata!D884="",FALSE,TRUE)</f>
        <v>0</v>
      </c>
      <c r="U884">
        <f>IF(Metadata!E884="",FALSE,TRUE)</f>
        <v>0</v>
      </c>
      <c r="V884">
        <f>AND(IF(Metadata!F884="",FALSE,TRUE),exact(Metadata!F884,"rat gut metagenome"))</f>
        <v>0</v>
      </c>
      <c r="W884">
        <f>AND(IF(Metadata!G884="",FALSE,TRUE),exact(Metadata!G884,"1436733"))</f>
        <v>0</v>
      </c>
    </row>
    <row r="885" spans="1:23">
      <c r="A885" s="4">
        <f>IF(B885=" "," ",HYPERLINK(CONCATENATE("#metadata!",ADDRESS(INDEX($M$2:$M$1001,MATCH(ROWS($K$2:K885),$K$2:$K$1001,0),0),1)),INDEX($P$2:$P$1001,MATCH(ROWS($K$2:K885),$K$2:$K$1001,0),0)))</f>
        <v>0</v>
      </c>
      <c r="B885" s="3">
        <f>IF(OR(INDEX($L$2:$L$1001,MATCH(ROWS($K$2:K885),$K$2:$K$1001,0),1)&gt;=100000,INDEX($R$1005:$W$1005,1,MATCH(COLUMNS($R$1006:R1006),$R$1006:$W$1006,0))&gt;=100000), " ",IF(INDEX($R$2:$W$1001,MATCH(ROWS($K$2:K885),$K$2:$K$1001,0),MATCH(COLUMNS($R$1006:R1006),$R$1006:$W$1006,0)), HYPERLINK("#",""), HYPERLINK(CONCATENATE("#Metadata!", ADDRESS(INDEX($M$2:$M$1001,MATCH(ROWS($K$2:K885),$K$2:$K$1001,0),0), INDEX($R$1004:$W$1004,1,MATCH(COLUMNS($R$1006:R1006),$R$1006:$W$1006,0)))),"Fix")))</f>
        <v>0</v>
      </c>
      <c r="C885" s="3">
        <f>IF(OR(INDEX($L$2:$L$1001,MATCH(ROWS($K$2:K885),$K$2:$K$1001,0),1)&gt;=100000,INDEX($R$1005:$W$1005,1,MATCH(COLUMNS($R$1006:S1006),$R$1006:$W$1006,0))&gt;=100000), " ",IF(INDEX($R$2:$W$1001,MATCH(ROWS($K$2:K885),$K$2:$K$1001,0),MATCH(COLUMNS($R$1006:S1006),$R$1006:$W$1006,0)), HYPERLINK("#",""), HYPERLINK(CONCATENATE("#Metadata!", ADDRESS(INDEX($M$2:$M$1001,MATCH(ROWS($K$2:K885),$K$2:$K$1001,0),0), INDEX($R$1004:$W$1004,1,MATCH(COLUMNS($R$1006:S1006),$R$1006:$W$1006,0)))),"Fix")))</f>
        <v>0</v>
      </c>
      <c r="D885" s="3">
        <f>IF(OR(INDEX($L$2:$L$1001,MATCH(ROWS($K$2:K885),$K$2:$K$1001,0),1)&gt;=100000,INDEX($R$1005:$W$1005,1,MATCH(COLUMNS($R$1006:T1006),$R$1006:$W$1006,0))&gt;=100000), " ",IF(INDEX($R$2:$W$1001,MATCH(ROWS($K$2:K885),$K$2:$K$1001,0),MATCH(COLUMNS($R$1006:T1006),$R$1006:$W$1006,0)), HYPERLINK("#",""), HYPERLINK(CONCATENATE("#Metadata!", ADDRESS(INDEX($M$2:$M$1001,MATCH(ROWS($K$2:K885),$K$2:$K$1001,0),0), INDEX($R$1004:$W$1004,1,MATCH(COLUMNS($R$1006:T1006),$R$1006:$W$1006,0)))),"Fix")))</f>
        <v>0</v>
      </c>
      <c r="E885" s="3">
        <f>IF(OR(INDEX($L$2:$L$1001,MATCH(ROWS($K$2:K885),$K$2:$K$1001,0),1)&gt;=100000,INDEX($R$1005:$W$1005,1,MATCH(COLUMNS($R$1006:U1006),$R$1006:$W$1006,0))&gt;=100000), " ",IF(INDEX($R$2:$W$1001,MATCH(ROWS($K$2:K885),$K$2:$K$1001,0),MATCH(COLUMNS($R$1006:U1006),$R$1006:$W$1006,0)), HYPERLINK("#",""), HYPERLINK(CONCATENATE("#Metadata!", ADDRESS(INDEX($M$2:$M$1001,MATCH(ROWS($K$2:K885),$K$2:$K$1001,0),0), INDEX($R$1004:$W$1004,1,MATCH(COLUMNS($R$1006:U1006),$R$1006:$W$1006,0)))),"Fix")))</f>
        <v>0</v>
      </c>
      <c r="F885" s="3">
        <f>IF(OR(INDEX($L$2:$L$1001,MATCH(ROWS($K$2:K885),$K$2:$K$1001,0),1)&gt;=100000,INDEX($R$1005:$W$1005,1,MATCH(COLUMNS($R$1006:V1006),$R$1006:$W$1006,0))&gt;=100000), " ",IF(INDEX($R$2:$W$1001,MATCH(ROWS($K$2:K885),$K$2:$K$1001,0),MATCH(COLUMNS($R$1006:V1006),$R$1006:$W$1006,0)), HYPERLINK("#",""), HYPERLINK(CONCATENATE("#Metadata!", ADDRESS(INDEX($M$2:$M$1001,MATCH(ROWS($K$2:K885),$K$2:$K$1001,0),0), INDEX($R$1004:$W$1004,1,MATCH(COLUMNS($R$1006:V1006),$R$1006:$W$1006,0)))),"Fix")))</f>
        <v>0</v>
      </c>
      <c r="G885" s="3">
        <f>IF(OR(INDEX($L$2:$L$1001,MATCH(ROWS($K$2:K885),$K$2:$K$1001,0),1)&gt;=100000,INDEX($R$1005:$W$1005,1,MATCH(COLUMNS($R$1006:W1006),$R$1006:$W$1006,0))&gt;=100000), " ",IF(INDEX($R$2:$W$1001,MATCH(ROWS($K$2:K885),$K$2:$K$1001,0),MATCH(COLUMNS($R$1006:W1006),$R$1006:$W$1006,0)), HYPERLINK("#",""), HYPERLINK(CONCATENATE("#Metadata!", ADDRESS(INDEX($M$2:$M$1001,MATCH(ROWS($K$2:K885),$K$2:$K$1001,0),0), INDEX($R$1004:$W$1004,1,MATCH(COLUMNS($R$1006:W1006),$R$1006:$W$1006,0)))),"Fix")))</f>
        <v>0</v>
      </c>
      <c r="K885">
        <v>0</v>
      </c>
      <c r="L885">
        <v>0</v>
      </c>
      <c r="M885">
        <v>0</v>
      </c>
      <c r="N885">
        <f>IF(O885,TRUE,AND(R885:W885))</f>
        <v>0</v>
      </c>
      <c r="O885">
        <f>COUNTBLANK(Metadata!B885:G885)=COLUMNS(Metadata!B885:G885)</f>
        <v>0</v>
      </c>
      <c r="P885">
        <v>0</v>
      </c>
      <c r="R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S885">
        <f>IF(Metadata!C885="",FALSE,TRUE)</f>
        <v>0</v>
      </c>
      <c r="T885">
        <f>IF(Metadata!D885="",FALSE,TRUE)</f>
        <v>0</v>
      </c>
      <c r="U885">
        <f>IF(Metadata!E885="",FALSE,TRUE)</f>
        <v>0</v>
      </c>
      <c r="V885">
        <f>AND(IF(Metadata!F885="",FALSE,TRUE),exact(Metadata!F885,"rat gut metagenome"))</f>
        <v>0</v>
      </c>
      <c r="W885">
        <f>AND(IF(Metadata!G885="",FALSE,TRUE),exact(Metadata!G885,"1436733"))</f>
        <v>0</v>
      </c>
    </row>
    <row r="886" spans="1:23">
      <c r="A886" s="4">
        <f>IF(B886=" "," ",HYPERLINK(CONCATENATE("#metadata!",ADDRESS(INDEX($M$2:$M$1001,MATCH(ROWS($K$2:K886),$K$2:$K$1001,0),0),1)),INDEX($P$2:$P$1001,MATCH(ROWS($K$2:K886),$K$2:$K$1001,0),0)))</f>
        <v>0</v>
      </c>
      <c r="B886" s="3">
        <f>IF(OR(INDEX($L$2:$L$1001,MATCH(ROWS($K$2:K886),$K$2:$K$1001,0),1)&gt;=100000,INDEX($R$1005:$W$1005,1,MATCH(COLUMNS($R$1006:R1006),$R$1006:$W$1006,0))&gt;=100000), " ",IF(INDEX($R$2:$W$1001,MATCH(ROWS($K$2:K886),$K$2:$K$1001,0),MATCH(COLUMNS($R$1006:R1006),$R$1006:$W$1006,0)), HYPERLINK("#",""), HYPERLINK(CONCATENATE("#Metadata!", ADDRESS(INDEX($M$2:$M$1001,MATCH(ROWS($K$2:K886),$K$2:$K$1001,0),0), INDEX($R$1004:$W$1004,1,MATCH(COLUMNS($R$1006:R1006),$R$1006:$W$1006,0)))),"Fix")))</f>
        <v>0</v>
      </c>
      <c r="C886" s="3">
        <f>IF(OR(INDEX($L$2:$L$1001,MATCH(ROWS($K$2:K886),$K$2:$K$1001,0),1)&gt;=100000,INDEX($R$1005:$W$1005,1,MATCH(COLUMNS($R$1006:S1006),$R$1006:$W$1006,0))&gt;=100000), " ",IF(INDEX($R$2:$W$1001,MATCH(ROWS($K$2:K886),$K$2:$K$1001,0),MATCH(COLUMNS($R$1006:S1006),$R$1006:$W$1006,0)), HYPERLINK("#",""), HYPERLINK(CONCATENATE("#Metadata!", ADDRESS(INDEX($M$2:$M$1001,MATCH(ROWS($K$2:K886),$K$2:$K$1001,0),0), INDEX($R$1004:$W$1004,1,MATCH(COLUMNS($R$1006:S1006),$R$1006:$W$1006,0)))),"Fix")))</f>
        <v>0</v>
      </c>
      <c r="D886" s="3">
        <f>IF(OR(INDEX($L$2:$L$1001,MATCH(ROWS($K$2:K886),$K$2:$K$1001,0),1)&gt;=100000,INDEX($R$1005:$W$1005,1,MATCH(COLUMNS($R$1006:T1006),$R$1006:$W$1006,0))&gt;=100000), " ",IF(INDEX($R$2:$W$1001,MATCH(ROWS($K$2:K886),$K$2:$K$1001,0),MATCH(COLUMNS($R$1006:T1006),$R$1006:$W$1006,0)), HYPERLINK("#",""), HYPERLINK(CONCATENATE("#Metadata!", ADDRESS(INDEX($M$2:$M$1001,MATCH(ROWS($K$2:K886),$K$2:$K$1001,0),0), INDEX($R$1004:$W$1004,1,MATCH(COLUMNS($R$1006:T1006),$R$1006:$W$1006,0)))),"Fix")))</f>
        <v>0</v>
      </c>
      <c r="E886" s="3">
        <f>IF(OR(INDEX($L$2:$L$1001,MATCH(ROWS($K$2:K886),$K$2:$K$1001,0),1)&gt;=100000,INDEX($R$1005:$W$1005,1,MATCH(COLUMNS($R$1006:U1006),$R$1006:$W$1006,0))&gt;=100000), " ",IF(INDEX($R$2:$W$1001,MATCH(ROWS($K$2:K886),$K$2:$K$1001,0),MATCH(COLUMNS($R$1006:U1006),$R$1006:$W$1006,0)), HYPERLINK("#",""), HYPERLINK(CONCATENATE("#Metadata!", ADDRESS(INDEX($M$2:$M$1001,MATCH(ROWS($K$2:K886),$K$2:$K$1001,0),0), INDEX($R$1004:$W$1004,1,MATCH(COLUMNS($R$1006:U1006),$R$1006:$W$1006,0)))),"Fix")))</f>
        <v>0</v>
      </c>
      <c r="F886" s="3">
        <f>IF(OR(INDEX($L$2:$L$1001,MATCH(ROWS($K$2:K886),$K$2:$K$1001,0),1)&gt;=100000,INDEX($R$1005:$W$1005,1,MATCH(COLUMNS($R$1006:V1006),$R$1006:$W$1006,0))&gt;=100000), " ",IF(INDEX($R$2:$W$1001,MATCH(ROWS($K$2:K886),$K$2:$K$1001,0),MATCH(COLUMNS($R$1006:V1006),$R$1006:$W$1006,0)), HYPERLINK("#",""), HYPERLINK(CONCATENATE("#Metadata!", ADDRESS(INDEX($M$2:$M$1001,MATCH(ROWS($K$2:K886),$K$2:$K$1001,0),0), INDEX($R$1004:$W$1004,1,MATCH(COLUMNS($R$1006:V1006),$R$1006:$W$1006,0)))),"Fix")))</f>
        <v>0</v>
      </c>
      <c r="G886" s="3">
        <f>IF(OR(INDEX($L$2:$L$1001,MATCH(ROWS($K$2:K886),$K$2:$K$1001,0),1)&gt;=100000,INDEX($R$1005:$W$1005,1,MATCH(COLUMNS($R$1006:W1006),$R$1006:$W$1006,0))&gt;=100000), " ",IF(INDEX($R$2:$W$1001,MATCH(ROWS($K$2:K886),$K$2:$K$1001,0),MATCH(COLUMNS($R$1006:W1006),$R$1006:$W$1006,0)), HYPERLINK("#",""), HYPERLINK(CONCATENATE("#Metadata!", ADDRESS(INDEX($M$2:$M$1001,MATCH(ROWS($K$2:K886),$K$2:$K$1001,0),0), INDEX($R$1004:$W$1004,1,MATCH(COLUMNS($R$1006:W1006),$R$1006:$W$1006,0)))),"Fix")))</f>
        <v>0</v>
      </c>
      <c r="K886">
        <v>0</v>
      </c>
      <c r="L886">
        <v>0</v>
      </c>
      <c r="M886">
        <v>0</v>
      </c>
      <c r="N886">
        <f>IF(O886,TRUE,AND(R886:W886))</f>
        <v>0</v>
      </c>
      <c r="O886">
        <f>COUNTBLANK(Metadata!B886:G886)=COLUMNS(Metadata!B886:G886)</f>
        <v>0</v>
      </c>
      <c r="P886">
        <v>0</v>
      </c>
      <c r="R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S886">
        <f>IF(Metadata!C886="",FALSE,TRUE)</f>
        <v>0</v>
      </c>
      <c r="T886">
        <f>IF(Metadata!D886="",FALSE,TRUE)</f>
        <v>0</v>
      </c>
      <c r="U886">
        <f>IF(Metadata!E886="",FALSE,TRUE)</f>
        <v>0</v>
      </c>
      <c r="V886">
        <f>AND(IF(Metadata!F886="",FALSE,TRUE),exact(Metadata!F886,"rat gut metagenome"))</f>
        <v>0</v>
      </c>
      <c r="W886">
        <f>AND(IF(Metadata!G886="",FALSE,TRUE),exact(Metadata!G886,"1436733"))</f>
        <v>0</v>
      </c>
    </row>
    <row r="887" spans="1:23">
      <c r="A887" s="4">
        <f>IF(B887=" "," ",HYPERLINK(CONCATENATE("#metadata!",ADDRESS(INDEX($M$2:$M$1001,MATCH(ROWS($K$2:K887),$K$2:$K$1001,0),0),1)),INDEX($P$2:$P$1001,MATCH(ROWS($K$2:K887),$K$2:$K$1001,0),0)))</f>
        <v>0</v>
      </c>
      <c r="B887" s="3">
        <f>IF(OR(INDEX($L$2:$L$1001,MATCH(ROWS($K$2:K887),$K$2:$K$1001,0),1)&gt;=100000,INDEX($R$1005:$W$1005,1,MATCH(COLUMNS($R$1006:R1006),$R$1006:$W$1006,0))&gt;=100000), " ",IF(INDEX($R$2:$W$1001,MATCH(ROWS($K$2:K887),$K$2:$K$1001,0),MATCH(COLUMNS($R$1006:R1006),$R$1006:$W$1006,0)), HYPERLINK("#",""), HYPERLINK(CONCATENATE("#Metadata!", ADDRESS(INDEX($M$2:$M$1001,MATCH(ROWS($K$2:K887),$K$2:$K$1001,0),0), INDEX($R$1004:$W$1004,1,MATCH(COLUMNS($R$1006:R1006),$R$1006:$W$1006,0)))),"Fix")))</f>
        <v>0</v>
      </c>
      <c r="C887" s="3">
        <f>IF(OR(INDEX($L$2:$L$1001,MATCH(ROWS($K$2:K887),$K$2:$K$1001,0),1)&gt;=100000,INDEX($R$1005:$W$1005,1,MATCH(COLUMNS($R$1006:S1006),$R$1006:$W$1006,0))&gt;=100000), " ",IF(INDEX($R$2:$W$1001,MATCH(ROWS($K$2:K887),$K$2:$K$1001,0),MATCH(COLUMNS($R$1006:S1006),$R$1006:$W$1006,0)), HYPERLINK("#",""), HYPERLINK(CONCATENATE("#Metadata!", ADDRESS(INDEX($M$2:$M$1001,MATCH(ROWS($K$2:K887),$K$2:$K$1001,0),0), INDEX($R$1004:$W$1004,1,MATCH(COLUMNS($R$1006:S1006),$R$1006:$W$1006,0)))),"Fix")))</f>
        <v>0</v>
      </c>
      <c r="D887" s="3">
        <f>IF(OR(INDEX($L$2:$L$1001,MATCH(ROWS($K$2:K887),$K$2:$K$1001,0),1)&gt;=100000,INDEX($R$1005:$W$1005,1,MATCH(COLUMNS($R$1006:T1006),$R$1006:$W$1006,0))&gt;=100000), " ",IF(INDEX($R$2:$W$1001,MATCH(ROWS($K$2:K887),$K$2:$K$1001,0),MATCH(COLUMNS($R$1006:T1006),$R$1006:$W$1006,0)), HYPERLINK("#",""), HYPERLINK(CONCATENATE("#Metadata!", ADDRESS(INDEX($M$2:$M$1001,MATCH(ROWS($K$2:K887),$K$2:$K$1001,0),0), INDEX($R$1004:$W$1004,1,MATCH(COLUMNS($R$1006:T1006),$R$1006:$W$1006,0)))),"Fix")))</f>
        <v>0</v>
      </c>
      <c r="E887" s="3">
        <f>IF(OR(INDEX($L$2:$L$1001,MATCH(ROWS($K$2:K887),$K$2:$K$1001,0),1)&gt;=100000,INDEX($R$1005:$W$1005,1,MATCH(COLUMNS($R$1006:U1006),$R$1006:$W$1006,0))&gt;=100000), " ",IF(INDEX($R$2:$W$1001,MATCH(ROWS($K$2:K887),$K$2:$K$1001,0),MATCH(COLUMNS($R$1006:U1006),$R$1006:$W$1006,0)), HYPERLINK("#",""), HYPERLINK(CONCATENATE("#Metadata!", ADDRESS(INDEX($M$2:$M$1001,MATCH(ROWS($K$2:K887),$K$2:$K$1001,0),0), INDEX($R$1004:$W$1004,1,MATCH(COLUMNS($R$1006:U1006),$R$1006:$W$1006,0)))),"Fix")))</f>
        <v>0</v>
      </c>
      <c r="F887" s="3">
        <f>IF(OR(INDEX($L$2:$L$1001,MATCH(ROWS($K$2:K887),$K$2:$K$1001,0),1)&gt;=100000,INDEX($R$1005:$W$1005,1,MATCH(COLUMNS($R$1006:V1006),$R$1006:$W$1006,0))&gt;=100000), " ",IF(INDEX($R$2:$W$1001,MATCH(ROWS($K$2:K887),$K$2:$K$1001,0),MATCH(COLUMNS($R$1006:V1006),$R$1006:$W$1006,0)), HYPERLINK("#",""), HYPERLINK(CONCATENATE("#Metadata!", ADDRESS(INDEX($M$2:$M$1001,MATCH(ROWS($K$2:K887),$K$2:$K$1001,0),0), INDEX($R$1004:$W$1004,1,MATCH(COLUMNS($R$1006:V1006),$R$1006:$W$1006,0)))),"Fix")))</f>
        <v>0</v>
      </c>
      <c r="G887" s="3">
        <f>IF(OR(INDEX($L$2:$L$1001,MATCH(ROWS($K$2:K887),$K$2:$K$1001,0),1)&gt;=100000,INDEX($R$1005:$W$1005,1,MATCH(COLUMNS($R$1006:W1006),$R$1006:$W$1006,0))&gt;=100000), " ",IF(INDEX($R$2:$W$1001,MATCH(ROWS($K$2:K887),$K$2:$K$1001,0),MATCH(COLUMNS($R$1006:W1006),$R$1006:$W$1006,0)), HYPERLINK("#",""), HYPERLINK(CONCATENATE("#Metadata!", ADDRESS(INDEX($M$2:$M$1001,MATCH(ROWS($K$2:K887),$K$2:$K$1001,0),0), INDEX($R$1004:$W$1004,1,MATCH(COLUMNS($R$1006:W1006),$R$1006:$W$1006,0)))),"Fix")))</f>
        <v>0</v>
      </c>
      <c r="K887">
        <v>0</v>
      </c>
      <c r="L887">
        <v>0</v>
      </c>
      <c r="M887">
        <v>0</v>
      </c>
      <c r="N887">
        <f>IF(O887,TRUE,AND(R887:W887))</f>
        <v>0</v>
      </c>
      <c r="O887">
        <f>COUNTBLANK(Metadata!B887:G887)=COLUMNS(Metadata!B887:G887)</f>
        <v>0</v>
      </c>
      <c r="P887">
        <v>0</v>
      </c>
      <c r="R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S887">
        <f>IF(Metadata!C887="",FALSE,TRUE)</f>
        <v>0</v>
      </c>
      <c r="T887">
        <f>IF(Metadata!D887="",FALSE,TRUE)</f>
        <v>0</v>
      </c>
      <c r="U887">
        <f>IF(Metadata!E887="",FALSE,TRUE)</f>
        <v>0</v>
      </c>
      <c r="V887">
        <f>AND(IF(Metadata!F887="",FALSE,TRUE),exact(Metadata!F887,"rat gut metagenome"))</f>
        <v>0</v>
      </c>
      <c r="W887">
        <f>AND(IF(Metadata!G887="",FALSE,TRUE),exact(Metadata!G887,"1436733"))</f>
        <v>0</v>
      </c>
    </row>
    <row r="888" spans="1:23">
      <c r="A888" s="4">
        <f>IF(B888=" "," ",HYPERLINK(CONCATENATE("#metadata!",ADDRESS(INDEX($M$2:$M$1001,MATCH(ROWS($K$2:K888),$K$2:$K$1001,0),0),1)),INDEX($P$2:$P$1001,MATCH(ROWS($K$2:K888),$K$2:$K$1001,0),0)))</f>
        <v>0</v>
      </c>
      <c r="B888" s="3">
        <f>IF(OR(INDEX($L$2:$L$1001,MATCH(ROWS($K$2:K888),$K$2:$K$1001,0),1)&gt;=100000,INDEX($R$1005:$W$1005,1,MATCH(COLUMNS($R$1006:R1006),$R$1006:$W$1006,0))&gt;=100000), " ",IF(INDEX($R$2:$W$1001,MATCH(ROWS($K$2:K888),$K$2:$K$1001,0),MATCH(COLUMNS($R$1006:R1006),$R$1006:$W$1006,0)), HYPERLINK("#",""), HYPERLINK(CONCATENATE("#Metadata!", ADDRESS(INDEX($M$2:$M$1001,MATCH(ROWS($K$2:K888),$K$2:$K$1001,0),0), INDEX($R$1004:$W$1004,1,MATCH(COLUMNS($R$1006:R1006),$R$1006:$W$1006,0)))),"Fix")))</f>
        <v>0</v>
      </c>
      <c r="C888" s="3">
        <f>IF(OR(INDEX($L$2:$L$1001,MATCH(ROWS($K$2:K888),$K$2:$K$1001,0),1)&gt;=100000,INDEX($R$1005:$W$1005,1,MATCH(COLUMNS($R$1006:S1006),$R$1006:$W$1006,0))&gt;=100000), " ",IF(INDEX($R$2:$W$1001,MATCH(ROWS($K$2:K888),$K$2:$K$1001,0),MATCH(COLUMNS($R$1006:S1006),$R$1006:$W$1006,0)), HYPERLINK("#",""), HYPERLINK(CONCATENATE("#Metadata!", ADDRESS(INDEX($M$2:$M$1001,MATCH(ROWS($K$2:K888),$K$2:$K$1001,0),0), INDEX($R$1004:$W$1004,1,MATCH(COLUMNS($R$1006:S1006),$R$1006:$W$1006,0)))),"Fix")))</f>
        <v>0</v>
      </c>
      <c r="D888" s="3">
        <f>IF(OR(INDEX($L$2:$L$1001,MATCH(ROWS($K$2:K888),$K$2:$K$1001,0),1)&gt;=100000,INDEX($R$1005:$W$1005,1,MATCH(COLUMNS($R$1006:T1006),$R$1006:$W$1006,0))&gt;=100000), " ",IF(INDEX($R$2:$W$1001,MATCH(ROWS($K$2:K888),$K$2:$K$1001,0),MATCH(COLUMNS($R$1006:T1006),$R$1006:$W$1006,0)), HYPERLINK("#",""), HYPERLINK(CONCATENATE("#Metadata!", ADDRESS(INDEX($M$2:$M$1001,MATCH(ROWS($K$2:K888),$K$2:$K$1001,0),0), INDEX($R$1004:$W$1004,1,MATCH(COLUMNS($R$1006:T1006),$R$1006:$W$1006,0)))),"Fix")))</f>
        <v>0</v>
      </c>
      <c r="E888" s="3">
        <f>IF(OR(INDEX($L$2:$L$1001,MATCH(ROWS($K$2:K888),$K$2:$K$1001,0),1)&gt;=100000,INDEX($R$1005:$W$1005,1,MATCH(COLUMNS($R$1006:U1006),$R$1006:$W$1006,0))&gt;=100000), " ",IF(INDEX($R$2:$W$1001,MATCH(ROWS($K$2:K888),$K$2:$K$1001,0),MATCH(COLUMNS($R$1006:U1006),$R$1006:$W$1006,0)), HYPERLINK("#",""), HYPERLINK(CONCATENATE("#Metadata!", ADDRESS(INDEX($M$2:$M$1001,MATCH(ROWS($K$2:K888),$K$2:$K$1001,0),0), INDEX($R$1004:$W$1004,1,MATCH(COLUMNS($R$1006:U1006),$R$1006:$W$1006,0)))),"Fix")))</f>
        <v>0</v>
      </c>
      <c r="F888" s="3">
        <f>IF(OR(INDEX($L$2:$L$1001,MATCH(ROWS($K$2:K888),$K$2:$K$1001,0),1)&gt;=100000,INDEX($R$1005:$W$1005,1,MATCH(COLUMNS($R$1006:V1006),$R$1006:$W$1006,0))&gt;=100000), " ",IF(INDEX($R$2:$W$1001,MATCH(ROWS($K$2:K888),$K$2:$K$1001,0),MATCH(COLUMNS($R$1006:V1006),$R$1006:$W$1006,0)), HYPERLINK("#",""), HYPERLINK(CONCATENATE("#Metadata!", ADDRESS(INDEX($M$2:$M$1001,MATCH(ROWS($K$2:K888),$K$2:$K$1001,0),0), INDEX($R$1004:$W$1004,1,MATCH(COLUMNS($R$1006:V1006),$R$1006:$W$1006,0)))),"Fix")))</f>
        <v>0</v>
      </c>
      <c r="G888" s="3">
        <f>IF(OR(INDEX($L$2:$L$1001,MATCH(ROWS($K$2:K888),$K$2:$K$1001,0),1)&gt;=100000,INDEX($R$1005:$W$1005,1,MATCH(COLUMNS($R$1006:W1006),$R$1006:$W$1006,0))&gt;=100000), " ",IF(INDEX($R$2:$W$1001,MATCH(ROWS($K$2:K888),$K$2:$K$1001,0),MATCH(COLUMNS($R$1006:W1006),$R$1006:$W$1006,0)), HYPERLINK("#",""), HYPERLINK(CONCATENATE("#Metadata!", ADDRESS(INDEX($M$2:$M$1001,MATCH(ROWS($K$2:K888),$K$2:$K$1001,0),0), INDEX($R$1004:$W$1004,1,MATCH(COLUMNS($R$1006:W1006),$R$1006:$W$1006,0)))),"Fix")))</f>
        <v>0</v>
      </c>
      <c r="K888">
        <v>0</v>
      </c>
      <c r="L888">
        <v>0</v>
      </c>
      <c r="M888">
        <v>0</v>
      </c>
      <c r="N888">
        <f>IF(O888,TRUE,AND(R888:W888))</f>
        <v>0</v>
      </c>
      <c r="O888">
        <f>COUNTBLANK(Metadata!B888:G888)=COLUMNS(Metadata!B888:G888)</f>
        <v>0</v>
      </c>
      <c r="P888">
        <v>0</v>
      </c>
      <c r="R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S888">
        <f>IF(Metadata!C888="",FALSE,TRUE)</f>
        <v>0</v>
      </c>
      <c r="T888">
        <f>IF(Metadata!D888="",FALSE,TRUE)</f>
        <v>0</v>
      </c>
      <c r="U888">
        <f>IF(Metadata!E888="",FALSE,TRUE)</f>
        <v>0</v>
      </c>
      <c r="V888">
        <f>AND(IF(Metadata!F888="",FALSE,TRUE),exact(Metadata!F888,"rat gut metagenome"))</f>
        <v>0</v>
      </c>
      <c r="W888">
        <f>AND(IF(Metadata!G888="",FALSE,TRUE),exact(Metadata!G888,"1436733"))</f>
        <v>0</v>
      </c>
    </row>
    <row r="889" spans="1:23">
      <c r="A889" s="4">
        <f>IF(B889=" "," ",HYPERLINK(CONCATENATE("#metadata!",ADDRESS(INDEX($M$2:$M$1001,MATCH(ROWS($K$2:K889),$K$2:$K$1001,0),0),1)),INDEX($P$2:$P$1001,MATCH(ROWS($K$2:K889),$K$2:$K$1001,0),0)))</f>
        <v>0</v>
      </c>
      <c r="B889" s="3">
        <f>IF(OR(INDEX($L$2:$L$1001,MATCH(ROWS($K$2:K889),$K$2:$K$1001,0),1)&gt;=100000,INDEX($R$1005:$W$1005,1,MATCH(COLUMNS($R$1006:R1006),$R$1006:$W$1006,0))&gt;=100000), " ",IF(INDEX($R$2:$W$1001,MATCH(ROWS($K$2:K889),$K$2:$K$1001,0),MATCH(COLUMNS($R$1006:R1006),$R$1006:$W$1006,0)), HYPERLINK("#",""), HYPERLINK(CONCATENATE("#Metadata!", ADDRESS(INDEX($M$2:$M$1001,MATCH(ROWS($K$2:K889),$K$2:$K$1001,0),0), INDEX($R$1004:$W$1004,1,MATCH(COLUMNS($R$1006:R1006),$R$1006:$W$1006,0)))),"Fix")))</f>
        <v>0</v>
      </c>
      <c r="C889" s="3">
        <f>IF(OR(INDEX($L$2:$L$1001,MATCH(ROWS($K$2:K889),$K$2:$K$1001,0),1)&gt;=100000,INDEX($R$1005:$W$1005,1,MATCH(COLUMNS($R$1006:S1006),$R$1006:$W$1006,0))&gt;=100000), " ",IF(INDEX($R$2:$W$1001,MATCH(ROWS($K$2:K889),$K$2:$K$1001,0),MATCH(COLUMNS($R$1006:S1006),$R$1006:$W$1006,0)), HYPERLINK("#",""), HYPERLINK(CONCATENATE("#Metadata!", ADDRESS(INDEX($M$2:$M$1001,MATCH(ROWS($K$2:K889),$K$2:$K$1001,0),0), INDEX($R$1004:$W$1004,1,MATCH(COLUMNS($R$1006:S1006),$R$1006:$W$1006,0)))),"Fix")))</f>
        <v>0</v>
      </c>
      <c r="D889" s="3">
        <f>IF(OR(INDEX($L$2:$L$1001,MATCH(ROWS($K$2:K889),$K$2:$K$1001,0),1)&gt;=100000,INDEX($R$1005:$W$1005,1,MATCH(COLUMNS($R$1006:T1006),$R$1006:$W$1006,0))&gt;=100000), " ",IF(INDEX($R$2:$W$1001,MATCH(ROWS($K$2:K889),$K$2:$K$1001,0),MATCH(COLUMNS($R$1006:T1006),$R$1006:$W$1006,0)), HYPERLINK("#",""), HYPERLINK(CONCATENATE("#Metadata!", ADDRESS(INDEX($M$2:$M$1001,MATCH(ROWS($K$2:K889),$K$2:$K$1001,0),0), INDEX($R$1004:$W$1004,1,MATCH(COLUMNS($R$1006:T1006),$R$1006:$W$1006,0)))),"Fix")))</f>
        <v>0</v>
      </c>
      <c r="E889" s="3">
        <f>IF(OR(INDEX($L$2:$L$1001,MATCH(ROWS($K$2:K889),$K$2:$K$1001,0),1)&gt;=100000,INDEX($R$1005:$W$1005,1,MATCH(COLUMNS($R$1006:U1006),$R$1006:$W$1006,0))&gt;=100000), " ",IF(INDEX($R$2:$W$1001,MATCH(ROWS($K$2:K889),$K$2:$K$1001,0),MATCH(COLUMNS($R$1006:U1006),$R$1006:$W$1006,0)), HYPERLINK("#",""), HYPERLINK(CONCATENATE("#Metadata!", ADDRESS(INDEX($M$2:$M$1001,MATCH(ROWS($K$2:K889),$K$2:$K$1001,0),0), INDEX($R$1004:$W$1004,1,MATCH(COLUMNS($R$1006:U1006),$R$1006:$W$1006,0)))),"Fix")))</f>
        <v>0</v>
      </c>
      <c r="F889" s="3">
        <f>IF(OR(INDEX($L$2:$L$1001,MATCH(ROWS($K$2:K889),$K$2:$K$1001,0),1)&gt;=100000,INDEX($R$1005:$W$1005,1,MATCH(COLUMNS($R$1006:V1006),$R$1006:$W$1006,0))&gt;=100000), " ",IF(INDEX($R$2:$W$1001,MATCH(ROWS($K$2:K889),$K$2:$K$1001,0),MATCH(COLUMNS($R$1006:V1006),$R$1006:$W$1006,0)), HYPERLINK("#",""), HYPERLINK(CONCATENATE("#Metadata!", ADDRESS(INDEX($M$2:$M$1001,MATCH(ROWS($K$2:K889),$K$2:$K$1001,0),0), INDEX($R$1004:$W$1004,1,MATCH(COLUMNS($R$1006:V1006),$R$1006:$W$1006,0)))),"Fix")))</f>
        <v>0</v>
      </c>
      <c r="G889" s="3">
        <f>IF(OR(INDEX($L$2:$L$1001,MATCH(ROWS($K$2:K889),$K$2:$K$1001,0),1)&gt;=100000,INDEX($R$1005:$W$1005,1,MATCH(COLUMNS($R$1006:W1006),$R$1006:$W$1006,0))&gt;=100000), " ",IF(INDEX($R$2:$W$1001,MATCH(ROWS($K$2:K889),$K$2:$K$1001,0),MATCH(COLUMNS($R$1006:W1006),$R$1006:$W$1006,0)), HYPERLINK("#",""), HYPERLINK(CONCATENATE("#Metadata!", ADDRESS(INDEX($M$2:$M$1001,MATCH(ROWS($K$2:K889),$K$2:$K$1001,0),0), INDEX($R$1004:$W$1004,1,MATCH(COLUMNS($R$1006:W1006),$R$1006:$W$1006,0)))),"Fix")))</f>
        <v>0</v>
      </c>
      <c r="K889">
        <v>0</v>
      </c>
      <c r="L889">
        <v>0</v>
      </c>
      <c r="M889">
        <v>0</v>
      </c>
      <c r="N889">
        <f>IF(O889,TRUE,AND(R889:W889))</f>
        <v>0</v>
      </c>
      <c r="O889">
        <f>COUNTBLANK(Metadata!B889:G889)=COLUMNS(Metadata!B889:G889)</f>
        <v>0</v>
      </c>
      <c r="P889">
        <v>0</v>
      </c>
      <c r="R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S889">
        <f>IF(Metadata!C889="",FALSE,TRUE)</f>
        <v>0</v>
      </c>
      <c r="T889">
        <f>IF(Metadata!D889="",FALSE,TRUE)</f>
        <v>0</v>
      </c>
      <c r="U889">
        <f>IF(Metadata!E889="",FALSE,TRUE)</f>
        <v>0</v>
      </c>
      <c r="V889">
        <f>AND(IF(Metadata!F889="",FALSE,TRUE),exact(Metadata!F889,"rat gut metagenome"))</f>
        <v>0</v>
      </c>
      <c r="W889">
        <f>AND(IF(Metadata!G889="",FALSE,TRUE),exact(Metadata!G889,"1436733"))</f>
        <v>0</v>
      </c>
    </row>
    <row r="890" spans="1:23">
      <c r="A890" s="4">
        <f>IF(B890=" "," ",HYPERLINK(CONCATENATE("#metadata!",ADDRESS(INDEX($M$2:$M$1001,MATCH(ROWS($K$2:K890),$K$2:$K$1001,0),0),1)),INDEX($P$2:$P$1001,MATCH(ROWS($K$2:K890),$K$2:$K$1001,0),0)))</f>
        <v>0</v>
      </c>
      <c r="B890" s="3">
        <f>IF(OR(INDEX($L$2:$L$1001,MATCH(ROWS($K$2:K890),$K$2:$K$1001,0),1)&gt;=100000,INDEX($R$1005:$W$1005,1,MATCH(COLUMNS($R$1006:R1006),$R$1006:$W$1006,0))&gt;=100000), " ",IF(INDEX($R$2:$W$1001,MATCH(ROWS($K$2:K890),$K$2:$K$1001,0),MATCH(COLUMNS($R$1006:R1006),$R$1006:$W$1006,0)), HYPERLINK("#",""), HYPERLINK(CONCATENATE("#Metadata!", ADDRESS(INDEX($M$2:$M$1001,MATCH(ROWS($K$2:K890),$K$2:$K$1001,0),0), INDEX($R$1004:$W$1004,1,MATCH(COLUMNS($R$1006:R1006),$R$1006:$W$1006,0)))),"Fix")))</f>
        <v>0</v>
      </c>
      <c r="C890" s="3">
        <f>IF(OR(INDEX($L$2:$L$1001,MATCH(ROWS($K$2:K890),$K$2:$K$1001,0),1)&gt;=100000,INDEX($R$1005:$W$1005,1,MATCH(COLUMNS($R$1006:S1006),$R$1006:$W$1006,0))&gt;=100000), " ",IF(INDEX($R$2:$W$1001,MATCH(ROWS($K$2:K890),$K$2:$K$1001,0),MATCH(COLUMNS($R$1006:S1006),$R$1006:$W$1006,0)), HYPERLINK("#",""), HYPERLINK(CONCATENATE("#Metadata!", ADDRESS(INDEX($M$2:$M$1001,MATCH(ROWS($K$2:K890),$K$2:$K$1001,0),0), INDEX($R$1004:$W$1004,1,MATCH(COLUMNS($R$1006:S1006),$R$1006:$W$1006,0)))),"Fix")))</f>
        <v>0</v>
      </c>
      <c r="D890" s="3">
        <f>IF(OR(INDEX($L$2:$L$1001,MATCH(ROWS($K$2:K890),$K$2:$K$1001,0),1)&gt;=100000,INDEX($R$1005:$W$1005,1,MATCH(COLUMNS($R$1006:T1006),$R$1006:$W$1006,0))&gt;=100000), " ",IF(INDEX($R$2:$W$1001,MATCH(ROWS($K$2:K890),$K$2:$K$1001,0),MATCH(COLUMNS($R$1006:T1006),$R$1006:$W$1006,0)), HYPERLINK("#",""), HYPERLINK(CONCATENATE("#Metadata!", ADDRESS(INDEX($M$2:$M$1001,MATCH(ROWS($K$2:K890),$K$2:$K$1001,0),0), INDEX($R$1004:$W$1004,1,MATCH(COLUMNS($R$1006:T1006),$R$1006:$W$1006,0)))),"Fix")))</f>
        <v>0</v>
      </c>
      <c r="E890" s="3">
        <f>IF(OR(INDEX($L$2:$L$1001,MATCH(ROWS($K$2:K890),$K$2:$K$1001,0),1)&gt;=100000,INDEX($R$1005:$W$1005,1,MATCH(COLUMNS($R$1006:U1006),$R$1006:$W$1006,0))&gt;=100000), " ",IF(INDEX($R$2:$W$1001,MATCH(ROWS($K$2:K890),$K$2:$K$1001,0),MATCH(COLUMNS($R$1006:U1006),$R$1006:$W$1006,0)), HYPERLINK("#",""), HYPERLINK(CONCATENATE("#Metadata!", ADDRESS(INDEX($M$2:$M$1001,MATCH(ROWS($K$2:K890),$K$2:$K$1001,0),0), INDEX($R$1004:$W$1004,1,MATCH(COLUMNS($R$1006:U1006),$R$1006:$W$1006,0)))),"Fix")))</f>
        <v>0</v>
      </c>
      <c r="F890" s="3">
        <f>IF(OR(INDEX($L$2:$L$1001,MATCH(ROWS($K$2:K890),$K$2:$K$1001,0),1)&gt;=100000,INDEX($R$1005:$W$1005,1,MATCH(COLUMNS($R$1006:V1006),$R$1006:$W$1006,0))&gt;=100000), " ",IF(INDEX($R$2:$W$1001,MATCH(ROWS($K$2:K890),$K$2:$K$1001,0),MATCH(COLUMNS($R$1006:V1006),$R$1006:$W$1006,0)), HYPERLINK("#",""), HYPERLINK(CONCATENATE("#Metadata!", ADDRESS(INDEX($M$2:$M$1001,MATCH(ROWS($K$2:K890),$K$2:$K$1001,0),0), INDEX($R$1004:$W$1004,1,MATCH(COLUMNS($R$1006:V1006),$R$1006:$W$1006,0)))),"Fix")))</f>
        <v>0</v>
      </c>
      <c r="G890" s="3">
        <f>IF(OR(INDEX($L$2:$L$1001,MATCH(ROWS($K$2:K890),$K$2:$K$1001,0),1)&gt;=100000,INDEX($R$1005:$W$1005,1,MATCH(COLUMNS($R$1006:W1006),$R$1006:$W$1006,0))&gt;=100000), " ",IF(INDEX($R$2:$W$1001,MATCH(ROWS($K$2:K890),$K$2:$K$1001,0),MATCH(COLUMNS($R$1006:W1006),$R$1006:$W$1006,0)), HYPERLINK("#",""), HYPERLINK(CONCATENATE("#Metadata!", ADDRESS(INDEX($M$2:$M$1001,MATCH(ROWS($K$2:K890),$K$2:$K$1001,0),0), INDEX($R$1004:$W$1004,1,MATCH(COLUMNS($R$1006:W1006),$R$1006:$W$1006,0)))),"Fix")))</f>
        <v>0</v>
      </c>
      <c r="K890">
        <v>0</v>
      </c>
      <c r="L890">
        <v>0</v>
      </c>
      <c r="M890">
        <v>0</v>
      </c>
      <c r="N890">
        <f>IF(O890,TRUE,AND(R890:W890))</f>
        <v>0</v>
      </c>
      <c r="O890">
        <f>COUNTBLANK(Metadata!B890:G890)=COLUMNS(Metadata!B890:G890)</f>
        <v>0</v>
      </c>
      <c r="P890">
        <v>0</v>
      </c>
      <c r="R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S890">
        <f>IF(Metadata!C890="",FALSE,TRUE)</f>
        <v>0</v>
      </c>
      <c r="T890">
        <f>IF(Metadata!D890="",FALSE,TRUE)</f>
        <v>0</v>
      </c>
      <c r="U890">
        <f>IF(Metadata!E890="",FALSE,TRUE)</f>
        <v>0</v>
      </c>
      <c r="V890">
        <f>AND(IF(Metadata!F890="",FALSE,TRUE),exact(Metadata!F890,"rat gut metagenome"))</f>
        <v>0</v>
      </c>
      <c r="W890">
        <f>AND(IF(Metadata!G890="",FALSE,TRUE),exact(Metadata!G890,"1436733"))</f>
        <v>0</v>
      </c>
    </row>
    <row r="891" spans="1:23">
      <c r="A891" s="4">
        <f>IF(B891=" "," ",HYPERLINK(CONCATENATE("#metadata!",ADDRESS(INDEX($M$2:$M$1001,MATCH(ROWS($K$2:K891),$K$2:$K$1001,0),0),1)),INDEX($P$2:$P$1001,MATCH(ROWS($K$2:K891),$K$2:$K$1001,0),0)))</f>
        <v>0</v>
      </c>
      <c r="B891" s="3">
        <f>IF(OR(INDEX($L$2:$L$1001,MATCH(ROWS($K$2:K891),$K$2:$K$1001,0),1)&gt;=100000,INDEX($R$1005:$W$1005,1,MATCH(COLUMNS($R$1006:R1006),$R$1006:$W$1006,0))&gt;=100000), " ",IF(INDEX($R$2:$W$1001,MATCH(ROWS($K$2:K891),$K$2:$K$1001,0),MATCH(COLUMNS($R$1006:R1006),$R$1006:$W$1006,0)), HYPERLINK("#",""), HYPERLINK(CONCATENATE("#Metadata!", ADDRESS(INDEX($M$2:$M$1001,MATCH(ROWS($K$2:K891),$K$2:$K$1001,0),0), INDEX($R$1004:$W$1004,1,MATCH(COLUMNS($R$1006:R1006),$R$1006:$W$1006,0)))),"Fix")))</f>
        <v>0</v>
      </c>
      <c r="C891" s="3">
        <f>IF(OR(INDEX($L$2:$L$1001,MATCH(ROWS($K$2:K891),$K$2:$K$1001,0),1)&gt;=100000,INDEX($R$1005:$W$1005,1,MATCH(COLUMNS($R$1006:S1006),$R$1006:$W$1006,0))&gt;=100000), " ",IF(INDEX($R$2:$W$1001,MATCH(ROWS($K$2:K891),$K$2:$K$1001,0),MATCH(COLUMNS($R$1006:S1006),$R$1006:$W$1006,0)), HYPERLINK("#",""), HYPERLINK(CONCATENATE("#Metadata!", ADDRESS(INDEX($M$2:$M$1001,MATCH(ROWS($K$2:K891),$K$2:$K$1001,0),0), INDEX($R$1004:$W$1004,1,MATCH(COLUMNS($R$1006:S1006),$R$1006:$W$1006,0)))),"Fix")))</f>
        <v>0</v>
      </c>
      <c r="D891" s="3">
        <f>IF(OR(INDEX($L$2:$L$1001,MATCH(ROWS($K$2:K891),$K$2:$K$1001,0),1)&gt;=100000,INDEX($R$1005:$W$1005,1,MATCH(COLUMNS($R$1006:T1006),$R$1006:$W$1006,0))&gt;=100000), " ",IF(INDEX($R$2:$W$1001,MATCH(ROWS($K$2:K891),$K$2:$K$1001,0),MATCH(COLUMNS($R$1006:T1006),$R$1006:$W$1006,0)), HYPERLINK("#",""), HYPERLINK(CONCATENATE("#Metadata!", ADDRESS(INDEX($M$2:$M$1001,MATCH(ROWS($K$2:K891),$K$2:$K$1001,0),0), INDEX($R$1004:$W$1004,1,MATCH(COLUMNS($R$1006:T1006),$R$1006:$W$1006,0)))),"Fix")))</f>
        <v>0</v>
      </c>
      <c r="E891" s="3">
        <f>IF(OR(INDEX($L$2:$L$1001,MATCH(ROWS($K$2:K891),$K$2:$K$1001,0),1)&gt;=100000,INDEX($R$1005:$W$1005,1,MATCH(COLUMNS($R$1006:U1006),$R$1006:$W$1006,0))&gt;=100000), " ",IF(INDEX($R$2:$W$1001,MATCH(ROWS($K$2:K891),$K$2:$K$1001,0),MATCH(COLUMNS($R$1006:U1006),$R$1006:$W$1006,0)), HYPERLINK("#",""), HYPERLINK(CONCATENATE("#Metadata!", ADDRESS(INDEX($M$2:$M$1001,MATCH(ROWS($K$2:K891),$K$2:$K$1001,0),0), INDEX($R$1004:$W$1004,1,MATCH(COLUMNS($R$1006:U1006),$R$1006:$W$1006,0)))),"Fix")))</f>
        <v>0</v>
      </c>
      <c r="F891" s="3">
        <f>IF(OR(INDEX($L$2:$L$1001,MATCH(ROWS($K$2:K891),$K$2:$K$1001,0),1)&gt;=100000,INDEX($R$1005:$W$1005,1,MATCH(COLUMNS($R$1006:V1006),$R$1006:$W$1006,0))&gt;=100000), " ",IF(INDEX($R$2:$W$1001,MATCH(ROWS($K$2:K891),$K$2:$K$1001,0),MATCH(COLUMNS($R$1006:V1006),$R$1006:$W$1006,0)), HYPERLINK("#",""), HYPERLINK(CONCATENATE("#Metadata!", ADDRESS(INDEX($M$2:$M$1001,MATCH(ROWS($K$2:K891),$K$2:$K$1001,0),0), INDEX($R$1004:$W$1004,1,MATCH(COLUMNS($R$1006:V1006),$R$1006:$W$1006,0)))),"Fix")))</f>
        <v>0</v>
      </c>
      <c r="G891" s="3">
        <f>IF(OR(INDEX($L$2:$L$1001,MATCH(ROWS($K$2:K891),$K$2:$K$1001,0),1)&gt;=100000,INDEX($R$1005:$W$1005,1,MATCH(COLUMNS($R$1006:W1006),$R$1006:$W$1006,0))&gt;=100000), " ",IF(INDEX($R$2:$W$1001,MATCH(ROWS($K$2:K891),$K$2:$K$1001,0),MATCH(COLUMNS($R$1006:W1006),$R$1006:$W$1006,0)), HYPERLINK("#",""), HYPERLINK(CONCATENATE("#Metadata!", ADDRESS(INDEX($M$2:$M$1001,MATCH(ROWS($K$2:K891),$K$2:$K$1001,0),0), INDEX($R$1004:$W$1004,1,MATCH(COLUMNS($R$1006:W1006),$R$1006:$W$1006,0)))),"Fix")))</f>
        <v>0</v>
      </c>
      <c r="K891">
        <v>0</v>
      </c>
      <c r="L891">
        <v>0</v>
      </c>
      <c r="M891">
        <v>0</v>
      </c>
      <c r="N891">
        <f>IF(O891,TRUE,AND(R891:W891))</f>
        <v>0</v>
      </c>
      <c r="O891">
        <f>COUNTBLANK(Metadata!B891:G891)=COLUMNS(Metadata!B891:G891)</f>
        <v>0</v>
      </c>
      <c r="P891">
        <v>0</v>
      </c>
      <c r="R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S891">
        <f>IF(Metadata!C891="",FALSE,TRUE)</f>
        <v>0</v>
      </c>
      <c r="T891">
        <f>IF(Metadata!D891="",FALSE,TRUE)</f>
        <v>0</v>
      </c>
      <c r="U891">
        <f>IF(Metadata!E891="",FALSE,TRUE)</f>
        <v>0</v>
      </c>
      <c r="V891">
        <f>AND(IF(Metadata!F891="",FALSE,TRUE),exact(Metadata!F891,"rat gut metagenome"))</f>
        <v>0</v>
      </c>
      <c r="W891">
        <f>AND(IF(Metadata!G891="",FALSE,TRUE),exact(Metadata!G891,"1436733"))</f>
        <v>0</v>
      </c>
    </row>
    <row r="892" spans="1:23">
      <c r="A892" s="4">
        <f>IF(B892=" "," ",HYPERLINK(CONCATENATE("#metadata!",ADDRESS(INDEX($M$2:$M$1001,MATCH(ROWS($K$2:K892),$K$2:$K$1001,0),0),1)),INDEX($P$2:$P$1001,MATCH(ROWS($K$2:K892),$K$2:$K$1001,0),0)))</f>
        <v>0</v>
      </c>
      <c r="B892" s="3">
        <f>IF(OR(INDEX($L$2:$L$1001,MATCH(ROWS($K$2:K892),$K$2:$K$1001,0),1)&gt;=100000,INDEX($R$1005:$W$1005,1,MATCH(COLUMNS($R$1006:R1006),$R$1006:$W$1006,0))&gt;=100000), " ",IF(INDEX($R$2:$W$1001,MATCH(ROWS($K$2:K892),$K$2:$K$1001,0),MATCH(COLUMNS($R$1006:R1006),$R$1006:$W$1006,0)), HYPERLINK("#",""), HYPERLINK(CONCATENATE("#Metadata!", ADDRESS(INDEX($M$2:$M$1001,MATCH(ROWS($K$2:K892),$K$2:$K$1001,0),0), INDEX($R$1004:$W$1004,1,MATCH(COLUMNS($R$1006:R1006),$R$1006:$W$1006,0)))),"Fix")))</f>
        <v>0</v>
      </c>
      <c r="C892" s="3">
        <f>IF(OR(INDEX($L$2:$L$1001,MATCH(ROWS($K$2:K892),$K$2:$K$1001,0),1)&gt;=100000,INDEX($R$1005:$W$1005,1,MATCH(COLUMNS($R$1006:S1006),$R$1006:$W$1006,0))&gt;=100000), " ",IF(INDEX($R$2:$W$1001,MATCH(ROWS($K$2:K892),$K$2:$K$1001,0),MATCH(COLUMNS($R$1006:S1006),$R$1006:$W$1006,0)), HYPERLINK("#",""), HYPERLINK(CONCATENATE("#Metadata!", ADDRESS(INDEX($M$2:$M$1001,MATCH(ROWS($K$2:K892),$K$2:$K$1001,0),0), INDEX($R$1004:$W$1004,1,MATCH(COLUMNS($R$1006:S1006),$R$1006:$W$1006,0)))),"Fix")))</f>
        <v>0</v>
      </c>
      <c r="D892" s="3">
        <f>IF(OR(INDEX($L$2:$L$1001,MATCH(ROWS($K$2:K892),$K$2:$K$1001,0),1)&gt;=100000,INDEX($R$1005:$W$1005,1,MATCH(COLUMNS($R$1006:T1006),$R$1006:$W$1006,0))&gt;=100000), " ",IF(INDEX($R$2:$W$1001,MATCH(ROWS($K$2:K892),$K$2:$K$1001,0),MATCH(COLUMNS($R$1006:T1006),$R$1006:$W$1006,0)), HYPERLINK("#",""), HYPERLINK(CONCATENATE("#Metadata!", ADDRESS(INDEX($M$2:$M$1001,MATCH(ROWS($K$2:K892),$K$2:$K$1001,0),0), INDEX($R$1004:$W$1004,1,MATCH(COLUMNS($R$1006:T1006),$R$1006:$W$1006,0)))),"Fix")))</f>
        <v>0</v>
      </c>
      <c r="E892" s="3">
        <f>IF(OR(INDEX($L$2:$L$1001,MATCH(ROWS($K$2:K892),$K$2:$K$1001,0),1)&gt;=100000,INDEX($R$1005:$W$1005,1,MATCH(COLUMNS($R$1006:U1006),$R$1006:$W$1006,0))&gt;=100000), " ",IF(INDEX($R$2:$W$1001,MATCH(ROWS($K$2:K892),$K$2:$K$1001,0),MATCH(COLUMNS($R$1006:U1006),$R$1006:$W$1006,0)), HYPERLINK("#",""), HYPERLINK(CONCATENATE("#Metadata!", ADDRESS(INDEX($M$2:$M$1001,MATCH(ROWS($K$2:K892),$K$2:$K$1001,0),0), INDEX($R$1004:$W$1004,1,MATCH(COLUMNS($R$1006:U1006),$R$1006:$W$1006,0)))),"Fix")))</f>
        <v>0</v>
      </c>
      <c r="F892" s="3">
        <f>IF(OR(INDEX($L$2:$L$1001,MATCH(ROWS($K$2:K892),$K$2:$K$1001,0),1)&gt;=100000,INDEX($R$1005:$W$1005,1,MATCH(COLUMNS($R$1006:V1006),$R$1006:$W$1006,0))&gt;=100000), " ",IF(INDEX($R$2:$W$1001,MATCH(ROWS($K$2:K892),$K$2:$K$1001,0),MATCH(COLUMNS($R$1006:V1006),$R$1006:$W$1006,0)), HYPERLINK("#",""), HYPERLINK(CONCATENATE("#Metadata!", ADDRESS(INDEX($M$2:$M$1001,MATCH(ROWS($K$2:K892),$K$2:$K$1001,0),0), INDEX($R$1004:$W$1004,1,MATCH(COLUMNS($R$1006:V1006),$R$1006:$W$1006,0)))),"Fix")))</f>
        <v>0</v>
      </c>
      <c r="G892" s="3">
        <f>IF(OR(INDEX($L$2:$L$1001,MATCH(ROWS($K$2:K892),$K$2:$K$1001,0),1)&gt;=100000,INDEX($R$1005:$W$1005,1,MATCH(COLUMNS($R$1006:W1006),$R$1006:$W$1006,0))&gt;=100000), " ",IF(INDEX($R$2:$W$1001,MATCH(ROWS($K$2:K892),$K$2:$K$1001,0),MATCH(COLUMNS($R$1006:W1006),$R$1006:$W$1006,0)), HYPERLINK("#",""), HYPERLINK(CONCATENATE("#Metadata!", ADDRESS(INDEX($M$2:$M$1001,MATCH(ROWS($K$2:K892),$K$2:$K$1001,0),0), INDEX($R$1004:$W$1004,1,MATCH(COLUMNS($R$1006:W1006),$R$1006:$W$1006,0)))),"Fix")))</f>
        <v>0</v>
      </c>
      <c r="K892">
        <v>0</v>
      </c>
      <c r="L892">
        <v>0</v>
      </c>
      <c r="M892">
        <v>0</v>
      </c>
      <c r="N892">
        <f>IF(O892,TRUE,AND(R892:W892))</f>
        <v>0</v>
      </c>
      <c r="O892">
        <f>COUNTBLANK(Metadata!B892:G892)=COLUMNS(Metadata!B892:G892)</f>
        <v>0</v>
      </c>
      <c r="P892">
        <v>0</v>
      </c>
      <c r="R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S892">
        <f>IF(Metadata!C892="",FALSE,TRUE)</f>
        <v>0</v>
      </c>
      <c r="T892">
        <f>IF(Metadata!D892="",FALSE,TRUE)</f>
        <v>0</v>
      </c>
      <c r="U892">
        <f>IF(Metadata!E892="",FALSE,TRUE)</f>
        <v>0</v>
      </c>
      <c r="V892">
        <f>AND(IF(Metadata!F892="",FALSE,TRUE),exact(Metadata!F892,"rat gut metagenome"))</f>
        <v>0</v>
      </c>
      <c r="W892">
        <f>AND(IF(Metadata!G892="",FALSE,TRUE),exact(Metadata!G892,"1436733"))</f>
        <v>0</v>
      </c>
    </row>
    <row r="893" spans="1:23">
      <c r="A893" s="4">
        <f>IF(B893=" "," ",HYPERLINK(CONCATENATE("#metadata!",ADDRESS(INDEX($M$2:$M$1001,MATCH(ROWS($K$2:K893),$K$2:$K$1001,0),0),1)),INDEX($P$2:$P$1001,MATCH(ROWS($K$2:K893),$K$2:$K$1001,0),0)))</f>
        <v>0</v>
      </c>
      <c r="B893" s="3">
        <f>IF(OR(INDEX($L$2:$L$1001,MATCH(ROWS($K$2:K893),$K$2:$K$1001,0),1)&gt;=100000,INDEX($R$1005:$W$1005,1,MATCH(COLUMNS($R$1006:R1006),$R$1006:$W$1006,0))&gt;=100000), " ",IF(INDEX($R$2:$W$1001,MATCH(ROWS($K$2:K893),$K$2:$K$1001,0),MATCH(COLUMNS($R$1006:R1006),$R$1006:$W$1006,0)), HYPERLINK("#",""), HYPERLINK(CONCATENATE("#Metadata!", ADDRESS(INDEX($M$2:$M$1001,MATCH(ROWS($K$2:K893),$K$2:$K$1001,0),0), INDEX($R$1004:$W$1004,1,MATCH(COLUMNS($R$1006:R1006),$R$1006:$W$1006,0)))),"Fix")))</f>
        <v>0</v>
      </c>
      <c r="C893" s="3">
        <f>IF(OR(INDEX($L$2:$L$1001,MATCH(ROWS($K$2:K893),$K$2:$K$1001,0),1)&gt;=100000,INDEX($R$1005:$W$1005,1,MATCH(COLUMNS($R$1006:S1006),$R$1006:$W$1006,0))&gt;=100000), " ",IF(INDEX($R$2:$W$1001,MATCH(ROWS($K$2:K893),$K$2:$K$1001,0),MATCH(COLUMNS($R$1006:S1006),$R$1006:$W$1006,0)), HYPERLINK("#",""), HYPERLINK(CONCATENATE("#Metadata!", ADDRESS(INDEX($M$2:$M$1001,MATCH(ROWS($K$2:K893),$K$2:$K$1001,0),0), INDEX($R$1004:$W$1004,1,MATCH(COLUMNS($R$1006:S1006),$R$1006:$W$1006,0)))),"Fix")))</f>
        <v>0</v>
      </c>
      <c r="D893" s="3">
        <f>IF(OR(INDEX($L$2:$L$1001,MATCH(ROWS($K$2:K893),$K$2:$K$1001,0),1)&gt;=100000,INDEX($R$1005:$W$1005,1,MATCH(COLUMNS($R$1006:T1006),$R$1006:$W$1006,0))&gt;=100000), " ",IF(INDEX($R$2:$W$1001,MATCH(ROWS($K$2:K893),$K$2:$K$1001,0),MATCH(COLUMNS($R$1006:T1006),$R$1006:$W$1006,0)), HYPERLINK("#",""), HYPERLINK(CONCATENATE("#Metadata!", ADDRESS(INDEX($M$2:$M$1001,MATCH(ROWS($K$2:K893),$K$2:$K$1001,0),0), INDEX($R$1004:$W$1004,1,MATCH(COLUMNS($R$1006:T1006),$R$1006:$W$1006,0)))),"Fix")))</f>
        <v>0</v>
      </c>
      <c r="E893" s="3">
        <f>IF(OR(INDEX($L$2:$L$1001,MATCH(ROWS($K$2:K893),$K$2:$K$1001,0),1)&gt;=100000,INDEX($R$1005:$W$1005,1,MATCH(COLUMNS($R$1006:U1006),$R$1006:$W$1006,0))&gt;=100000), " ",IF(INDEX($R$2:$W$1001,MATCH(ROWS($K$2:K893),$K$2:$K$1001,0),MATCH(COLUMNS($R$1006:U1006),$R$1006:$W$1006,0)), HYPERLINK("#",""), HYPERLINK(CONCATENATE("#Metadata!", ADDRESS(INDEX($M$2:$M$1001,MATCH(ROWS($K$2:K893),$K$2:$K$1001,0),0), INDEX($R$1004:$W$1004,1,MATCH(COLUMNS($R$1006:U1006),$R$1006:$W$1006,0)))),"Fix")))</f>
        <v>0</v>
      </c>
      <c r="F893" s="3">
        <f>IF(OR(INDEX($L$2:$L$1001,MATCH(ROWS($K$2:K893),$K$2:$K$1001,0),1)&gt;=100000,INDEX($R$1005:$W$1005,1,MATCH(COLUMNS($R$1006:V1006),$R$1006:$W$1006,0))&gt;=100000), " ",IF(INDEX($R$2:$W$1001,MATCH(ROWS($K$2:K893),$K$2:$K$1001,0),MATCH(COLUMNS($R$1006:V1006),$R$1006:$W$1006,0)), HYPERLINK("#",""), HYPERLINK(CONCATENATE("#Metadata!", ADDRESS(INDEX($M$2:$M$1001,MATCH(ROWS($K$2:K893),$K$2:$K$1001,0),0), INDEX($R$1004:$W$1004,1,MATCH(COLUMNS($R$1006:V1006),$R$1006:$W$1006,0)))),"Fix")))</f>
        <v>0</v>
      </c>
      <c r="G893" s="3">
        <f>IF(OR(INDEX($L$2:$L$1001,MATCH(ROWS($K$2:K893),$K$2:$K$1001,0),1)&gt;=100000,INDEX($R$1005:$W$1005,1,MATCH(COLUMNS($R$1006:W1006),$R$1006:$W$1006,0))&gt;=100000), " ",IF(INDEX($R$2:$W$1001,MATCH(ROWS($K$2:K893),$K$2:$K$1001,0),MATCH(COLUMNS($R$1006:W1006),$R$1006:$W$1006,0)), HYPERLINK("#",""), HYPERLINK(CONCATENATE("#Metadata!", ADDRESS(INDEX($M$2:$M$1001,MATCH(ROWS($K$2:K893),$K$2:$K$1001,0),0), INDEX($R$1004:$W$1004,1,MATCH(COLUMNS($R$1006:W1006),$R$1006:$W$1006,0)))),"Fix")))</f>
        <v>0</v>
      </c>
      <c r="K893">
        <v>0</v>
      </c>
      <c r="L893">
        <v>0</v>
      </c>
      <c r="M893">
        <v>0</v>
      </c>
      <c r="N893">
        <f>IF(O893,TRUE,AND(R893:W893))</f>
        <v>0</v>
      </c>
      <c r="O893">
        <f>COUNTBLANK(Metadata!B893:G893)=COLUMNS(Metadata!B893:G893)</f>
        <v>0</v>
      </c>
      <c r="P893">
        <v>0</v>
      </c>
      <c r="R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S893">
        <f>IF(Metadata!C893="",FALSE,TRUE)</f>
        <v>0</v>
      </c>
      <c r="T893">
        <f>IF(Metadata!D893="",FALSE,TRUE)</f>
        <v>0</v>
      </c>
      <c r="U893">
        <f>IF(Metadata!E893="",FALSE,TRUE)</f>
        <v>0</v>
      </c>
      <c r="V893">
        <f>AND(IF(Metadata!F893="",FALSE,TRUE),exact(Metadata!F893,"rat gut metagenome"))</f>
        <v>0</v>
      </c>
      <c r="W893">
        <f>AND(IF(Metadata!G893="",FALSE,TRUE),exact(Metadata!G893,"1436733"))</f>
        <v>0</v>
      </c>
    </row>
    <row r="894" spans="1:23">
      <c r="A894" s="4">
        <f>IF(B894=" "," ",HYPERLINK(CONCATENATE("#metadata!",ADDRESS(INDEX($M$2:$M$1001,MATCH(ROWS($K$2:K894),$K$2:$K$1001,0),0),1)),INDEX($P$2:$P$1001,MATCH(ROWS($K$2:K894),$K$2:$K$1001,0),0)))</f>
        <v>0</v>
      </c>
      <c r="B894" s="3">
        <f>IF(OR(INDEX($L$2:$L$1001,MATCH(ROWS($K$2:K894),$K$2:$K$1001,0),1)&gt;=100000,INDEX($R$1005:$W$1005,1,MATCH(COLUMNS($R$1006:R1006),$R$1006:$W$1006,0))&gt;=100000), " ",IF(INDEX($R$2:$W$1001,MATCH(ROWS($K$2:K894),$K$2:$K$1001,0),MATCH(COLUMNS($R$1006:R1006),$R$1006:$W$1006,0)), HYPERLINK("#",""), HYPERLINK(CONCATENATE("#Metadata!", ADDRESS(INDEX($M$2:$M$1001,MATCH(ROWS($K$2:K894),$K$2:$K$1001,0),0), INDEX($R$1004:$W$1004,1,MATCH(COLUMNS($R$1006:R1006),$R$1006:$W$1006,0)))),"Fix")))</f>
        <v>0</v>
      </c>
      <c r="C894" s="3">
        <f>IF(OR(INDEX($L$2:$L$1001,MATCH(ROWS($K$2:K894),$K$2:$K$1001,0),1)&gt;=100000,INDEX($R$1005:$W$1005,1,MATCH(COLUMNS($R$1006:S1006),$R$1006:$W$1006,0))&gt;=100000), " ",IF(INDEX($R$2:$W$1001,MATCH(ROWS($K$2:K894),$K$2:$K$1001,0),MATCH(COLUMNS($R$1006:S1006),$R$1006:$W$1006,0)), HYPERLINK("#",""), HYPERLINK(CONCATENATE("#Metadata!", ADDRESS(INDEX($M$2:$M$1001,MATCH(ROWS($K$2:K894),$K$2:$K$1001,0),0), INDEX($R$1004:$W$1004,1,MATCH(COLUMNS($R$1006:S1006),$R$1006:$W$1006,0)))),"Fix")))</f>
        <v>0</v>
      </c>
      <c r="D894" s="3">
        <f>IF(OR(INDEX($L$2:$L$1001,MATCH(ROWS($K$2:K894),$K$2:$K$1001,0),1)&gt;=100000,INDEX($R$1005:$W$1005,1,MATCH(COLUMNS($R$1006:T1006),$R$1006:$W$1006,0))&gt;=100000), " ",IF(INDEX($R$2:$W$1001,MATCH(ROWS($K$2:K894),$K$2:$K$1001,0),MATCH(COLUMNS($R$1006:T1006),$R$1006:$W$1006,0)), HYPERLINK("#",""), HYPERLINK(CONCATENATE("#Metadata!", ADDRESS(INDEX($M$2:$M$1001,MATCH(ROWS($K$2:K894),$K$2:$K$1001,0),0), INDEX($R$1004:$W$1004,1,MATCH(COLUMNS($R$1006:T1006),$R$1006:$W$1006,0)))),"Fix")))</f>
        <v>0</v>
      </c>
      <c r="E894" s="3">
        <f>IF(OR(INDEX($L$2:$L$1001,MATCH(ROWS($K$2:K894),$K$2:$K$1001,0),1)&gt;=100000,INDEX($R$1005:$W$1005,1,MATCH(COLUMNS($R$1006:U1006),$R$1006:$W$1006,0))&gt;=100000), " ",IF(INDEX($R$2:$W$1001,MATCH(ROWS($K$2:K894),$K$2:$K$1001,0),MATCH(COLUMNS($R$1006:U1006),$R$1006:$W$1006,0)), HYPERLINK("#",""), HYPERLINK(CONCATENATE("#Metadata!", ADDRESS(INDEX($M$2:$M$1001,MATCH(ROWS($K$2:K894),$K$2:$K$1001,0),0), INDEX($R$1004:$W$1004,1,MATCH(COLUMNS($R$1006:U1006),$R$1006:$W$1006,0)))),"Fix")))</f>
        <v>0</v>
      </c>
      <c r="F894" s="3">
        <f>IF(OR(INDEX($L$2:$L$1001,MATCH(ROWS($K$2:K894),$K$2:$K$1001,0),1)&gt;=100000,INDEX($R$1005:$W$1005,1,MATCH(COLUMNS($R$1006:V1006),$R$1006:$W$1006,0))&gt;=100000), " ",IF(INDEX($R$2:$W$1001,MATCH(ROWS($K$2:K894),$K$2:$K$1001,0),MATCH(COLUMNS($R$1006:V1006),$R$1006:$W$1006,0)), HYPERLINK("#",""), HYPERLINK(CONCATENATE("#Metadata!", ADDRESS(INDEX($M$2:$M$1001,MATCH(ROWS($K$2:K894),$K$2:$K$1001,0),0), INDEX($R$1004:$W$1004,1,MATCH(COLUMNS($R$1006:V1006),$R$1006:$W$1006,0)))),"Fix")))</f>
        <v>0</v>
      </c>
      <c r="G894" s="3">
        <f>IF(OR(INDEX($L$2:$L$1001,MATCH(ROWS($K$2:K894),$K$2:$K$1001,0),1)&gt;=100000,INDEX($R$1005:$W$1005,1,MATCH(COLUMNS($R$1006:W1006),$R$1006:$W$1006,0))&gt;=100000), " ",IF(INDEX($R$2:$W$1001,MATCH(ROWS($K$2:K894),$K$2:$K$1001,0),MATCH(COLUMNS($R$1006:W1006),$R$1006:$W$1006,0)), HYPERLINK("#",""), HYPERLINK(CONCATENATE("#Metadata!", ADDRESS(INDEX($M$2:$M$1001,MATCH(ROWS($K$2:K894),$K$2:$K$1001,0),0), INDEX($R$1004:$W$1004,1,MATCH(COLUMNS($R$1006:W1006),$R$1006:$W$1006,0)))),"Fix")))</f>
        <v>0</v>
      </c>
      <c r="K894">
        <v>0</v>
      </c>
      <c r="L894">
        <v>0</v>
      </c>
      <c r="M894">
        <v>0</v>
      </c>
      <c r="N894">
        <f>IF(O894,TRUE,AND(R894:W894))</f>
        <v>0</v>
      </c>
      <c r="O894">
        <f>COUNTBLANK(Metadata!B894:G894)=COLUMNS(Metadata!B894:G894)</f>
        <v>0</v>
      </c>
      <c r="P894">
        <v>0</v>
      </c>
      <c r="R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S894">
        <f>IF(Metadata!C894="",FALSE,TRUE)</f>
        <v>0</v>
      </c>
      <c r="T894">
        <f>IF(Metadata!D894="",FALSE,TRUE)</f>
        <v>0</v>
      </c>
      <c r="U894">
        <f>IF(Metadata!E894="",FALSE,TRUE)</f>
        <v>0</v>
      </c>
      <c r="V894">
        <f>AND(IF(Metadata!F894="",FALSE,TRUE),exact(Metadata!F894,"rat gut metagenome"))</f>
        <v>0</v>
      </c>
      <c r="W894">
        <f>AND(IF(Metadata!G894="",FALSE,TRUE),exact(Metadata!G894,"1436733"))</f>
        <v>0</v>
      </c>
    </row>
    <row r="895" spans="1:23">
      <c r="A895" s="4">
        <f>IF(B895=" "," ",HYPERLINK(CONCATENATE("#metadata!",ADDRESS(INDEX($M$2:$M$1001,MATCH(ROWS($K$2:K895),$K$2:$K$1001,0),0),1)),INDEX($P$2:$P$1001,MATCH(ROWS($K$2:K895),$K$2:$K$1001,0),0)))</f>
        <v>0</v>
      </c>
      <c r="B895" s="3">
        <f>IF(OR(INDEX($L$2:$L$1001,MATCH(ROWS($K$2:K895),$K$2:$K$1001,0),1)&gt;=100000,INDEX($R$1005:$W$1005,1,MATCH(COLUMNS($R$1006:R1006),$R$1006:$W$1006,0))&gt;=100000), " ",IF(INDEX($R$2:$W$1001,MATCH(ROWS($K$2:K895),$K$2:$K$1001,0),MATCH(COLUMNS($R$1006:R1006),$R$1006:$W$1006,0)), HYPERLINK("#",""), HYPERLINK(CONCATENATE("#Metadata!", ADDRESS(INDEX($M$2:$M$1001,MATCH(ROWS($K$2:K895),$K$2:$K$1001,0),0), INDEX($R$1004:$W$1004,1,MATCH(COLUMNS($R$1006:R1006),$R$1006:$W$1006,0)))),"Fix")))</f>
        <v>0</v>
      </c>
      <c r="C895" s="3">
        <f>IF(OR(INDEX($L$2:$L$1001,MATCH(ROWS($K$2:K895),$K$2:$K$1001,0),1)&gt;=100000,INDEX($R$1005:$W$1005,1,MATCH(COLUMNS($R$1006:S1006),$R$1006:$W$1006,0))&gt;=100000), " ",IF(INDEX($R$2:$W$1001,MATCH(ROWS($K$2:K895),$K$2:$K$1001,0),MATCH(COLUMNS($R$1006:S1006),$R$1006:$W$1006,0)), HYPERLINK("#",""), HYPERLINK(CONCATENATE("#Metadata!", ADDRESS(INDEX($M$2:$M$1001,MATCH(ROWS($K$2:K895),$K$2:$K$1001,0),0), INDEX($R$1004:$W$1004,1,MATCH(COLUMNS($R$1006:S1006),$R$1006:$W$1006,0)))),"Fix")))</f>
        <v>0</v>
      </c>
      <c r="D895" s="3">
        <f>IF(OR(INDEX($L$2:$L$1001,MATCH(ROWS($K$2:K895),$K$2:$K$1001,0),1)&gt;=100000,INDEX($R$1005:$W$1005,1,MATCH(COLUMNS($R$1006:T1006),$R$1006:$W$1006,0))&gt;=100000), " ",IF(INDEX($R$2:$W$1001,MATCH(ROWS($K$2:K895),$K$2:$K$1001,0),MATCH(COLUMNS($R$1006:T1006),$R$1006:$W$1006,0)), HYPERLINK("#",""), HYPERLINK(CONCATENATE("#Metadata!", ADDRESS(INDEX($M$2:$M$1001,MATCH(ROWS($K$2:K895),$K$2:$K$1001,0),0), INDEX($R$1004:$W$1004,1,MATCH(COLUMNS($R$1006:T1006),$R$1006:$W$1006,0)))),"Fix")))</f>
        <v>0</v>
      </c>
      <c r="E895" s="3">
        <f>IF(OR(INDEX($L$2:$L$1001,MATCH(ROWS($K$2:K895),$K$2:$K$1001,0),1)&gt;=100000,INDEX($R$1005:$W$1005,1,MATCH(COLUMNS($R$1006:U1006),$R$1006:$W$1006,0))&gt;=100000), " ",IF(INDEX($R$2:$W$1001,MATCH(ROWS($K$2:K895),$K$2:$K$1001,0),MATCH(COLUMNS($R$1006:U1006),$R$1006:$W$1006,0)), HYPERLINK("#",""), HYPERLINK(CONCATENATE("#Metadata!", ADDRESS(INDEX($M$2:$M$1001,MATCH(ROWS($K$2:K895),$K$2:$K$1001,0),0), INDEX($R$1004:$W$1004,1,MATCH(COLUMNS($R$1006:U1006),$R$1006:$W$1006,0)))),"Fix")))</f>
        <v>0</v>
      </c>
      <c r="F895" s="3">
        <f>IF(OR(INDEX($L$2:$L$1001,MATCH(ROWS($K$2:K895),$K$2:$K$1001,0),1)&gt;=100000,INDEX($R$1005:$W$1005,1,MATCH(COLUMNS($R$1006:V1006),$R$1006:$W$1006,0))&gt;=100000), " ",IF(INDEX($R$2:$W$1001,MATCH(ROWS($K$2:K895),$K$2:$K$1001,0),MATCH(COLUMNS($R$1006:V1006),$R$1006:$W$1006,0)), HYPERLINK("#",""), HYPERLINK(CONCATENATE("#Metadata!", ADDRESS(INDEX($M$2:$M$1001,MATCH(ROWS($K$2:K895),$K$2:$K$1001,0),0), INDEX($R$1004:$W$1004,1,MATCH(COLUMNS($R$1006:V1006),$R$1006:$W$1006,0)))),"Fix")))</f>
        <v>0</v>
      </c>
      <c r="G895" s="3">
        <f>IF(OR(INDEX($L$2:$L$1001,MATCH(ROWS($K$2:K895),$K$2:$K$1001,0),1)&gt;=100000,INDEX($R$1005:$W$1005,1,MATCH(COLUMNS($R$1006:W1006),$R$1006:$W$1006,0))&gt;=100000), " ",IF(INDEX($R$2:$W$1001,MATCH(ROWS($K$2:K895),$K$2:$K$1001,0),MATCH(COLUMNS($R$1006:W1006),$R$1006:$W$1006,0)), HYPERLINK("#",""), HYPERLINK(CONCATENATE("#Metadata!", ADDRESS(INDEX($M$2:$M$1001,MATCH(ROWS($K$2:K895),$K$2:$K$1001,0),0), INDEX($R$1004:$W$1004,1,MATCH(COLUMNS($R$1006:W1006),$R$1006:$W$1006,0)))),"Fix")))</f>
        <v>0</v>
      </c>
      <c r="K895">
        <v>0</v>
      </c>
      <c r="L895">
        <v>0</v>
      </c>
      <c r="M895">
        <v>0</v>
      </c>
      <c r="N895">
        <f>IF(O895,TRUE,AND(R895:W895))</f>
        <v>0</v>
      </c>
      <c r="O895">
        <f>COUNTBLANK(Metadata!B895:G895)=COLUMNS(Metadata!B895:G895)</f>
        <v>0</v>
      </c>
      <c r="P895">
        <v>0</v>
      </c>
      <c r="R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S895">
        <f>IF(Metadata!C895="",FALSE,TRUE)</f>
        <v>0</v>
      </c>
      <c r="T895">
        <f>IF(Metadata!D895="",FALSE,TRUE)</f>
        <v>0</v>
      </c>
      <c r="U895">
        <f>IF(Metadata!E895="",FALSE,TRUE)</f>
        <v>0</v>
      </c>
      <c r="V895">
        <f>AND(IF(Metadata!F895="",FALSE,TRUE),exact(Metadata!F895,"rat gut metagenome"))</f>
        <v>0</v>
      </c>
      <c r="W895">
        <f>AND(IF(Metadata!G895="",FALSE,TRUE),exact(Metadata!G895,"1436733"))</f>
        <v>0</v>
      </c>
    </row>
    <row r="896" spans="1:23">
      <c r="A896" s="4">
        <f>IF(B896=" "," ",HYPERLINK(CONCATENATE("#metadata!",ADDRESS(INDEX($M$2:$M$1001,MATCH(ROWS($K$2:K896),$K$2:$K$1001,0),0),1)),INDEX($P$2:$P$1001,MATCH(ROWS($K$2:K896),$K$2:$K$1001,0),0)))</f>
        <v>0</v>
      </c>
      <c r="B896" s="3">
        <f>IF(OR(INDEX($L$2:$L$1001,MATCH(ROWS($K$2:K896),$K$2:$K$1001,0),1)&gt;=100000,INDEX($R$1005:$W$1005,1,MATCH(COLUMNS($R$1006:R1006),$R$1006:$W$1006,0))&gt;=100000), " ",IF(INDEX($R$2:$W$1001,MATCH(ROWS($K$2:K896),$K$2:$K$1001,0),MATCH(COLUMNS($R$1006:R1006),$R$1006:$W$1006,0)), HYPERLINK("#",""), HYPERLINK(CONCATENATE("#Metadata!", ADDRESS(INDEX($M$2:$M$1001,MATCH(ROWS($K$2:K896),$K$2:$K$1001,0),0), INDEX($R$1004:$W$1004,1,MATCH(COLUMNS($R$1006:R1006),$R$1006:$W$1006,0)))),"Fix")))</f>
        <v>0</v>
      </c>
      <c r="C896" s="3">
        <f>IF(OR(INDEX($L$2:$L$1001,MATCH(ROWS($K$2:K896),$K$2:$K$1001,0),1)&gt;=100000,INDEX($R$1005:$W$1005,1,MATCH(COLUMNS($R$1006:S1006),$R$1006:$W$1006,0))&gt;=100000), " ",IF(INDEX($R$2:$W$1001,MATCH(ROWS($K$2:K896),$K$2:$K$1001,0),MATCH(COLUMNS($R$1006:S1006),$R$1006:$W$1006,0)), HYPERLINK("#",""), HYPERLINK(CONCATENATE("#Metadata!", ADDRESS(INDEX($M$2:$M$1001,MATCH(ROWS($K$2:K896),$K$2:$K$1001,0),0), INDEX($R$1004:$W$1004,1,MATCH(COLUMNS($R$1006:S1006),$R$1006:$W$1006,0)))),"Fix")))</f>
        <v>0</v>
      </c>
      <c r="D896" s="3">
        <f>IF(OR(INDEX($L$2:$L$1001,MATCH(ROWS($K$2:K896),$K$2:$K$1001,0),1)&gt;=100000,INDEX($R$1005:$W$1005,1,MATCH(COLUMNS($R$1006:T1006),$R$1006:$W$1006,0))&gt;=100000), " ",IF(INDEX($R$2:$W$1001,MATCH(ROWS($K$2:K896),$K$2:$K$1001,0),MATCH(COLUMNS($R$1006:T1006),$R$1006:$W$1006,0)), HYPERLINK("#",""), HYPERLINK(CONCATENATE("#Metadata!", ADDRESS(INDEX($M$2:$M$1001,MATCH(ROWS($K$2:K896),$K$2:$K$1001,0),0), INDEX($R$1004:$W$1004,1,MATCH(COLUMNS($R$1006:T1006),$R$1006:$W$1006,0)))),"Fix")))</f>
        <v>0</v>
      </c>
      <c r="E896" s="3">
        <f>IF(OR(INDEX($L$2:$L$1001,MATCH(ROWS($K$2:K896),$K$2:$K$1001,0),1)&gt;=100000,INDEX($R$1005:$W$1005,1,MATCH(COLUMNS($R$1006:U1006),$R$1006:$W$1006,0))&gt;=100000), " ",IF(INDEX($R$2:$W$1001,MATCH(ROWS($K$2:K896),$K$2:$K$1001,0),MATCH(COLUMNS($R$1006:U1006),$R$1006:$W$1006,0)), HYPERLINK("#",""), HYPERLINK(CONCATENATE("#Metadata!", ADDRESS(INDEX($M$2:$M$1001,MATCH(ROWS($K$2:K896),$K$2:$K$1001,0),0), INDEX($R$1004:$W$1004,1,MATCH(COLUMNS($R$1006:U1006),$R$1006:$W$1006,0)))),"Fix")))</f>
        <v>0</v>
      </c>
      <c r="F896" s="3">
        <f>IF(OR(INDEX($L$2:$L$1001,MATCH(ROWS($K$2:K896),$K$2:$K$1001,0),1)&gt;=100000,INDEX($R$1005:$W$1005,1,MATCH(COLUMNS($R$1006:V1006),$R$1006:$W$1006,0))&gt;=100000), " ",IF(INDEX($R$2:$W$1001,MATCH(ROWS($K$2:K896),$K$2:$K$1001,0),MATCH(COLUMNS($R$1006:V1006),$R$1006:$W$1006,0)), HYPERLINK("#",""), HYPERLINK(CONCATENATE("#Metadata!", ADDRESS(INDEX($M$2:$M$1001,MATCH(ROWS($K$2:K896),$K$2:$K$1001,0),0), INDEX($R$1004:$W$1004,1,MATCH(COLUMNS($R$1006:V1006),$R$1006:$W$1006,0)))),"Fix")))</f>
        <v>0</v>
      </c>
      <c r="G896" s="3">
        <f>IF(OR(INDEX($L$2:$L$1001,MATCH(ROWS($K$2:K896),$K$2:$K$1001,0),1)&gt;=100000,INDEX($R$1005:$W$1005,1,MATCH(COLUMNS($R$1006:W1006),$R$1006:$W$1006,0))&gt;=100000), " ",IF(INDEX($R$2:$W$1001,MATCH(ROWS($K$2:K896),$K$2:$K$1001,0),MATCH(COLUMNS($R$1006:W1006),$R$1006:$W$1006,0)), HYPERLINK("#",""), HYPERLINK(CONCATENATE("#Metadata!", ADDRESS(INDEX($M$2:$M$1001,MATCH(ROWS($K$2:K896),$K$2:$K$1001,0),0), INDEX($R$1004:$W$1004,1,MATCH(COLUMNS($R$1006:W1006),$R$1006:$W$1006,0)))),"Fix")))</f>
        <v>0</v>
      </c>
      <c r="K896">
        <v>0</v>
      </c>
      <c r="L896">
        <v>0</v>
      </c>
      <c r="M896">
        <v>0</v>
      </c>
      <c r="N896">
        <f>IF(O896,TRUE,AND(R896:W896))</f>
        <v>0</v>
      </c>
      <c r="O896">
        <f>COUNTBLANK(Metadata!B896:G896)=COLUMNS(Metadata!B896:G896)</f>
        <v>0</v>
      </c>
      <c r="P896">
        <v>0</v>
      </c>
      <c r="R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S896">
        <f>IF(Metadata!C896="",FALSE,TRUE)</f>
        <v>0</v>
      </c>
      <c r="T896">
        <f>IF(Metadata!D896="",FALSE,TRUE)</f>
        <v>0</v>
      </c>
      <c r="U896">
        <f>IF(Metadata!E896="",FALSE,TRUE)</f>
        <v>0</v>
      </c>
      <c r="V896">
        <f>AND(IF(Metadata!F896="",FALSE,TRUE),exact(Metadata!F896,"rat gut metagenome"))</f>
        <v>0</v>
      </c>
      <c r="W896">
        <f>AND(IF(Metadata!G896="",FALSE,TRUE),exact(Metadata!G896,"1436733"))</f>
        <v>0</v>
      </c>
    </row>
    <row r="897" spans="1:23">
      <c r="A897" s="4">
        <f>IF(B897=" "," ",HYPERLINK(CONCATENATE("#metadata!",ADDRESS(INDEX($M$2:$M$1001,MATCH(ROWS($K$2:K897),$K$2:$K$1001,0),0),1)),INDEX($P$2:$P$1001,MATCH(ROWS($K$2:K897),$K$2:$K$1001,0),0)))</f>
        <v>0</v>
      </c>
      <c r="B897" s="3">
        <f>IF(OR(INDEX($L$2:$L$1001,MATCH(ROWS($K$2:K897),$K$2:$K$1001,0),1)&gt;=100000,INDEX($R$1005:$W$1005,1,MATCH(COLUMNS($R$1006:R1006),$R$1006:$W$1006,0))&gt;=100000), " ",IF(INDEX($R$2:$W$1001,MATCH(ROWS($K$2:K897),$K$2:$K$1001,0),MATCH(COLUMNS($R$1006:R1006),$R$1006:$W$1006,0)), HYPERLINK("#",""), HYPERLINK(CONCATENATE("#Metadata!", ADDRESS(INDEX($M$2:$M$1001,MATCH(ROWS($K$2:K897),$K$2:$K$1001,0),0), INDEX($R$1004:$W$1004,1,MATCH(COLUMNS($R$1006:R1006),$R$1006:$W$1006,0)))),"Fix")))</f>
        <v>0</v>
      </c>
      <c r="C897" s="3">
        <f>IF(OR(INDEX($L$2:$L$1001,MATCH(ROWS($K$2:K897),$K$2:$K$1001,0),1)&gt;=100000,INDEX($R$1005:$W$1005,1,MATCH(COLUMNS($R$1006:S1006),$R$1006:$W$1006,0))&gt;=100000), " ",IF(INDEX($R$2:$W$1001,MATCH(ROWS($K$2:K897),$K$2:$K$1001,0),MATCH(COLUMNS($R$1006:S1006),$R$1006:$W$1006,0)), HYPERLINK("#",""), HYPERLINK(CONCATENATE("#Metadata!", ADDRESS(INDEX($M$2:$M$1001,MATCH(ROWS($K$2:K897),$K$2:$K$1001,0),0), INDEX($R$1004:$W$1004,1,MATCH(COLUMNS($R$1006:S1006),$R$1006:$W$1006,0)))),"Fix")))</f>
        <v>0</v>
      </c>
      <c r="D897" s="3">
        <f>IF(OR(INDEX($L$2:$L$1001,MATCH(ROWS($K$2:K897),$K$2:$K$1001,0),1)&gt;=100000,INDEX($R$1005:$W$1005,1,MATCH(COLUMNS($R$1006:T1006),$R$1006:$W$1006,0))&gt;=100000), " ",IF(INDEX($R$2:$W$1001,MATCH(ROWS($K$2:K897),$K$2:$K$1001,0),MATCH(COLUMNS($R$1006:T1006),$R$1006:$W$1006,0)), HYPERLINK("#",""), HYPERLINK(CONCATENATE("#Metadata!", ADDRESS(INDEX($M$2:$M$1001,MATCH(ROWS($K$2:K897),$K$2:$K$1001,0),0), INDEX($R$1004:$W$1004,1,MATCH(COLUMNS($R$1006:T1006),$R$1006:$W$1006,0)))),"Fix")))</f>
        <v>0</v>
      </c>
      <c r="E897" s="3">
        <f>IF(OR(INDEX($L$2:$L$1001,MATCH(ROWS($K$2:K897),$K$2:$K$1001,0),1)&gt;=100000,INDEX($R$1005:$W$1005,1,MATCH(COLUMNS($R$1006:U1006),$R$1006:$W$1006,0))&gt;=100000), " ",IF(INDEX($R$2:$W$1001,MATCH(ROWS($K$2:K897),$K$2:$K$1001,0),MATCH(COLUMNS($R$1006:U1006),$R$1006:$W$1006,0)), HYPERLINK("#",""), HYPERLINK(CONCATENATE("#Metadata!", ADDRESS(INDEX($M$2:$M$1001,MATCH(ROWS($K$2:K897),$K$2:$K$1001,0),0), INDEX($R$1004:$W$1004,1,MATCH(COLUMNS($R$1006:U1006),$R$1006:$W$1006,0)))),"Fix")))</f>
        <v>0</v>
      </c>
      <c r="F897" s="3">
        <f>IF(OR(INDEX($L$2:$L$1001,MATCH(ROWS($K$2:K897),$K$2:$K$1001,0),1)&gt;=100000,INDEX($R$1005:$W$1005,1,MATCH(COLUMNS($R$1006:V1006),$R$1006:$W$1006,0))&gt;=100000), " ",IF(INDEX($R$2:$W$1001,MATCH(ROWS($K$2:K897),$K$2:$K$1001,0),MATCH(COLUMNS($R$1006:V1006),$R$1006:$W$1006,0)), HYPERLINK("#",""), HYPERLINK(CONCATENATE("#Metadata!", ADDRESS(INDEX($M$2:$M$1001,MATCH(ROWS($K$2:K897),$K$2:$K$1001,0),0), INDEX($R$1004:$W$1004,1,MATCH(COLUMNS($R$1006:V1006),$R$1006:$W$1006,0)))),"Fix")))</f>
        <v>0</v>
      </c>
      <c r="G897" s="3">
        <f>IF(OR(INDEX($L$2:$L$1001,MATCH(ROWS($K$2:K897),$K$2:$K$1001,0),1)&gt;=100000,INDEX($R$1005:$W$1005,1,MATCH(COLUMNS($R$1006:W1006),$R$1006:$W$1006,0))&gt;=100000), " ",IF(INDEX($R$2:$W$1001,MATCH(ROWS($K$2:K897),$K$2:$K$1001,0),MATCH(COLUMNS($R$1006:W1006),$R$1006:$W$1006,0)), HYPERLINK("#",""), HYPERLINK(CONCATENATE("#Metadata!", ADDRESS(INDEX($M$2:$M$1001,MATCH(ROWS($K$2:K897),$K$2:$K$1001,0),0), INDEX($R$1004:$W$1004,1,MATCH(COLUMNS($R$1006:W1006),$R$1006:$W$1006,0)))),"Fix")))</f>
        <v>0</v>
      </c>
      <c r="K897">
        <v>0</v>
      </c>
      <c r="L897">
        <v>0</v>
      </c>
      <c r="M897">
        <v>0</v>
      </c>
      <c r="N897">
        <f>IF(O897,TRUE,AND(R897:W897))</f>
        <v>0</v>
      </c>
      <c r="O897">
        <f>COUNTBLANK(Metadata!B897:G897)=COLUMNS(Metadata!B897:G897)</f>
        <v>0</v>
      </c>
      <c r="P897">
        <v>0</v>
      </c>
      <c r="R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S897">
        <f>IF(Metadata!C897="",FALSE,TRUE)</f>
        <v>0</v>
      </c>
      <c r="T897">
        <f>IF(Metadata!D897="",FALSE,TRUE)</f>
        <v>0</v>
      </c>
      <c r="U897">
        <f>IF(Metadata!E897="",FALSE,TRUE)</f>
        <v>0</v>
      </c>
      <c r="V897">
        <f>AND(IF(Metadata!F897="",FALSE,TRUE),exact(Metadata!F897,"rat gut metagenome"))</f>
        <v>0</v>
      </c>
      <c r="W897">
        <f>AND(IF(Metadata!G897="",FALSE,TRUE),exact(Metadata!G897,"1436733"))</f>
        <v>0</v>
      </c>
    </row>
    <row r="898" spans="1:23">
      <c r="A898" s="4">
        <f>IF(B898=" "," ",HYPERLINK(CONCATENATE("#metadata!",ADDRESS(INDEX($M$2:$M$1001,MATCH(ROWS($K$2:K898),$K$2:$K$1001,0),0),1)),INDEX($P$2:$P$1001,MATCH(ROWS($K$2:K898),$K$2:$K$1001,0),0)))</f>
        <v>0</v>
      </c>
      <c r="B898" s="3">
        <f>IF(OR(INDEX($L$2:$L$1001,MATCH(ROWS($K$2:K898),$K$2:$K$1001,0),1)&gt;=100000,INDEX($R$1005:$W$1005,1,MATCH(COLUMNS($R$1006:R1006),$R$1006:$W$1006,0))&gt;=100000), " ",IF(INDEX($R$2:$W$1001,MATCH(ROWS($K$2:K898),$K$2:$K$1001,0),MATCH(COLUMNS($R$1006:R1006),$R$1006:$W$1006,0)), HYPERLINK("#",""), HYPERLINK(CONCATENATE("#Metadata!", ADDRESS(INDEX($M$2:$M$1001,MATCH(ROWS($K$2:K898),$K$2:$K$1001,0),0), INDEX($R$1004:$W$1004,1,MATCH(COLUMNS($R$1006:R1006),$R$1006:$W$1006,0)))),"Fix")))</f>
        <v>0</v>
      </c>
      <c r="C898" s="3">
        <f>IF(OR(INDEX($L$2:$L$1001,MATCH(ROWS($K$2:K898),$K$2:$K$1001,0),1)&gt;=100000,INDEX($R$1005:$W$1005,1,MATCH(COLUMNS($R$1006:S1006),$R$1006:$W$1006,0))&gt;=100000), " ",IF(INDEX($R$2:$W$1001,MATCH(ROWS($K$2:K898),$K$2:$K$1001,0),MATCH(COLUMNS($R$1006:S1006),$R$1006:$W$1006,0)), HYPERLINK("#",""), HYPERLINK(CONCATENATE("#Metadata!", ADDRESS(INDEX($M$2:$M$1001,MATCH(ROWS($K$2:K898),$K$2:$K$1001,0),0), INDEX($R$1004:$W$1004,1,MATCH(COLUMNS($R$1006:S1006),$R$1006:$W$1006,0)))),"Fix")))</f>
        <v>0</v>
      </c>
      <c r="D898" s="3">
        <f>IF(OR(INDEX($L$2:$L$1001,MATCH(ROWS($K$2:K898),$K$2:$K$1001,0),1)&gt;=100000,INDEX($R$1005:$W$1005,1,MATCH(COLUMNS($R$1006:T1006),$R$1006:$W$1006,0))&gt;=100000), " ",IF(INDEX($R$2:$W$1001,MATCH(ROWS($K$2:K898),$K$2:$K$1001,0),MATCH(COLUMNS($R$1006:T1006),$R$1006:$W$1006,0)), HYPERLINK("#",""), HYPERLINK(CONCATENATE("#Metadata!", ADDRESS(INDEX($M$2:$M$1001,MATCH(ROWS($K$2:K898),$K$2:$K$1001,0),0), INDEX($R$1004:$W$1004,1,MATCH(COLUMNS($R$1006:T1006),$R$1006:$W$1006,0)))),"Fix")))</f>
        <v>0</v>
      </c>
      <c r="E898" s="3">
        <f>IF(OR(INDEX($L$2:$L$1001,MATCH(ROWS($K$2:K898),$K$2:$K$1001,0),1)&gt;=100000,INDEX($R$1005:$W$1005,1,MATCH(COLUMNS($R$1006:U1006),$R$1006:$W$1006,0))&gt;=100000), " ",IF(INDEX($R$2:$W$1001,MATCH(ROWS($K$2:K898),$K$2:$K$1001,0),MATCH(COLUMNS($R$1006:U1006),$R$1006:$W$1006,0)), HYPERLINK("#",""), HYPERLINK(CONCATENATE("#Metadata!", ADDRESS(INDEX($M$2:$M$1001,MATCH(ROWS($K$2:K898),$K$2:$K$1001,0),0), INDEX($R$1004:$W$1004,1,MATCH(COLUMNS($R$1006:U1006),$R$1006:$W$1006,0)))),"Fix")))</f>
        <v>0</v>
      </c>
      <c r="F898" s="3">
        <f>IF(OR(INDEX($L$2:$L$1001,MATCH(ROWS($K$2:K898),$K$2:$K$1001,0),1)&gt;=100000,INDEX($R$1005:$W$1005,1,MATCH(COLUMNS($R$1006:V1006),$R$1006:$W$1006,0))&gt;=100000), " ",IF(INDEX($R$2:$W$1001,MATCH(ROWS($K$2:K898),$K$2:$K$1001,0),MATCH(COLUMNS($R$1006:V1006),$R$1006:$W$1006,0)), HYPERLINK("#",""), HYPERLINK(CONCATENATE("#Metadata!", ADDRESS(INDEX($M$2:$M$1001,MATCH(ROWS($K$2:K898),$K$2:$K$1001,0),0), INDEX($R$1004:$W$1004,1,MATCH(COLUMNS($R$1006:V1006),$R$1006:$W$1006,0)))),"Fix")))</f>
        <v>0</v>
      </c>
      <c r="G898" s="3">
        <f>IF(OR(INDEX($L$2:$L$1001,MATCH(ROWS($K$2:K898),$K$2:$K$1001,0),1)&gt;=100000,INDEX($R$1005:$W$1005,1,MATCH(COLUMNS($R$1006:W1006),$R$1006:$W$1006,0))&gt;=100000), " ",IF(INDEX($R$2:$W$1001,MATCH(ROWS($K$2:K898),$K$2:$K$1001,0),MATCH(COLUMNS($R$1006:W1006),$R$1006:$W$1006,0)), HYPERLINK("#",""), HYPERLINK(CONCATENATE("#Metadata!", ADDRESS(INDEX($M$2:$M$1001,MATCH(ROWS($K$2:K898),$K$2:$K$1001,0),0), INDEX($R$1004:$W$1004,1,MATCH(COLUMNS($R$1006:W1006),$R$1006:$W$1006,0)))),"Fix")))</f>
        <v>0</v>
      </c>
      <c r="K898">
        <v>0</v>
      </c>
      <c r="L898">
        <v>0</v>
      </c>
      <c r="M898">
        <v>0</v>
      </c>
      <c r="N898">
        <f>IF(O898,TRUE,AND(R898:W898))</f>
        <v>0</v>
      </c>
      <c r="O898">
        <f>COUNTBLANK(Metadata!B898:G898)=COLUMNS(Metadata!B898:G898)</f>
        <v>0</v>
      </c>
      <c r="P898">
        <v>0</v>
      </c>
      <c r="R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S898">
        <f>IF(Metadata!C898="",FALSE,TRUE)</f>
        <v>0</v>
      </c>
      <c r="T898">
        <f>IF(Metadata!D898="",FALSE,TRUE)</f>
        <v>0</v>
      </c>
      <c r="U898">
        <f>IF(Metadata!E898="",FALSE,TRUE)</f>
        <v>0</v>
      </c>
      <c r="V898">
        <f>AND(IF(Metadata!F898="",FALSE,TRUE),exact(Metadata!F898,"rat gut metagenome"))</f>
        <v>0</v>
      </c>
      <c r="W898">
        <f>AND(IF(Metadata!G898="",FALSE,TRUE),exact(Metadata!G898,"1436733"))</f>
        <v>0</v>
      </c>
    </row>
    <row r="899" spans="1:23">
      <c r="A899" s="4">
        <f>IF(B899=" "," ",HYPERLINK(CONCATENATE("#metadata!",ADDRESS(INDEX($M$2:$M$1001,MATCH(ROWS($K$2:K899),$K$2:$K$1001,0),0),1)),INDEX($P$2:$P$1001,MATCH(ROWS($K$2:K899),$K$2:$K$1001,0),0)))</f>
        <v>0</v>
      </c>
      <c r="B899" s="3">
        <f>IF(OR(INDEX($L$2:$L$1001,MATCH(ROWS($K$2:K899),$K$2:$K$1001,0),1)&gt;=100000,INDEX($R$1005:$W$1005,1,MATCH(COLUMNS($R$1006:R1006),$R$1006:$W$1006,0))&gt;=100000), " ",IF(INDEX($R$2:$W$1001,MATCH(ROWS($K$2:K899),$K$2:$K$1001,0),MATCH(COLUMNS($R$1006:R1006),$R$1006:$W$1006,0)), HYPERLINK("#",""), HYPERLINK(CONCATENATE("#Metadata!", ADDRESS(INDEX($M$2:$M$1001,MATCH(ROWS($K$2:K899),$K$2:$K$1001,0),0), INDEX($R$1004:$W$1004,1,MATCH(COLUMNS($R$1006:R1006),$R$1006:$W$1006,0)))),"Fix")))</f>
        <v>0</v>
      </c>
      <c r="C899" s="3">
        <f>IF(OR(INDEX($L$2:$L$1001,MATCH(ROWS($K$2:K899),$K$2:$K$1001,0),1)&gt;=100000,INDEX($R$1005:$W$1005,1,MATCH(COLUMNS($R$1006:S1006),$R$1006:$W$1006,0))&gt;=100000), " ",IF(INDEX($R$2:$W$1001,MATCH(ROWS($K$2:K899),$K$2:$K$1001,0),MATCH(COLUMNS($R$1006:S1006),$R$1006:$W$1006,0)), HYPERLINK("#",""), HYPERLINK(CONCATENATE("#Metadata!", ADDRESS(INDEX($M$2:$M$1001,MATCH(ROWS($K$2:K899),$K$2:$K$1001,0),0), INDEX($R$1004:$W$1004,1,MATCH(COLUMNS($R$1006:S1006),$R$1006:$W$1006,0)))),"Fix")))</f>
        <v>0</v>
      </c>
      <c r="D899" s="3">
        <f>IF(OR(INDEX($L$2:$L$1001,MATCH(ROWS($K$2:K899),$K$2:$K$1001,0),1)&gt;=100000,INDEX($R$1005:$W$1005,1,MATCH(COLUMNS($R$1006:T1006),$R$1006:$W$1006,0))&gt;=100000), " ",IF(INDEX($R$2:$W$1001,MATCH(ROWS($K$2:K899),$K$2:$K$1001,0),MATCH(COLUMNS($R$1006:T1006),$R$1006:$W$1006,0)), HYPERLINK("#",""), HYPERLINK(CONCATENATE("#Metadata!", ADDRESS(INDEX($M$2:$M$1001,MATCH(ROWS($K$2:K899),$K$2:$K$1001,0),0), INDEX($R$1004:$W$1004,1,MATCH(COLUMNS($R$1006:T1006),$R$1006:$W$1006,0)))),"Fix")))</f>
        <v>0</v>
      </c>
      <c r="E899" s="3">
        <f>IF(OR(INDEX($L$2:$L$1001,MATCH(ROWS($K$2:K899),$K$2:$K$1001,0),1)&gt;=100000,INDEX($R$1005:$W$1005,1,MATCH(COLUMNS($R$1006:U1006),$R$1006:$W$1006,0))&gt;=100000), " ",IF(INDEX($R$2:$W$1001,MATCH(ROWS($K$2:K899),$K$2:$K$1001,0),MATCH(COLUMNS($R$1006:U1006),$R$1006:$W$1006,0)), HYPERLINK("#",""), HYPERLINK(CONCATENATE("#Metadata!", ADDRESS(INDEX($M$2:$M$1001,MATCH(ROWS($K$2:K899),$K$2:$K$1001,0),0), INDEX($R$1004:$W$1004,1,MATCH(COLUMNS($R$1006:U1006),$R$1006:$W$1006,0)))),"Fix")))</f>
        <v>0</v>
      </c>
      <c r="F899" s="3">
        <f>IF(OR(INDEX($L$2:$L$1001,MATCH(ROWS($K$2:K899),$K$2:$K$1001,0),1)&gt;=100000,INDEX($R$1005:$W$1005,1,MATCH(COLUMNS($R$1006:V1006),$R$1006:$W$1006,0))&gt;=100000), " ",IF(INDEX($R$2:$W$1001,MATCH(ROWS($K$2:K899),$K$2:$K$1001,0),MATCH(COLUMNS($R$1006:V1006),$R$1006:$W$1006,0)), HYPERLINK("#",""), HYPERLINK(CONCATENATE("#Metadata!", ADDRESS(INDEX($M$2:$M$1001,MATCH(ROWS($K$2:K899),$K$2:$K$1001,0),0), INDEX($R$1004:$W$1004,1,MATCH(COLUMNS($R$1006:V1006),$R$1006:$W$1006,0)))),"Fix")))</f>
        <v>0</v>
      </c>
      <c r="G899" s="3">
        <f>IF(OR(INDEX($L$2:$L$1001,MATCH(ROWS($K$2:K899),$K$2:$K$1001,0),1)&gt;=100000,INDEX($R$1005:$W$1005,1,MATCH(COLUMNS($R$1006:W1006),$R$1006:$W$1006,0))&gt;=100000), " ",IF(INDEX($R$2:$W$1001,MATCH(ROWS($K$2:K899),$K$2:$K$1001,0),MATCH(COLUMNS($R$1006:W1006),$R$1006:$W$1006,0)), HYPERLINK("#",""), HYPERLINK(CONCATENATE("#Metadata!", ADDRESS(INDEX($M$2:$M$1001,MATCH(ROWS($K$2:K899),$K$2:$K$1001,0),0), INDEX($R$1004:$W$1004,1,MATCH(COLUMNS($R$1006:W1006),$R$1006:$W$1006,0)))),"Fix")))</f>
        <v>0</v>
      </c>
      <c r="K899">
        <v>0</v>
      </c>
      <c r="L899">
        <v>0</v>
      </c>
      <c r="M899">
        <v>0</v>
      </c>
      <c r="N899">
        <f>IF(O899,TRUE,AND(R899:W899))</f>
        <v>0</v>
      </c>
      <c r="O899">
        <f>COUNTBLANK(Metadata!B899:G899)=COLUMNS(Metadata!B899:G899)</f>
        <v>0</v>
      </c>
      <c r="P899">
        <v>0</v>
      </c>
      <c r="R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S899">
        <f>IF(Metadata!C899="",FALSE,TRUE)</f>
        <v>0</v>
      </c>
      <c r="T899">
        <f>IF(Metadata!D899="",FALSE,TRUE)</f>
        <v>0</v>
      </c>
      <c r="U899">
        <f>IF(Metadata!E899="",FALSE,TRUE)</f>
        <v>0</v>
      </c>
      <c r="V899">
        <f>AND(IF(Metadata!F899="",FALSE,TRUE),exact(Metadata!F899,"rat gut metagenome"))</f>
        <v>0</v>
      </c>
      <c r="W899">
        <f>AND(IF(Metadata!G899="",FALSE,TRUE),exact(Metadata!G899,"1436733"))</f>
        <v>0</v>
      </c>
    </row>
    <row r="900" spans="1:23">
      <c r="A900" s="4">
        <f>IF(B900=" "," ",HYPERLINK(CONCATENATE("#metadata!",ADDRESS(INDEX($M$2:$M$1001,MATCH(ROWS($K$2:K900),$K$2:$K$1001,0),0),1)),INDEX($P$2:$P$1001,MATCH(ROWS($K$2:K900),$K$2:$K$1001,0),0)))</f>
        <v>0</v>
      </c>
      <c r="B900" s="3">
        <f>IF(OR(INDEX($L$2:$L$1001,MATCH(ROWS($K$2:K900),$K$2:$K$1001,0),1)&gt;=100000,INDEX($R$1005:$W$1005,1,MATCH(COLUMNS($R$1006:R1006),$R$1006:$W$1006,0))&gt;=100000), " ",IF(INDEX($R$2:$W$1001,MATCH(ROWS($K$2:K900),$K$2:$K$1001,0),MATCH(COLUMNS($R$1006:R1006),$R$1006:$W$1006,0)), HYPERLINK("#",""), HYPERLINK(CONCATENATE("#Metadata!", ADDRESS(INDEX($M$2:$M$1001,MATCH(ROWS($K$2:K900),$K$2:$K$1001,0),0), INDEX($R$1004:$W$1004,1,MATCH(COLUMNS($R$1006:R1006),$R$1006:$W$1006,0)))),"Fix")))</f>
        <v>0</v>
      </c>
      <c r="C900" s="3">
        <f>IF(OR(INDEX($L$2:$L$1001,MATCH(ROWS($K$2:K900),$K$2:$K$1001,0),1)&gt;=100000,INDEX($R$1005:$W$1005,1,MATCH(COLUMNS($R$1006:S1006),$R$1006:$W$1006,0))&gt;=100000), " ",IF(INDEX($R$2:$W$1001,MATCH(ROWS($K$2:K900),$K$2:$K$1001,0),MATCH(COLUMNS($R$1006:S1006),$R$1006:$W$1006,0)), HYPERLINK("#",""), HYPERLINK(CONCATENATE("#Metadata!", ADDRESS(INDEX($M$2:$M$1001,MATCH(ROWS($K$2:K900),$K$2:$K$1001,0),0), INDEX($R$1004:$W$1004,1,MATCH(COLUMNS($R$1006:S1006),$R$1006:$W$1006,0)))),"Fix")))</f>
        <v>0</v>
      </c>
      <c r="D900" s="3">
        <f>IF(OR(INDEX($L$2:$L$1001,MATCH(ROWS($K$2:K900),$K$2:$K$1001,0),1)&gt;=100000,INDEX($R$1005:$W$1005,1,MATCH(COLUMNS($R$1006:T1006),$R$1006:$W$1006,0))&gt;=100000), " ",IF(INDEX($R$2:$W$1001,MATCH(ROWS($K$2:K900),$K$2:$K$1001,0),MATCH(COLUMNS($R$1006:T1006),$R$1006:$W$1006,0)), HYPERLINK("#",""), HYPERLINK(CONCATENATE("#Metadata!", ADDRESS(INDEX($M$2:$M$1001,MATCH(ROWS($K$2:K900),$K$2:$K$1001,0),0), INDEX($R$1004:$W$1004,1,MATCH(COLUMNS($R$1006:T1006),$R$1006:$W$1006,0)))),"Fix")))</f>
        <v>0</v>
      </c>
      <c r="E900" s="3">
        <f>IF(OR(INDEX($L$2:$L$1001,MATCH(ROWS($K$2:K900),$K$2:$K$1001,0),1)&gt;=100000,INDEX($R$1005:$W$1005,1,MATCH(COLUMNS($R$1006:U1006),$R$1006:$W$1006,0))&gt;=100000), " ",IF(INDEX($R$2:$W$1001,MATCH(ROWS($K$2:K900),$K$2:$K$1001,0),MATCH(COLUMNS($R$1006:U1006),$R$1006:$W$1006,0)), HYPERLINK("#",""), HYPERLINK(CONCATENATE("#Metadata!", ADDRESS(INDEX($M$2:$M$1001,MATCH(ROWS($K$2:K900),$K$2:$K$1001,0),0), INDEX($R$1004:$W$1004,1,MATCH(COLUMNS($R$1006:U1006),$R$1006:$W$1006,0)))),"Fix")))</f>
        <v>0</v>
      </c>
      <c r="F900" s="3">
        <f>IF(OR(INDEX($L$2:$L$1001,MATCH(ROWS($K$2:K900),$K$2:$K$1001,0),1)&gt;=100000,INDEX($R$1005:$W$1005,1,MATCH(COLUMNS($R$1006:V1006),$R$1006:$W$1006,0))&gt;=100000), " ",IF(INDEX($R$2:$W$1001,MATCH(ROWS($K$2:K900),$K$2:$K$1001,0),MATCH(COLUMNS($R$1006:V1006),$R$1006:$W$1006,0)), HYPERLINK("#",""), HYPERLINK(CONCATENATE("#Metadata!", ADDRESS(INDEX($M$2:$M$1001,MATCH(ROWS($K$2:K900),$K$2:$K$1001,0),0), INDEX($R$1004:$W$1004,1,MATCH(COLUMNS($R$1006:V1006),$R$1006:$W$1006,0)))),"Fix")))</f>
        <v>0</v>
      </c>
      <c r="G900" s="3">
        <f>IF(OR(INDEX($L$2:$L$1001,MATCH(ROWS($K$2:K900),$K$2:$K$1001,0),1)&gt;=100000,INDEX($R$1005:$W$1005,1,MATCH(COLUMNS($R$1006:W1006),$R$1006:$W$1006,0))&gt;=100000), " ",IF(INDEX($R$2:$W$1001,MATCH(ROWS($K$2:K900),$K$2:$K$1001,0),MATCH(COLUMNS($R$1006:W1006),$R$1006:$W$1006,0)), HYPERLINK("#",""), HYPERLINK(CONCATENATE("#Metadata!", ADDRESS(INDEX($M$2:$M$1001,MATCH(ROWS($K$2:K900),$K$2:$K$1001,0),0), INDEX($R$1004:$W$1004,1,MATCH(COLUMNS($R$1006:W1006),$R$1006:$W$1006,0)))),"Fix")))</f>
        <v>0</v>
      </c>
      <c r="K900">
        <v>0</v>
      </c>
      <c r="L900">
        <v>0</v>
      </c>
      <c r="M900">
        <v>0</v>
      </c>
      <c r="N900">
        <f>IF(O900,TRUE,AND(R900:W900))</f>
        <v>0</v>
      </c>
      <c r="O900">
        <f>COUNTBLANK(Metadata!B900:G900)=COLUMNS(Metadata!B900:G900)</f>
        <v>0</v>
      </c>
      <c r="P900">
        <v>0</v>
      </c>
      <c r="R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S900">
        <f>IF(Metadata!C900="",FALSE,TRUE)</f>
        <v>0</v>
      </c>
      <c r="T900">
        <f>IF(Metadata!D900="",FALSE,TRUE)</f>
        <v>0</v>
      </c>
      <c r="U900">
        <f>IF(Metadata!E900="",FALSE,TRUE)</f>
        <v>0</v>
      </c>
      <c r="V900">
        <f>AND(IF(Metadata!F900="",FALSE,TRUE),exact(Metadata!F900,"rat gut metagenome"))</f>
        <v>0</v>
      </c>
      <c r="W900">
        <f>AND(IF(Metadata!G900="",FALSE,TRUE),exact(Metadata!G900,"1436733"))</f>
        <v>0</v>
      </c>
    </row>
    <row r="901" spans="1:23">
      <c r="A901" s="4">
        <f>IF(B901=" "," ",HYPERLINK(CONCATENATE("#metadata!",ADDRESS(INDEX($M$2:$M$1001,MATCH(ROWS($K$2:K901),$K$2:$K$1001,0),0),1)),INDEX($P$2:$P$1001,MATCH(ROWS($K$2:K901),$K$2:$K$1001,0),0)))</f>
        <v>0</v>
      </c>
      <c r="B901" s="3">
        <f>IF(OR(INDEX($L$2:$L$1001,MATCH(ROWS($K$2:K901),$K$2:$K$1001,0),1)&gt;=100000,INDEX($R$1005:$W$1005,1,MATCH(COLUMNS($R$1006:R1006),$R$1006:$W$1006,0))&gt;=100000), " ",IF(INDEX($R$2:$W$1001,MATCH(ROWS($K$2:K901),$K$2:$K$1001,0),MATCH(COLUMNS($R$1006:R1006),$R$1006:$W$1006,0)), HYPERLINK("#",""), HYPERLINK(CONCATENATE("#Metadata!", ADDRESS(INDEX($M$2:$M$1001,MATCH(ROWS($K$2:K901),$K$2:$K$1001,0),0), INDEX($R$1004:$W$1004,1,MATCH(COLUMNS($R$1006:R1006),$R$1006:$W$1006,0)))),"Fix")))</f>
        <v>0</v>
      </c>
      <c r="C901" s="3">
        <f>IF(OR(INDEX($L$2:$L$1001,MATCH(ROWS($K$2:K901),$K$2:$K$1001,0),1)&gt;=100000,INDEX($R$1005:$W$1005,1,MATCH(COLUMNS($R$1006:S1006),$R$1006:$W$1006,0))&gt;=100000), " ",IF(INDEX($R$2:$W$1001,MATCH(ROWS($K$2:K901),$K$2:$K$1001,0),MATCH(COLUMNS($R$1006:S1006),$R$1006:$W$1006,0)), HYPERLINK("#",""), HYPERLINK(CONCATENATE("#Metadata!", ADDRESS(INDEX($M$2:$M$1001,MATCH(ROWS($K$2:K901),$K$2:$K$1001,0),0), INDEX($R$1004:$W$1004,1,MATCH(COLUMNS($R$1006:S1006),$R$1006:$W$1006,0)))),"Fix")))</f>
        <v>0</v>
      </c>
      <c r="D901" s="3">
        <f>IF(OR(INDEX($L$2:$L$1001,MATCH(ROWS($K$2:K901),$K$2:$K$1001,0),1)&gt;=100000,INDEX($R$1005:$W$1005,1,MATCH(COLUMNS($R$1006:T1006),$R$1006:$W$1006,0))&gt;=100000), " ",IF(INDEX($R$2:$W$1001,MATCH(ROWS($K$2:K901),$K$2:$K$1001,0),MATCH(COLUMNS($R$1006:T1006),$R$1006:$W$1006,0)), HYPERLINK("#",""), HYPERLINK(CONCATENATE("#Metadata!", ADDRESS(INDEX($M$2:$M$1001,MATCH(ROWS($K$2:K901),$K$2:$K$1001,0),0), INDEX($R$1004:$W$1004,1,MATCH(COLUMNS($R$1006:T1006),$R$1006:$W$1006,0)))),"Fix")))</f>
        <v>0</v>
      </c>
      <c r="E901" s="3">
        <f>IF(OR(INDEX($L$2:$L$1001,MATCH(ROWS($K$2:K901),$K$2:$K$1001,0),1)&gt;=100000,INDEX($R$1005:$W$1005,1,MATCH(COLUMNS($R$1006:U1006),$R$1006:$W$1006,0))&gt;=100000), " ",IF(INDEX($R$2:$W$1001,MATCH(ROWS($K$2:K901),$K$2:$K$1001,0),MATCH(COLUMNS($R$1006:U1006),$R$1006:$W$1006,0)), HYPERLINK("#",""), HYPERLINK(CONCATENATE("#Metadata!", ADDRESS(INDEX($M$2:$M$1001,MATCH(ROWS($K$2:K901),$K$2:$K$1001,0),0), INDEX($R$1004:$W$1004,1,MATCH(COLUMNS($R$1006:U1006),$R$1006:$W$1006,0)))),"Fix")))</f>
        <v>0</v>
      </c>
      <c r="F901" s="3">
        <f>IF(OR(INDEX($L$2:$L$1001,MATCH(ROWS($K$2:K901),$K$2:$K$1001,0),1)&gt;=100000,INDEX($R$1005:$W$1005,1,MATCH(COLUMNS($R$1006:V1006),$R$1006:$W$1006,0))&gt;=100000), " ",IF(INDEX($R$2:$W$1001,MATCH(ROWS($K$2:K901),$K$2:$K$1001,0),MATCH(COLUMNS($R$1006:V1006),$R$1006:$W$1006,0)), HYPERLINK("#",""), HYPERLINK(CONCATENATE("#Metadata!", ADDRESS(INDEX($M$2:$M$1001,MATCH(ROWS($K$2:K901),$K$2:$K$1001,0),0), INDEX($R$1004:$W$1004,1,MATCH(COLUMNS($R$1006:V1006),$R$1006:$W$1006,0)))),"Fix")))</f>
        <v>0</v>
      </c>
      <c r="G901" s="3">
        <f>IF(OR(INDEX($L$2:$L$1001,MATCH(ROWS($K$2:K901),$K$2:$K$1001,0),1)&gt;=100000,INDEX($R$1005:$W$1005,1,MATCH(COLUMNS($R$1006:W1006),$R$1006:$W$1006,0))&gt;=100000), " ",IF(INDEX($R$2:$W$1001,MATCH(ROWS($K$2:K901),$K$2:$K$1001,0),MATCH(COLUMNS($R$1006:W1006),$R$1006:$W$1006,0)), HYPERLINK("#",""), HYPERLINK(CONCATENATE("#Metadata!", ADDRESS(INDEX($M$2:$M$1001,MATCH(ROWS($K$2:K901),$K$2:$K$1001,0),0), INDEX($R$1004:$W$1004,1,MATCH(COLUMNS($R$1006:W1006),$R$1006:$W$1006,0)))),"Fix")))</f>
        <v>0</v>
      </c>
      <c r="K901">
        <v>0</v>
      </c>
      <c r="L901">
        <v>0</v>
      </c>
      <c r="M901">
        <v>0</v>
      </c>
      <c r="N901">
        <f>IF(O901,TRUE,AND(R901:W901))</f>
        <v>0</v>
      </c>
      <c r="O901">
        <f>COUNTBLANK(Metadata!B901:G901)=COLUMNS(Metadata!B901:G901)</f>
        <v>0</v>
      </c>
      <c r="P901">
        <v>0</v>
      </c>
      <c r="R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S901">
        <f>IF(Metadata!C901="",FALSE,TRUE)</f>
        <v>0</v>
      </c>
      <c r="T901">
        <f>IF(Metadata!D901="",FALSE,TRUE)</f>
        <v>0</v>
      </c>
      <c r="U901">
        <f>IF(Metadata!E901="",FALSE,TRUE)</f>
        <v>0</v>
      </c>
      <c r="V901">
        <f>AND(IF(Metadata!F901="",FALSE,TRUE),exact(Metadata!F901,"rat gut metagenome"))</f>
        <v>0</v>
      </c>
      <c r="W901">
        <f>AND(IF(Metadata!G901="",FALSE,TRUE),exact(Metadata!G901,"1436733"))</f>
        <v>0</v>
      </c>
    </row>
    <row r="902" spans="1:23">
      <c r="A902" s="4">
        <f>IF(B902=" "," ",HYPERLINK(CONCATENATE("#metadata!",ADDRESS(INDEX($M$2:$M$1001,MATCH(ROWS($K$2:K902),$K$2:$K$1001,0),0),1)),INDEX($P$2:$P$1001,MATCH(ROWS($K$2:K902),$K$2:$K$1001,0),0)))</f>
        <v>0</v>
      </c>
      <c r="B902" s="3">
        <f>IF(OR(INDEX($L$2:$L$1001,MATCH(ROWS($K$2:K902),$K$2:$K$1001,0),1)&gt;=100000,INDEX($R$1005:$W$1005,1,MATCH(COLUMNS($R$1006:R1006),$R$1006:$W$1006,0))&gt;=100000), " ",IF(INDEX($R$2:$W$1001,MATCH(ROWS($K$2:K902),$K$2:$K$1001,0),MATCH(COLUMNS($R$1006:R1006),$R$1006:$W$1006,0)), HYPERLINK("#",""), HYPERLINK(CONCATENATE("#Metadata!", ADDRESS(INDEX($M$2:$M$1001,MATCH(ROWS($K$2:K902),$K$2:$K$1001,0),0), INDEX($R$1004:$W$1004,1,MATCH(COLUMNS($R$1006:R1006),$R$1006:$W$1006,0)))),"Fix")))</f>
        <v>0</v>
      </c>
      <c r="C902" s="3">
        <f>IF(OR(INDEX($L$2:$L$1001,MATCH(ROWS($K$2:K902),$K$2:$K$1001,0),1)&gt;=100000,INDEX($R$1005:$W$1005,1,MATCH(COLUMNS($R$1006:S1006),$R$1006:$W$1006,0))&gt;=100000), " ",IF(INDEX($R$2:$W$1001,MATCH(ROWS($K$2:K902),$K$2:$K$1001,0),MATCH(COLUMNS($R$1006:S1006),$R$1006:$W$1006,0)), HYPERLINK("#",""), HYPERLINK(CONCATENATE("#Metadata!", ADDRESS(INDEX($M$2:$M$1001,MATCH(ROWS($K$2:K902),$K$2:$K$1001,0),0), INDEX($R$1004:$W$1004,1,MATCH(COLUMNS($R$1006:S1006),$R$1006:$W$1006,0)))),"Fix")))</f>
        <v>0</v>
      </c>
      <c r="D902" s="3">
        <f>IF(OR(INDEX($L$2:$L$1001,MATCH(ROWS($K$2:K902),$K$2:$K$1001,0),1)&gt;=100000,INDEX($R$1005:$W$1005,1,MATCH(COLUMNS($R$1006:T1006),$R$1006:$W$1006,0))&gt;=100000), " ",IF(INDEX($R$2:$W$1001,MATCH(ROWS($K$2:K902),$K$2:$K$1001,0),MATCH(COLUMNS($R$1006:T1006),$R$1006:$W$1006,0)), HYPERLINK("#",""), HYPERLINK(CONCATENATE("#Metadata!", ADDRESS(INDEX($M$2:$M$1001,MATCH(ROWS($K$2:K902),$K$2:$K$1001,0),0), INDEX($R$1004:$W$1004,1,MATCH(COLUMNS($R$1006:T1006),$R$1006:$W$1006,0)))),"Fix")))</f>
        <v>0</v>
      </c>
      <c r="E902" s="3">
        <f>IF(OR(INDEX($L$2:$L$1001,MATCH(ROWS($K$2:K902),$K$2:$K$1001,0),1)&gt;=100000,INDEX($R$1005:$W$1005,1,MATCH(COLUMNS($R$1006:U1006),$R$1006:$W$1006,0))&gt;=100000), " ",IF(INDEX($R$2:$W$1001,MATCH(ROWS($K$2:K902),$K$2:$K$1001,0),MATCH(COLUMNS($R$1006:U1006),$R$1006:$W$1006,0)), HYPERLINK("#",""), HYPERLINK(CONCATENATE("#Metadata!", ADDRESS(INDEX($M$2:$M$1001,MATCH(ROWS($K$2:K902),$K$2:$K$1001,0),0), INDEX($R$1004:$W$1004,1,MATCH(COLUMNS($R$1006:U1006),$R$1006:$W$1006,0)))),"Fix")))</f>
        <v>0</v>
      </c>
      <c r="F902" s="3">
        <f>IF(OR(INDEX($L$2:$L$1001,MATCH(ROWS($K$2:K902),$K$2:$K$1001,0),1)&gt;=100000,INDEX($R$1005:$W$1005,1,MATCH(COLUMNS($R$1006:V1006),$R$1006:$W$1006,0))&gt;=100000), " ",IF(INDEX($R$2:$W$1001,MATCH(ROWS($K$2:K902),$K$2:$K$1001,0),MATCH(COLUMNS($R$1006:V1006),$R$1006:$W$1006,0)), HYPERLINK("#",""), HYPERLINK(CONCATENATE("#Metadata!", ADDRESS(INDEX($M$2:$M$1001,MATCH(ROWS($K$2:K902),$K$2:$K$1001,0),0), INDEX($R$1004:$W$1004,1,MATCH(COLUMNS($R$1006:V1006),$R$1006:$W$1006,0)))),"Fix")))</f>
        <v>0</v>
      </c>
      <c r="G902" s="3">
        <f>IF(OR(INDEX($L$2:$L$1001,MATCH(ROWS($K$2:K902),$K$2:$K$1001,0),1)&gt;=100000,INDEX($R$1005:$W$1005,1,MATCH(COLUMNS($R$1006:W1006),$R$1006:$W$1006,0))&gt;=100000), " ",IF(INDEX($R$2:$W$1001,MATCH(ROWS($K$2:K902),$K$2:$K$1001,0),MATCH(COLUMNS($R$1006:W1006),$R$1006:$W$1006,0)), HYPERLINK("#",""), HYPERLINK(CONCATENATE("#Metadata!", ADDRESS(INDEX($M$2:$M$1001,MATCH(ROWS($K$2:K902),$K$2:$K$1001,0),0), INDEX($R$1004:$W$1004,1,MATCH(COLUMNS($R$1006:W1006),$R$1006:$W$1006,0)))),"Fix")))</f>
        <v>0</v>
      </c>
      <c r="K902">
        <v>0</v>
      </c>
      <c r="L902">
        <v>0</v>
      </c>
      <c r="M902">
        <v>0</v>
      </c>
      <c r="N902">
        <f>IF(O902,TRUE,AND(R902:W902))</f>
        <v>0</v>
      </c>
      <c r="O902">
        <f>COUNTBLANK(Metadata!B902:G902)=COLUMNS(Metadata!B902:G902)</f>
        <v>0</v>
      </c>
      <c r="P902">
        <v>0</v>
      </c>
      <c r="R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S902">
        <f>IF(Metadata!C902="",FALSE,TRUE)</f>
        <v>0</v>
      </c>
      <c r="T902">
        <f>IF(Metadata!D902="",FALSE,TRUE)</f>
        <v>0</v>
      </c>
      <c r="U902">
        <f>IF(Metadata!E902="",FALSE,TRUE)</f>
        <v>0</v>
      </c>
      <c r="V902">
        <f>AND(IF(Metadata!F902="",FALSE,TRUE),exact(Metadata!F902,"rat gut metagenome"))</f>
        <v>0</v>
      </c>
      <c r="W902">
        <f>AND(IF(Metadata!G902="",FALSE,TRUE),exact(Metadata!G902,"1436733"))</f>
        <v>0</v>
      </c>
    </row>
    <row r="903" spans="1:23">
      <c r="A903" s="4">
        <f>IF(B903=" "," ",HYPERLINK(CONCATENATE("#metadata!",ADDRESS(INDEX($M$2:$M$1001,MATCH(ROWS($K$2:K903),$K$2:$K$1001,0),0),1)),INDEX($P$2:$P$1001,MATCH(ROWS($K$2:K903),$K$2:$K$1001,0),0)))</f>
        <v>0</v>
      </c>
      <c r="B903" s="3">
        <f>IF(OR(INDEX($L$2:$L$1001,MATCH(ROWS($K$2:K903),$K$2:$K$1001,0),1)&gt;=100000,INDEX($R$1005:$W$1005,1,MATCH(COLUMNS($R$1006:R1006),$R$1006:$W$1006,0))&gt;=100000), " ",IF(INDEX($R$2:$W$1001,MATCH(ROWS($K$2:K903),$K$2:$K$1001,0),MATCH(COLUMNS($R$1006:R1006),$R$1006:$W$1006,0)), HYPERLINK("#",""), HYPERLINK(CONCATENATE("#Metadata!", ADDRESS(INDEX($M$2:$M$1001,MATCH(ROWS($K$2:K903),$K$2:$K$1001,0),0), INDEX($R$1004:$W$1004,1,MATCH(COLUMNS($R$1006:R1006),$R$1006:$W$1006,0)))),"Fix")))</f>
        <v>0</v>
      </c>
      <c r="C903" s="3">
        <f>IF(OR(INDEX($L$2:$L$1001,MATCH(ROWS($K$2:K903),$K$2:$K$1001,0),1)&gt;=100000,INDEX($R$1005:$W$1005,1,MATCH(COLUMNS($R$1006:S1006),$R$1006:$W$1006,0))&gt;=100000), " ",IF(INDEX($R$2:$W$1001,MATCH(ROWS($K$2:K903),$K$2:$K$1001,0),MATCH(COLUMNS($R$1006:S1006),$R$1006:$W$1006,0)), HYPERLINK("#",""), HYPERLINK(CONCATENATE("#Metadata!", ADDRESS(INDEX($M$2:$M$1001,MATCH(ROWS($K$2:K903),$K$2:$K$1001,0),0), INDEX($R$1004:$W$1004,1,MATCH(COLUMNS($R$1006:S1006),$R$1006:$W$1006,0)))),"Fix")))</f>
        <v>0</v>
      </c>
      <c r="D903" s="3">
        <f>IF(OR(INDEX($L$2:$L$1001,MATCH(ROWS($K$2:K903),$K$2:$K$1001,0),1)&gt;=100000,INDEX($R$1005:$W$1005,1,MATCH(COLUMNS($R$1006:T1006),$R$1006:$W$1006,0))&gt;=100000), " ",IF(INDEX($R$2:$W$1001,MATCH(ROWS($K$2:K903),$K$2:$K$1001,0),MATCH(COLUMNS($R$1006:T1006),$R$1006:$W$1006,0)), HYPERLINK("#",""), HYPERLINK(CONCATENATE("#Metadata!", ADDRESS(INDEX($M$2:$M$1001,MATCH(ROWS($K$2:K903),$K$2:$K$1001,0),0), INDEX($R$1004:$W$1004,1,MATCH(COLUMNS($R$1006:T1006),$R$1006:$W$1006,0)))),"Fix")))</f>
        <v>0</v>
      </c>
      <c r="E903" s="3">
        <f>IF(OR(INDEX($L$2:$L$1001,MATCH(ROWS($K$2:K903),$K$2:$K$1001,0),1)&gt;=100000,INDEX($R$1005:$W$1005,1,MATCH(COLUMNS($R$1006:U1006),$R$1006:$W$1006,0))&gt;=100000), " ",IF(INDEX($R$2:$W$1001,MATCH(ROWS($K$2:K903),$K$2:$K$1001,0),MATCH(COLUMNS($R$1006:U1006),$R$1006:$W$1006,0)), HYPERLINK("#",""), HYPERLINK(CONCATENATE("#Metadata!", ADDRESS(INDEX($M$2:$M$1001,MATCH(ROWS($K$2:K903),$K$2:$K$1001,0),0), INDEX($R$1004:$W$1004,1,MATCH(COLUMNS($R$1006:U1006),$R$1006:$W$1006,0)))),"Fix")))</f>
        <v>0</v>
      </c>
      <c r="F903" s="3">
        <f>IF(OR(INDEX($L$2:$L$1001,MATCH(ROWS($K$2:K903),$K$2:$K$1001,0),1)&gt;=100000,INDEX($R$1005:$W$1005,1,MATCH(COLUMNS($R$1006:V1006),$R$1006:$W$1006,0))&gt;=100000), " ",IF(INDEX($R$2:$W$1001,MATCH(ROWS($K$2:K903),$K$2:$K$1001,0),MATCH(COLUMNS($R$1006:V1006),$R$1006:$W$1006,0)), HYPERLINK("#",""), HYPERLINK(CONCATENATE("#Metadata!", ADDRESS(INDEX($M$2:$M$1001,MATCH(ROWS($K$2:K903),$K$2:$K$1001,0),0), INDEX($R$1004:$W$1004,1,MATCH(COLUMNS($R$1006:V1006),$R$1006:$W$1006,0)))),"Fix")))</f>
        <v>0</v>
      </c>
      <c r="G903" s="3">
        <f>IF(OR(INDEX($L$2:$L$1001,MATCH(ROWS($K$2:K903),$K$2:$K$1001,0),1)&gt;=100000,INDEX($R$1005:$W$1005,1,MATCH(COLUMNS($R$1006:W1006),$R$1006:$W$1006,0))&gt;=100000), " ",IF(INDEX($R$2:$W$1001,MATCH(ROWS($K$2:K903),$K$2:$K$1001,0),MATCH(COLUMNS($R$1006:W1006),$R$1006:$W$1006,0)), HYPERLINK("#",""), HYPERLINK(CONCATENATE("#Metadata!", ADDRESS(INDEX($M$2:$M$1001,MATCH(ROWS($K$2:K903),$K$2:$K$1001,0),0), INDEX($R$1004:$W$1004,1,MATCH(COLUMNS($R$1006:W1006),$R$1006:$W$1006,0)))),"Fix")))</f>
        <v>0</v>
      </c>
      <c r="K903">
        <v>0</v>
      </c>
      <c r="L903">
        <v>0</v>
      </c>
      <c r="M903">
        <v>0</v>
      </c>
      <c r="N903">
        <f>IF(O903,TRUE,AND(R903:W903))</f>
        <v>0</v>
      </c>
      <c r="O903">
        <f>COUNTBLANK(Metadata!B903:G903)=COLUMNS(Metadata!B903:G903)</f>
        <v>0</v>
      </c>
      <c r="P903">
        <v>0</v>
      </c>
      <c r="R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S903">
        <f>IF(Metadata!C903="",FALSE,TRUE)</f>
        <v>0</v>
      </c>
      <c r="T903">
        <f>IF(Metadata!D903="",FALSE,TRUE)</f>
        <v>0</v>
      </c>
      <c r="U903">
        <f>IF(Metadata!E903="",FALSE,TRUE)</f>
        <v>0</v>
      </c>
      <c r="V903">
        <f>AND(IF(Metadata!F903="",FALSE,TRUE),exact(Metadata!F903,"rat gut metagenome"))</f>
        <v>0</v>
      </c>
      <c r="W903">
        <f>AND(IF(Metadata!G903="",FALSE,TRUE),exact(Metadata!G903,"1436733"))</f>
        <v>0</v>
      </c>
    </row>
    <row r="904" spans="1:23">
      <c r="A904" s="4">
        <f>IF(B904=" "," ",HYPERLINK(CONCATENATE("#metadata!",ADDRESS(INDEX($M$2:$M$1001,MATCH(ROWS($K$2:K904),$K$2:$K$1001,0),0),1)),INDEX($P$2:$P$1001,MATCH(ROWS($K$2:K904),$K$2:$K$1001,0),0)))</f>
        <v>0</v>
      </c>
      <c r="B904" s="3">
        <f>IF(OR(INDEX($L$2:$L$1001,MATCH(ROWS($K$2:K904),$K$2:$K$1001,0),1)&gt;=100000,INDEX($R$1005:$W$1005,1,MATCH(COLUMNS($R$1006:R1006),$R$1006:$W$1006,0))&gt;=100000), " ",IF(INDEX($R$2:$W$1001,MATCH(ROWS($K$2:K904),$K$2:$K$1001,0),MATCH(COLUMNS($R$1006:R1006),$R$1006:$W$1006,0)), HYPERLINK("#",""), HYPERLINK(CONCATENATE("#Metadata!", ADDRESS(INDEX($M$2:$M$1001,MATCH(ROWS($K$2:K904),$K$2:$K$1001,0),0), INDEX($R$1004:$W$1004,1,MATCH(COLUMNS($R$1006:R1006),$R$1006:$W$1006,0)))),"Fix")))</f>
        <v>0</v>
      </c>
      <c r="C904" s="3">
        <f>IF(OR(INDEX($L$2:$L$1001,MATCH(ROWS($K$2:K904),$K$2:$K$1001,0),1)&gt;=100000,INDEX($R$1005:$W$1005,1,MATCH(COLUMNS($R$1006:S1006),$R$1006:$W$1006,0))&gt;=100000), " ",IF(INDEX($R$2:$W$1001,MATCH(ROWS($K$2:K904),$K$2:$K$1001,0),MATCH(COLUMNS($R$1006:S1006),$R$1006:$W$1006,0)), HYPERLINK("#",""), HYPERLINK(CONCATENATE("#Metadata!", ADDRESS(INDEX($M$2:$M$1001,MATCH(ROWS($K$2:K904),$K$2:$K$1001,0),0), INDEX($R$1004:$W$1004,1,MATCH(COLUMNS($R$1006:S1006),$R$1006:$W$1006,0)))),"Fix")))</f>
        <v>0</v>
      </c>
      <c r="D904" s="3">
        <f>IF(OR(INDEX($L$2:$L$1001,MATCH(ROWS($K$2:K904),$K$2:$K$1001,0),1)&gt;=100000,INDEX($R$1005:$W$1005,1,MATCH(COLUMNS($R$1006:T1006),$R$1006:$W$1006,0))&gt;=100000), " ",IF(INDEX($R$2:$W$1001,MATCH(ROWS($K$2:K904),$K$2:$K$1001,0),MATCH(COLUMNS($R$1006:T1006),$R$1006:$W$1006,0)), HYPERLINK("#",""), HYPERLINK(CONCATENATE("#Metadata!", ADDRESS(INDEX($M$2:$M$1001,MATCH(ROWS($K$2:K904),$K$2:$K$1001,0),0), INDEX($R$1004:$W$1004,1,MATCH(COLUMNS($R$1006:T1006),$R$1006:$W$1006,0)))),"Fix")))</f>
        <v>0</v>
      </c>
      <c r="E904" s="3">
        <f>IF(OR(INDEX($L$2:$L$1001,MATCH(ROWS($K$2:K904),$K$2:$K$1001,0),1)&gt;=100000,INDEX($R$1005:$W$1005,1,MATCH(COLUMNS($R$1006:U1006),$R$1006:$W$1006,0))&gt;=100000), " ",IF(INDEX($R$2:$W$1001,MATCH(ROWS($K$2:K904),$K$2:$K$1001,0),MATCH(COLUMNS($R$1006:U1006),$R$1006:$W$1006,0)), HYPERLINK("#",""), HYPERLINK(CONCATENATE("#Metadata!", ADDRESS(INDEX($M$2:$M$1001,MATCH(ROWS($K$2:K904),$K$2:$K$1001,0),0), INDEX($R$1004:$W$1004,1,MATCH(COLUMNS($R$1006:U1006),$R$1006:$W$1006,0)))),"Fix")))</f>
        <v>0</v>
      </c>
      <c r="F904" s="3">
        <f>IF(OR(INDEX($L$2:$L$1001,MATCH(ROWS($K$2:K904),$K$2:$K$1001,0),1)&gt;=100000,INDEX($R$1005:$W$1005,1,MATCH(COLUMNS($R$1006:V1006),$R$1006:$W$1006,0))&gt;=100000), " ",IF(INDEX($R$2:$W$1001,MATCH(ROWS($K$2:K904),$K$2:$K$1001,0),MATCH(COLUMNS($R$1006:V1006),$R$1006:$W$1006,0)), HYPERLINK("#",""), HYPERLINK(CONCATENATE("#Metadata!", ADDRESS(INDEX($M$2:$M$1001,MATCH(ROWS($K$2:K904),$K$2:$K$1001,0),0), INDEX($R$1004:$W$1004,1,MATCH(COLUMNS($R$1006:V1006),$R$1006:$W$1006,0)))),"Fix")))</f>
        <v>0</v>
      </c>
      <c r="G904" s="3">
        <f>IF(OR(INDEX($L$2:$L$1001,MATCH(ROWS($K$2:K904),$K$2:$K$1001,0),1)&gt;=100000,INDEX($R$1005:$W$1005,1,MATCH(COLUMNS($R$1006:W1006),$R$1006:$W$1006,0))&gt;=100000), " ",IF(INDEX($R$2:$W$1001,MATCH(ROWS($K$2:K904),$K$2:$K$1001,0),MATCH(COLUMNS($R$1006:W1006),$R$1006:$W$1006,0)), HYPERLINK("#",""), HYPERLINK(CONCATENATE("#Metadata!", ADDRESS(INDEX($M$2:$M$1001,MATCH(ROWS($K$2:K904),$K$2:$K$1001,0),0), INDEX($R$1004:$W$1004,1,MATCH(COLUMNS($R$1006:W1006),$R$1006:$W$1006,0)))),"Fix")))</f>
        <v>0</v>
      </c>
      <c r="K904">
        <v>0</v>
      </c>
      <c r="L904">
        <v>0</v>
      </c>
      <c r="M904">
        <v>0</v>
      </c>
      <c r="N904">
        <f>IF(O904,TRUE,AND(R904:W904))</f>
        <v>0</v>
      </c>
      <c r="O904">
        <f>COUNTBLANK(Metadata!B904:G904)=COLUMNS(Metadata!B904:G904)</f>
        <v>0</v>
      </c>
      <c r="P904">
        <v>0</v>
      </c>
      <c r="R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S904">
        <f>IF(Metadata!C904="",FALSE,TRUE)</f>
        <v>0</v>
      </c>
      <c r="T904">
        <f>IF(Metadata!D904="",FALSE,TRUE)</f>
        <v>0</v>
      </c>
      <c r="U904">
        <f>IF(Metadata!E904="",FALSE,TRUE)</f>
        <v>0</v>
      </c>
      <c r="V904">
        <f>AND(IF(Metadata!F904="",FALSE,TRUE),exact(Metadata!F904,"rat gut metagenome"))</f>
        <v>0</v>
      </c>
      <c r="W904">
        <f>AND(IF(Metadata!G904="",FALSE,TRUE),exact(Metadata!G904,"1436733"))</f>
        <v>0</v>
      </c>
    </row>
    <row r="905" spans="1:23">
      <c r="A905" s="4">
        <f>IF(B905=" "," ",HYPERLINK(CONCATENATE("#metadata!",ADDRESS(INDEX($M$2:$M$1001,MATCH(ROWS($K$2:K905),$K$2:$K$1001,0),0),1)),INDEX($P$2:$P$1001,MATCH(ROWS($K$2:K905),$K$2:$K$1001,0),0)))</f>
        <v>0</v>
      </c>
      <c r="B905" s="3">
        <f>IF(OR(INDEX($L$2:$L$1001,MATCH(ROWS($K$2:K905),$K$2:$K$1001,0),1)&gt;=100000,INDEX($R$1005:$W$1005,1,MATCH(COLUMNS($R$1006:R1006),$R$1006:$W$1006,0))&gt;=100000), " ",IF(INDEX($R$2:$W$1001,MATCH(ROWS($K$2:K905),$K$2:$K$1001,0),MATCH(COLUMNS($R$1006:R1006),$R$1006:$W$1006,0)), HYPERLINK("#",""), HYPERLINK(CONCATENATE("#Metadata!", ADDRESS(INDEX($M$2:$M$1001,MATCH(ROWS($K$2:K905),$K$2:$K$1001,0),0), INDEX($R$1004:$W$1004,1,MATCH(COLUMNS($R$1006:R1006),$R$1006:$W$1006,0)))),"Fix")))</f>
        <v>0</v>
      </c>
      <c r="C905" s="3">
        <f>IF(OR(INDEX($L$2:$L$1001,MATCH(ROWS($K$2:K905),$K$2:$K$1001,0),1)&gt;=100000,INDEX($R$1005:$W$1005,1,MATCH(COLUMNS($R$1006:S1006),$R$1006:$W$1006,0))&gt;=100000), " ",IF(INDEX($R$2:$W$1001,MATCH(ROWS($K$2:K905),$K$2:$K$1001,0),MATCH(COLUMNS($R$1006:S1006),$R$1006:$W$1006,0)), HYPERLINK("#",""), HYPERLINK(CONCATENATE("#Metadata!", ADDRESS(INDEX($M$2:$M$1001,MATCH(ROWS($K$2:K905),$K$2:$K$1001,0),0), INDEX($R$1004:$W$1004,1,MATCH(COLUMNS($R$1006:S1006),$R$1006:$W$1006,0)))),"Fix")))</f>
        <v>0</v>
      </c>
      <c r="D905" s="3">
        <f>IF(OR(INDEX($L$2:$L$1001,MATCH(ROWS($K$2:K905),$K$2:$K$1001,0),1)&gt;=100000,INDEX($R$1005:$W$1005,1,MATCH(COLUMNS($R$1006:T1006),$R$1006:$W$1006,0))&gt;=100000), " ",IF(INDEX($R$2:$W$1001,MATCH(ROWS($K$2:K905),$K$2:$K$1001,0),MATCH(COLUMNS($R$1006:T1006),$R$1006:$W$1006,0)), HYPERLINK("#",""), HYPERLINK(CONCATENATE("#Metadata!", ADDRESS(INDEX($M$2:$M$1001,MATCH(ROWS($K$2:K905),$K$2:$K$1001,0),0), INDEX($R$1004:$W$1004,1,MATCH(COLUMNS($R$1006:T1006),$R$1006:$W$1006,0)))),"Fix")))</f>
        <v>0</v>
      </c>
      <c r="E905" s="3">
        <f>IF(OR(INDEX($L$2:$L$1001,MATCH(ROWS($K$2:K905),$K$2:$K$1001,0),1)&gt;=100000,INDEX($R$1005:$W$1005,1,MATCH(COLUMNS($R$1006:U1006),$R$1006:$W$1006,0))&gt;=100000), " ",IF(INDEX($R$2:$W$1001,MATCH(ROWS($K$2:K905),$K$2:$K$1001,0),MATCH(COLUMNS($R$1006:U1006),$R$1006:$W$1006,0)), HYPERLINK("#",""), HYPERLINK(CONCATENATE("#Metadata!", ADDRESS(INDEX($M$2:$M$1001,MATCH(ROWS($K$2:K905),$K$2:$K$1001,0),0), INDEX($R$1004:$W$1004,1,MATCH(COLUMNS($R$1006:U1006),$R$1006:$W$1006,0)))),"Fix")))</f>
        <v>0</v>
      </c>
      <c r="F905" s="3">
        <f>IF(OR(INDEX($L$2:$L$1001,MATCH(ROWS($K$2:K905),$K$2:$K$1001,0),1)&gt;=100000,INDEX($R$1005:$W$1005,1,MATCH(COLUMNS($R$1006:V1006),$R$1006:$W$1006,0))&gt;=100000), " ",IF(INDEX($R$2:$W$1001,MATCH(ROWS($K$2:K905),$K$2:$K$1001,0),MATCH(COLUMNS($R$1006:V1006),$R$1006:$W$1006,0)), HYPERLINK("#",""), HYPERLINK(CONCATENATE("#Metadata!", ADDRESS(INDEX($M$2:$M$1001,MATCH(ROWS($K$2:K905),$K$2:$K$1001,0),0), INDEX($R$1004:$W$1004,1,MATCH(COLUMNS($R$1006:V1006),$R$1006:$W$1006,0)))),"Fix")))</f>
        <v>0</v>
      </c>
      <c r="G905" s="3">
        <f>IF(OR(INDEX($L$2:$L$1001,MATCH(ROWS($K$2:K905),$K$2:$K$1001,0),1)&gt;=100000,INDEX($R$1005:$W$1005,1,MATCH(COLUMNS($R$1006:W1006),$R$1006:$W$1006,0))&gt;=100000), " ",IF(INDEX($R$2:$W$1001,MATCH(ROWS($K$2:K905),$K$2:$K$1001,0),MATCH(COLUMNS($R$1006:W1006),$R$1006:$W$1006,0)), HYPERLINK("#",""), HYPERLINK(CONCATENATE("#Metadata!", ADDRESS(INDEX($M$2:$M$1001,MATCH(ROWS($K$2:K905),$K$2:$K$1001,0),0), INDEX($R$1004:$W$1004,1,MATCH(COLUMNS($R$1006:W1006),$R$1006:$W$1006,0)))),"Fix")))</f>
        <v>0</v>
      </c>
      <c r="K905">
        <v>0</v>
      </c>
      <c r="L905">
        <v>0</v>
      </c>
      <c r="M905">
        <v>0</v>
      </c>
      <c r="N905">
        <f>IF(O905,TRUE,AND(R905:W905))</f>
        <v>0</v>
      </c>
      <c r="O905">
        <f>COUNTBLANK(Metadata!B905:G905)=COLUMNS(Metadata!B905:G905)</f>
        <v>0</v>
      </c>
      <c r="P905">
        <v>0</v>
      </c>
      <c r="R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S905">
        <f>IF(Metadata!C905="",FALSE,TRUE)</f>
        <v>0</v>
      </c>
      <c r="T905">
        <f>IF(Metadata!D905="",FALSE,TRUE)</f>
        <v>0</v>
      </c>
      <c r="U905">
        <f>IF(Metadata!E905="",FALSE,TRUE)</f>
        <v>0</v>
      </c>
      <c r="V905">
        <f>AND(IF(Metadata!F905="",FALSE,TRUE),exact(Metadata!F905,"rat gut metagenome"))</f>
        <v>0</v>
      </c>
      <c r="W905">
        <f>AND(IF(Metadata!G905="",FALSE,TRUE),exact(Metadata!G905,"1436733"))</f>
        <v>0</v>
      </c>
    </row>
    <row r="906" spans="1:23">
      <c r="A906" s="4">
        <f>IF(B906=" "," ",HYPERLINK(CONCATENATE("#metadata!",ADDRESS(INDEX($M$2:$M$1001,MATCH(ROWS($K$2:K906),$K$2:$K$1001,0),0),1)),INDEX($P$2:$P$1001,MATCH(ROWS($K$2:K906),$K$2:$K$1001,0),0)))</f>
        <v>0</v>
      </c>
      <c r="B906" s="3">
        <f>IF(OR(INDEX($L$2:$L$1001,MATCH(ROWS($K$2:K906),$K$2:$K$1001,0),1)&gt;=100000,INDEX($R$1005:$W$1005,1,MATCH(COLUMNS($R$1006:R1006),$R$1006:$W$1006,0))&gt;=100000), " ",IF(INDEX($R$2:$W$1001,MATCH(ROWS($K$2:K906),$K$2:$K$1001,0),MATCH(COLUMNS($R$1006:R1006),$R$1006:$W$1006,0)), HYPERLINK("#",""), HYPERLINK(CONCATENATE("#Metadata!", ADDRESS(INDEX($M$2:$M$1001,MATCH(ROWS($K$2:K906),$K$2:$K$1001,0),0), INDEX($R$1004:$W$1004,1,MATCH(COLUMNS($R$1006:R1006),$R$1006:$W$1006,0)))),"Fix")))</f>
        <v>0</v>
      </c>
      <c r="C906" s="3">
        <f>IF(OR(INDEX($L$2:$L$1001,MATCH(ROWS($K$2:K906),$K$2:$K$1001,0),1)&gt;=100000,INDEX($R$1005:$W$1005,1,MATCH(COLUMNS($R$1006:S1006),$R$1006:$W$1006,0))&gt;=100000), " ",IF(INDEX($R$2:$W$1001,MATCH(ROWS($K$2:K906),$K$2:$K$1001,0),MATCH(COLUMNS($R$1006:S1006),$R$1006:$W$1006,0)), HYPERLINK("#",""), HYPERLINK(CONCATENATE("#Metadata!", ADDRESS(INDEX($M$2:$M$1001,MATCH(ROWS($K$2:K906),$K$2:$K$1001,0),0), INDEX($R$1004:$W$1004,1,MATCH(COLUMNS($R$1006:S1006),$R$1006:$W$1006,0)))),"Fix")))</f>
        <v>0</v>
      </c>
      <c r="D906" s="3">
        <f>IF(OR(INDEX($L$2:$L$1001,MATCH(ROWS($K$2:K906),$K$2:$K$1001,0),1)&gt;=100000,INDEX($R$1005:$W$1005,1,MATCH(COLUMNS($R$1006:T1006),$R$1006:$W$1006,0))&gt;=100000), " ",IF(INDEX($R$2:$W$1001,MATCH(ROWS($K$2:K906),$K$2:$K$1001,0),MATCH(COLUMNS($R$1006:T1006),$R$1006:$W$1006,0)), HYPERLINK("#",""), HYPERLINK(CONCATENATE("#Metadata!", ADDRESS(INDEX($M$2:$M$1001,MATCH(ROWS($K$2:K906),$K$2:$K$1001,0),0), INDEX($R$1004:$W$1004,1,MATCH(COLUMNS($R$1006:T1006),$R$1006:$W$1006,0)))),"Fix")))</f>
        <v>0</v>
      </c>
      <c r="E906" s="3">
        <f>IF(OR(INDEX($L$2:$L$1001,MATCH(ROWS($K$2:K906),$K$2:$K$1001,0),1)&gt;=100000,INDEX($R$1005:$W$1005,1,MATCH(COLUMNS($R$1006:U1006),$R$1006:$W$1006,0))&gt;=100000), " ",IF(INDEX($R$2:$W$1001,MATCH(ROWS($K$2:K906),$K$2:$K$1001,0),MATCH(COLUMNS($R$1006:U1006),$R$1006:$W$1006,0)), HYPERLINK("#",""), HYPERLINK(CONCATENATE("#Metadata!", ADDRESS(INDEX($M$2:$M$1001,MATCH(ROWS($K$2:K906),$K$2:$K$1001,0),0), INDEX($R$1004:$W$1004,1,MATCH(COLUMNS($R$1006:U1006),$R$1006:$W$1006,0)))),"Fix")))</f>
        <v>0</v>
      </c>
      <c r="F906" s="3">
        <f>IF(OR(INDEX($L$2:$L$1001,MATCH(ROWS($K$2:K906),$K$2:$K$1001,0),1)&gt;=100000,INDEX($R$1005:$W$1005,1,MATCH(COLUMNS($R$1006:V1006),$R$1006:$W$1006,0))&gt;=100000), " ",IF(INDEX($R$2:$W$1001,MATCH(ROWS($K$2:K906),$K$2:$K$1001,0),MATCH(COLUMNS($R$1006:V1006),$R$1006:$W$1006,0)), HYPERLINK("#",""), HYPERLINK(CONCATENATE("#Metadata!", ADDRESS(INDEX($M$2:$M$1001,MATCH(ROWS($K$2:K906),$K$2:$K$1001,0),0), INDEX($R$1004:$W$1004,1,MATCH(COLUMNS($R$1006:V1006),$R$1006:$W$1006,0)))),"Fix")))</f>
        <v>0</v>
      </c>
      <c r="G906" s="3">
        <f>IF(OR(INDEX($L$2:$L$1001,MATCH(ROWS($K$2:K906),$K$2:$K$1001,0),1)&gt;=100000,INDEX($R$1005:$W$1005,1,MATCH(COLUMNS($R$1006:W1006),$R$1006:$W$1006,0))&gt;=100000), " ",IF(INDEX($R$2:$W$1001,MATCH(ROWS($K$2:K906),$K$2:$K$1001,0),MATCH(COLUMNS($R$1006:W1006),$R$1006:$W$1006,0)), HYPERLINK("#",""), HYPERLINK(CONCATENATE("#Metadata!", ADDRESS(INDEX($M$2:$M$1001,MATCH(ROWS($K$2:K906),$K$2:$K$1001,0),0), INDEX($R$1004:$W$1004,1,MATCH(COLUMNS($R$1006:W1006),$R$1006:$W$1006,0)))),"Fix")))</f>
        <v>0</v>
      </c>
      <c r="K906">
        <v>0</v>
      </c>
      <c r="L906">
        <v>0</v>
      </c>
      <c r="M906">
        <v>0</v>
      </c>
      <c r="N906">
        <f>IF(O906,TRUE,AND(R906:W906))</f>
        <v>0</v>
      </c>
      <c r="O906">
        <f>COUNTBLANK(Metadata!B906:G906)=COLUMNS(Metadata!B906:G906)</f>
        <v>0</v>
      </c>
      <c r="P906">
        <v>0</v>
      </c>
      <c r="R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S906">
        <f>IF(Metadata!C906="",FALSE,TRUE)</f>
        <v>0</v>
      </c>
      <c r="T906">
        <f>IF(Metadata!D906="",FALSE,TRUE)</f>
        <v>0</v>
      </c>
      <c r="U906">
        <f>IF(Metadata!E906="",FALSE,TRUE)</f>
        <v>0</v>
      </c>
      <c r="V906">
        <f>AND(IF(Metadata!F906="",FALSE,TRUE),exact(Metadata!F906,"rat gut metagenome"))</f>
        <v>0</v>
      </c>
      <c r="W906">
        <f>AND(IF(Metadata!G906="",FALSE,TRUE),exact(Metadata!G906,"1436733"))</f>
        <v>0</v>
      </c>
    </row>
    <row r="907" spans="1:23">
      <c r="A907" s="4">
        <f>IF(B907=" "," ",HYPERLINK(CONCATENATE("#metadata!",ADDRESS(INDEX($M$2:$M$1001,MATCH(ROWS($K$2:K907),$K$2:$K$1001,0),0),1)),INDEX($P$2:$P$1001,MATCH(ROWS($K$2:K907),$K$2:$K$1001,0),0)))</f>
        <v>0</v>
      </c>
      <c r="B907" s="3">
        <f>IF(OR(INDEX($L$2:$L$1001,MATCH(ROWS($K$2:K907),$K$2:$K$1001,0),1)&gt;=100000,INDEX($R$1005:$W$1005,1,MATCH(COLUMNS($R$1006:R1006),$R$1006:$W$1006,0))&gt;=100000), " ",IF(INDEX($R$2:$W$1001,MATCH(ROWS($K$2:K907),$K$2:$K$1001,0),MATCH(COLUMNS($R$1006:R1006),$R$1006:$W$1006,0)), HYPERLINK("#",""), HYPERLINK(CONCATENATE("#Metadata!", ADDRESS(INDEX($M$2:$M$1001,MATCH(ROWS($K$2:K907),$K$2:$K$1001,0),0), INDEX($R$1004:$W$1004,1,MATCH(COLUMNS($R$1006:R1006),$R$1006:$W$1006,0)))),"Fix")))</f>
        <v>0</v>
      </c>
      <c r="C907" s="3">
        <f>IF(OR(INDEX($L$2:$L$1001,MATCH(ROWS($K$2:K907),$K$2:$K$1001,0),1)&gt;=100000,INDEX($R$1005:$W$1005,1,MATCH(COLUMNS($R$1006:S1006),$R$1006:$W$1006,0))&gt;=100000), " ",IF(INDEX($R$2:$W$1001,MATCH(ROWS($K$2:K907),$K$2:$K$1001,0),MATCH(COLUMNS($R$1006:S1006),$R$1006:$W$1006,0)), HYPERLINK("#",""), HYPERLINK(CONCATENATE("#Metadata!", ADDRESS(INDEX($M$2:$M$1001,MATCH(ROWS($K$2:K907),$K$2:$K$1001,0),0), INDEX($R$1004:$W$1004,1,MATCH(COLUMNS($R$1006:S1006),$R$1006:$W$1006,0)))),"Fix")))</f>
        <v>0</v>
      </c>
      <c r="D907" s="3">
        <f>IF(OR(INDEX($L$2:$L$1001,MATCH(ROWS($K$2:K907),$K$2:$K$1001,0),1)&gt;=100000,INDEX($R$1005:$W$1005,1,MATCH(COLUMNS($R$1006:T1006),$R$1006:$W$1006,0))&gt;=100000), " ",IF(INDEX($R$2:$W$1001,MATCH(ROWS($K$2:K907),$K$2:$K$1001,0),MATCH(COLUMNS($R$1006:T1006),$R$1006:$W$1006,0)), HYPERLINK("#",""), HYPERLINK(CONCATENATE("#Metadata!", ADDRESS(INDEX($M$2:$M$1001,MATCH(ROWS($K$2:K907),$K$2:$K$1001,0),0), INDEX($R$1004:$W$1004,1,MATCH(COLUMNS($R$1006:T1006),$R$1006:$W$1006,0)))),"Fix")))</f>
        <v>0</v>
      </c>
      <c r="E907" s="3">
        <f>IF(OR(INDEX($L$2:$L$1001,MATCH(ROWS($K$2:K907),$K$2:$K$1001,0),1)&gt;=100000,INDEX($R$1005:$W$1005,1,MATCH(COLUMNS($R$1006:U1006),$R$1006:$W$1006,0))&gt;=100000), " ",IF(INDEX($R$2:$W$1001,MATCH(ROWS($K$2:K907),$K$2:$K$1001,0),MATCH(COLUMNS($R$1006:U1006),$R$1006:$W$1006,0)), HYPERLINK("#",""), HYPERLINK(CONCATENATE("#Metadata!", ADDRESS(INDEX($M$2:$M$1001,MATCH(ROWS($K$2:K907),$K$2:$K$1001,0),0), INDEX($R$1004:$W$1004,1,MATCH(COLUMNS($R$1006:U1006),$R$1006:$W$1006,0)))),"Fix")))</f>
        <v>0</v>
      </c>
      <c r="F907" s="3">
        <f>IF(OR(INDEX($L$2:$L$1001,MATCH(ROWS($K$2:K907),$K$2:$K$1001,0),1)&gt;=100000,INDEX($R$1005:$W$1005,1,MATCH(COLUMNS($R$1006:V1006),$R$1006:$W$1006,0))&gt;=100000), " ",IF(INDEX($R$2:$W$1001,MATCH(ROWS($K$2:K907),$K$2:$K$1001,0),MATCH(COLUMNS($R$1006:V1006),$R$1006:$W$1006,0)), HYPERLINK("#",""), HYPERLINK(CONCATENATE("#Metadata!", ADDRESS(INDEX($M$2:$M$1001,MATCH(ROWS($K$2:K907),$K$2:$K$1001,0),0), INDEX($R$1004:$W$1004,1,MATCH(COLUMNS($R$1006:V1006),$R$1006:$W$1006,0)))),"Fix")))</f>
        <v>0</v>
      </c>
      <c r="G907" s="3">
        <f>IF(OR(INDEX($L$2:$L$1001,MATCH(ROWS($K$2:K907),$K$2:$K$1001,0),1)&gt;=100000,INDEX($R$1005:$W$1005,1,MATCH(COLUMNS($R$1006:W1006),$R$1006:$W$1006,0))&gt;=100000), " ",IF(INDEX($R$2:$W$1001,MATCH(ROWS($K$2:K907),$K$2:$K$1001,0),MATCH(COLUMNS($R$1006:W1006),$R$1006:$W$1006,0)), HYPERLINK("#",""), HYPERLINK(CONCATENATE("#Metadata!", ADDRESS(INDEX($M$2:$M$1001,MATCH(ROWS($K$2:K907),$K$2:$K$1001,0),0), INDEX($R$1004:$W$1004,1,MATCH(COLUMNS($R$1006:W1006),$R$1006:$W$1006,0)))),"Fix")))</f>
        <v>0</v>
      </c>
      <c r="K907">
        <v>0</v>
      </c>
      <c r="L907">
        <v>0</v>
      </c>
      <c r="M907">
        <v>0</v>
      </c>
      <c r="N907">
        <f>IF(O907,TRUE,AND(R907:W907))</f>
        <v>0</v>
      </c>
      <c r="O907">
        <f>COUNTBLANK(Metadata!B907:G907)=COLUMNS(Metadata!B907:G907)</f>
        <v>0</v>
      </c>
      <c r="P907">
        <v>0</v>
      </c>
      <c r="R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S907">
        <f>IF(Metadata!C907="",FALSE,TRUE)</f>
        <v>0</v>
      </c>
      <c r="T907">
        <f>IF(Metadata!D907="",FALSE,TRUE)</f>
        <v>0</v>
      </c>
      <c r="U907">
        <f>IF(Metadata!E907="",FALSE,TRUE)</f>
        <v>0</v>
      </c>
      <c r="V907">
        <f>AND(IF(Metadata!F907="",FALSE,TRUE),exact(Metadata!F907,"rat gut metagenome"))</f>
        <v>0</v>
      </c>
      <c r="W907">
        <f>AND(IF(Metadata!G907="",FALSE,TRUE),exact(Metadata!G907,"1436733"))</f>
        <v>0</v>
      </c>
    </row>
    <row r="908" spans="1:23">
      <c r="A908" s="4">
        <f>IF(B908=" "," ",HYPERLINK(CONCATENATE("#metadata!",ADDRESS(INDEX($M$2:$M$1001,MATCH(ROWS($K$2:K908),$K$2:$K$1001,0),0),1)),INDEX($P$2:$P$1001,MATCH(ROWS($K$2:K908),$K$2:$K$1001,0),0)))</f>
        <v>0</v>
      </c>
      <c r="B908" s="3">
        <f>IF(OR(INDEX($L$2:$L$1001,MATCH(ROWS($K$2:K908),$K$2:$K$1001,0),1)&gt;=100000,INDEX($R$1005:$W$1005,1,MATCH(COLUMNS($R$1006:R1006),$R$1006:$W$1006,0))&gt;=100000), " ",IF(INDEX($R$2:$W$1001,MATCH(ROWS($K$2:K908),$K$2:$K$1001,0),MATCH(COLUMNS($R$1006:R1006),$R$1006:$W$1006,0)), HYPERLINK("#",""), HYPERLINK(CONCATENATE("#Metadata!", ADDRESS(INDEX($M$2:$M$1001,MATCH(ROWS($K$2:K908),$K$2:$K$1001,0),0), INDEX($R$1004:$W$1004,1,MATCH(COLUMNS($R$1006:R1006),$R$1006:$W$1006,0)))),"Fix")))</f>
        <v>0</v>
      </c>
      <c r="C908" s="3">
        <f>IF(OR(INDEX($L$2:$L$1001,MATCH(ROWS($K$2:K908),$K$2:$K$1001,0),1)&gt;=100000,INDEX($R$1005:$W$1005,1,MATCH(COLUMNS($R$1006:S1006),$R$1006:$W$1006,0))&gt;=100000), " ",IF(INDEX($R$2:$W$1001,MATCH(ROWS($K$2:K908),$K$2:$K$1001,0),MATCH(COLUMNS($R$1006:S1006),$R$1006:$W$1006,0)), HYPERLINK("#",""), HYPERLINK(CONCATENATE("#Metadata!", ADDRESS(INDEX($M$2:$M$1001,MATCH(ROWS($K$2:K908),$K$2:$K$1001,0),0), INDEX($R$1004:$W$1004,1,MATCH(COLUMNS($R$1006:S1006),$R$1006:$W$1006,0)))),"Fix")))</f>
        <v>0</v>
      </c>
      <c r="D908" s="3">
        <f>IF(OR(INDEX($L$2:$L$1001,MATCH(ROWS($K$2:K908),$K$2:$K$1001,0),1)&gt;=100000,INDEX($R$1005:$W$1005,1,MATCH(COLUMNS($R$1006:T1006),$R$1006:$W$1006,0))&gt;=100000), " ",IF(INDEX($R$2:$W$1001,MATCH(ROWS($K$2:K908),$K$2:$K$1001,0),MATCH(COLUMNS($R$1006:T1006),$R$1006:$W$1006,0)), HYPERLINK("#",""), HYPERLINK(CONCATENATE("#Metadata!", ADDRESS(INDEX($M$2:$M$1001,MATCH(ROWS($K$2:K908),$K$2:$K$1001,0),0), INDEX($R$1004:$W$1004,1,MATCH(COLUMNS($R$1006:T1006),$R$1006:$W$1006,0)))),"Fix")))</f>
        <v>0</v>
      </c>
      <c r="E908" s="3">
        <f>IF(OR(INDEX($L$2:$L$1001,MATCH(ROWS($K$2:K908),$K$2:$K$1001,0),1)&gt;=100000,INDEX($R$1005:$W$1005,1,MATCH(COLUMNS($R$1006:U1006),$R$1006:$W$1006,0))&gt;=100000), " ",IF(INDEX($R$2:$W$1001,MATCH(ROWS($K$2:K908),$K$2:$K$1001,0),MATCH(COLUMNS($R$1006:U1006),$R$1006:$W$1006,0)), HYPERLINK("#",""), HYPERLINK(CONCATENATE("#Metadata!", ADDRESS(INDEX($M$2:$M$1001,MATCH(ROWS($K$2:K908),$K$2:$K$1001,0),0), INDEX($R$1004:$W$1004,1,MATCH(COLUMNS($R$1006:U1006),$R$1006:$W$1006,0)))),"Fix")))</f>
        <v>0</v>
      </c>
      <c r="F908" s="3">
        <f>IF(OR(INDEX($L$2:$L$1001,MATCH(ROWS($K$2:K908),$K$2:$K$1001,0),1)&gt;=100000,INDEX($R$1005:$W$1005,1,MATCH(COLUMNS($R$1006:V1006),$R$1006:$W$1006,0))&gt;=100000), " ",IF(INDEX($R$2:$W$1001,MATCH(ROWS($K$2:K908),$K$2:$K$1001,0),MATCH(COLUMNS($R$1006:V1006),$R$1006:$W$1006,0)), HYPERLINK("#",""), HYPERLINK(CONCATENATE("#Metadata!", ADDRESS(INDEX($M$2:$M$1001,MATCH(ROWS($K$2:K908),$K$2:$K$1001,0),0), INDEX($R$1004:$W$1004,1,MATCH(COLUMNS($R$1006:V1006),$R$1006:$W$1006,0)))),"Fix")))</f>
        <v>0</v>
      </c>
      <c r="G908" s="3">
        <f>IF(OR(INDEX($L$2:$L$1001,MATCH(ROWS($K$2:K908),$K$2:$K$1001,0),1)&gt;=100000,INDEX($R$1005:$W$1005,1,MATCH(COLUMNS($R$1006:W1006),$R$1006:$W$1006,0))&gt;=100000), " ",IF(INDEX($R$2:$W$1001,MATCH(ROWS($K$2:K908),$K$2:$K$1001,0),MATCH(COLUMNS($R$1006:W1006),$R$1006:$W$1006,0)), HYPERLINK("#",""), HYPERLINK(CONCATENATE("#Metadata!", ADDRESS(INDEX($M$2:$M$1001,MATCH(ROWS($K$2:K908),$K$2:$K$1001,0),0), INDEX($R$1004:$W$1004,1,MATCH(COLUMNS($R$1006:W1006),$R$1006:$W$1006,0)))),"Fix")))</f>
        <v>0</v>
      </c>
      <c r="K908">
        <v>0</v>
      </c>
      <c r="L908">
        <v>0</v>
      </c>
      <c r="M908">
        <v>0</v>
      </c>
      <c r="N908">
        <f>IF(O908,TRUE,AND(R908:W908))</f>
        <v>0</v>
      </c>
      <c r="O908">
        <f>COUNTBLANK(Metadata!B908:G908)=COLUMNS(Metadata!B908:G908)</f>
        <v>0</v>
      </c>
      <c r="P908">
        <v>0</v>
      </c>
      <c r="R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S908">
        <f>IF(Metadata!C908="",FALSE,TRUE)</f>
        <v>0</v>
      </c>
      <c r="T908">
        <f>IF(Metadata!D908="",FALSE,TRUE)</f>
        <v>0</v>
      </c>
      <c r="U908">
        <f>IF(Metadata!E908="",FALSE,TRUE)</f>
        <v>0</v>
      </c>
      <c r="V908">
        <f>AND(IF(Metadata!F908="",FALSE,TRUE),exact(Metadata!F908,"rat gut metagenome"))</f>
        <v>0</v>
      </c>
      <c r="W908">
        <f>AND(IF(Metadata!G908="",FALSE,TRUE),exact(Metadata!G908,"1436733"))</f>
        <v>0</v>
      </c>
    </row>
    <row r="909" spans="1:23">
      <c r="A909" s="4">
        <f>IF(B909=" "," ",HYPERLINK(CONCATENATE("#metadata!",ADDRESS(INDEX($M$2:$M$1001,MATCH(ROWS($K$2:K909),$K$2:$K$1001,0),0),1)),INDEX($P$2:$P$1001,MATCH(ROWS($K$2:K909),$K$2:$K$1001,0),0)))</f>
        <v>0</v>
      </c>
      <c r="B909" s="3">
        <f>IF(OR(INDEX($L$2:$L$1001,MATCH(ROWS($K$2:K909),$K$2:$K$1001,0),1)&gt;=100000,INDEX($R$1005:$W$1005,1,MATCH(COLUMNS($R$1006:R1006),$R$1006:$W$1006,0))&gt;=100000), " ",IF(INDEX($R$2:$W$1001,MATCH(ROWS($K$2:K909),$K$2:$K$1001,0),MATCH(COLUMNS($R$1006:R1006),$R$1006:$W$1006,0)), HYPERLINK("#",""), HYPERLINK(CONCATENATE("#Metadata!", ADDRESS(INDEX($M$2:$M$1001,MATCH(ROWS($K$2:K909),$K$2:$K$1001,0),0), INDEX($R$1004:$W$1004,1,MATCH(COLUMNS($R$1006:R1006),$R$1006:$W$1006,0)))),"Fix")))</f>
        <v>0</v>
      </c>
      <c r="C909" s="3">
        <f>IF(OR(INDEX($L$2:$L$1001,MATCH(ROWS($K$2:K909),$K$2:$K$1001,0),1)&gt;=100000,INDEX($R$1005:$W$1005,1,MATCH(COLUMNS($R$1006:S1006),$R$1006:$W$1006,0))&gt;=100000), " ",IF(INDEX($R$2:$W$1001,MATCH(ROWS($K$2:K909),$K$2:$K$1001,0),MATCH(COLUMNS($R$1006:S1006),$R$1006:$W$1006,0)), HYPERLINK("#",""), HYPERLINK(CONCATENATE("#Metadata!", ADDRESS(INDEX($M$2:$M$1001,MATCH(ROWS($K$2:K909),$K$2:$K$1001,0),0), INDEX($R$1004:$W$1004,1,MATCH(COLUMNS($R$1006:S1006),$R$1006:$W$1006,0)))),"Fix")))</f>
        <v>0</v>
      </c>
      <c r="D909" s="3">
        <f>IF(OR(INDEX($L$2:$L$1001,MATCH(ROWS($K$2:K909),$K$2:$K$1001,0),1)&gt;=100000,INDEX($R$1005:$W$1005,1,MATCH(COLUMNS($R$1006:T1006),$R$1006:$W$1006,0))&gt;=100000), " ",IF(INDEX($R$2:$W$1001,MATCH(ROWS($K$2:K909),$K$2:$K$1001,0),MATCH(COLUMNS($R$1006:T1006),$R$1006:$W$1006,0)), HYPERLINK("#",""), HYPERLINK(CONCATENATE("#Metadata!", ADDRESS(INDEX($M$2:$M$1001,MATCH(ROWS($K$2:K909),$K$2:$K$1001,0),0), INDEX($R$1004:$W$1004,1,MATCH(COLUMNS($R$1006:T1006),$R$1006:$W$1006,0)))),"Fix")))</f>
        <v>0</v>
      </c>
      <c r="E909" s="3">
        <f>IF(OR(INDEX($L$2:$L$1001,MATCH(ROWS($K$2:K909),$K$2:$K$1001,0),1)&gt;=100000,INDEX($R$1005:$W$1005,1,MATCH(COLUMNS($R$1006:U1006),$R$1006:$W$1006,0))&gt;=100000), " ",IF(INDEX($R$2:$W$1001,MATCH(ROWS($K$2:K909),$K$2:$K$1001,0),MATCH(COLUMNS($R$1006:U1006),$R$1006:$W$1006,0)), HYPERLINK("#",""), HYPERLINK(CONCATENATE("#Metadata!", ADDRESS(INDEX($M$2:$M$1001,MATCH(ROWS($K$2:K909),$K$2:$K$1001,0),0), INDEX($R$1004:$W$1004,1,MATCH(COLUMNS($R$1006:U1006),$R$1006:$W$1006,0)))),"Fix")))</f>
        <v>0</v>
      </c>
      <c r="F909" s="3">
        <f>IF(OR(INDEX($L$2:$L$1001,MATCH(ROWS($K$2:K909),$K$2:$K$1001,0),1)&gt;=100000,INDEX($R$1005:$W$1005,1,MATCH(COLUMNS($R$1006:V1006),$R$1006:$W$1006,0))&gt;=100000), " ",IF(INDEX($R$2:$W$1001,MATCH(ROWS($K$2:K909),$K$2:$K$1001,0),MATCH(COLUMNS($R$1006:V1006),$R$1006:$W$1006,0)), HYPERLINK("#",""), HYPERLINK(CONCATENATE("#Metadata!", ADDRESS(INDEX($M$2:$M$1001,MATCH(ROWS($K$2:K909),$K$2:$K$1001,0),0), INDEX($R$1004:$W$1004,1,MATCH(COLUMNS($R$1006:V1006),$R$1006:$W$1006,0)))),"Fix")))</f>
        <v>0</v>
      </c>
      <c r="G909" s="3">
        <f>IF(OR(INDEX($L$2:$L$1001,MATCH(ROWS($K$2:K909),$K$2:$K$1001,0),1)&gt;=100000,INDEX($R$1005:$W$1005,1,MATCH(COLUMNS($R$1006:W1006),$R$1006:$W$1006,0))&gt;=100000), " ",IF(INDEX($R$2:$W$1001,MATCH(ROWS($K$2:K909),$K$2:$K$1001,0),MATCH(COLUMNS($R$1006:W1006),$R$1006:$W$1006,0)), HYPERLINK("#",""), HYPERLINK(CONCATENATE("#Metadata!", ADDRESS(INDEX($M$2:$M$1001,MATCH(ROWS($K$2:K909),$K$2:$K$1001,0),0), INDEX($R$1004:$W$1004,1,MATCH(COLUMNS($R$1006:W1006),$R$1006:$W$1006,0)))),"Fix")))</f>
        <v>0</v>
      </c>
      <c r="K909">
        <v>0</v>
      </c>
      <c r="L909">
        <v>0</v>
      </c>
      <c r="M909">
        <v>0</v>
      </c>
      <c r="N909">
        <f>IF(O909,TRUE,AND(R909:W909))</f>
        <v>0</v>
      </c>
      <c r="O909">
        <f>COUNTBLANK(Metadata!B909:G909)=COLUMNS(Metadata!B909:G909)</f>
        <v>0</v>
      </c>
      <c r="P909">
        <v>0</v>
      </c>
      <c r="R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S909">
        <f>IF(Metadata!C909="",FALSE,TRUE)</f>
        <v>0</v>
      </c>
      <c r="T909">
        <f>IF(Metadata!D909="",FALSE,TRUE)</f>
        <v>0</v>
      </c>
      <c r="U909">
        <f>IF(Metadata!E909="",FALSE,TRUE)</f>
        <v>0</v>
      </c>
      <c r="V909">
        <f>AND(IF(Metadata!F909="",FALSE,TRUE),exact(Metadata!F909,"rat gut metagenome"))</f>
        <v>0</v>
      </c>
      <c r="W909">
        <f>AND(IF(Metadata!G909="",FALSE,TRUE),exact(Metadata!G909,"1436733"))</f>
        <v>0</v>
      </c>
    </row>
    <row r="910" spans="1:23">
      <c r="A910" s="4">
        <f>IF(B910=" "," ",HYPERLINK(CONCATENATE("#metadata!",ADDRESS(INDEX($M$2:$M$1001,MATCH(ROWS($K$2:K910),$K$2:$K$1001,0),0),1)),INDEX($P$2:$P$1001,MATCH(ROWS($K$2:K910),$K$2:$K$1001,0),0)))</f>
        <v>0</v>
      </c>
      <c r="B910" s="3">
        <f>IF(OR(INDEX($L$2:$L$1001,MATCH(ROWS($K$2:K910),$K$2:$K$1001,0),1)&gt;=100000,INDEX($R$1005:$W$1005,1,MATCH(COLUMNS($R$1006:R1006),$R$1006:$W$1006,0))&gt;=100000), " ",IF(INDEX($R$2:$W$1001,MATCH(ROWS($K$2:K910),$K$2:$K$1001,0),MATCH(COLUMNS($R$1006:R1006),$R$1006:$W$1006,0)), HYPERLINK("#",""), HYPERLINK(CONCATENATE("#Metadata!", ADDRESS(INDEX($M$2:$M$1001,MATCH(ROWS($K$2:K910),$K$2:$K$1001,0),0), INDEX($R$1004:$W$1004,1,MATCH(COLUMNS($R$1006:R1006),$R$1006:$W$1006,0)))),"Fix")))</f>
        <v>0</v>
      </c>
      <c r="C910" s="3">
        <f>IF(OR(INDEX($L$2:$L$1001,MATCH(ROWS($K$2:K910),$K$2:$K$1001,0),1)&gt;=100000,INDEX($R$1005:$W$1005,1,MATCH(COLUMNS($R$1006:S1006),$R$1006:$W$1006,0))&gt;=100000), " ",IF(INDEX($R$2:$W$1001,MATCH(ROWS($K$2:K910),$K$2:$K$1001,0),MATCH(COLUMNS($R$1006:S1006),$R$1006:$W$1006,0)), HYPERLINK("#",""), HYPERLINK(CONCATENATE("#Metadata!", ADDRESS(INDEX($M$2:$M$1001,MATCH(ROWS($K$2:K910),$K$2:$K$1001,0),0), INDEX($R$1004:$W$1004,1,MATCH(COLUMNS($R$1006:S1006),$R$1006:$W$1006,0)))),"Fix")))</f>
        <v>0</v>
      </c>
      <c r="D910" s="3">
        <f>IF(OR(INDEX($L$2:$L$1001,MATCH(ROWS($K$2:K910),$K$2:$K$1001,0),1)&gt;=100000,INDEX($R$1005:$W$1005,1,MATCH(COLUMNS($R$1006:T1006),$R$1006:$W$1006,0))&gt;=100000), " ",IF(INDEX($R$2:$W$1001,MATCH(ROWS($K$2:K910),$K$2:$K$1001,0),MATCH(COLUMNS($R$1006:T1006),$R$1006:$W$1006,0)), HYPERLINK("#",""), HYPERLINK(CONCATENATE("#Metadata!", ADDRESS(INDEX($M$2:$M$1001,MATCH(ROWS($K$2:K910),$K$2:$K$1001,0),0), INDEX($R$1004:$W$1004,1,MATCH(COLUMNS($R$1006:T1006),$R$1006:$W$1006,0)))),"Fix")))</f>
        <v>0</v>
      </c>
      <c r="E910" s="3">
        <f>IF(OR(INDEX($L$2:$L$1001,MATCH(ROWS($K$2:K910),$K$2:$K$1001,0),1)&gt;=100000,INDEX($R$1005:$W$1005,1,MATCH(COLUMNS($R$1006:U1006),$R$1006:$W$1006,0))&gt;=100000), " ",IF(INDEX($R$2:$W$1001,MATCH(ROWS($K$2:K910),$K$2:$K$1001,0),MATCH(COLUMNS($R$1006:U1006),$R$1006:$W$1006,0)), HYPERLINK("#",""), HYPERLINK(CONCATENATE("#Metadata!", ADDRESS(INDEX($M$2:$M$1001,MATCH(ROWS($K$2:K910),$K$2:$K$1001,0),0), INDEX($R$1004:$W$1004,1,MATCH(COLUMNS($R$1006:U1006),$R$1006:$W$1006,0)))),"Fix")))</f>
        <v>0</v>
      </c>
      <c r="F910" s="3">
        <f>IF(OR(INDEX($L$2:$L$1001,MATCH(ROWS($K$2:K910),$K$2:$K$1001,0),1)&gt;=100000,INDEX($R$1005:$W$1005,1,MATCH(COLUMNS($R$1006:V1006),$R$1006:$W$1006,0))&gt;=100000), " ",IF(INDEX($R$2:$W$1001,MATCH(ROWS($K$2:K910),$K$2:$K$1001,0),MATCH(COLUMNS($R$1006:V1006),$R$1006:$W$1006,0)), HYPERLINK("#",""), HYPERLINK(CONCATENATE("#Metadata!", ADDRESS(INDEX($M$2:$M$1001,MATCH(ROWS($K$2:K910),$K$2:$K$1001,0),0), INDEX($R$1004:$W$1004,1,MATCH(COLUMNS($R$1006:V1006),$R$1006:$W$1006,0)))),"Fix")))</f>
        <v>0</v>
      </c>
      <c r="G910" s="3">
        <f>IF(OR(INDEX($L$2:$L$1001,MATCH(ROWS($K$2:K910),$K$2:$K$1001,0),1)&gt;=100000,INDEX($R$1005:$W$1005,1,MATCH(COLUMNS($R$1006:W1006),$R$1006:$W$1006,0))&gt;=100000), " ",IF(INDEX($R$2:$W$1001,MATCH(ROWS($K$2:K910),$K$2:$K$1001,0),MATCH(COLUMNS($R$1006:W1006),$R$1006:$W$1006,0)), HYPERLINK("#",""), HYPERLINK(CONCATENATE("#Metadata!", ADDRESS(INDEX($M$2:$M$1001,MATCH(ROWS($K$2:K910),$K$2:$K$1001,0),0), INDEX($R$1004:$W$1004,1,MATCH(COLUMNS($R$1006:W1006),$R$1006:$W$1006,0)))),"Fix")))</f>
        <v>0</v>
      </c>
      <c r="K910">
        <v>0</v>
      </c>
      <c r="L910">
        <v>0</v>
      </c>
      <c r="M910">
        <v>0</v>
      </c>
      <c r="N910">
        <f>IF(O910,TRUE,AND(R910:W910))</f>
        <v>0</v>
      </c>
      <c r="O910">
        <f>COUNTBLANK(Metadata!B910:G910)=COLUMNS(Metadata!B910:G910)</f>
        <v>0</v>
      </c>
      <c r="P910">
        <v>0</v>
      </c>
      <c r="R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S910">
        <f>IF(Metadata!C910="",FALSE,TRUE)</f>
        <v>0</v>
      </c>
      <c r="T910">
        <f>IF(Metadata!D910="",FALSE,TRUE)</f>
        <v>0</v>
      </c>
      <c r="U910">
        <f>IF(Metadata!E910="",FALSE,TRUE)</f>
        <v>0</v>
      </c>
      <c r="V910">
        <f>AND(IF(Metadata!F910="",FALSE,TRUE),exact(Metadata!F910,"rat gut metagenome"))</f>
        <v>0</v>
      </c>
      <c r="W910">
        <f>AND(IF(Metadata!G910="",FALSE,TRUE),exact(Metadata!G910,"1436733"))</f>
        <v>0</v>
      </c>
    </row>
    <row r="911" spans="1:23">
      <c r="A911" s="4">
        <f>IF(B911=" "," ",HYPERLINK(CONCATENATE("#metadata!",ADDRESS(INDEX($M$2:$M$1001,MATCH(ROWS($K$2:K911),$K$2:$K$1001,0),0),1)),INDEX($P$2:$P$1001,MATCH(ROWS($K$2:K911),$K$2:$K$1001,0),0)))</f>
        <v>0</v>
      </c>
      <c r="B911" s="3">
        <f>IF(OR(INDEX($L$2:$L$1001,MATCH(ROWS($K$2:K911),$K$2:$K$1001,0),1)&gt;=100000,INDEX($R$1005:$W$1005,1,MATCH(COLUMNS($R$1006:R1006),$R$1006:$W$1006,0))&gt;=100000), " ",IF(INDEX($R$2:$W$1001,MATCH(ROWS($K$2:K911),$K$2:$K$1001,0),MATCH(COLUMNS($R$1006:R1006),$R$1006:$W$1006,0)), HYPERLINK("#",""), HYPERLINK(CONCATENATE("#Metadata!", ADDRESS(INDEX($M$2:$M$1001,MATCH(ROWS($K$2:K911),$K$2:$K$1001,0),0), INDEX($R$1004:$W$1004,1,MATCH(COLUMNS($R$1006:R1006),$R$1006:$W$1006,0)))),"Fix")))</f>
        <v>0</v>
      </c>
      <c r="C911" s="3">
        <f>IF(OR(INDEX($L$2:$L$1001,MATCH(ROWS($K$2:K911),$K$2:$K$1001,0),1)&gt;=100000,INDEX($R$1005:$W$1005,1,MATCH(COLUMNS($R$1006:S1006),$R$1006:$W$1006,0))&gt;=100000), " ",IF(INDEX($R$2:$W$1001,MATCH(ROWS($K$2:K911),$K$2:$K$1001,0),MATCH(COLUMNS($R$1006:S1006),$R$1006:$W$1006,0)), HYPERLINK("#",""), HYPERLINK(CONCATENATE("#Metadata!", ADDRESS(INDEX($M$2:$M$1001,MATCH(ROWS($K$2:K911),$K$2:$K$1001,0),0), INDEX($R$1004:$W$1004,1,MATCH(COLUMNS($R$1006:S1006),$R$1006:$W$1006,0)))),"Fix")))</f>
        <v>0</v>
      </c>
      <c r="D911" s="3">
        <f>IF(OR(INDEX($L$2:$L$1001,MATCH(ROWS($K$2:K911),$K$2:$K$1001,0),1)&gt;=100000,INDEX($R$1005:$W$1005,1,MATCH(COLUMNS($R$1006:T1006),$R$1006:$W$1006,0))&gt;=100000), " ",IF(INDEX($R$2:$W$1001,MATCH(ROWS($K$2:K911),$K$2:$K$1001,0),MATCH(COLUMNS($R$1006:T1006),$R$1006:$W$1006,0)), HYPERLINK("#",""), HYPERLINK(CONCATENATE("#Metadata!", ADDRESS(INDEX($M$2:$M$1001,MATCH(ROWS($K$2:K911),$K$2:$K$1001,0),0), INDEX($R$1004:$W$1004,1,MATCH(COLUMNS($R$1006:T1006),$R$1006:$W$1006,0)))),"Fix")))</f>
        <v>0</v>
      </c>
      <c r="E911" s="3">
        <f>IF(OR(INDEX($L$2:$L$1001,MATCH(ROWS($K$2:K911),$K$2:$K$1001,0),1)&gt;=100000,INDEX($R$1005:$W$1005,1,MATCH(COLUMNS($R$1006:U1006),$R$1006:$W$1006,0))&gt;=100000), " ",IF(INDEX($R$2:$W$1001,MATCH(ROWS($K$2:K911),$K$2:$K$1001,0),MATCH(COLUMNS($R$1006:U1006),$R$1006:$W$1006,0)), HYPERLINK("#",""), HYPERLINK(CONCATENATE("#Metadata!", ADDRESS(INDEX($M$2:$M$1001,MATCH(ROWS($K$2:K911),$K$2:$K$1001,0),0), INDEX($R$1004:$W$1004,1,MATCH(COLUMNS($R$1006:U1006),$R$1006:$W$1006,0)))),"Fix")))</f>
        <v>0</v>
      </c>
      <c r="F911" s="3">
        <f>IF(OR(INDEX($L$2:$L$1001,MATCH(ROWS($K$2:K911),$K$2:$K$1001,0),1)&gt;=100000,INDEX($R$1005:$W$1005,1,MATCH(COLUMNS($R$1006:V1006),$R$1006:$W$1006,0))&gt;=100000), " ",IF(INDEX($R$2:$W$1001,MATCH(ROWS($K$2:K911),$K$2:$K$1001,0),MATCH(COLUMNS($R$1006:V1006),$R$1006:$W$1006,0)), HYPERLINK("#",""), HYPERLINK(CONCATENATE("#Metadata!", ADDRESS(INDEX($M$2:$M$1001,MATCH(ROWS($K$2:K911),$K$2:$K$1001,0),0), INDEX($R$1004:$W$1004,1,MATCH(COLUMNS($R$1006:V1006),$R$1006:$W$1006,0)))),"Fix")))</f>
        <v>0</v>
      </c>
      <c r="G911" s="3">
        <f>IF(OR(INDEX($L$2:$L$1001,MATCH(ROWS($K$2:K911),$K$2:$K$1001,0),1)&gt;=100000,INDEX($R$1005:$W$1005,1,MATCH(COLUMNS($R$1006:W1006),$R$1006:$W$1006,0))&gt;=100000), " ",IF(INDEX($R$2:$W$1001,MATCH(ROWS($K$2:K911),$K$2:$K$1001,0),MATCH(COLUMNS($R$1006:W1006),$R$1006:$W$1006,0)), HYPERLINK("#",""), HYPERLINK(CONCATENATE("#Metadata!", ADDRESS(INDEX($M$2:$M$1001,MATCH(ROWS($K$2:K911),$K$2:$K$1001,0),0), INDEX($R$1004:$W$1004,1,MATCH(COLUMNS($R$1006:W1006),$R$1006:$W$1006,0)))),"Fix")))</f>
        <v>0</v>
      </c>
      <c r="K911">
        <v>0</v>
      </c>
      <c r="L911">
        <v>0</v>
      </c>
      <c r="M911">
        <v>0</v>
      </c>
      <c r="N911">
        <f>IF(O911,TRUE,AND(R911:W911))</f>
        <v>0</v>
      </c>
      <c r="O911">
        <f>COUNTBLANK(Metadata!B911:G911)=COLUMNS(Metadata!B911:G911)</f>
        <v>0</v>
      </c>
      <c r="P911">
        <v>0</v>
      </c>
      <c r="R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S911">
        <f>IF(Metadata!C911="",FALSE,TRUE)</f>
        <v>0</v>
      </c>
      <c r="T911">
        <f>IF(Metadata!D911="",FALSE,TRUE)</f>
        <v>0</v>
      </c>
      <c r="U911">
        <f>IF(Metadata!E911="",FALSE,TRUE)</f>
        <v>0</v>
      </c>
      <c r="V911">
        <f>AND(IF(Metadata!F911="",FALSE,TRUE),exact(Metadata!F911,"rat gut metagenome"))</f>
        <v>0</v>
      </c>
      <c r="W911">
        <f>AND(IF(Metadata!G911="",FALSE,TRUE),exact(Metadata!G911,"1436733"))</f>
        <v>0</v>
      </c>
    </row>
    <row r="912" spans="1:23">
      <c r="A912" s="4">
        <f>IF(B912=" "," ",HYPERLINK(CONCATENATE("#metadata!",ADDRESS(INDEX($M$2:$M$1001,MATCH(ROWS($K$2:K912),$K$2:$K$1001,0),0),1)),INDEX($P$2:$P$1001,MATCH(ROWS($K$2:K912),$K$2:$K$1001,0),0)))</f>
        <v>0</v>
      </c>
      <c r="B912" s="3">
        <f>IF(OR(INDEX($L$2:$L$1001,MATCH(ROWS($K$2:K912),$K$2:$K$1001,0),1)&gt;=100000,INDEX($R$1005:$W$1005,1,MATCH(COLUMNS($R$1006:R1006),$R$1006:$W$1006,0))&gt;=100000), " ",IF(INDEX($R$2:$W$1001,MATCH(ROWS($K$2:K912),$K$2:$K$1001,0),MATCH(COLUMNS($R$1006:R1006),$R$1006:$W$1006,0)), HYPERLINK("#",""), HYPERLINK(CONCATENATE("#Metadata!", ADDRESS(INDEX($M$2:$M$1001,MATCH(ROWS($K$2:K912),$K$2:$K$1001,0),0), INDEX($R$1004:$W$1004,1,MATCH(COLUMNS($R$1006:R1006),$R$1006:$W$1006,0)))),"Fix")))</f>
        <v>0</v>
      </c>
      <c r="C912" s="3">
        <f>IF(OR(INDEX($L$2:$L$1001,MATCH(ROWS($K$2:K912),$K$2:$K$1001,0),1)&gt;=100000,INDEX($R$1005:$W$1005,1,MATCH(COLUMNS($R$1006:S1006),$R$1006:$W$1006,0))&gt;=100000), " ",IF(INDEX($R$2:$W$1001,MATCH(ROWS($K$2:K912),$K$2:$K$1001,0),MATCH(COLUMNS($R$1006:S1006),$R$1006:$W$1006,0)), HYPERLINK("#",""), HYPERLINK(CONCATENATE("#Metadata!", ADDRESS(INDEX($M$2:$M$1001,MATCH(ROWS($K$2:K912),$K$2:$K$1001,0),0), INDEX($R$1004:$W$1004,1,MATCH(COLUMNS($R$1006:S1006),$R$1006:$W$1006,0)))),"Fix")))</f>
        <v>0</v>
      </c>
      <c r="D912" s="3">
        <f>IF(OR(INDEX($L$2:$L$1001,MATCH(ROWS($K$2:K912),$K$2:$K$1001,0),1)&gt;=100000,INDEX($R$1005:$W$1005,1,MATCH(COLUMNS($R$1006:T1006),$R$1006:$W$1006,0))&gt;=100000), " ",IF(INDEX($R$2:$W$1001,MATCH(ROWS($K$2:K912),$K$2:$K$1001,0),MATCH(COLUMNS($R$1006:T1006),$R$1006:$W$1006,0)), HYPERLINK("#",""), HYPERLINK(CONCATENATE("#Metadata!", ADDRESS(INDEX($M$2:$M$1001,MATCH(ROWS($K$2:K912),$K$2:$K$1001,0),0), INDEX($R$1004:$W$1004,1,MATCH(COLUMNS($R$1006:T1006),$R$1006:$W$1006,0)))),"Fix")))</f>
        <v>0</v>
      </c>
      <c r="E912" s="3">
        <f>IF(OR(INDEX($L$2:$L$1001,MATCH(ROWS($K$2:K912),$K$2:$K$1001,0),1)&gt;=100000,INDEX($R$1005:$W$1005,1,MATCH(COLUMNS($R$1006:U1006),$R$1006:$W$1006,0))&gt;=100000), " ",IF(INDEX($R$2:$W$1001,MATCH(ROWS($K$2:K912),$K$2:$K$1001,0),MATCH(COLUMNS($R$1006:U1006),$R$1006:$W$1006,0)), HYPERLINK("#",""), HYPERLINK(CONCATENATE("#Metadata!", ADDRESS(INDEX($M$2:$M$1001,MATCH(ROWS($K$2:K912),$K$2:$K$1001,0),0), INDEX($R$1004:$W$1004,1,MATCH(COLUMNS($R$1006:U1006),$R$1006:$W$1006,0)))),"Fix")))</f>
        <v>0</v>
      </c>
      <c r="F912" s="3">
        <f>IF(OR(INDEX($L$2:$L$1001,MATCH(ROWS($K$2:K912),$K$2:$K$1001,0),1)&gt;=100000,INDEX($R$1005:$W$1005,1,MATCH(COLUMNS($R$1006:V1006),$R$1006:$W$1006,0))&gt;=100000), " ",IF(INDEX($R$2:$W$1001,MATCH(ROWS($K$2:K912),$K$2:$K$1001,0),MATCH(COLUMNS($R$1006:V1006),$R$1006:$W$1006,0)), HYPERLINK("#",""), HYPERLINK(CONCATENATE("#Metadata!", ADDRESS(INDEX($M$2:$M$1001,MATCH(ROWS($K$2:K912),$K$2:$K$1001,0),0), INDEX($R$1004:$W$1004,1,MATCH(COLUMNS($R$1006:V1006),$R$1006:$W$1006,0)))),"Fix")))</f>
        <v>0</v>
      </c>
      <c r="G912" s="3">
        <f>IF(OR(INDEX($L$2:$L$1001,MATCH(ROWS($K$2:K912),$K$2:$K$1001,0),1)&gt;=100000,INDEX($R$1005:$W$1005,1,MATCH(COLUMNS($R$1006:W1006),$R$1006:$W$1006,0))&gt;=100000), " ",IF(INDEX($R$2:$W$1001,MATCH(ROWS($K$2:K912),$K$2:$K$1001,0),MATCH(COLUMNS($R$1006:W1006),$R$1006:$W$1006,0)), HYPERLINK("#",""), HYPERLINK(CONCATENATE("#Metadata!", ADDRESS(INDEX($M$2:$M$1001,MATCH(ROWS($K$2:K912),$K$2:$K$1001,0),0), INDEX($R$1004:$W$1004,1,MATCH(COLUMNS($R$1006:W1006),$R$1006:$W$1006,0)))),"Fix")))</f>
        <v>0</v>
      </c>
      <c r="K912">
        <v>0</v>
      </c>
      <c r="L912">
        <v>0</v>
      </c>
      <c r="M912">
        <v>0</v>
      </c>
      <c r="N912">
        <f>IF(O912,TRUE,AND(R912:W912))</f>
        <v>0</v>
      </c>
      <c r="O912">
        <f>COUNTBLANK(Metadata!B912:G912)=COLUMNS(Metadata!B912:G912)</f>
        <v>0</v>
      </c>
      <c r="P912">
        <v>0</v>
      </c>
      <c r="R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S912">
        <f>IF(Metadata!C912="",FALSE,TRUE)</f>
        <v>0</v>
      </c>
      <c r="T912">
        <f>IF(Metadata!D912="",FALSE,TRUE)</f>
        <v>0</v>
      </c>
      <c r="U912">
        <f>IF(Metadata!E912="",FALSE,TRUE)</f>
        <v>0</v>
      </c>
      <c r="V912">
        <f>AND(IF(Metadata!F912="",FALSE,TRUE),exact(Metadata!F912,"rat gut metagenome"))</f>
        <v>0</v>
      </c>
      <c r="W912">
        <f>AND(IF(Metadata!G912="",FALSE,TRUE),exact(Metadata!G912,"1436733"))</f>
        <v>0</v>
      </c>
    </row>
    <row r="913" spans="1:23">
      <c r="A913" s="4">
        <f>IF(B913=" "," ",HYPERLINK(CONCATENATE("#metadata!",ADDRESS(INDEX($M$2:$M$1001,MATCH(ROWS($K$2:K913),$K$2:$K$1001,0),0),1)),INDEX($P$2:$P$1001,MATCH(ROWS($K$2:K913),$K$2:$K$1001,0),0)))</f>
        <v>0</v>
      </c>
      <c r="B913" s="3">
        <f>IF(OR(INDEX($L$2:$L$1001,MATCH(ROWS($K$2:K913),$K$2:$K$1001,0),1)&gt;=100000,INDEX($R$1005:$W$1005,1,MATCH(COLUMNS($R$1006:R1006),$R$1006:$W$1006,0))&gt;=100000), " ",IF(INDEX($R$2:$W$1001,MATCH(ROWS($K$2:K913),$K$2:$K$1001,0),MATCH(COLUMNS($R$1006:R1006),$R$1006:$W$1006,0)), HYPERLINK("#",""), HYPERLINK(CONCATENATE("#Metadata!", ADDRESS(INDEX($M$2:$M$1001,MATCH(ROWS($K$2:K913),$K$2:$K$1001,0),0), INDEX($R$1004:$W$1004,1,MATCH(COLUMNS($R$1006:R1006),$R$1006:$W$1006,0)))),"Fix")))</f>
        <v>0</v>
      </c>
      <c r="C913" s="3">
        <f>IF(OR(INDEX($L$2:$L$1001,MATCH(ROWS($K$2:K913),$K$2:$K$1001,0),1)&gt;=100000,INDEX($R$1005:$W$1005,1,MATCH(COLUMNS($R$1006:S1006),$R$1006:$W$1006,0))&gt;=100000), " ",IF(INDEX($R$2:$W$1001,MATCH(ROWS($K$2:K913),$K$2:$K$1001,0),MATCH(COLUMNS($R$1006:S1006),$R$1006:$W$1006,0)), HYPERLINK("#",""), HYPERLINK(CONCATENATE("#Metadata!", ADDRESS(INDEX($M$2:$M$1001,MATCH(ROWS($K$2:K913),$K$2:$K$1001,0),0), INDEX($R$1004:$W$1004,1,MATCH(COLUMNS($R$1006:S1006),$R$1006:$W$1006,0)))),"Fix")))</f>
        <v>0</v>
      </c>
      <c r="D913" s="3">
        <f>IF(OR(INDEX($L$2:$L$1001,MATCH(ROWS($K$2:K913),$K$2:$K$1001,0),1)&gt;=100000,INDEX($R$1005:$W$1005,1,MATCH(COLUMNS($R$1006:T1006),$R$1006:$W$1006,0))&gt;=100000), " ",IF(INDEX($R$2:$W$1001,MATCH(ROWS($K$2:K913),$K$2:$K$1001,0),MATCH(COLUMNS($R$1006:T1006),$R$1006:$W$1006,0)), HYPERLINK("#",""), HYPERLINK(CONCATENATE("#Metadata!", ADDRESS(INDEX($M$2:$M$1001,MATCH(ROWS($K$2:K913),$K$2:$K$1001,0),0), INDEX($R$1004:$W$1004,1,MATCH(COLUMNS($R$1006:T1006),$R$1006:$W$1006,0)))),"Fix")))</f>
        <v>0</v>
      </c>
      <c r="E913" s="3">
        <f>IF(OR(INDEX($L$2:$L$1001,MATCH(ROWS($K$2:K913),$K$2:$K$1001,0),1)&gt;=100000,INDEX($R$1005:$W$1005,1,MATCH(COLUMNS($R$1006:U1006),$R$1006:$W$1006,0))&gt;=100000), " ",IF(INDEX($R$2:$W$1001,MATCH(ROWS($K$2:K913),$K$2:$K$1001,0),MATCH(COLUMNS($R$1006:U1006),$R$1006:$W$1006,0)), HYPERLINK("#",""), HYPERLINK(CONCATENATE("#Metadata!", ADDRESS(INDEX($M$2:$M$1001,MATCH(ROWS($K$2:K913),$K$2:$K$1001,0),0), INDEX($R$1004:$W$1004,1,MATCH(COLUMNS($R$1006:U1006),$R$1006:$W$1006,0)))),"Fix")))</f>
        <v>0</v>
      </c>
      <c r="F913" s="3">
        <f>IF(OR(INDEX($L$2:$L$1001,MATCH(ROWS($K$2:K913),$K$2:$K$1001,0),1)&gt;=100000,INDEX($R$1005:$W$1005,1,MATCH(COLUMNS($R$1006:V1006),$R$1006:$W$1006,0))&gt;=100000), " ",IF(INDEX($R$2:$W$1001,MATCH(ROWS($K$2:K913),$K$2:$K$1001,0),MATCH(COLUMNS($R$1006:V1006),$R$1006:$W$1006,0)), HYPERLINK("#",""), HYPERLINK(CONCATENATE("#Metadata!", ADDRESS(INDEX($M$2:$M$1001,MATCH(ROWS($K$2:K913),$K$2:$K$1001,0),0), INDEX($R$1004:$W$1004,1,MATCH(COLUMNS($R$1006:V1006),$R$1006:$W$1006,0)))),"Fix")))</f>
        <v>0</v>
      </c>
      <c r="G913" s="3">
        <f>IF(OR(INDEX($L$2:$L$1001,MATCH(ROWS($K$2:K913),$K$2:$K$1001,0),1)&gt;=100000,INDEX($R$1005:$W$1005,1,MATCH(COLUMNS($R$1006:W1006),$R$1006:$W$1006,0))&gt;=100000), " ",IF(INDEX($R$2:$W$1001,MATCH(ROWS($K$2:K913),$K$2:$K$1001,0),MATCH(COLUMNS($R$1006:W1006),$R$1006:$W$1006,0)), HYPERLINK("#",""), HYPERLINK(CONCATENATE("#Metadata!", ADDRESS(INDEX($M$2:$M$1001,MATCH(ROWS($K$2:K913),$K$2:$K$1001,0),0), INDEX($R$1004:$W$1004,1,MATCH(COLUMNS($R$1006:W1006),$R$1006:$W$1006,0)))),"Fix")))</f>
        <v>0</v>
      </c>
      <c r="K913">
        <v>0</v>
      </c>
      <c r="L913">
        <v>0</v>
      </c>
      <c r="M913">
        <v>0</v>
      </c>
      <c r="N913">
        <f>IF(O913,TRUE,AND(R913:W913))</f>
        <v>0</v>
      </c>
      <c r="O913">
        <f>COUNTBLANK(Metadata!B913:G913)=COLUMNS(Metadata!B913:G913)</f>
        <v>0</v>
      </c>
      <c r="P913">
        <v>0</v>
      </c>
      <c r="R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S913">
        <f>IF(Metadata!C913="",FALSE,TRUE)</f>
        <v>0</v>
      </c>
      <c r="T913">
        <f>IF(Metadata!D913="",FALSE,TRUE)</f>
        <v>0</v>
      </c>
      <c r="U913">
        <f>IF(Metadata!E913="",FALSE,TRUE)</f>
        <v>0</v>
      </c>
      <c r="V913">
        <f>AND(IF(Metadata!F913="",FALSE,TRUE),exact(Metadata!F913,"rat gut metagenome"))</f>
        <v>0</v>
      </c>
      <c r="W913">
        <f>AND(IF(Metadata!G913="",FALSE,TRUE),exact(Metadata!G913,"1436733"))</f>
        <v>0</v>
      </c>
    </row>
    <row r="914" spans="1:23">
      <c r="A914" s="4">
        <f>IF(B914=" "," ",HYPERLINK(CONCATENATE("#metadata!",ADDRESS(INDEX($M$2:$M$1001,MATCH(ROWS($K$2:K914),$K$2:$K$1001,0),0),1)),INDEX($P$2:$P$1001,MATCH(ROWS($K$2:K914),$K$2:$K$1001,0),0)))</f>
        <v>0</v>
      </c>
      <c r="B914" s="3">
        <f>IF(OR(INDEX($L$2:$L$1001,MATCH(ROWS($K$2:K914),$K$2:$K$1001,0),1)&gt;=100000,INDEX($R$1005:$W$1005,1,MATCH(COLUMNS($R$1006:R1006),$R$1006:$W$1006,0))&gt;=100000), " ",IF(INDEX($R$2:$W$1001,MATCH(ROWS($K$2:K914),$K$2:$K$1001,0),MATCH(COLUMNS($R$1006:R1006),$R$1006:$W$1006,0)), HYPERLINK("#",""), HYPERLINK(CONCATENATE("#Metadata!", ADDRESS(INDEX($M$2:$M$1001,MATCH(ROWS($K$2:K914),$K$2:$K$1001,0),0), INDEX($R$1004:$W$1004,1,MATCH(COLUMNS($R$1006:R1006),$R$1006:$W$1006,0)))),"Fix")))</f>
        <v>0</v>
      </c>
      <c r="C914" s="3">
        <f>IF(OR(INDEX($L$2:$L$1001,MATCH(ROWS($K$2:K914),$K$2:$K$1001,0),1)&gt;=100000,INDEX($R$1005:$W$1005,1,MATCH(COLUMNS($R$1006:S1006),$R$1006:$W$1006,0))&gt;=100000), " ",IF(INDEX($R$2:$W$1001,MATCH(ROWS($K$2:K914),$K$2:$K$1001,0),MATCH(COLUMNS($R$1006:S1006),$R$1006:$W$1006,0)), HYPERLINK("#",""), HYPERLINK(CONCATENATE("#Metadata!", ADDRESS(INDEX($M$2:$M$1001,MATCH(ROWS($K$2:K914),$K$2:$K$1001,0),0), INDEX($R$1004:$W$1004,1,MATCH(COLUMNS($R$1006:S1006),$R$1006:$W$1006,0)))),"Fix")))</f>
        <v>0</v>
      </c>
      <c r="D914" s="3">
        <f>IF(OR(INDEX($L$2:$L$1001,MATCH(ROWS($K$2:K914),$K$2:$K$1001,0),1)&gt;=100000,INDEX($R$1005:$W$1005,1,MATCH(COLUMNS($R$1006:T1006),$R$1006:$W$1006,0))&gt;=100000), " ",IF(INDEX($R$2:$W$1001,MATCH(ROWS($K$2:K914),$K$2:$K$1001,0),MATCH(COLUMNS($R$1006:T1006),$R$1006:$W$1006,0)), HYPERLINK("#",""), HYPERLINK(CONCATENATE("#Metadata!", ADDRESS(INDEX($M$2:$M$1001,MATCH(ROWS($K$2:K914),$K$2:$K$1001,0),0), INDEX($R$1004:$W$1004,1,MATCH(COLUMNS($R$1006:T1006),$R$1006:$W$1006,0)))),"Fix")))</f>
        <v>0</v>
      </c>
      <c r="E914" s="3">
        <f>IF(OR(INDEX($L$2:$L$1001,MATCH(ROWS($K$2:K914),$K$2:$K$1001,0),1)&gt;=100000,INDEX($R$1005:$W$1005,1,MATCH(COLUMNS($R$1006:U1006),$R$1006:$W$1006,0))&gt;=100000), " ",IF(INDEX($R$2:$W$1001,MATCH(ROWS($K$2:K914),$K$2:$K$1001,0),MATCH(COLUMNS($R$1006:U1006),$R$1006:$W$1006,0)), HYPERLINK("#",""), HYPERLINK(CONCATENATE("#Metadata!", ADDRESS(INDEX($M$2:$M$1001,MATCH(ROWS($K$2:K914),$K$2:$K$1001,0),0), INDEX($R$1004:$W$1004,1,MATCH(COLUMNS($R$1006:U1006),$R$1006:$W$1006,0)))),"Fix")))</f>
        <v>0</v>
      </c>
      <c r="F914" s="3">
        <f>IF(OR(INDEX($L$2:$L$1001,MATCH(ROWS($K$2:K914),$K$2:$K$1001,0),1)&gt;=100000,INDEX($R$1005:$W$1005,1,MATCH(COLUMNS($R$1006:V1006),$R$1006:$W$1006,0))&gt;=100000), " ",IF(INDEX($R$2:$W$1001,MATCH(ROWS($K$2:K914),$K$2:$K$1001,0),MATCH(COLUMNS($R$1006:V1006),$R$1006:$W$1006,0)), HYPERLINK("#",""), HYPERLINK(CONCATENATE("#Metadata!", ADDRESS(INDEX($M$2:$M$1001,MATCH(ROWS($K$2:K914),$K$2:$K$1001,0),0), INDEX($R$1004:$W$1004,1,MATCH(COLUMNS($R$1006:V1006),$R$1006:$W$1006,0)))),"Fix")))</f>
        <v>0</v>
      </c>
      <c r="G914" s="3">
        <f>IF(OR(INDEX($L$2:$L$1001,MATCH(ROWS($K$2:K914),$K$2:$K$1001,0),1)&gt;=100000,INDEX($R$1005:$W$1005,1,MATCH(COLUMNS($R$1006:W1006),$R$1006:$W$1006,0))&gt;=100000), " ",IF(INDEX($R$2:$W$1001,MATCH(ROWS($K$2:K914),$K$2:$K$1001,0),MATCH(COLUMNS($R$1006:W1006),$R$1006:$W$1006,0)), HYPERLINK("#",""), HYPERLINK(CONCATENATE("#Metadata!", ADDRESS(INDEX($M$2:$M$1001,MATCH(ROWS($K$2:K914),$K$2:$K$1001,0),0), INDEX($R$1004:$W$1004,1,MATCH(COLUMNS($R$1006:W1006),$R$1006:$W$1006,0)))),"Fix")))</f>
        <v>0</v>
      </c>
      <c r="K914">
        <v>0</v>
      </c>
      <c r="L914">
        <v>0</v>
      </c>
      <c r="M914">
        <v>0</v>
      </c>
      <c r="N914">
        <f>IF(O914,TRUE,AND(R914:W914))</f>
        <v>0</v>
      </c>
      <c r="O914">
        <f>COUNTBLANK(Metadata!B914:G914)=COLUMNS(Metadata!B914:G914)</f>
        <v>0</v>
      </c>
      <c r="P914">
        <v>0</v>
      </c>
      <c r="R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S914">
        <f>IF(Metadata!C914="",FALSE,TRUE)</f>
        <v>0</v>
      </c>
      <c r="T914">
        <f>IF(Metadata!D914="",FALSE,TRUE)</f>
        <v>0</v>
      </c>
      <c r="U914">
        <f>IF(Metadata!E914="",FALSE,TRUE)</f>
        <v>0</v>
      </c>
      <c r="V914">
        <f>AND(IF(Metadata!F914="",FALSE,TRUE),exact(Metadata!F914,"rat gut metagenome"))</f>
        <v>0</v>
      </c>
      <c r="W914">
        <f>AND(IF(Metadata!G914="",FALSE,TRUE),exact(Metadata!G914,"1436733"))</f>
        <v>0</v>
      </c>
    </row>
    <row r="915" spans="1:23">
      <c r="A915" s="4">
        <f>IF(B915=" "," ",HYPERLINK(CONCATENATE("#metadata!",ADDRESS(INDEX($M$2:$M$1001,MATCH(ROWS($K$2:K915),$K$2:$K$1001,0),0),1)),INDEX($P$2:$P$1001,MATCH(ROWS($K$2:K915),$K$2:$K$1001,0),0)))</f>
        <v>0</v>
      </c>
      <c r="B915" s="3">
        <f>IF(OR(INDEX($L$2:$L$1001,MATCH(ROWS($K$2:K915),$K$2:$K$1001,0),1)&gt;=100000,INDEX($R$1005:$W$1005,1,MATCH(COLUMNS($R$1006:R1006),$R$1006:$W$1006,0))&gt;=100000), " ",IF(INDEX($R$2:$W$1001,MATCH(ROWS($K$2:K915),$K$2:$K$1001,0),MATCH(COLUMNS($R$1006:R1006),$R$1006:$W$1006,0)), HYPERLINK("#",""), HYPERLINK(CONCATENATE("#Metadata!", ADDRESS(INDEX($M$2:$M$1001,MATCH(ROWS($K$2:K915),$K$2:$K$1001,0),0), INDEX($R$1004:$W$1004,1,MATCH(COLUMNS($R$1006:R1006),$R$1006:$W$1006,0)))),"Fix")))</f>
        <v>0</v>
      </c>
      <c r="C915" s="3">
        <f>IF(OR(INDEX($L$2:$L$1001,MATCH(ROWS($K$2:K915),$K$2:$K$1001,0),1)&gt;=100000,INDEX($R$1005:$W$1005,1,MATCH(COLUMNS($R$1006:S1006),$R$1006:$W$1006,0))&gt;=100000), " ",IF(INDEX($R$2:$W$1001,MATCH(ROWS($K$2:K915),$K$2:$K$1001,0),MATCH(COLUMNS($R$1006:S1006),$R$1006:$W$1006,0)), HYPERLINK("#",""), HYPERLINK(CONCATENATE("#Metadata!", ADDRESS(INDEX($M$2:$M$1001,MATCH(ROWS($K$2:K915),$K$2:$K$1001,0),0), INDEX($R$1004:$W$1004,1,MATCH(COLUMNS($R$1006:S1006),$R$1006:$W$1006,0)))),"Fix")))</f>
        <v>0</v>
      </c>
      <c r="D915" s="3">
        <f>IF(OR(INDEX($L$2:$L$1001,MATCH(ROWS($K$2:K915),$K$2:$K$1001,0),1)&gt;=100000,INDEX($R$1005:$W$1005,1,MATCH(COLUMNS($R$1006:T1006),$R$1006:$W$1006,0))&gt;=100000), " ",IF(INDEX($R$2:$W$1001,MATCH(ROWS($K$2:K915),$K$2:$K$1001,0),MATCH(COLUMNS($R$1006:T1006),$R$1006:$W$1006,0)), HYPERLINK("#",""), HYPERLINK(CONCATENATE("#Metadata!", ADDRESS(INDEX($M$2:$M$1001,MATCH(ROWS($K$2:K915),$K$2:$K$1001,0),0), INDEX($R$1004:$W$1004,1,MATCH(COLUMNS($R$1006:T1006),$R$1006:$W$1006,0)))),"Fix")))</f>
        <v>0</v>
      </c>
      <c r="E915" s="3">
        <f>IF(OR(INDEX($L$2:$L$1001,MATCH(ROWS($K$2:K915),$K$2:$K$1001,0),1)&gt;=100000,INDEX($R$1005:$W$1005,1,MATCH(COLUMNS($R$1006:U1006),$R$1006:$W$1006,0))&gt;=100000), " ",IF(INDEX($R$2:$W$1001,MATCH(ROWS($K$2:K915),$K$2:$K$1001,0),MATCH(COLUMNS($R$1006:U1006),$R$1006:$W$1006,0)), HYPERLINK("#",""), HYPERLINK(CONCATENATE("#Metadata!", ADDRESS(INDEX($M$2:$M$1001,MATCH(ROWS($K$2:K915),$K$2:$K$1001,0),0), INDEX($R$1004:$W$1004,1,MATCH(COLUMNS($R$1006:U1006),$R$1006:$W$1006,0)))),"Fix")))</f>
        <v>0</v>
      </c>
      <c r="F915" s="3">
        <f>IF(OR(INDEX($L$2:$L$1001,MATCH(ROWS($K$2:K915),$K$2:$K$1001,0),1)&gt;=100000,INDEX($R$1005:$W$1005,1,MATCH(COLUMNS($R$1006:V1006),$R$1006:$W$1006,0))&gt;=100000), " ",IF(INDEX($R$2:$W$1001,MATCH(ROWS($K$2:K915),$K$2:$K$1001,0),MATCH(COLUMNS($R$1006:V1006),$R$1006:$W$1006,0)), HYPERLINK("#",""), HYPERLINK(CONCATENATE("#Metadata!", ADDRESS(INDEX($M$2:$M$1001,MATCH(ROWS($K$2:K915),$K$2:$K$1001,0),0), INDEX($R$1004:$W$1004,1,MATCH(COLUMNS($R$1006:V1006),$R$1006:$W$1006,0)))),"Fix")))</f>
        <v>0</v>
      </c>
      <c r="G915" s="3">
        <f>IF(OR(INDEX($L$2:$L$1001,MATCH(ROWS($K$2:K915),$K$2:$K$1001,0),1)&gt;=100000,INDEX($R$1005:$W$1005,1,MATCH(COLUMNS($R$1006:W1006),$R$1006:$W$1006,0))&gt;=100000), " ",IF(INDEX($R$2:$W$1001,MATCH(ROWS($K$2:K915),$K$2:$K$1001,0),MATCH(COLUMNS($R$1006:W1006),$R$1006:$W$1006,0)), HYPERLINK("#",""), HYPERLINK(CONCATENATE("#Metadata!", ADDRESS(INDEX($M$2:$M$1001,MATCH(ROWS($K$2:K915),$K$2:$K$1001,0),0), INDEX($R$1004:$W$1004,1,MATCH(COLUMNS($R$1006:W1006),$R$1006:$W$1006,0)))),"Fix")))</f>
        <v>0</v>
      </c>
      <c r="K915">
        <v>0</v>
      </c>
      <c r="L915">
        <v>0</v>
      </c>
      <c r="M915">
        <v>0</v>
      </c>
      <c r="N915">
        <f>IF(O915,TRUE,AND(R915:W915))</f>
        <v>0</v>
      </c>
      <c r="O915">
        <f>COUNTBLANK(Metadata!B915:G915)=COLUMNS(Metadata!B915:G915)</f>
        <v>0</v>
      </c>
      <c r="P915">
        <v>0</v>
      </c>
      <c r="R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S915">
        <f>IF(Metadata!C915="",FALSE,TRUE)</f>
        <v>0</v>
      </c>
      <c r="T915">
        <f>IF(Metadata!D915="",FALSE,TRUE)</f>
        <v>0</v>
      </c>
      <c r="U915">
        <f>IF(Metadata!E915="",FALSE,TRUE)</f>
        <v>0</v>
      </c>
      <c r="V915">
        <f>AND(IF(Metadata!F915="",FALSE,TRUE),exact(Metadata!F915,"rat gut metagenome"))</f>
        <v>0</v>
      </c>
      <c r="W915">
        <f>AND(IF(Metadata!G915="",FALSE,TRUE),exact(Metadata!G915,"1436733"))</f>
        <v>0</v>
      </c>
    </row>
    <row r="916" spans="1:23">
      <c r="A916" s="4">
        <f>IF(B916=" "," ",HYPERLINK(CONCATENATE("#metadata!",ADDRESS(INDEX($M$2:$M$1001,MATCH(ROWS($K$2:K916),$K$2:$K$1001,0),0),1)),INDEX($P$2:$P$1001,MATCH(ROWS($K$2:K916),$K$2:$K$1001,0),0)))</f>
        <v>0</v>
      </c>
      <c r="B916" s="3">
        <f>IF(OR(INDEX($L$2:$L$1001,MATCH(ROWS($K$2:K916),$K$2:$K$1001,0),1)&gt;=100000,INDEX($R$1005:$W$1005,1,MATCH(COLUMNS($R$1006:R1006),$R$1006:$W$1006,0))&gt;=100000), " ",IF(INDEX($R$2:$W$1001,MATCH(ROWS($K$2:K916),$K$2:$K$1001,0),MATCH(COLUMNS($R$1006:R1006),$R$1006:$W$1006,0)), HYPERLINK("#",""), HYPERLINK(CONCATENATE("#Metadata!", ADDRESS(INDEX($M$2:$M$1001,MATCH(ROWS($K$2:K916),$K$2:$K$1001,0),0), INDEX($R$1004:$W$1004,1,MATCH(COLUMNS($R$1006:R1006),$R$1006:$W$1006,0)))),"Fix")))</f>
        <v>0</v>
      </c>
      <c r="C916" s="3">
        <f>IF(OR(INDEX($L$2:$L$1001,MATCH(ROWS($K$2:K916),$K$2:$K$1001,0),1)&gt;=100000,INDEX($R$1005:$W$1005,1,MATCH(COLUMNS($R$1006:S1006),$R$1006:$W$1006,0))&gt;=100000), " ",IF(INDEX($R$2:$W$1001,MATCH(ROWS($K$2:K916),$K$2:$K$1001,0),MATCH(COLUMNS($R$1006:S1006),$R$1006:$W$1006,0)), HYPERLINK("#",""), HYPERLINK(CONCATENATE("#Metadata!", ADDRESS(INDEX($M$2:$M$1001,MATCH(ROWS($K$2:K916),$K$2:$K$1001,0),0), INDEX($R$1004:$W$1004,1,MATCH(COLUMNS($R$1006:S1006),$R$1006:$W$1006,0)))),"Fix")))</f>
        <v>0</v>
      </c>
      <c r="D916" s="3">
        <f>IF(OR(INDEX($L$2:$L$1001,MATCH(ROWS($K$2:K916),$K$2:$K$1001,0),1)&gt;=100000,INDEX($R$1005:$W$1005,1,MATCH(COLUMNS($R$1006:T1006),$R$1006:$W$1006,0))&gt;=100000), " ",IF(INDEX($R$2:$W$1001,MATCH(ROWS($K$2:K916),$K$2:$K$1001,0),MATCH(COLUMNS($R$1006:T1006),$R$1006:$W$1006,0)), HYPERLINK("#",""), HYPERLINK(CONCATENATE("#Metadata!", ADDRESS(INDEX($M$2:$M$1001,MATCH(ROWS($K$2:K916),$K$2:$K$1001,0),0), INDEX($R$1004:$W$1004,1,MATCH(COLUMNS($R$1006:T1006),$R$1006:$W$1006,0)))),"Fix")))</f>
        <v>0</v>
      </c>
      <c r="E916" s="3">
        <f>IF(OR(INDEX($L$2:$L$1001,MATCH(ROWS($K$2:K916),$K$2:$K$1001,0),1)&gt;=100000,INDEX($R$1005:$W$1005,1,MATCH(COLUMNS($R$1006:U1006),$R$1006:$W$1006,0))&gt;=100000), " ",IF(INDEX($R$2:$W$1001,MATCH(ROWS($K$2:K916),$K$2:$K$1001,0),MATCH(COLUMNS($R$1006:U1006),$R$1006:$W$1006,0)), HYPERLINK("#",""), HYPERLINK(CONCATENATE("#Metadata!", ADDRESS(INDEX($M$2:$M$1001,MATCH(ROWS($K$2:K916),$K$2:$K$1001,0),0), INDEX($R$1004:$W$1004,1,MATCH(COLUMNS($R$1006:U1006),$R$1006:$W$1006,0)))),"Fix")))</f>
        <v>0</v>
      </c>
      <c r="F916" s="3">
        <f>IF(OR(INDEX($L$2:$L$1001,MATCH(ROWS($K$2:K916),$K$2:$K$1001,0),1)&gt;=100000,INDEX($R$1005:$W$1005,1,MATCH(COLUMNS($R$1006:V1006),$R$1006:$W$1006,0))&gt;=100000), " ",IF(INDEX($R$2:$W$1001,MATCH(ROWS($K$2:K916),$K$2:$K$1001,0),MATCH(COLUMNS($R$1006:V1006),$R$1006:$W$1006,0)), HYPERLINK("#",""), HYPERLINK(CONCATENATE("#Metadata!", ADDRESS(INDEX($M$2:$M$1001,MATCH(ROWS($K$2:K916),$K$2:$K$1001,0),0), INDEX($R$1004:$W$1004,1,MATCH(COLUMNS($R$1006:V1006),$R$1006:$W$1006,0)))),"Fix")))</f>
        <v>0</v>
      </c>
      <c r="G916" s="3">
        <f>IF(OR(INDEX($L$2:$L$1001,MATCH(ROWS($K$2:K916),$K$2:$K$1001,0),1)&gt;=100000,INDEX($R$1005:$W$1005,1,MATCH(COLUMNS($R$1006:W1006),$R$1006:$W$1006,0))&gt;=100000), " ",IF(INDEX($R$2:$W$1001,MATCH(ROWS($K$2:K916),$K$2:$K$1001,0),MATCH(COLUMNS($R$1006:W1006),$R$1006:$W$1006,0)), HYPERLINK("#",""), HYPERLINK(CONCATENATE("#Metadata!", ADDRESS(INDEX($M$2:$M$1001,MATCH(ROWS($K$2:K916),$K$2:$K$1001,0),0), INDEX($R$1004:$W$1004,1,MATCH(COLUMNS($R$1006:W1006),$R$1006:$W$1006,0)))),"Fix")))</f>
        <v>0</v>
      </c>
      <c r="K916">
        <v>0</v>
      </c>
      <c r="L916">
        <v>0</v>
      </c>
      <c r="M916">
        <v>0</v>
      </c>
      <c r="N916">
        <f>IF(O916,TRUE,AND(R916:W916))</f>
        <v>0</v>
      </c>
      <c r="O916">
        <f>COUNTBLANK(Metadata!B916:G916)=COLUMNS(Metadata!B916:G916)</f>
        <v>0</v>
      </c>
      <c r="P916">
        <v>0</v>
      </c>
      <c r="R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S916">
        <f>IF(Metadata!C916="",FALSE,TRUE)</f>
        <v>0</v>
      </c>
      <c r="T916">
        <f>IF(Metadata!D916="",FALSE,TRUE)</f>
        <v>0</v>
      </c>
      <c r="U916">
        <f>IF(Metadata!E916="",FALSE,TRUE)</f>
        <v>0</v>
      </c>
      <c r="V916">
        <f>AND(IF(Metadata!F916="",FALSE,TRUE),exact(Metadata!F916,"rat gut metagenome"))</f>
        <v>0</v>
      </c>
      <c r="W916">
        <f>AND(IF(Metadata!G916="",FALSE,TRUE),exact(Metadata!G916,"1436733"))</f>
        <v>0</v>
      </c>
    </row>
    <row r="917" spans="1:23">
      <c r="A917" s="4">
        <f>IF(B917=" "," ",HYPERLINK(CONCATENATE("#metadata!",ADDRESS(INDEX($M$2:$M$1001,MATCH(ROWS($K$2:K917),$K$2:$K$1001,0),0),1)),INDEX($P$2:$P$1001,MATCH(ROWS($K$2:K917),$K$2:$K$1001,0),0)))</f>
        <v>0</v>
      </c>
      <c r="B917" s="3">
        <f>IF(OR(INDEX($L$2:$L$1001,MATCH(ROWS($K$2:K917),$K$2:$K$1001,0),1)&gt;=100000,INDEX($R$1005:$W$1005,1,MATCH(COLUMNS($R$1006:R1006),$R$1006:$W$1006,0))&gt;=100000), " ",IF(INDEX($R$2:$W$1001,MATCH(ROWS($K$2:K917),$K$2:$K$1001,0),MATCH(COLUMNS($R$1006:R1006),$R$1006:$W$1006,0)), HYPERLINK("#",""), HYPERLINK(CONCATENATE("#Metadata!", ADDRESS(INDEX($M$2:$M$1001,MATCH(ROWS($K$2:K917),$K$2:$K$1001,0),0), INDEX($R$1004:$W$1004,1,MATCH(COLUMNS($R$1006:R1006),$R$1006:$W$1006,0)))),"Fix")))</f>
        <v>0</v>
      </c>
      <c r="C917" s="3">
        <f>IF(OR(INDEX($L$2:$L$1001,MATCH(ROWS($K$2:K917),$K$2:$K$1001,0),1)&gt;=100000,INDEX($R$1005:$W$1005,1,MATCH(COLUMNS($R$1006:S1006),$R$1006:$W$1006,0))&gt;=100000), " ",IF(INDEX($R$2:$W$1001,MATCH(ROWS($K$2:K917),$K$2:$K$1001,0),MATCH(COLUMNS($R$1006:S1006),$R$1006:$W$1006,0)), HYPERLINK("#",""), HYPERLINK(CONCATENATE("#Metadata!", ADDRESS(INDEX($M$2:$M$1001,MATCH(ROWS($K$2:K917),$K$2:$K$1001,0),0), INDEX($R$1004:$W$1004,1,MATCH(COLUMNS($R$1006:S1006),$R$1006:$W$1006,0)))),"Fix")))</f>
        <v>0</v>
      </c>
      <c r="D917" s="3">
        <f>IF(OR(INDEX($L$2:$L$1001,MATCH(ROWS($K$2:K917),$K$2:$K$1001,0),1)&gt;=100000,INDEX($R$1005:$W$1005,1,MATCH(COLUMNS($R$1006:T1006),$R$1006:$W$1006,0))&gt;=100000), " ",IF(INDEX($R$2:$W$1001,MATCH(ROWS($K$2:K917),$K$2:$K$1001,0),MATCH(COLUMNS($R$1006:T1006),$R$1006:$W$1006,0)), HYPERLINK("#",""), HYPERLINK(CONCATENATE("#Metadata!", ADDRESS(INDEX($M$2:$M$1001,MATCH(ROWS($K$2:K917),$K$2:$K$1001,0),0), INDEX($R$1004:$W$1004,1,MATCH(COLUMNS($R$1006:T1006),$R$1006:$W$1006,0)))),"Fix")))</f>
        <v>0</v>
      </c>
      <c r="E917" s="3">
        <f>IF(OR(INDEX($L$2:$L$1001,MATCH(ROWS($K$2:K917),$K$2:$K$1001,0),1)&gt;=100000,INDEX($R$1005:$W$1005,1,MATCH(COLUMNS($R$1006:U1006),$R$1006:$W$1006,0))&gt;=100000), " ",IF(INDEX($R$2:$W$1001,MATCH(ROWS($K$2:K917),$K$2:$K$1001,0),MATCH(COLUMNS($R$1006:U1006),$R$1006:$W$1006,0)), HYPERLINK("#",""), HYPERLINK(CONCATENATE("#Metadata!", ADDRESS(INDEX($M$2:$M$1001,MATCH(ROWS($K$2:K917),$K$2:$K$1001,0),0), INDEX($R$1004:$W$1004,1,MATCH(COLUMNS($R$1006:U1006),$R$1006:$W$1006,0)))),"Fix")))</f>
        <v>0</v>
      </c>
      <c r="F917" s="3">
        <f>IF(OR(INDEX($L$2:$L$1001,MATCH(ROWS($K$2:K917),$K$2:$K$1001,0),1)&gt;=100000,INDEX($R$1005:$W$1005,1,MATCH(COLUMNS($R$1006:V1006),$R$1006:$W$1006,0))&gt;=100000), " ",IF(INDEX($R$2:$W$1001,MATCH(ROWS($K$2:K917),$K$2:$K$1001,0),MATCH(COLUMNS($R$1006:V1006),$R$1006:$W$1006,0)), HYPERLINK("#",""), HYPERLINK(CONCATENATE("#Metadata!", ADDRESS(INDEX($M$2:$M$1001,MATCH(ROWS($K$2:K917),$K$2:$K$1001,0),0), INDEX($R$1004:$W$1004,1,MATCH(COLUMNS($R$1006:V1006),$R$1006:$W$1006,0)))),"Fix")))</f>
        <v>0</v>
      </c>
      <c r="G917" s="3">
        <f>IF(OR(INDEX($L$2:$L$1001,MATCH(ROWS($K$2:K917),$K$2:$K$1001,0),1)&gt;=100000,INDEX($R$1005:$W$1005,1,MATCH(COLUMNS($R$1006:W1006),$R$1006:$W$1006,0))&gt;=100000), " ",IF(INDEX($R$2:$W$1001,MATCH(ROWS($K$2:K917),$K$2:$K$1001,0),MATCH(COLUMNS($R$1006:W1006),$R$1006:$W$1006,0)), HYPERLINK("#",""), HYPERLINK(CONCATENATE("#Metadata!", ADDRESS(INDEX($M$2:$M$1001,MATCH(ROWS($K$2:K917),$K$2:$K$1001,0),0), INDEX($R$1004:$W$1004,1,MATCH(COLUMNS($R$1006:W1006),$R$1006:$W$1006,0)))),"Fix")))</f>
        <v>0</v>
      </c>
      <c r="K917">
        <v>0</v>
      </c>
      <c r="L917">
        <v>0</v>
      </c>
      <c r="M917">
        <v>0</v>
      </c>
      <c r="N917">
        <f>IF(O917,TRUE,AND(R917:W917))</f>
        <v>0</v>
      </c>
      <c r="O917">
        <f>COUNTBLANK(Metadata!B917:G917)=COLUMNS(Metadata!B917:G917)</f>
        <v>0</v>
      </c>
      <c r="P917">
        <v>0</v>
      </c>
      <c r="R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S917">
        <f>IF(Metadata!C917="",FALSE,TRUE)</f>
        <v>0</v>
      </c>
      <c r="T917">
        <f>IF(Metadata!D917="",FALSE,TRUE)</f>
        <v>0</v>
      </c>
      <c r="U917">
        <f>IF(Metadata!E917="",FALSE,TRUE)</f>
        <v>0</v>
      </c>
      <c r="V917">
        <f>AND(IF(Metadata!F917="",FALSE,TRUE),exact(Metadata!F917,"rat gut metagenome"))</f>
        <v>0</v>
      </c>
      <c r="W917">
        <f>AND(IF(Metadata!G917="",FALSE,TRUE),exact(Metadata!G917,"1436733"))</f>
        <v>0</v>
      </c>
    </row>
    <row r="918" spans="1:23">
      <c r="A918" s="4">
        <f>IF(B918=" "," ",HYPERLINK(CONCATENATE("#metadata!",ADDRESS(INDEX($M$2:$M$1001,MATCH(ROWS($K$2:K918),$K$2:$K$1001,0),0),1)),INDEX($P$2:$P$1001,MATCH(ROWS($K$2:K918),$K$2:$K$1001,0),0)))</f>
        <v>0</v>
      </c>
      <c r="B918" s="3">
        <f>IF(OR(INDEX($L$2:$L$1001,MATCH(ROWS($K$2:K918),$K$2:$K$1001,0),1)&gt;=100000,INDEX($R$1005:$W$1005,1,MATCH(COLUMNS($R$1006:R1006),$R$1006:$W$1006,0))&gt;=100000), " ",IF(INDEX($R$2:$W$1001,MATCH(ROWS($K$2:K918),$K$2:$K$1001,0),MATCH(COLUMNS($R$1006:R1006),$R$1006:$W$1006,0)), HYPERLINK("#",""), HYPERLINK(CONCATENATE("#Metadata!", ADDRESS(INDEX($M$2:$M$1001,MATCH(ROWS($K$2:K918),$K$2:$K$1001,0),0), INDEX($R$1004:$W$1004,1,MATCH(COLUMNS($R$1006:R1006),$R$1006:$W$1006,0)))),"Fix")))</f>
        <v>0</v>
      </c>
      <c r="C918" s="3">
        <f>IF(OR(INDEX($L$2:$L$1001,MATCH(ROWS($K$2:K918),$K$2:$K$1001,0),1)&gt;=100000,INDEX($R$1005:$W$1005,1,MATCH(COLUMNS($R$1006:S1006),$R$1006:$W$1006,0))&gt;=100000), " ",IF(INDEX($R$2:$W$1001,MATCH(ROWS($K$2:K918),$K$2:$K$1001,0),MATCH(COLUMNS($R$1006:S1006),$R$1006:$W$1006,0)), HYPERLINK("#",""), HYPERLINK(CONCATENATE("#Metadata!", ADDRESS(INDEX($M$2:$M$1001,MATCH(ROWS($K$2:K918),$K$2:$K$1001,0),0), INDEX($R$1004:$W$1004,1,MATCH(COLUMNS($R$1006:S1006),$R$1006:$W$1006,0)))),"Fix")))</f>
        <v>0</v>
      </c>
      <c r="D918" s="3">
        <f>IF(OR(INDEX($L$2:$L$1001,MATCH(ROWS($K$2:K918),$K$2:$K$1001,0),1)&gt;=100000,INDEX($R$1005:$W$1005,1,MATCH(COLUMNS($R$1006:T1006),$R$1006:$W$1006,0))&gt;=100000), " ",IF(INDEX($R$2:$W$1001,MATCH(ROWS($K$2:K918),$K$2:$K$1001,0),MATCH(COLUMNS($R$1006:T1006),$R$1006:$W$1006,0)), HYPERLINK("#",""), HYPERLINK(CONCATENATE("#Metadata!", ADDRESS(INDEX($M$2:$M$1001,MATCH(ROWS($K$2:K918),$K$2:$K$1001,0),0), INDEX($R$1004:$W$1004,1,MATCH(COLUMNS($R$1006:T1006),$R$1006:$W$1006,0)))),"Fix")))</f>
        <v>0</v>
      </c>
      <c r="E918" s="3">
        <f>IF(OR(INDEX($L$2:$L$1001,MATCH(ROWS($K$2:K918),$K$2:$K$1001,0),1)&gt;=100000,INDEX($R$1005:$W$1005,1,MATCH(COLUMNS($R$1006:U1006),$R$1006:$W$1006,0))&gt;=100000), " ",IF(INDEX($R$2:$W$1001,MATCH(ROWS($K$2:K918),$K$2:$K$1001,0),MATCH(COLUMNS($R$1006:U1006),$R$1006:$W$1006,0)), HYPERLINK("#",""), HYPERLINK(CONCATENATE("#Metadata!", ADDRESS(INDEX($M$2:$M$1001,MATCH(ROWS($K$2:K918),$K$2:$K$1001,0),0), INDEX($R$1004:$W$1004,1,MATCH(COLUMNS($R$1006:U1006),$R$1006:$W$1006,0)))),"Fix")))</f>
        <v>0</v>
      </c>
      <c r="F918" s="3">
        <f>IF(OR(INDEX($L$2:$L$1001,MATCH(ROWS($K$2:K918),$K$2:$K$1001,0),1)&gt;=100000,INDEX($R$1005:$W$1005,1,MATCH(COLUMNS($R$1006:V1006),$R$1006:$W$1006,0))&gt;=100000), " ",IF(INDEX($R$2:$W$1001,MATCH(ROWS($K$2:K918),$K$2:$K$1001,0),MATCH(COLUMNS($R$1006:V1006),$R$1006:$W$1006,0)), HYPERLINK("#",""), HYPERLINK(CONCATENATE("#Metadata!", ADDRESS(INDEX($M$2:$M$1001,MATCH(ROWS($K$2:K918),$K$2:$K$1001,0),0), INDEX($R$1004:$W$1004,1,MATCH(COLUMNS($R$1006:V1006),$R$1006:$W$1006,0)))),"Fix")))</f>
        <v>0</v>
      </c>
      <c r="G918" s="3">
        <f>IF(OR(INDEX($L$2:$L$1001,MATCH(ROWS($K$2:K918),$K$2:$K$1001,0),1)&gt;=100000,INDEX($R$1005:$W$1005,1,MATCH(COLUMNS($R$1006:W1006),$R$1006:$W$1006,0))&gt;=100000), " ",IF(INDEX($R$2:$W$1001,MATCH(ROWS($K$2:K918),$K$2:$K$1001,0),MATCH(COLUMNS($R$1006:W1006),$R$1006:$W$1006,0)), HYPERLINK("#",""), HYPERLINK(CONCATENATE("#Metadata!", ADDRESS(INDEX($M$2:$M$1001,MATCH(ROWS($K$2:K918),$K$2:$K$1001,0),0), INDEX($R$1004:$W$1004,1,MATCH(COLUMNS($R$1006:W1006),$R$1006:$W$1006,0)))),"Fix")))</f>
        <v>0</v>
      </c>
      <c r="K918">
        <v>0</v>
      </c>
      <c r="L918">
        <v>0</v>
      </c>
      <c r="M918">
        <v>0</v>
      </c>
      <c r="N918">
        <f>IF(O918,TRUE,AND(R918:W918))</f>
        <v>0</v>
      </c>
      <c r="O918">
        <f>COUNTBLANK(Metadata!B918:G918)=COLUMNS(Metadata!B918:G918)</f>
        <v>0</v>
      </c>
      <c r="P918">
        <v>0</v>
      </c>
      <c r="R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S918">
        <f>IF(Metadata!C918="",FALSE,TRUE)</f>
        <v>0</v>
      </c>
      <c r="T918">
        <f>IF(Metadata!D918="",FALSE,TRUE)</f>
        <v>0</v>
      </c>
      <c r="U918">
        <f>IF(Metadata!E918="",FALSE,TRUE)</f>
        <v>0</v>
      </c>
      <c r="V918">
        <f>AND(IF(Metadata!F918="",FALSE,TRUE),exact(Metadata!F918,"rat gut metagenome"))</f>
        <v>0</v>
      </c>
      <c r="W918">
        <f>AND(IF(Metadata!G918="",FALSE,TRUE),exact(Metadata!G918,"1436733"))</f>
        <v>0</v>
      </c>
    </row>
    <row r="919" spans="1:23">
      <c r="A919" s="4">
        <f>IF(B919=" "," ",HYPERLINK(CONCATENATE("#metadata!",ADDRESS(INDEX($M$2:$M$1001,MATCH(ROWS($K$2:K919),$K$2:$K$1001,0),0),1)),INDEX($P$2:$P$1001,MATCH(ROWS($K$2:K919),$K$2:$K$1001,0),0)))</f>
        <v>0</v>
      </c>
      <c r="B919" s="3">
        <f>IF(OR(INDEX($L$2:$L$1001,MATCH(ROWS($K$2:K919),$K$2:$K$1001,0),1)&gt;=100000,INDEX($R$1005:$W$1005,1,MATCH(COLUMNS($R$1006:R1006),$R$1006:$W$1006,0))&gt;=100000), " ",IF(INDEX($R$2:$W$1001,MATCH(ROWS($K$2:K919),$K$2:$K$1001,0),MATCH(COLUMNS($R$1006:R1006),$R$1006:$W$1006,0)), HYPERLINK("#",""), HYPERLINK(CONCATENATE("#Metadata!", ADDRESS(INDEX($M$2:$M$1001,MATCH(ROWS($K$2:K919),$K$2:$K$1001,0),0), INDEX($R$1004:$W$1004,1,MATCH(COLUMNS($R$1006:R1006),$R$1006:$W$1006,0)))),"Fix")))</f>
        <v>0</v>
      </c>
      <c r="C919" s="3">
        <f>IF(OR(INDEX($L$2:$L$1001,MATCH(ROWS($K$2:K919),$K$2:$K$1001,0),1)&gt;=100000,INDEX($R$1005:$W$1005,1,MATCH(COLUMNS($R$1006:S1006),$R$1006:$W$1006,0))&gt;=100000), " ",IF(INDEX($R$2:$W$1001,MATCH(ROWS($K$2:K919),$K$2:$K$1001,0),MATCH(COLUMNS($R$1006:S1006),$R$1006:$W$1006,0)), HYPERLINK("#",""), HYPERLINK(CONCATENATE("#Metadata!", ADDRESS(INDEX($M$2:$M$1001,MATCH(ROWS($K$2:K919),$K$2:$K$1001,0),0), INDEX($R$1004:$W$1004,1,MATCH(COLUMNS($R$1006:S1006),$R$1006:$W$1006,0)))),"Fix")))</f>
        <v>0</v>
      </c>
      <c r="D919" s="3">
        <f>IF(OR(INDEX($L$2:$L$1001,MATCH(ROWS($K$2:K919),$K$2:$K$1001,0),1)&gt;=100000,INDEX($R$1005:$W$1005,1,MATCH(COLUMNS($R$1006:T1006),$R$1006:$W$1006,0))&gt;=100000), " ",IF(INDEX($R$2:$W$1001,MATCH(ROWS($K$2:K919),$K$2:$K$1001,0),MATCH(COLUMNS($R$1006:T1006),$R$1006:$W$1006,0)), HYPERLINK("#",""), HYPERLINK(CONCATENATE("#Metadata!", ADDRESS(INDEX($M$2:$M$1001,MATCH(ROWS($K$2:K919),$K$2:$K$1001,0),0), INDEX($R$1004:$W$1004,1,MATCH(COLUMNS($R$1006:T1006),$R$1006:$W$1006,0)))),"Fix")))</f>
        <v>0</v>
      </c>
      <c r="E919" s="3">
        <f>IF(OR(INDEX($L$2:$L$1001,MATCH(ROWS($K$2:K919),$K$2:$K$1001,0),1)&gt;=100000,INDEX($R$1005:$W$1005,1,MATCH(COLUMNS($R$1006:U1006),$R$1006:$W$1006,0))&gt;=100000), " ",IF(INDEX($R$2:$W$1001,MATCH(ROWS($K$2:K919),$K$2:$K$1001,0),MATCH(COLUMNS($R$1006:U1006),$R$1006:$W$1006,0)), HYPERLINK("#",""), HYPERLINK(CONCATENATE("#Metadata!", ADDRESS(INDEX($M$2:$M$1001,MATCH(ROWS($K$2:K919),$K$2:$K$1001,0),0), INDEX($R$1004:$W$1004,1,MATCH(COLUMNS($R$1006:U1006),$R$1006:$W$1006,0)))),"Fix")))</f>
        <v>0</v>
      </c>
      <c r="F919" s="3">
        <f>IF(OR(INDEX($L$2:$L$1001,MATCH(ROWS($K$2:K919),$K$2:$K$1001,0),1)&gt;=100000,INDEX($R$1005:$W$1005,1,MATCH(COLUMNS($R$1006:V1006),$R$1006:$W$1006,0))&gt;=100000), " ",IF(INDEX($R$2:$W$1001,MATCH(ROWS($K$2:K919),$K$2:$K$1001,0),MATCH(COLUMNS($R$1006:V1006),$R$1006:$W$1006,0)), HYPERLINK("#",""), HYPERLINK(CONCATENATE("#Metadata!", ADDRESS(INDEX($M$2:$M$1001,MATCH(ROWS($K$2:K919),$K$2:$K$1001,0),0), INDEX($R$1004:$W$1004,1,MATCH(COLUMNS($R$1006:V1006),$R$1006:$W$1006,0)))),"Fix")))</f>
        <v>0</v>
      </c>
      <c r="G919" s="3">
        <f>IF(OR(INDEX($L$2:$L$1001,MATCH(ROWS($K$2:K919),$K$2:$K$1001,0),1)&gt;=100000,INDEX($R$1005:$W$1005,1,MATCH(COLUMNS($R$1006:W1006),$R$1006:$W$1006,0))&gt;=100000), " ",IF(INDEX($R$2:$W$1001,MATCH(ROWS($K$2:K919),$K$2:$K$1001,0),MATCH(COLUMNS($R$1006:W1006),$R$1006:$W$1006,0)), HYPERLINK("#",""), HYPERLINK(CONCATENATE("#Metadata!", ADDRESS(INDEX($M$2:$M$1001,MATCH(ROWS($K$2:K919),$K$2:$K$1001,0),0), INDEX($R$1004:$W$1004,1,MATCH(COLUMNS($R$1006:W1006),$R$1006:$W$1006,0)))),"Fix")))</f>
        <v>0</v>
      </c>
      <c r="K919">
        <v>0</v>
      </c>
      <c r="L919">
        <v>0</v>
      </c>
      <c r="M919">
        <v>0</v>
      </c>
      <c r="N919">
        <f>IF(O919,TRUE,AND(R919:W919))</f>
        <v>0</v>
      </c>
      <c r="O919">
        <f>COUNTBLANK(Metadata!B919:G919)=COLUMNS(Metadata!B919:G919)</f>
        <v>0</v>
      </c>
      <c r="P919">
        <v>0</v>
      </c>
      <c r="R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S919">
        <f>IF(Metadata!C919="",FALSE,TRUE)</f>
        <v>0</v>
      </c>
      <c r="T919">
        <f>IF(Metadata!D919="",FALSE,TRUE)</f>
        <v>0</v>
      </c>
      <c r="U919">
        <f>IF(Metadata!E919="",FALSE,TRUE)</f>
        <v>0</v>
      </c>
      <c r="V919">
        <f>AND(IF(Metadata!F919="",FALSE,TRUE),exact(Metadata!F919,"rat gut metagenome"))</f>
        <v>0</v>
      </c>
      <c r="W919">
        <f>AND(IF(Metadata!G919="",FALSE,TRUE),exact(Metadata!G919,"1436733"))</f>
        <v>0</v>
      </c>
    </row>
    <row r="920" spans="1:23">
      <c r="A920" s="4">
        <f>IF(B920=" "," ",HYPERLINK(CONCATENATE("#metadata!",ADDRESS(INDEX($M$2:$M$1001,MATCH(ROWS($K$2:K920),$K$2:$K$1001,0),0),1)),INDEX($P$2:$P$1001,MATCH(ROWS($K$2:K920),$K$2:$K$1001,0),0)))</f>
        <v>0</v>
      </c>
      <c r="B920" s="3">
        <f>IF(OR(INDEX($L$2:$L$1001,MATCH(ROWS($K$2:K920),$K$2:$K$1001,0),1)&gt;=100000,INDEX($R$1005:$W$1005,1,MATCH(COLUMNS($R$1006:R1006),$R$1006:$W$1006,0))&gt;=100000), " ",IF(INDEX($R$2:$W$1001,MATCH(ROWS($K$2:K920),$K$2:$K$1001,0),MATCH(COLUMNS($R$1006:R1006),$R$1006:$W$1006,0)), HYPERLINK("#",""), HYPERLINK(CONCATENATE("#Metadata!", ADDRESS(INDEX($M$2:$M$1001,MATCH(ROWS($K$2:K920),$K$2:$K$1001,0),0), INDEX($R$1004:$W$1004,1,MATCH(COLUMNS($R$1006:R1006),$R$1006:$W$1006,0)))),"Fix")))</f>
        <v>0</v>
      </c>
      <c r="C920" s="3">
        <f>IF(OR(INDEX($L$2:$L$1001,MATCH(ROWS($K$2:K920),$K$2:$K$1001,0),1)&gt;=100000,INDEX($R$1005:$W$1005,1,MATCH(COLUMNS($R$1006:S1006),$R$1006:$W$1006,0))&gt;=100000), " ",IF(INDEX($R$2:$W$1001,MATCH(ROWS($K$2:K920),$K$2:$K$1001,0),MATCH(COLUMNS($R$1006:S1006),$R$1006:$W$1006,0)), HYPERLINK("#",""), HYPERLINK(CONCATENATE("#Metadata!", ADDRESS(INDEX($M$2:$M$1001,MATCH(ROWS($K$2:K920),$K$2:$K$1001,0),0), INDEX($R$1004:$W$1004,1,MATCH(COLUMNS($R$1006:S1006),$R$1006:$W$1006,0)))),"Fix")))</f>
        <v>0</v>
      </c>
      <c r="D920" s="3">
        <f>IF(OR(INDEX($L$2:$L$1001,MATCH(ROWS($K$2:K920),$K$2:$K$1001,0),1)&gt;=100000,INDEX($R$1005:$W$1005,1,MATCH(COLUMNS($R$1006:T1006),$R$1006:$W$1006,0))&gt;=100000), " ",IF(INDEX($R$2:$W$1001,MATCH(ROWS($K$2:K920),$K$2:$K$1001,0),MATCH(COLUMNS($R$1006:T1006),$R$1006:$W$1006,0)), HYPERLINK("#",""), HYPERLINK(CONCATENATE("#Metadata!", ADDRESS(INDEX($M$2:$M$1001,MATCH(ROWS($K$2:K920),$K$2:$K$1001,0),0), INDEX($R$1004:$W$1004,1,MATCH(COLUMNS($R$1006:T1006),$R$1006:$W$1006,0)))),"Fix")))</f>
        <v>0</v>
      </c>
      <c r="E920" s="3">
        <f>IF(OR(INDEX($L$2:$L$1001,MATCH(ROWS($K$2:K920),$K$2:$K$1001,0),1)&gt;=100000,INDEX($R$1005:$W$1005,1,MATCH(COLUMNS($R$1006:U1006),$R$1006:$W$1006,0))&gt;=100000), " ",IF(INDEX($R$2:$W$1001,MATCH(ROWS($K$2:K920),$K$2:$K$1001,0),MATCH(COLUMNS($R$1006:U1006),$R$1006:$W$1006,0)), HYPERLINK("#",""), HYPERLINK(CONCATENATE("#Metadata!", ADDRESS(INDEX($M$2:$M$1001,MATCH(ROWS($K$2:K920),$K$2:$K$1001,0),0), INDEX($R$1004:$W$1004,1,MATCH(COLUMNS($R$1006:U1006),$R$1006:$W$1006,0)))),"Fix")))</f>
        <v>0</v>
      </c>
      <c r="F920" s="3">
        <f>IF(OR(INDEX($L$2:$L$1001,MATCH(ROWS($K$2:K920),$K$2:$K$1001,0),1)&gt;=100000,INDEX($R$1005:$W$1005,1,MATCH(COLUMNS($R$1006:V1006),$R$1006:$W$1006,0))&gt;=100000), " ",IF(INDEX($R$2:$W$1001,MATCH(ROWS($K$2:K920),$K$2:$K$1001,0),MATCH(COLUMNS($R$1006:V1006),$R$1006:$W$1006,0)), HYPERLINK("#",""), HYPERLINK(CONCATENATE("#Metadata!", ADDRESS(INDEX($M$2:$M$1001,MATCH(ROWS($K$2:K920),$K$2:$K$1001,0),0), INDEX($R$1004:$W$1004,1,MATCH(COLUMNS($R$1006:V1006),$R$1006:$W$1006,0)))),"Fix")))</f>
        <v>0</v>
      </c>
      <c r="G920" s="3">
        <f>IF(OR(INDEX($L$2:$L$1001,MATCH(ROWS($K$2:K920),$K$2:$K$1001,0),1)&gt;=100000,INDEX($R$1005:$W$1005,1,MATCH(COLUMNS($R$1006:W1006),$R$1006:$W$1006,0))&gt;=100000), " ",IF(INDEX($R$2:$W$1001,MATCH(ROWS($K$2:K920),$K$2:$K$1001,0),MATCH(COLUMNS($R$1006:W1006),$R$1006:$W$1006,0)), HYPERLINK("#",""), HYPERLINK(CONCATENATE("#Metadata!", ADDRESS(INDEX($M$2:$M$1001,MATCH(ROWS($K$2:K920),$K$2:$K$1001,0),0), INDEX($R$1004:$W$1004,1,MATCH(COLUMNS($R$1006:W1006),$R$1006:$W$1006,0)))),"Fix")))</f>
        <v>0</v>
      </c>
      <c r="K920">
        <v>0</v>
      </c>
      <c r="L920">
        <v>0</v>
      </c>
      <c r="M920">
        <v>0</v>
      </c>
      <c r="N920">
        <f>IF(O920,TRUE,AND(R920:W920))</f>
        <v>0</v>
      </c>
      <c r="O920">
        <f>COUNTBLANK(Metadata!B920:G920)=COLUMNS(Metadata!B920:G920)</f>
        <v>0</v>
      </c>
      <c r="P920">
        <v>0</v>
      </c>
      <c r="R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S920">
        <f>IF(Metadata!C920="",FALSE,TRUE)</f>
        <v>0</v>
      </c>
      <c r="T920">
        <f>IF(Metadata!D920="",FALSE,TRUE)</f>
        <v>0</v>
      </c>
      <c r="U920">
        <f>IF(Metadata!E920="",FALSE,TRUE)</f>
        <v>0</v>
      </c>
      <c r="V920">
        <f>AND(IF(Metadata!F920="",FALSE,TRUE),exact(Metadata!F920,"rat gut metagenome"))</f>
        <v>0</v>
      </c>
      <c r="W920">
        <f>AND(IF(Metadata!G920="",FALSE,TRUE),exact(Metadata!G920,"1436733"))</f>
        <v>0</v>
      </c>
    </row>
    <row r="921" spans="1:23">
      <c r="A921" s="4">
        <f>IF(B921=" "," ",HYPERLINK(CONCATENATE("#metadata!",ADDRESS(INDEX($M$2:$M$1001,MATCH(ROWS($K$2:K921),$K$2:$K$1001,0),0),1)),INDEX($P$2:$P$1001,MATCH(ROWS($K$2:K921),$K$2:$K$1001,0),0)))</f>
        <v>0</v>
      </c>
      <c r="B921" s="3">
        <f>IF(OR(INDEX($L$2:$L$1001,MATCH(ROWS($K$2:K921),$K$2:$K$1001,0),1)&gt;=100000,INDEX($R$1005:$W$1005,1,MATCH(COLUMNS($R$1006:R1006),$R$1006:$W$1006,0))&gt;=100000), " ",IF(INDEX($R$2:$W$1001,MATCH(ROWS($K$2:K921),$K$2:$K$1001,0),MATCH(COLUMNS($R$1006:R1006),$R$1006:$W$1006,0)), HYPERLINK("#",""), HYPERLINK(CONCATENATE("#Metadata!", ADDRESS(INDEX($M$2:$M$1001,MATCH(ROWS($K$2:K921),$K$2:$K$1001,0),0), INDEX($R$1004:$W$1004,1,MATCH(COLUMNS($R$1006:R1006),$R$1006:$W$1006,0)))),"Fix")))</f>
        <v>0</v>
      </c>
      <c r="C921" s="3">
        <f>IF(OR(INDEX($L$2:$L$1001,MATCH(ROWS($K$2:K921),$K$2:$K$1001,0),1)&gt;=100000,INDEX($R$1005:$W$1005,1,MATCH(COLUMNS($R$1006:S1006),$R$1006:$W$1006,0))&gt;=100000), " ",IF(INDEX($R$2:$W$1001,MATCH(ROWS($K$2:K921),$K$2:$K$1001,0),MATCH(COLUMNS($R$1006:S1006),$R$1006:$W$1006,0)), HYPERLINK("#",""), HYPERLINK(CONCATENATE("#Metadata!", ADDRESS(INDEX($M$2:$M$1001,MATCH(ROWS($K$2:K921),$K$2:$K$1001,0),0), INDEX($R$1004:$W$1004,1,MATCH(COLUMNS($R$1006:S1006),$R$1006:$W$1006,0)))),"Fix")))</f>
        <v>0</v>
      </c>
      <c r="D921" s="3">
        <f>IF(OR(INDEX($L$2:$L$1001,MATCH(ROWS($K$2:K921),$K$2:$K$1001,0),1)&gt;=100000,INDEX($R$1005:$W$1005,1,MATCH(COLUMNS($R$1006:T1006),$R$1006:$W$1006,0))&gt;=100000), " ",IF(INDEX($R$2:$W$1001,MATCH(ROWS($K$2:K921),$K$2:$K$1001,0),MATCH(COLUMNS($R$1006:T1006),$R$1006:$W$1006,0)), HYPERLINK("#",""), HYPERLINK(CONCATENATE("#Metadata!", ADDRESS(INDEX($M$2:$M$1001,MATCH(ROWS($K$2:K921),$K$2:$K$1001,0),0), INDEX($R$1004:$W$1004,1,MATCH(COLUMNS($R$1006:T1006),$R$1006:$W$1006,0)))),"Fix")))</f>
        <v>0</v>
      </c>
      <c r="E921" s="3">
        <f>IF(OR(INDEX($L$2:$L$1001,MATCH(ROWS($K$2:K921),$K$2:$K$1001,0),1)&gt;=100000,INDEX($R$1005:$W$1005,1,MATCH(COLUMNS($R$1006:U1006),$R$1006:$W$1006,0))&gt;=100000), " ",IF(INDEX($R$2:$W$1001,MATCH(ROWS($K$2:K921),$K$2:$K$1001,0),MATCH(COLUMNS($R$1006:U1006),$R$1006:$W$1006,0)), HYPERLINK("#",""), HYPERLINK(CONCATENATE("#Metadata!", ADDRESS(INDEX($M$2:$M$1001,MATCH(ROWS($K$2:K921),$K$2:$K$1001,0),0), INDEX($R$1004:$W$1004,1,MATCH(COLUMNS($R$1006:U1006),$R$1006:$W$1006,0)))),"Fix")))</f>
        <v>0</v>
      </c>
      <c r="F921" s="3">
        <f>IF(OR(INDEX($L$2:$L$1001,MATCH(ROWS($K$2:K921),$K$2:$K$1001,0),1)&gt;=100000,INDEX($R$1005:$W$1005,1,MATCH(COLUMNS($R$1006:V1006),$R$1006:$W$1006,0))&gt;=100000), " ",IF(INDEX($R$2:$W$1001,MATCH(ROWS($K$2:K921),$K$2:$K$1001,0),MATCH(COLUMNS($R$1006:V1006),$R$1006:$W$1006,0)), HYPERLINK("#",""), HYPERLINK(CONCATENATE("#Metadata!", ADDRESS(INDEX($M$2:$M$1001,MATCH(ROWS($K$2:K921),$K$2:$K$1001,0),0), INDEX($R$1004:$W$1004,1,MATCH(COLUMNS($R$1006:V1006),$R$1006:$W$1006,0)))),"Fix")))</f>
        <v>0</v>
      </c>
      <c r="G921" s="3">
        <f>IF(OR(INDEX($L$2:$L$1001,MATCH(ROWS($K$2:K921),$K$2:$K$1001,0),1)&gt;=100000,INDEX($R$1005:$W$1005,1,MATCH(COLUMNS($R$1006:W1006),$R$1006:$W$1006,0))&gt;=100000), " ",IF(INDEX($R$2:$W$1001,MATCH(ROWS($K$2:K921),$K$2:$K$1001,0),MATCH(COLUMNS($R$1006:W1006),$R$1006:$W$1006,0)), HYPERLINK("#",""), HYPERLINK(CONCATENATE("#Metadata!", ADDRESS(INDEX($M$2:$M$1001,MATCH(ROWS($K$2:K921),$K$2:$K$1001,0),0), INDEX($R$1004:$W$1004,1,MATCH(COLUMNS($R$1006:W1006),$R$1006:$W$1006,0)))),"Fix")))</f>
        <v>0</v>
      </c>
      <c r="K921">
        <v>0</v>
      </c>
      <c r="L921">
        <v>0</v>
      </c>
      <c r="M921">
        <v>0</v>
      </c>
      <c r="N921">
        <f>IF(O921,TRUE,AND(R921:W921))</f>
        <v>0</v>
      </c>
      <c r="O921">
        <f>COUNTBLANK(Metadata!B921:G921)=COLUMNS(Metadata!B921:G921)</f>
        <v>0</v>
      </c>
      <c r="P921">
        <v>0</v>
      </c>
      <c r="R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S921">
        <f>IF(Metadata!C921="",FALSE,TRUE)</f>
        <v>0</v>
      </c>
      <c r="T921">
        <f>IF(Metadata!D921="",FALSE,TRUE)</f>
        <v>0</v>
      </c>
      <c r="U921">
        <f>IF(Metadata!E921="",FALSE,TRUE)</f>
        <v>0</v>
      </c>
      <c r="V921">
        <f>AND(IF(Metadata!F921="",FALSE,TRUE),exact(Metadata!F921,"rat gut metagenome"))</f>
        <v>0</v>
      </c>
      <c r="W921">
        <f>AND(IF(Metadata!G921="",FALSE,TRUE),exact(Metadata!G921,"1436733"))</f>
        <v>0</v>
      </c>
    </row>
    <row r="922" spans="1:23">
      <c r="A922" s="4">
        <f>IF(B922=" "," ",HYPERLINK(CONCATENATE("#metadata!",ADDRESS(INDEX($M$2:$M$1001,MATCH(ROWS($K$2:K922),$K$2:$K$1001,0),0),1)),INDEX($P$2:$P$1001,MATCH(ROWS($K$2:K922),$K$2:$K$1001,0),0)))</f>
        <v>0</v>
      </c>
      <c r="B922" s="3">
        <f>IF(OR(INDEX($L$2:$L$1001,MATCH(ROWS($K$2:K922),$K$2:$K$1001,0),1)&gt;=100000,INDEX($R$1005:$W$1005,1,MATCH(COLUMNS($R$1006:R1006),$R$1006:$W$1006,0))&gt;=100000), " ",IF(INDEX($R$2:$W$1001,MATCH(ROWS($K$2:K922),$K$2:$K$1001,0),MATCH(COLUMNS($R$1006:R1006),$R$1006:$W$1006,0)), HYPERLINK("#",""), HYPERLINK(CONCATENATE("#Metadata!", ADDRESS(INDEX($M$2:$M$1001,MATCH(ROWS($K$2:K922),$K$2:$K$1001,0),0), INDEX($R$1004:$W$1004,1,MATCH(COLUMNS($R$1006:R1006),$R$1006:$W$1006,0)))),"Fix")))</f>
        <v>0</v>
      </c>
      <c r="C922" s="3">
        <f>IF(OR(INDEX($L$2:$L$1001,MATCH(ROWS($K$2:K922),$K$2:$K$1001,0),1)&gt;=100000,INDEX($R$1005:$W$1005,1,MATCH(COLUMNS($R$1006:S1006),$R$1006:$W$1006,0))&gt;=100000), " ",IF(INDEX($R$2:$W$1001,MATCH(ROWS($K$2:K922),$K$2:$K$1001,0),MATCH(COLUMNS($R$1006:S1006),$R$1006:$W$1006,0)), HYPERLINK("#",""), HYPERLINK(CONCATENATE("#Metadata!", ADDRESS(INDEX($M$2:$M$1001,MATCH(ROWS($K$2:K922),$K$2:$K$1001,0),0), INDEX($R$1004:$W$1004,1,MATCH(COLUMNS($R$1006:S1006),$R$1006:$W$1006,0)))),"Fix")))</f>
        <v>0</v>
      </c>
      <c r="D922" s="3">
        <f>IF(OR(INDEX($L$2:$L$1001,MATCH(ROWS($K$2:K922),$K$2:$K$1001,0),1)&gt;=100000,INDEX($R$1005:$W$1005,1,MATCH(COLUMNS($R$1006:T1006),$R$1006:$W$1006,0))&gt;=100000), " ",IF(INDEX($R$2:$W$1001,MATCH(ROWS($K$2:K922),$K$2:$K$1001,0),MATCH(COLUMNS($R$1006:T1006),$R$1006:$W$1006,0)), HYPERLINK("#",""), HYPERLINK(CONCATENATE("#Metadata!", ADDRESS(INDEX($M$2:$M$1001,MATCH(ROWS($K$2:K922),$K$2:$K$1001,0),0), INDEX($R$1004:$W$1004,1,MATCH(COLUMNS($R$1006:T1006),$R$1006:$W$1006,0)))),"Fix")))</f>
        <v>0</v>
      </c>
      <c r="E922" s="3">
        <f>IF(OR(INDEX($L$2:$L$1001,MATCH(ROWS($K$2:K922),$K$2:$K$1001,0),1)&gt;=100000,INDEX($R$1005:$W$1005,1,MATCH(COLUMNS($R$1006:U1006),$R$1006:$W$1006,0))&gt;=100000), " ",IF(INDEX($R$2:$W$1001,MATCH(ROWS($K$2:K922),$K$2:$K$1001,0),MATCH(COLUMNS($R$1006:U1006),$R$1006:$W$1006,0)), HYPERLINK("#",""), HYPERLINK(CONCATENATE("#Metadata!", ADDRESS(INDEX($M$2:$M$1001,MATCH(ROWS($K$2:K922),$K$2:$K$1001,0),0), INDEX($R$1004:$W$1004,1,MATCH(COLUMNS($R$1006:U1006),$R$1006:$W$1006,0)))),"Fix")))</f>
        <v>0</v>
      </c>
      <c r="F922" s="3">
        <f>IF(OR(INDEX($L$2:$L$1001,MATCH(ROWS($K$2:K922),$K$2:$K$1001,0),1)&gt;=100000,INDEX($R$1005:$W$1005,1,MATCH(COLUMNS($R$1006:V1006),$R$1006:$W$1006,0))&gt;=100000), " ",IF(INDEX($R$2:$W$1001,MATCH(ROWS($K$2:K922),$K$2:$K$1001,0),MATCH(COLUMNS($R$1006:V1006),$R$1006:$W$1006,0)), HYPERLINK("#",""), HYPERLINK(CONCATENATE("#Metadata!", ADDRESS(INDEX($M$2:$M$1001,MATCH(ROWS($K$2:K922),$K$2:$K$1001,0),0), INDEX($R$1004:$W$1004,1,MATCH(COLUMNS($R$1006:V1006),$R$1006:$W$1006,0)))),"Fix")))</f>
        <v>0</v>
      </c>
      <c r="G922" s="3">
        <f>IF(OR(INDEX($L$2:$L$1001,MATCH(ROWS($K$2:K922),$K$2:$K$1001,0),1)&gt;=100000,INDEX($R$1005:$W$1005,1,MATCH(COLUMNS($R$1006:W1006),$R$1006:$W$1006,0))&gt;=100000), " ",IF(INDEX($R$2:$W$1001,MATCH(ROWS($K$2:K922),$K$2:$K$1001,0),MATCH(COLUMNS($R$1006:W1006),$R$1006:$W$1006,0)), HYPERLINK("#",""), HYPERLINK(CONCATENATE("#Metadata!", ADDRESS(INDEX($M$2:$M$1001,MATCH(ROWS($K$2:K922),$K$2:$K$1001,0),0), INDEX($R$1004:$W$1004,1,MATCH(COLUMNS($R$1006:W1006),$R$1006:$W$1006,0)))),"Fix")))</f>
        <v>0</v>
      </c>
      <c r="K922">
        <v>0</v>
      </c>
      <c r="L922">
        <v>0</v>
      </c>
      <c r="M922">
        <v>0</v>
      </c>
      <c r="N922">
        <f>IF(O922,TRUE,AND(R922:W922))</f>
        <v>0</v>
      </c>
      <c r="O922">
        <f>COUNTBLANK(Metadata!B922:G922)=COLUMNS(Metadata!B922:G922)</f>
        <v>0</v>
      </c>
      <c r="P922">
        <v>0</v>
      </c>
      <c r="R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S922">
        <f>IF(Metadata!C922="",FALSE,TRUE)</f>
        <v>0</v>
      </c>
      <c r="T922">
        <f>IF(Metadata!D922="",FALSE,TRUE)</f>
        <v>0</v>
      </c>
      <c r="U922">
        <f>IF(Metadata!E922="",FALSE,TRUE)</f>
        <v>0</v>
      </c>
      <c r="V922">
        <f>AND(IF(Metadata!F922="",FALSE,TRUE),exact(Metadata!F922,"rat gut metagenome"))</f>
        <v>0</v>
      </c>
      <c r="W922">
        <f>AND(IF(Metadata!G922="",FALSE,TRUE),exact(Metadata!G922,"1436733"))</f>
        <v>0</v>
      </c>
    </row>
    <row r="923" spans="1:23">
      <c r="A923" s="4">
        <f>IF(B923=" "," ",HYPERLINK(CONCATENATE("#metadata!",ADDRESS(INDEX($M$2:$M$1001,MATCH(ROWS($K$2:K923),$K$2:$K$1001,0),0),1)),INDEX($P$2:$P$1001,MATCH(ROWS($K$2:K923),$K$2:$K$1001,0),0)))</f>
        <v>0</v>
      </c>
      <c r="B923" s="3">
        <f>IF(OR(INDEX($L$2:$L$1001,MATCH(ROWS($K$2:K923),$K$2:$K$1001,0),1)&gt;=100000,INDEX($R$1005:$W$1005,1,MATCH(COLUMNS($R$1006:R1006),$R$1006:$W$1006,0))&gt;=100000), " ",IF(INDEX($R$2:$W$1001,MATCH(ROWS($K$2:K923),$K$2:$K$1001,0),MATCH(COLUMNS($R$1006:R1006),$R$1006:$W$1006,0)), HYPERLINK("#",""), HYPERLINK(CONCATENATE("#Metadata!", ADDRESS(INDEX($M$2:$M$1001,MATCH(ROWS($K$2:K923),$K$2:$K$1001,0),0), INDEX($R$1004:$W$1004,1,MATCH(COLUMNS($R$1006:R1006),$R$1006:$W$1006,0)))),"Fix")))</f>
        <v>0</v>
      </c>
      <c r="C923" s="3">
        <f>IF(OR(INDEX($L$2:$L$1001,MATCH(ROWS($K$2:K923),$K$2:$K$1001,0),1)&gt;=100000,INDEX($R$1005:$W$1005,1,MATCH(COLUMNS($R$1006:S1006),$R$1006:$W$1006,0))&gt;=100000), " ",IF(INDEX($R$2:$W$1001,MATCH(ROWS($K$2:K923),$K$2:$K$1001,0),MATCH(COLUMNS($R$1006:S1006),$R$1006:$W$1006,0)), HYPERLINK("#",""), HYPERLINK(CONCATENATE("#Metadata!", ADDRESS(INDEX($M$2:$M$1001,MATCH(ROWS($K$2:K923),$K$2:$K$1001,0),0), INDEX($R$1004:$W$1004,1,MATCH(COLUMNS($R$1006:S1006),$R$1006:$W$1006,0)))),"Fix")))</f>
        <v>0</v>
      </c>
      <c r="D923" s="3">
        <f>IF(OR(INDEX($L$2:$L$1001,MATCH(ROWS($K$2:K923),$K$2:$K$1001,0),1)&gt;=100000,INDEX($R$1005:$W$1005,1,MATCH(COLUMNS($R$1006:T1006),$R$1006:$W$1006,0))&gt;=100000), " ",IF(INDEX($R$2:$W$1001,MATCH(ROWS($K$2:K923),$K$2:$K$1001,0),MATCH(COLUMNS($R$1006:T1006),$R$1006:$W$1006,0)), HYPERLINK("#",""), HYPERLINK(CONCATENATE("#Metadata!", ADDRESS(INDEX($M$2:$M$1001,MATCH(ROWS($K$2:K923),$K$2:$K$1001,0),0), INDEX($R$1004:$W$1004,1,MATCH(COLUMNS($R$1006:T1006),$R$1006:$W$1006,0)))),"Fix")))</f>
        <v>0</v>
      </c>
      <c r="E923" s="3">
        <f>IF(OR(INDEX($L$2:$L$1001,MATCH(ROWS($K$2:K923),$K$2:$K$1001,0),1)&gt;=100000,INDEX($R$1005:$W$1005,1,MATCH(COLUMNS($R$1006:U1006),$R$1006:$W$1006,0))&gt;=100000), " ",IF(INDEX($R$2:$W$1001,MATCH(ROWS($K$2:K923),$K$2:$K$1001,0),MATCH(COLUMNS($R$1006:U1006),$R$1006:$W$1006,0)), HYPERLINK("#",""), HYPERLINK(CONCATENATE("#Metadata!", ADDRESS(INDEX($M$2:$M$1001,MATCH(ROWS($K$2:K923),$K$2:$K$1001,0),0), INDEX($R$1004:$W$1004,1,MATCH(COLUMNS($R$1006:U1006),$R$1006:$W$1006,0)))),"Fix")))</f>
        <v>0</v>
      </c>
      <c r="F923" s="3">
        <f>IF(OR(INDEX($L$2:$L$1001,MATCH(ROWS($K$2:K923),$K$2:$K$1001,0),1)&gt;=100000,INDEX($R$1005:$W$1005,1,MATCH(COLUMNS($R$1006:V1006),$R$1006:$W$1006,0))&gt;=100000), " ",IF(INDEX($R$2:$W$1001,MATCH(ROWS($K$2:K923),$K$2:$K$1001,0),MATCH(COLUMNS($R$1006:V1006),$R$1006:$W$1006,0)), HYPERLINK("#",""), HYPERLINK(CONCATENATE("#Metadata!", ADDRESS(INDEX($M$2:$M$1001,MATCH(ROWS($K$2:K923),$K$2:$K$1001,0),0), INDEX($R$1004:$W$1004,1,MATCH(COLUMNS($R$1006:V1006),$R$1006:$W$1006,0)))),"Fix")))</f>
        <v>0</v>
      </c>
      <c r="G923" s="3">
        <f>IF(OR(INDEX($L$2:$L$1001,MATCH(ROWS($K$2:K923),$K$2:$K$1001,0),1)&gt;=100000,INDEX($R$1005:$W$1005,1,MATCH(COLUMNS($R$1006:W1006),$R$1006:$W$1006,0))&gt;=100000), " ",IF(INDEX($R$2:$W$1001,MATCH(ROWS($K$2:K923),$K$2:$K$1001,0),MATCH(COLUMNS($R$1006:W1006),$R$1006:$W$1006,0)), HYPERLINK("#",""), HYPERLINK(CONCATENATE("#Metadata!", ADDRESS(INDEX($M$2:$M$1001,MATCH(ROWS($K$2:K923),$K$2:$K$1001,0),0), INDEX($R$1004:$W$1004,1,MATCH(COLUMNS($R$1006:W1006),$R$1006:$W$1006,0)))),"Fix")))</f>
        <v>0</v>
      </c>
      <c r="K923">
        <v>0</v>
      </c>
      <c r="L923">
        <v>0</v>
      </c>
      <c r="M923">
        <v>0</v>
      </c>
      <c r="N923">
        <f>IF(O923,TRUE,AND(R923:W923))</f>
        <v>0</v>
      </c>
      <c r="O923">
        <f>COUNTBLANK(Metadata!B923:G923)=COLUMNS(Metadata!B923:G923)</f>
        <v>0</v>
      </c>
      <c r="P923">
        <v>0</v>
      </c>
      <c r="R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S923">
        <f>IF(Metadata!C923="",FALSE,TRUE)</f>
        <v>0</v>
      </c>
      <c r="T923">
        <f>IF(Metadata!D923="",FALSE,TRUE)</f>
        <v>0</v>
      </c>
      <c r="U923">
        <f>IF(Metadata!E923="",FALSE,TRUE)</f>
        <v>0</v>
      </c>
      <c r="V923">
        <f>AND(IF(Metadata!F923="",FALSE,TRUE),exact(Metadata!F923,"rat gut metagenome"))</f>
        <v>0</v>
      </c>
      <c r="W923">
        <f>AND(IF(Metadata!G923="",FALSE,TRUE),exact(Metadata!G923,"1436733"))</f>
        <v>0</v>
      </c>
    </row>
    <row r="924" spans="1:23">
      <c r="A924" s="4">
        <f>IF(B924=" "," ",HYPERLINK(CONCATENATE("#metadata!",ADDRESS(INDEX($M$2:$M$1001,MATCH(ROWS($K$2:K924),$K$2:$K$1001,0),0),1)),INDEX($P$2:$P$1001,MATCH(ROWS($K$2:K924),$K$2:$K$1001,0),0)))</f>
        <v>0</v>
      </c>
      <c r="B924" s="3">
        <f>IF(OR(INDEX($L$2:$L$1001,MATCH(ROWS($K$2:K924),$K$2:$K$1001,0),1)&gt;=100000,INDEX($R$1005:$W$1005,1,MATCH(COLUMNS($R$1006:R1006),$R$1006:$W$1006,0))&gt;=100000), " ",IF(INDEX($R$2:$W$1001,MATCH(ROWS($K$2:K924),$K$2:$K$1001,0),MATCH(COLUMNS($R$1006:R1006),$R$1006:$W$1006,0)), HYPERLINK("#",""), HYPERLINK(CONCATENATE("#Metadata!", ADDRESS(INDEX($M$2:$M$1001,MATCH(ROWS($K$2:K924),$K$2:$K$1001,0),0), INDEX($R$1004:$W$1004,1,MATCH(COLUMNS($R$1006:R1006),$R$1006:$W$1006,0)))),"Fix")))</f>
        <v>0</v>
      </c>
      <c r="C924" s="3">
        <f>IF(OR(INDEX($L$2:$L$1001,MATCH(ROWS($K$2:K924),$K$2:$K$1001,0),1)&gt;=100000,INDEX($R$1005:$W$1005,1,MATCH(COLUMNS($R$1006:S1006),$R$1006:$W$1006,0))&gt;=100000), " ",IF(INDEX($R$2:$W$1001,MATCH(ROWS($K$2:K924),$K$2:$K$1001,0),MATCH(COLUMNS($R$1006:S1006),$R$1006:$W$1006,0)), HYPERLINK("#",""), HYPERLINK(CONCATENATE("#Metadata!", ADDRESS(INDEX($M$2:$M$1001,MATCH(ROWS($K$2:K924),$K$2:$K$1001,0),0), INDEX($R$1004:$W$1004,1,MATCH(COLUMNS($R$1006:S1006),$R$1006:$W$1006,0)))),"Fix")))</f>
        <v>0</v>
      </c>
      <c r="D924" s="3">
        <f>IF(OR(INDEX($L$2:$L$1001,MATCH(ROWS($K$2:K924),$K$2:$K$1001,0),1)&gt;=100000,INDEX($R$1005:$W$1005,1,MATCH(COLUMNS($R$1006:T1006),$R$1006:$W$1006,0))&gt;=100000), " ",IF(INDEX($R$2:$W$1001,MATCH(ROWS($K$2:K924),$K$2:$K$1001,0),MATCH(COLUMNS($R$1006:T1006),$R$1006:$W$1006,0)), HYPERLINK("#",""), HYPERLINK(CONCATENATE("#Metadata!", ADDRESS(INDEX($M$2:$M$1001,MATCH(ROWS($K$2:K924),$K$2:$K$1001,0),0), INDEX($R$1004:$W$1004,1,MATCH(COLUMNS($R$1006:T1006),$R$1006:$W$1006,0)))),"Fix")))</f>
        <v>0</v>
      </c>
      <c r="E924" s="3">
        <f>IF(OR(INDEX($L$2:$L$1001,MATCH(ROWS($K$2:K924),$K$2:$K$1001,0),1)&gt;=100000,INDEX($R$1005:$W$1005,1,MATCH(COLUMNS($R$1006:U1006),$R$1006:$W$1006,0))&gt;=100000), " ",IF(INDEX($R$2:$W$1001,MATCH(ROWS($K$2:K924),$K$2:$K$1001,0),MATCH(COLUMNS($R$1006:U1006),$R$1006:$W$1006,0)), HYPERLINK("#",""), HYPERLINK(CONCATENATE("#Metadata!", ADDRESS(INDEX($M$2:$M$1001,MATCH(ROWS($K$2:K924),$K$2:$K$1001,0),0), INDEX($R$1004:$W$1004,1,MATCH(COLUMNS($R$1006:U1006),$R$1006:$W$1006,0)))),"Fix")))</f>
        <v>0</v>
      </c>
      <c r="F924" s="3">
        <f>IF(OR(INDEX($L$2:$L$1001,MATCH(ROWS($K$2:K924),$K$2:$K$1001,0),1)&gt;=100000,INDEX($R$1005:$W$1005,1,MATCH(COLUMNS($R$1006:V1006),$R$1006:$W$1006,0))&gt;=100000), " ",IF(INDEX($R$2:$W$1001,MATCH(ROWS($K$2:K924),$K$2:$K$1001,0),MATCH(COLUMNS($R$1006:V1006),$R$1006:$W$1006,0)), HYPERLINK("#",""), HYPERLINK(CONCATENATE("#Metadata!", ADDRESS(INDEX($M$2:$M$1001,MATCH(ROWS($K$2:K924),$K$2:$K$1001,0),0), INDEX($R$1004:$W$1004,1,MATCH(COLUMNS($R$1006:V1006),$R$1006:$W$1006,0)))),"Fix")))</f>
        <v>0</v>
      </c>
      <c r="G924" s="3">
        <f>IF(OR(INDEX($L$2:$L$1001,MATCH(ROWS($K$2:K924),$K$2:$K$1001,0),1)&gt;=100000,INDEX($R$1005:$W$1005,1,MATCH(COLUMNS($R$1006:W1006),$R$1006:$W$1006,0))&gt;=100000), " ",IF(INDEX($R$2:$W$1001,MATCH(ROWS($K$2:K924),$K$2:$K$1001,0),MATCH(COLUMNS($R$1006:W1006),$R$1006:$W$1006,0)), HYPERLINK("#",""), HYPERLINK(CONCATENATE("#Metadata!", ADDRESS(INDEX($M$2:$M$1001,MATCH(ROWS($K$2:K924),$K$2:$K$1001,0),0), INDEX($R$1004:$W$1004,1,MATCH(COLUMNS($R$1006:W1006),$R$1006:$W$1006,0)))),"Fix")))</f>
        <v>0</v>
      </c>
      <c r="K924">
        <v>0</v>
      </c>
      <c r="L924">
        <v>0</v>
      </c>
      <c r="M924">
        <v>0</v>
      </c>
      <c r="N924">
        <f>IF(O924,TRUE,AND(R924:W924))</f>
        <v>0</v>
      </c>
      <c r="O924">
        <f>COUNTBLANK(Metadata!B924:G924)=COLUMNS(Metadata!B924:G924)</f>
        <v>0</v>
      </c>
      <c r="P924">
        <v>0</v>
      </c>
      <c r="R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S924">
        <f>IF(Metadata!C924="",FALSE,TRUE)</f>
        <v>0</v>
      </c>
      <c r="T924">
        <f>IF(Metadata!D924="",FALSE,TRUE)</f>
        <v>0</v>
      </c>
      <c r="U924">
        <f>IF(Metadata!E924="",FALSE,TRUE)</f>
        <v>0</v>
      </c>
      <c r="V924">
        <f>AND(IF(Metadata!F924="",FALSE,TRUE),exact(Metadata!F924,"rat gut metagenome"))</f>
        <v>0</v>
      </c>
      <c r="W924">
        <f>AND(IF(Metadata!G924="",FALSE,TRUE),exact(Metadata!G924,"1436733"))</f>
        <v>0</v>
      </c>
    </row>
    <row r="925" spans="1:23">
      <c r="A925" s="4">
        <f>IF(B925=" "," ",HYPERLINK(CONCATENATE("#metadata!",ADDRESS(INDEX($M$2:$M$1001,MATCH(ROWS($K$2:K925),$K$2:$K$1001,0),0),1)),INDEX($P$2:$P$1001,MATCH(ROWS($K$2:K925),$K$2:$K$1001,0),0)))</f>
        <v>0</v>
      </c>
      <c r="B925" s="3">
        <f>IF(OR(INDEX($L$2:$L$1001,MATCH(ROWS($K$2:K925),$K$2:$K$1001,0),1)&gt;=100000,INDEX($R$1005:$W$1005,1,MATCH(COLUMNS($R$1006:R1006),$R$1006:$W$1006,0))&gt;=100000), " ",IF(INDEX($R$2:$W$1001,MATCH(ROWS($K$2:K925),$K$2:$K$1001,0),MATCH(COLUMNS($R$1006:R1006),$R$1006:$W$1006,0)), HYPERLINK("#",""), HYPERLINK(CONCATENATE("#Metadata!", ADDRESS(INDEX($M$2:$M$1001,MATCH(ROWS($K$2:K925),$K$2:$K$1001,0),0), INDEX($R$1004:$W$1004,1,MATCH(COLUMNS($R$1006:R1006),$R$1006:$W$1006,0)))),"Fix")))</f>
        <v>0</v>
      </c>
      <c r="C925" s="3">
        <f>IF(OR(INDEX($L$2:$L$1001,MATCH(ROWS($K$2:K925),$K$2:$K$1001,0),1)&gt;=100000,INDEX($R$1005:$W$1005,1,MATCH(COLUMNS($R$1006:S1006),$R$1006:$W$1006,0))&gt;=100000), " ",IF(INDEX($R$2:$W$1001,MATCH(ROWS($K$2:K925),$K$2:$K$1001,0),MATCH(COLUMNS($R$1006:S1006),$R$1006:$W$1006,0)), HYPERLINK("#",""), HYPERLINK(CONCATENATE("#Metadata!", ADDRESS(INDEX($M$2:$M$1001,MATCH(ROWS($K$2:K925),$K$2:$K$1001,0),0), INDEX($R$1004:$W$1004,1,MATCH(COLUMNS($R$1006:S1006),$R$1006:$W$1006,0)))),"Fix")))</f>
        <v>0</v>
      </c>
      <c r="D925" s="3">
        <f>IF(OR(INDEX($L$2:$L$1001,MATCH(ROWS($K$2:K925),$K$2:$K$1001,0),1)&gt;=100000,INDEX($R$1005:$W$1005,1,MATCH(COLUMNS($R$1006:T1006),$R$1006:$W$1006,0))&gt;=100000), " ",IF(INDEX($R$2:$W$1001,MATCH(ROWS($K$2:K925),$K$2:$K$1001,0),MATCH(COLUMNS($R$1006:T1006),$R$1006:$W$1006,0)), HYPERLINK("#",""), HYPERLINK(CONCATENATE("#Metadata!", ADDRESS(INDEX($M$2:$M$1001,MATCH(ROWS($K$2:K925),$K$2:$K$1001,0),0), INDEX($R$1004:$W$1004,1,MATCH(COLUMNS($R$1006:T1006),$R$1006:$W$1006,0)))),"Fix")))</f>
        <v>0</v>
      </c>
      <c r="E925" s="3">
        <f>IF(OR(INDEX($L$2:$L$1001,MATCH(ROWS($K$2:K925),$K$2:$K$1001,0),1)&gt;=100000,INDEX($R$1005:$W$1005,1,MATCH(COLUMNS($R$1006:U1006),$R$1006:$W$1006,0))&gt;=100000), " ",IF(INDEX($R$2:$W$1001,MATCH(ROWS($K$2:K925),$K$2:$K$1001,0),MATCH(COLUMNS($R$1006:U1006),$R$1006:$W$1006,0)), HYPERLINK("#",""), HYPERLINK(CONCATENATE("#Metadata!", ADDRESS(INDEX($M$2:$M$1001,MATCH(ROWS($K$2:K925),$K$2:$K$1001,0),0), INDEX($R$1004:$W$1004,1,MATCH(COLUMNS($R$1006:U1006),$R$1006:$W$1006,0)))),"Fix")))</f>
        <v>0</v>
      </c>
      <c r="F925" s="3">
        <f>IF(OR(INDEX($L$2:$L$1001,MATCH(ROWS($K$2:K925),$K$2:$K$1001,0),1)&gt;=100000,INDEX($R$1005:$W$1005,1,MATCH(COLUMNS($R$1006:V1006),$R$1006:$W$1006,0))&gt;=100000), " ",IF(INDEX($R$2:$W$1001,MATCH(ROWS($K$2:K925),$K$2:$K$1001,0),MATCH(COLUMNS($R$1006:V1006),$R$1006:$W$1006,0)), HYPERLINK("#",""), HYPERLINK(CONCATENATE("#Metadata!", ADDRESS(INDEX($M$2:$M$1001,MATCH(ROWS($K$2:K925),$K$2:$K$1001,0),0), INDEX($R$1004:$W$1004,1,MATCH(COLUMNS($R$1006:V1006),$R$1006:$W$1006,0)))),"Fix")))</f>
        <v>0</v>
      </c>
      <c r="G925" s="3">
        <f>IF(OR(INDEX($L$2:$L$1001,MATCH(ROWS($K$2:K925),$K$2:$K$1001,0),1)&gt;=100000,INDEX($R$1005:$W$1005,1,MATCH(COLUMNS($R$1006:W1006),$R$1006:$W$1006,0))&gt;=100000), " ",IF(INDEX($R$2:$W$1001,MATCH(ROWS($K$2:K925),$K$2:$K$1001,0),MATCH(COLUMNS($R$1006:W1006),$R$1006:$W$1006,0)), HYPERLINK("#",""), HYPERLINK(CONCATENATE("#Metadata!", ADDRESS(INDEX($M$2:$M$1001,MATCH(ROWS($K$2:K925),$K$2:$K$1001,0),0), INDEX($R$1004:$W$1004,1,MATCH(COLUMNS($R$1006:W1006),$R$1006:$W$1006,0)))),"Fix")))</f>
        <v>0</v>
      </c>
      <c r="K925">
        <v>0</v>
      </c>
      <c r="L925">
        <v>0</v>
      </c>
      <c r="M925">
        <v>0</v>
      </c>
      <c r="N925">
        <f>IF(O925,TRUE,AND(R925:W925))</f>
        <v>0</v>
      </c>
      <c r="O925">
        <f>COUNTBLANK(Metadata!B925:G925)=COLUMNS(Metadata!B925:G925)</f>
        <v>0</v>
      </c>
      <c r="P925">
        <v>0</v>
      </c>
      <c r="R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S925">
        <f>IF(Metadata!C925="",FALSE,TRUE)</f>
        <v>0</v>
      </c>
      <c r="T925">
        <f>IF(Metadata!D925="",FALSE,TRUE)</f>
        <v>0</v>
      </c>
      <c r="U925">
        <f>IF(Metadata!E925="",FALSE,TRUE)</f>
        <v>0</v>
      </c>
      <c r="V925">
        <f>AND(IF(Metadata!F925="",FALSE,TRUE),exact(Metadata!F925,"rat gut metagenome"))</f>
        <v>0</v>
      </c>
      <c r="W925">
        <f>AND(IF(Metadata!G925="",FALSE,TRUE),exact(Metadata!G925,"1436733"))</f>
        <v>0</v>
      </c>
    </row>
    <row r="926" spans="1:23">
      <c r="A926" s="4">
        <f>IF(B926=" "," ",HYPERLINK(CONCATENATE("#metadata!",ADDRESS(INDEX($M$2:$M$1001,MATCH(ROWS($K$2:K926),$K$2:$K$1001,0),0),1)),INDEX($P$2:$P$1001,MATCH(ROWS($K$2:K926),$K$2:$K$1001,0),0)))</f>
        <v>0</v>
      </c>
      <c r="B926" s="3">
        <f>IF(OR(INDEX($L$2:$L$1001,MATCH(ROWS($K$2:K926),$K$2:$K$1001,0),1)&gt;=100000,INDEX($R$1005:$W$1005,1,MATCH(COLUMNS($R$1006:R1006),$R$1006:$W$1006,0))&gt;=100000), " ",IF(INDEX($R$2:$W$1001,MATCH(ROWS($K$2:K926),$K$2:$K$1001,0),MATCH(COLUMNS($R$1006:R1006),$R$1006:$W$1006,0)), HYPERLINK("#",""), HYPERLINK(CONCATENATE("#Metadata!", ADDRESS(INDEX($M$2:$M$1001,MATCH(ROWS($K$2:K926),$K$2:$K$1001,0),0), INDEX($R$1004:$W$1004,1,MATCH(COLUMNS($R$1006:R1006),$R$1006:$W$1006,0)))),"Fix")))</f>
        <v>0</v>
      </c>
      <c r="C926" s="3">
        <f>IF(OR(INDEX($L$2:$L$1001,MATCH(ROWS($K$2:K926),$K$2:$K$1001,0),1)&gt;=100000,INDEX($R$1005:$W$1005,1,MATCH(COLUMNS($R$1006:S1006),$R$1006:$W$1006,0))&gt;=100000), " ",IF(INDEX($R$2:$W$1001,MATCH(ROWS($K$2:K926),$K$2:$K$1001,0),MATCH(COLUMNS($R$1006:S1006),$R$1006:$W$1006,0)), HYPERLINK("#",""), HYPERLINK(CONCATENATE("#Metadata!", ADDRESS(INDEX($M$2:$M$1001,MATCH(ROWS($K$2:K926),$K$2:$K$1001,0),0), INDEX($R$1004:$W$1004,1,MATCH(COLUMNS($R$1006:S1006),$R$1006:$W$1006,0)))),"Fix")))</f>
        <v>0</v>
      </c>
      <c r="D926" s="3">
        <f>IF(OR(INDEX($L$2:$L$1001,MATCH(ROWS($K$2:K926),$K$2:$K$1001,0),1)&gt;=100000,INDEX($R$1005:$W$1005,1,MATCH(COLUMNS($R$1006:T1006),$R$1006:$W$1006,0))&gt;=100000), " ",IF(INDEX($R$2:$W$1001,MATCH(ROWS($K$2:K926),$K$2:$K$1001,0),MATCH(COLUMNS($R$1006:T1006),$R$1006:$W$1006,0)), HYPERLINK("#",""), HYPERLINK(CONCATENATE("#Metadata!", ADDRESS(INDEX($M$2:$M$1001,MATCH(ROWS($K$2:K926),$K$2:$K$1001,0),0), INDEX($R$1004:$W$1004,1,MATCH(COLUMNS($R$1006:T1006),$R$1006:$W$1006,0)))),"Fix")))</f>
        <v>0</v>
      </c>
      <c r="E926" s="3">
        <f>IF(OR(INDEX($L$2:$L$1001,MATCH(ROWS($K$2:K926),$K$2:$K$1001,0),1)&gt;=100000,INDEX($R$1005:$W$1005,1,MATCH(COLUMNS($R$1006:U1006),$R$1006:$W$1006,0))&gt;=100000), " ",IF(INDEX($R$2:$W$1001,MATCH(ROWS($K$2:K926),$K$2:$K$1001,0),MATCH(COLUMNS($R$1006:U1006),$R$1006:$W$1006,0)), HYPERLINK("#",""), HYPERLINK(CONCATENATE("#Metadata!", ADDRESS(INDEX($M$2:$M$1001,MATCH(ROWS($K$2:K926),$K$2:$K$1001,0),0), INDEX($R$1004:$W$1004,1,MATCH(COLUMNS($R$1006:U1006),$R$1006:$W$1006,0)))),"Fix")))</f>
        <v>0</v>
      </c>
      <c r="F926" s="3">
        <f>IF(OR(INDEX($L$2:$L$1001,MATCH(ROWS($K$2:K926),$K$2:$K$1001,0),1)&gt;=100000,INDEX($R$1005:$W$1005,1,MATCH(COLUMNS($R$1006:V1006),$R$1006:$W$1006,0))&gt;=100000), " ",IF(INDEX($R$2:$W$1001,MATCH(ROWS($K$2:K926),$K$2:$K$1001,0),MATCH(COLUMNS($R$1006:V1006),$R$1006:$W$1006,0)), HYPERLINK("#",""), HYPERLINK(CONCATENATE("#Metadata!", ADDRESS(INDEX($M$2:$M$1001,MATCH(ROWS($K$2:K926),$K$2:$K$1001,0),0), INDEX($R$1004:$W$1004,1,MATCH(COLUMNS($R$1006:V1006),$R$1006:$W$1006,0)))),"Fix")))</f>
        <v>0</v>
      </c>
      <c r="G926" s="3">
        <f>IF(OR(INDEX($L$2:$L$1001,MATCH(ROWS($K$2:K926),$K$2:$K$1001,0),1)&gt;=100000,INDEX($R$1005:$W$1005,1,MATCH(COLUMNS($R$1006:W1006),$R$1006:$W$1006,0))&gt;=100000), " ",IF(INDEX($R$2:$W$1001,MATCH(ROWS($K$2:K926),$K$2:$K$1001,0),MATCH(COLUMNS($R$1006:W1006),$R$1006:$W$1006,0)), HYPERLINK("#",""), HYPERLINK(CONCATENATE("#Metadata!", ADDRESS(INDEX($M$2:$M$1001,MATCH(ROWS($K$2:K926),$K$2:$K$1001,0),0), INDEX($R$1004:$W$1004,1,MATCH(COLUMNS($R$1006:W1006),$R$1006:$W$1006,0)))),"Fix")))</f>
        <v>0</v>
      </c>
      <c r="K926">
        <v>0</v>
      </c>
      <c r="L926">
        <v>0</v>
      </c>
      <c r="M926">
        <v>0</v>
      </c>
      <c r="N926">
        <f>IF(O926,TRUE,AND(R926:W926))</f>
        <v>0</v>
      </c>
      <c r="O926">
        <f>COUNTBLANK(Metadata!B926:G926)=COLUMNS(Metadata!B926:G926)</f>
        <v>0</v>
      </c>
      <c r="P926">
        <v>0</v>
      </c>
      <c r="R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S926">
        <f>IF(Metadata!C926="",FALSE,TRUE)</f>
        <v>0</v>
      </c>
      <c r="T926">
        <f>IF(Metadata!D926="",FALSE,TRUE)</f>
        <v>0</v>
      </c>
      <c r="U926">
        <f>IF(Metadata!E926="",FALSE,TRUE)</f>
        <v>0</v>
      </c>
      <c r="V926">
        <f>AND(IF(Metadata!F926="",FALSE,TRUE),exact(Metadata!F926,"rat gut metagenome"))</f>
        <v>0</v>
      </c>
      <c r="W926">
        <f>AND(IF(Metadata!G926="",FALSE,TRUE),exact(Metadata!G926,"1436733"))</f>
        <v>0</v>
      </c>
    </row>
    <row r="927" spans="1:23">
      <c r="A927" s="4">
        <f>IF(B927=" "," ",HYPERLINK(CONCATENATE("#metadata!",ADDRESS(INDEX($M$2:$M$1001,MATCH(ROWS($K$2:K927),$K$2:$K$1001,0),0),1)),INDEX($P$2:$P$1001,MATCH(ROWS($K$2:K927),$K$2:$K$1001,0),0)))</f>
        <v>0</v>
      </c>
      <c r="B927" s="3">
        <f>IF(OR(INDEX($L$2:$L$1001,MATCH(ROWS($K$2:K927),$K$2:$K$1001,0),1)&gt;=100000,INDEX($R$1005:$W$1005,1,MATCH(COLUMNS($R$1006:R1006),$R$1006:$W$1006,0))&gt;=100000), " ",IF(INDEX($R$2:$W$1001,MATCH(ROWS($K$2:K927),$K$2:$K$1001,0),MATCH(COLUMNS($R$1006:R1006),$R$1006:$W$1006,0)), HYPERLINK("#",""), HYPERLINK(CONCATENATE("#Metadata!", ADDRESS(INDEX($M$2:$M$1001,MATCH(ROWS($K$2:K927),$K$2:$K$1001,0),0), INDEX($R$1004:$W$1004,1,MATCH(COLUMNS($R$1006:R1006),$R$1006:$W$1006,0)))),"Fix")))</f>
        <v>0</v>
      </c>
      <c r="C927" s="3">
        <f>IF(OR(INDEX($L$2:$L$1001,MATCH(ROWS($K$2:K927),$K$2:$K$1001,0),1)&gt;=100000,INDEX($R$1005:$W$1005,1,MATCH(COLUMNS($R$1006:S1006),$R$1006:$W$1006,0))&gt;=100000), " ",IF(INDEX($R$2:$W$1001,MATCH(ROWS($K$2:K927),$K$2:$K$1001,0),MATCH(COLUMNS($R$1006:S1006),$R$1006:$W$1006,0)), HYPERLINK("#",""), HYPERLINK(CONCATENATE("#Metadata!", ADDRESS(INDEX($M$2:$M$1001,MATCH(ROWS($K$2:K927),$K$2:$K$1001,0),0), INDEX($R$1004:$W$1004,1,MATCH(COLUMNS($R$1006:S1006),$R$1006:$W$1006,0)))),"Fix")))</f>
        <v>0</v>
      </c>
      <c r="D927" s="3">
        <f>IF(OR(INDEX($L$2:$L$1001,MATCH(ROWS($K$2:K927),$K$2:$K$1001,0),1)&gt;=100000,INDEX($R$1005:$W$1005,1,MATCH(COLUMNS($R$1006:T1006),$R$1006:$W$1006,0))&gt;=100000), " ",IF(INDEX($R$2:$W$1001,MATCH(ROWS($K$2:K927),$K$2:$K$1001,0),MATCH(COLUMNS($R$1006:T1006),$R$1006:$W$1006,0)), HYPERLINK("#",""), HYPERLINK(CONCATENATE("#Metadata!", ADDRESS(INDEX($M$2:$M$1001,MATCH(ROWS($K$2:K927),$K$2:$K$1001,0),0), INDEX($R$1004:$W$1004,1,MATCH(COLUMNS($R$1006:T1006),$R$1006:$W$1006,0)))),"Fix")))</f>
        <v>0</v>
      </c>
      <c r="E927" s="3">
        <f>IF(OR(INDEX($L$2:$L$1001,MATCH(ROWS($K$2:K927),$K$2:$K$1001,0),1)&gt;=100000,INDEX($R$1005:$W$1005,1,MATCH(COLUMNS($R$1006:U1006),$R$1006:$W$1006,0))&gt;=100000), " ",IF(INDEX($R$2:$W$1001,MATCH(ROWS($K$2:K927),$K$2:$K$1001,0),MATCH(COLUMNS($R$1006:U1006),$R$1006:$W$1006,0)), HYPERLINK("#",""), HYPERLINK(CONCATENATE("#Metadata!", ADDRESS(INDEX($M$2:$M$1001,MATCH(ROWS($K$2:K927),$K$2:$K$1001,0),0), INDEX($R$1004:$W$1004,1,MATCH(COLUMNS($R$1006:U1006),$R$1006:$W$1006,0)))),"Fix")))</f>
        <v>0</v>
      </c>
      <c r="F927" s="3">
        <f>IF(OR(INDEX($L$2:$L$1001,MATCH(ROWS($K$2:K927),$K$2:$K$1001,0),1)&gt;=100000,INDEX($R$1005:$W$1005,1,MATCH(COLUMNS($R$1006:V1006),$R$1006:$W$1006,0))&gt;=100000), " ",IF(INDEX($R$2:$W$1001,MATCH(ROWS($K$2:K927),$K$2:$K$1001,0),MATCH(COLUMNS($R$1006:V1006),$R$1006:$W$1006,0)), HYPERLINK("#",""), HYPERLINK(CONCATENATE("#Metadata!", ADDRESS(INDEX($M$2:$M$1001,MATCH(ROWS($K$2:K927),$K$2:$K$1001,0),0), INDEX($R$1004:$W$1004,1,MATCH(COLUMNS($R$1006:V1006),$R$1006:$W$1006,0)))),"Fix")))</f>
        <v>0</v>
      </c>
      <c r="G927" s="3">
        <f>IF(OR(INDEX($L$2:$L$1001,MATCH(ROWS($K$2:K927),$K$2:$K$1001,0),1)&gt;=100000,INDEX($R$1005:$W$1005,1,MATCH(COLUMNS($R$1006:W1006),$R$1006:$W$1006,0))&gt;=100000), " ",IF(INDEX($R$2:$W$1001,MATCH(ROWS($K$2:K927),$K$2:$K$1001,0),MATCH(COLUMNS($R$1006:W1006),$R$1006:$W$1006,0)), HYPERLINK("#",""), HYPERLINK(CONCATENATE("#Metadata!", ADDRESS(INDEX($M$2:$M$1001,MATCH(ROWS($K$2:K927),$K$2:$K$1001,0),0), INDEX($R$1004:$W$1004,1,MATCH(COLUMNS($R$1006:W1006),$R$1006:$W$1006,0)))),"Fix")))</f>
        <v>0</v>
      </c>
      <c r="K927">
        <v>0</v>
      </c>
      <c r="L927">
        <v>0</v>
      </c>
      <c r="M927">
        <v>0</v>
      </c>
      <c r="N927">
        <f>IF(O927,TRUE,AND(R927:W927))</f>
        <v>0</v>
      </c>
      <c r="O927">
        <f>COUNTBLANK(Metadata!B927:G927)=COLUMNS(Metadata!B927:G927)</f>
        <v>0</v>
      </c>
      <c r="P927">
        <v>0</v>
      </c>
      <c r="R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S927">
        <f>IF(Metadata!C927="",FALSE,TRUE)</f>
        <v>0</v>
      </c>
      <c r="T927">
        <f>IF(Metadata!D927="",FALSE,TRUE)</f>
        <v>0</v>
      </c>
      <c r="U927">
        <f>IF(Metadata!E927="",FALSE,TRUE)</f>
        <v>0</v>
      </c>
      <c r="V927">
        <f>AND(IF(Metadata!F927="",FALSE,TRUE),exact(Metadata!F927,"rat gut metagenome"))</f>
        <v>0</v>
      </c>
      <c r="W927">
        <f>AND(IF(Metadata!G927="",FALSE,TRUE),exact(Metadata!G927,"1436733"))</f>
        <v>0</v>
      </c>
    </row>
    <row r="928" spans="1:23">
      <c r="A928" s="4">
        <f>IF(B928=" "," ",HYPERLINK(CONCATENATE("#metadata!",ADDRESS(INDEX($M$2:$M$1001,MATCH(ROWS($K$2:K928),$K$2:$K$1001,0),0),1)),INDEX($P$2:$P$1001,MATCH(ROWS($K$2:K928),$K$2:$K$1001,0),0)))</f>
        <v>0</v>
      </c>
      <c r="B928" s="3">
        <f>IF(OR(INDEX($L$2:$L$1001,MATCH(ROWS($K$2:K928),$K$2:$K$1001,0),1)&gt;=100000,INDEX($R$1005:$W$1005,1,MATCH(COLUMNS($R$1006:R1006),$R$1006:$W$1006,0))&gt;=100000), " ",IF(INDEX($R$2:$W$1001,MATCH(ROWS($K$2:K928),$K$2:$K$1001,0),MATCH(COLUMNS($R$1006:R1006),$R$1006:$W$1006,0)), HYPERLINK("#",""), HYPERLINK(CONCATENATE("#Metadata!", ADDRESS(INDEX($M$2:$M$1001,MATCH(ROWS($K$2:K928),$K$2:$K$1001,0),0), INDEX($R$1004:$W$1004,1,MATCH(COLUMNS($R$1006:R1006),$R$1006:$W$1006,0)))),"Fix")))</f>
        <v>0</v>
      </c>
      <c r="C928" s="3">
        <f>IF(OR(INDEX($L$2:$L$1001,MATCH(ROWS($K$2:K928),$K$2:$K$1001,0),1)&gt;=100000,INDEX($R$1005:$W$1005,1,MATCH(COLUMNS($R$1006:S1006),$R$1006:$W$1006,0))&gt;=100000), " ",IF(INDEX($R$2:$W$1001,MATCH(ROWS($K$2:K928),$K$2:$K$1001,0),MATCH(COLUMNS($R$1006:S1006),$R$1006:$W$1006,0)), HYPERLINK("#",""), HYPERLINK(CONCATENATE("#Metadata!", ADDRESS(INDEX($M$2:$M$1001,MATCH(ROWS($K$2:K928),$K$2:$K$1001,0),0), INDEX($R$1004:$W$1004,1,MATCH(COLUMNS($R$1006:S1006),$R$1006:$W$1006,0)))),"Fix")))</f>
        <v>0</v>
      </c>
      <c r="D928" s="3">
        <f>IF(OR(INDEX($L$2:$L$1001,MATCH(ROWS($K$2:K928),$K$2:$K$1001,0),1)&gt;=100000,INDEX($R$1005:$W$1005,1,MATCH(COLUMNS($R$1006:T1006),$R$1006:$W$1006,0))&gt;=100000), " ",IF(INDEX($R$2:$W$1001,MATCH(ROWS($K$2:K928),$K$2:$K$1001,0),MATCH(COLUMNS($R$1006:T1006),$R$1006:$W$1006,0)), HYPERLINK("#",""), HYPERLINK(CONCATENATE("#Metadata!", ADDRESS(INDEX($M$2:$M$1001,MATCH(ROWS($K$2:K928),$K$2:$K$1001,0),0), INDEX($R$1004:$W$1004,1,MATCH(COLUMNS($R$1006:T1006),$R$1006:$W$1006,0)))),"Fix")))</f>
        <v>0</v>
      </c>
      <c r="E928" s="3">
        <f>IF(OR(INDEX($L$2:$L$1001,MATCH(ROWS($K$2:K928),$K$2:$K$1001,0),1)&gt;=100000,INDEX($R$1005:$W$1005,1,MATCH(COLUMNS($R$1006:U1006),$R$1006:$W$1006,0))&gt;=100000), " ",IF(INDEX($R$2:$W$1001,MATCH(ROWS($K$2:K928),$K$2:$K$1001,0),MATCH(COLUMNS($R$1006:U1006),$R$1006:$W$1006,0)), HYPERLINK("#",""), HYPERLINK(CONCATENATE("#Metadata!", ADDRESS(INDEX($M$2:$M$1001,MATCH(ROWS($K$2:K928),$K$2:$K$1001,0),0), INDEX($R$1004:$W$1004,1,MATCH(COLUMNS($R$1006:U1006),$R$1006:$W$1006,0)))),"Fix")))</f>
        <v>0</v>
      </c>
      <c r="F928" s="3">
        <f>IF(OR(INDEX($L$2:$L$1001,MATCH(ROWS($K$2:K928),$K$2:$K$1001,0),1)&gt;=100000,INDEX($R$1005:$W$1005,1,MATCH(COLUMNS($R$1006:V1006),$R$1006:$W$1006,0))&gt;=100000), " ",IF(INDEX($R$2:$W$1001,MATCH(ROWS($K$2:K928),$K$2:$K$1001,0),MATCH(COLUMNS($R$1006:V1006),$R$1006:$W$1006,0)), HYPERLINK("#",""), HYPERLINK(CONCATENATE("#Metadata!", ADDRESS(INDEX($M$2:$M$1001,MATCH(ROWS($K$2:K928),$K$2:$K$1001,0),0), INDEX($R$1004:$W$1004,1,MATCH(COLUMNS($R$1006:V1006),$R$1006:$W$1006,0)))),"Fix")))</f>
        <v>0</v>
      </c>
      <c r="G928" s="3">
        <f>IF(OR(INDEX($L$2:$L$1001,MATCH(ROWS($K$2:K928),$K$2:$K$1001,0),1)&gt;=100000,INDEX($R$1005:$W$1005,1,MATCH(COLUMNS($R$1006:W1006),$R$1006:$W$1006,0))&gt;=100000), " ",IF(INDEX($R$2:$W$1001,MATCH(ROWS($K$2:K928),$K$2:$K$1001,0),MATCH(COLUMNS($R$1006:W1006),$R$1006:$W$1006,0)), HYPERLINK("#",""), HYPERLINK(CONCATENATE("#Metadata!", ADDRESS(INDEX($M$2:$M$1001,MATCH(ROWS($K$2:K928),$K$2:$K$1001,0),0), INDEX($R$1004:$W$1004,1,MATCH(COLUMNS($R$1006:W1006),$R$1006:$W$1006,0)))),"Fix")))</f>
        <v>0</v>
      </c>
      <c r="K928">
        <v>0</v>
      </c>
      <c r="L928">
        <v>0</v>
      </c>
      <c r="M928">
        <v>0</v>
      </c>
      <c r="N928">
        <f>IF(O928,TRUE,AND(R928:W928))</f>
        <v>0</v>
      </c>
      <c r="O928">
        <f>COUNTBLANK(Metadata!B928:G928)=COLUMNS(Metadata!B928:G928)</f>
        <v>0</v>
      </c>
      <c r="P928">
        <v>0</v>
      </c>
      <c r="R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S928">
        <f>IF(Metadata!C928="",FALSE,TRUE)</f>
        <v>0</v>
      </c>
      <c r="T928">
        <f>IF(Metadata!D928="",FALSE,TRUE)</f>
        <v>0</v>
      </c>
      <c r="U928">
        <f>IF(Metadata!E928="",FALSE,TRUE)</f>
        <v>0</v>
      </c>
      <c r="V928">
        <f>AND(IF(Metadata!F928="",FALSE,TRUE),exact(Metadata!F928,"rat gut metagenome"))</f>
        <v>0</v>
      </c>
      <c r="W928">
        <f>AND(IF(Metadata!G928="",FALSE,TRUE),exact(Metadata!G928,"1436733"))</f>
        <v>0</v>
      </c>
    </row>
    <row r="929" spans="1:23">
      <c r="A929" s="4">
        <f>IF(B929=" "," ",HYPERLINK(CONCATENATE("#metadata!",ADDRESS(INDEX($M$2:$M$1001,MATCH(ROWS($K$2:K929),$K$2:$K$1001,0),0),1)),INDEX($P$2:$P$1001,MATCH(ROWS($K$2:K929),$K$2:$K$1001,0),0)))</f>
        <v>0</v>
      </c>
      <c r="B929" s="3">
        <f>IF(OR(INDEX($L$2:$L$1001,MATCH(ROWS($K$2:K929),$K$2:$K$1001,0),1)&gt;=100000,INDEX($R$1005:$W$1005,1,MATCH(COLUMNS($R$1006:R1006),$R$1006:$W$1006,0))&gt;=100000), " ",IF(INDEX($R$2:$W$1001,MATCH(ROWS($K$2:K929),$K$2:$K$1001,0),MATCH(COLUMNS($R$1006:R1006),$R$1006:$W$1006,0)), HYPERLINK("#",""), HYPERLINK(CONCATENATE("#Metadata!", ADDRESS(INDEX($M$2:$M$1001,MATCH(ROWS($K$2:K929),$K$2:$K$1001,0),0), INDEX($R$1004:$W$1004,1,MATCH(COLUMNS($R$1006:R1006),$R$1006:$W$1006,0)))),"Fix")))</f>
        <v>0</v>
      </c>
      <c r="C929" s="3">
        <f>IF(OR(INDEX($L$2:$L$1001,MATCH(ROWS($K$2:K929),$K$2:$K$1001,0),1)&gt;=100000,INDEX($R$1005:$W$1005,1,MATCH(COLUMNS($R$1006:S1006),$R$1006:$W$1006,0))&gt;=100000), " ",IF(INDEX($R$2:$W$1001,MATCH(ROWS($K$2:K929),$K$2:$K$1001,0),MATCH(COLUMNS($R$1006:S1006),$R$1006:$W$1006,0)), HYPERLINK("#",""), HYPERLINK(CONCATENATE("#Metadata!", ADDRESS(INDEX($M$2:$M$1001,MATCH(ROWS($K$2:K929),$K$2:$K$1001,0),0), INDEX($R$1004:$W$1004,1,MATCH(COLUMNS($R$1006:S1006),$R$1006:$W$1006,0)))),"Fix")))</f>
        <v>0</v>
      </c>
      <c r="D929" s="3">
        <f>IF(OR(INDEX($L$2:$L$1001,MATCH(ROWS($K$2:K929),$K$2:$K$1001,0),1)&gt;=100000,INDEX($R$1005:$W$1005,1,MATCH(COLUMNS($R$1006:T1006),$R$1006:$W$1006,0))&gt;=100000), " ",IF(INDEX($R$2:$W$1001,MATCH(ROWS($K$2:K929),$K$2:$K$1001,0),MATCH(COLUMNS($R$1006:T1006),$R$1006:$W$1006,0)), HYPERLINK("#",""), HYPERLINK(CONCATENATE("#Metadata!", ADDRESS(INDEX($M$2:$M$1001,MATCH(ROWS($K$2:K929),$K$2:$K$1001,0),0), INDEX($R$1004:$W$1004,1,MATCH(COLUMNS($R$1006:T1006),$R$1006:$W$1006,0)))),"Fix")))</f>
        <v>0</v>
      </c>
      <c r="E929" s="3">
        <f>IF(OR(INDEX($L$2:$L$1001,MATCH(ROWS($K$2:K929),$K$2:$K$1001,0),1)&gt;=100000,INDEX($R$1005:$W$1005,1,MATCH(COLUMNS($R$1006:U1006),$R$1006:$W$1006,0))&gt;=100000), " ",IF(INDEX($R$2:$W$1001,MATCH(ROWS($K$2:K929),$K$2:$K$1001,0),MATCH(COLUMNS($R$1006:U1006),$R$1006:$W$1006,0)), HYPERLINK("#",""), HYPERLINK(CONCATENATE("#Metadata!", ADDRESS(INDEX($M$2:$M$1001,MATCH(ROWS($K$2:K929),$K$2:$K$1001,0),0), INDEX($R$1004:$W$1004,1,MATCH(COLUMNS($R$1006:U1006),$R$1006:$W$1006,0)))),"Fix")))</f>
        <v>0</v>
      </c>
      <c r="F929" s="3">
        <f>IF(OR(INDEX($L$2:$L$1001,MATCH(ROWS($K$2:K929),$K$2:$K$1001,0),1)&gt;=100000,INDEX($R$1005:$W$1005,1,MATCH(COLUMNS($R$1006:V1006),$R$1006:$W$1006,0))&gt;=100000), " ",IF(INDEX($R$2:$W$1001,MATCH(ROWS($K$2:K929),$K$2:$K$1001,0),MATCH(COLUMNS($R$1006:V1006),$R$1006:$W$1006,0)), HYPERLINK("#",""), HYPERLINK(CONCATENATE("#Metadata!", ADDRESS(INDEX($M$2:$M$1001,MATCH(ROWS($K$2:K929),$K$2:$K$1001,0),0), INDEX($R$1004:$W$1004,1,MATCH(COLUMNS($R$1006:V1006),$R$1006:$W$1006,0)))),"Fix")))</f>
        <v>0</v>
      </c>
      <c r="G929" s="3">
        <f>IF(OR(INDEX($L$2:$L$1001,MATCH(ROWS($K$2:K929),$K$2:$K$1001,0),1)&gt;=100000,INDEX($R$1005:$W$1005,1,MATCH(COLUMNS($R$1006:W1006),$R$1006:$W$1006,0))&gt;=100000), " ",IF(INDEX($R$2:$W$1001,MATCH(ROWS($K$2:K929),$K$2:$K$1001,0),MATCH(COLUMNS($R$1006:W1006),$R$1006:$W$1006,0)), HYPERLINK("#",""), HYPERLINK(CONCATENATE("#Metadata!", ADDRESS(INDEX($M$2:$M$1001,MATCH(ROWS($K$2:K929),$K$2:$K$1001,0),0), INDEX($R$1004:$W$1004,1,MATCH(COLUMNS($R$1006:W1006),$R$1006:$W$1006,0)))),"Fix")))</f>
        <v>0</v>
      </c>
      <c r="K929">
        <v>0</v>
      </c>
      <c r="L929">
        <v>0</v>
      </c>
      <c r="M929">
        <v>0</v>
      </c>
      <c r="N929">
        <f>IF(O929,TRUE,AND(R929:W929))</f>
        <v>0</v>
      </c>
      <c r="O929">
        <f>COUNTBLANK(Metadata!B929:G929)=COLUMNS(Metadata!B929:G929)</f>
        <v>0</v>
      </c>
      <c r="P929">
        <v>0</v>
      </c>
      <c r="R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S929">
        <f>IF(Metadata!C929="",FALSE,TRUE)</f>
        <v>0</v>
      </c>
      <c r="T929">
        <f>IF(Metadata!D929="",FALSE,TRUE)</f>
        <v>0</v>
      </c>
      <c r="U929">
        <f>IF(Metadata!E929="",FALSE,TRUE)</f>
        <v>0</v>
      </c>
      <c r="V929">
        <f>AND(IF(Metadata!F929="",FALSE,TRUE),exact(Metadata!F929,"rat gut metagenome"))</f>
        <v>0</v>
      </c>
      <c r="W929">
        <f>AND(IF(Metadata!G929="",FALSE,TRUE),exact(Metadata!G929,"1436733"))</f>
        <v>0</v>
      </c>
    </row>
    <row r="930" spans="1:23">
      <c r="A930" s="4">
        <f>IF(B930=" "," ",HYPERLINK(CONCATENATE("#metadata!",ADDRESS(INDEX($M$2:$M$1001,MATCH(ROWS($K$2:K930),$K$2:$K$1001,0),0),1)),INDEX($P$2:$P$1001,MATCH(ROWS($K$2:K930),$K$2:$K$1001,0),0)))</f>
        <v>0</v>
      </c>
      <c r="B930" s="3">
        <f>IF(OR(INDEX($L$2:$L$1001,MATCH(ROWS($K$2:K930),$K$2:$K$1001,0),1)&gt;=100000,INDEX($R$1005:$W$1005,1,MATCH(COLUMNS($R$1006:R1006),$R$1006:$W$1006,0))&gt;=100000), " ",IF(INDEX($R$2:$W$1001,MATCH(ROWS($K$2:K930),$K$2:$K$1001,0),MATCH(COLUMNS($R$1006:R1006),$R$1006:$W$1006,0)), HYPERLINK("#",""), HYPERLINK(CONCATENATE("#Metadata!", ADDRESS(INDEX($M$2:$M$1001,MATCH(ROWS($K$2:K930),$K$2:$K$1001,0),0), INDEX($R$1004:$W$1004,1,MATCH(COLUMNS($R$1006:R1006),$R$1006:$W$1006,0)))),"Fix")))</f>
        <v>0</v>
      </c>
      <c r="C930" s="3">
        <f>IF(OR(INDEX($L$2:$L$1001,MATCH(ROWS($K$2:K930),$K$2:$K$1001,0),1)&gt;=100000,INDEX($R$1005:$W$1005,1,MATCH(COLUMNS($R$1006:S1006),$R$1006:$W$1006,0))&gt;=100000), " ",IF(INDEX($R$2:$W$1001,MATCH(ROWS($K$2:K930),$K$2:$K$1001,0),MATCH(COLUMNS($R$1006:S1006),$R$1006:$W$1006,0)), HYPERLINK("#",""), HYPERLINK(CONCATENATE("#Metadata!", ADDRESS(INDEX($M$2:$M$1001,MATCH(ROWS($K$2:K930),$K$2:$K$1001,0),0), INDEX($R$1004:$W$1004,1,MATCH(COLUMNS($R$1006:S1006),$R$1006:$W$1006,0)))),"Fix")))</f>
        <v>0</v>
      </c>
      <c r="D930" s="3">
        <f>IF(OR(INDEX($L$2:$L$1001,MATCH(ROWS($K$2:K930),$K$2:$K$1001,0),1)&gt;=100000,INDEX($R$1005:$W$1005,1,MATCH(COLUMNS($R$1006:T1006),$R$1006:$W$1006,0))&gt;=100000), " ",IF(INDEX($R$2:$W$1001,MATCH(ROWS($K$2:K930),$K$2:$K$1001,0),MATCH(COLUMNS($R$1006:T1006),$R$1006:$W$1006,0)), HYPERLINK("#",""), HYPERLINK(CONCATENATE("#Metadata!", ADDRESS(INDEX($M$2:$M$1001,MATCH(ROWS($K$2:K930),$K$2:$K$1001,0),0), INDEX($R$1004:$W$1004,1,MATCH(COLUMNS($R$1006:T1006),$R$1006:$W$1006,0)))),"Fix")))</f>
        <v>0</v>
      </c>
      <c r="E930" s="3">
        <f>IF(OR(INDEX($L$2:$L$1001,MATCH(ROWS($K$2:K930),$K$2:$K$1001,0),1)&gt;=100000,INDEX($R$1005:$W$1005,1,MATCH(COLUMNS($R$1006:U1006),$R$1006:$W$1006,0))&gt;=100000), " ",IF(INDEX($R$2:$W$1001,MATCH(ROWS($K$2:K930),$K$2:$K$1001,0),MATCH(COLUMNS($R$1006:U1006),$R$1006:$W$1006,0)), HYPERLINK("#",""), HYPERLINK(CONCATENATE("#Metadata!", ADDRESS(INDEX($M$2:$M$1001,MATCH(ROWS($K$2:K930),$K$2:$K$1001,0),0), INDEX($R$1004:$W$1004,1,MATCH(COLUMNS($R$1006:U1006),$R$1006:$W$1006,0)))),"Fix")))</f>
        <v>0</v>
      </c>
      <c r="F930" s="3">
        <f>IF(OR(INDEX($L$2:$L$1001,MATCH(ROWS($K$2:K930),$K$2:$K$1001,0),1)&gt;=100000,INDEX($R$1005:$W$1005,1,MATCH(COLUMNS($R$1006:V1006),$R$1006:$W$1006,0))&gt;=100000), " ",IF(INDEX($R$2:$W$1001,MATCH(ROWS($K$2:K930),$K$2:$K$1001,0),MATCH(COLUMNS($R$1006:V1006),$R$1006:$W$1006,0)), HYPERLINK("#",""), HYPERLINK(CONCATENATE("#Metadata!", ADDRESS(INDEX($M$2:$M$1001,MATCH(ROWS($K$2:K930),$K$2:$K$1001,0),0), INDEX($R$1004:$W$1004,1,MATCH(COLUMNS($R$1006:V1006),$R$1006:$W$1006,0)))),"Fix")))</f>
        <v>0</v>
      </c>
      <c r="G930" s="3">
        <f>IF(OR(INDEX($L$2:$L$1001,MATCH(ROWS($K$2:K930),$K$2:$K$1001,0),1)&gt;=100000,INDEX($R$1005:$W$1005,1,MATCH(COLUMNS($R$1006:W1006),$R$1006:$W$1006,0))&gt;=100000), " ",IF(INDEX($R$2:$W$1001,MATCH(ROWS($K$2:K930),$K$2:$K$1001,0),MATCH(COLUMNS($R$1006:W1006),$R$1006:$W$1006,0)), HYPERLINK("#",""), HYPERLINK(CONCATENATE("#Metadata!", ADDRESS(INDEX($M$2:$M$1001,MATCH(ROWS($K$2:K930),$K$2:$K$1001,0),0), INDEX($R$1004:$W$1004,1,MATCH(COLUMNS($R$1006:W1006),$R$1006:$W$1006,0)))),"Fix")))</f>
        <v>0</v>
      </c>
      <c r="K930">
        <v>0</v>
      </c>
      <c r="L930">
        <v>0</v>
      </c>
      <c r="M930">
        <v>0</v>
      </c>
      <c r="N930">
        <f>IF(O930,TRUE,AND(R930:W930))</f>
        <v>0</v>
      </c>
      <c r="O930">
        <f>COUNTBLANK(Metadata!B930:G930)=COLUMNS(Metadata!B930:G930)</f>
        <v>0</v>
      </c>
      <c r="P930">
        <v>0</v>
      </c>
      <c r="R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S930">
        <f>IF(Metadata!C930="",FALSE,TRUE)</f>
        <v>0</v>
      </c>
      <c r="T930">
        <f>IF(Metadata!D930="",FALSE,TRUE)</f>
        <v>0</v>
      </c>
      <c r="U930">
        <f>IF(Metadata!E930="",FALSE,TRUE)</f>
        <v>0</v>
      </c>
      <c r="V930">
        <f>AND(IF(Metadata!F930="",FALSE,TRUE),exact(Metadata!F930,"rat gut metagenome"))</f>
        <v>0</v>
      </c>
      <c r="W930">
        <f>AND(IF(Metadata!G930="",FALSE,TRUE),exact(Metadata!G930,"1436733"))</f>
        <v>0</v>
      </c>
    </row>
    <row r="931" spans="1:23">
      <c r="A931" s="4">
        <f>IF(B931=" "," ",HYPERLINK(CONCATENATE("#metadata!",ADDRESS(INDEX($M$2:$M$1001,MATCH(ROWS($K$2:K931),$K$2:$K$1001,0),0),1)),INDEX($P$2:$P$1001,MATCH(ROWS($K$2:K931),$K$2:$K$1001,0),0)))</f>
        <v>0</v>
      </c>
      <c r="B931" s="3">
        <f>IF(OR(INDEX($L$2:$L$1001,MATCH(ROWS($K$2:K931),$K$2:$K$1001,0),1)&gt;=100000,INDEX($R$1005:$W$1005,1,MATCH(COLUMNS($R$1006:R1006),$R$1006:$W$1006,0))&gt;=100000), " ",IF(INDEX($R$2:$W$1001,MATCH(ROWS($K$2:K931),$K$2:$K$1001,0),MATCH(COLUMNS($R$1006:R1006),$R$1006:$W$1006,0)), HYPERLINK("#",""), HYPERLINK(CONCATENATE("#Metadata!", ADDRESS(INDEX($M$2:$M$1001,MATCH(ROWS($K$2:K931),$K$2:$K$1001,0),0), INDEX($R$1004:$W$1004,1,MATCH(COLUMNS($R$1006:R1006),$R$1006:$W$1006,0)))),"Fix")))</f>
        <v>0</v>
      </c>
      <c r="C931" s="3">
        <f>IF(OR(INDEX($L$2:$L$1001,MATCH(ROWS($K$2:K931),$K$2:$K$1001,0),1)&gt;=100000,INDEX($R$1005:$W$1005,1,MATCH(COLUMNS($R$1006:S1006),$R$1006:$W$1006,0))&gt;=100000), " ",IF(INDEX($R$2:$W$1001,MATCH(ROWS($K$2:K931),$K$2:$K$1001,0),MATCH(COLUMNS($R$1006:S1006),$R$1006:$W$1006,0)), HYPERLINK("#",""), HYPERLINK(CONCATENATE("#Metadata!", ADDRESS(INDEX($M$2:$M$1001,MATCH(ROWS($K$2:K931),$K$2:$K$1001,0),0), INDEX($R$1004:$W$1004,1,MATCH(COLUMNS($R$1006:S1006),$R$1006:$W$1006,0)))),"Fix")))</f>
        <v>0</v>
      </c>
      <c r="D931" s="3">
        <f>IF(OR(INDEX($L$2:$L$1001,MATCH(ROWS($K$2:K931),$K$2:$K$1001,0),1)&gt;=100000,INDEX($R$1005:$W$1005,1,MATCH(COLUMNS($R$1006:T1006),$R$1006:$W$1006,0))&gt;=100000), " ",IF(INDEX($R$2:$W$1001,MATCH(ROWS($K$2:K931),$K$2:$K$1001,0),MATCH(COLUMNS($R$1006:T1006),$R$1006:$W$1006,0)), HYPERLINK("#",""), HYPERLINK(CONCATENATE("#Metadata!", ADDRESS(INDEX($M$2:$M$1001,MATCH(ROWS($K$2:K931),$K$2:$K$1001,0),0), INDEX($R$1004:$W$1004,1,MATCH(COLUMNS($R$1006:T1006),$R$1006:$W$1006,0)))),"Fix")))</f>
        <v>0</v>
      </c>
      <c r="E931" s="3">
        <f>IF(OR(INDEX($L$2:$L$1001,MATCH(ROWS($K$2:K931),$K$2:$K$1001,0),1)&gt;=100000,INDEX($R$1005:$W$1005,1,MATCH(COLUMNS($R$1006:U1006),$R$1006:$W$1006,0))&gt;=100000), " ",IF(INDEX($R$2:$W$1001,MATCH(ROWS($K$2:K931),$K$2:$K$1001,0),MATCH(COLUMNS($R$1006:U1006),$R$1006:$W$1006,0)), HYPERLINK("#",""), HYPERLINK(CONCATENATE("#Metadata!", ADDRESS(INDEX($M$2:$M$1001,MATCH(ROWS($K$2:K931),$K$2:$K$1001,0),0), INDEX($R$1004:$W$1004,1,MATCH(COLUMNS($R$1006:U1006),$R$1006:$W$1006,0)))),"Fix")))</f>
        <v>0</v>
      </c>
      <c r="F931" s="3">
        <f>IF(OR(INDEX($L$2:$L$1001,MATCH(ROWS($K$2:K931),$K$2:$K$1001,0),1)&gt;=100000,INDEX($R$1005:$W$1005,1,MATCH(COLUMNS($R$1006:V1006),$R$1006:$W$1006,0))&gt;=100000), " ",IF(INDEX($R$2:$W$1001,MATCH(ROWS($K$2:K931),$K$2:$K$1001,0),MATCH(COLUMNS($R$1006:V1006),$R$1006:$W$1006,0)), HYPERLINK("#",""), HYPERLINK(CONCATENATE("#Metadata!", ADDRESS(INDEX($M$2:$M$1001,MATCH(ROWS($K$2:K931),$K$2:$K$1001,0),0), INDEX($R$1004:$W$1004,1,MATCH(COLUMNS($R$1006:V1006),$R$1006:$W$1006,0)))),"Fix")))</f>
        <v>0</v>
      </c>
      <c r="G931" s="3">
        <f>IF(OR(INDEX($L$2:$L$1001,MATCH(ROWS($K$2:K931),$K$2:$K$1001,0),1)&gt;=100000,INDEX($R$1005:$W$1005,1,MATCH(COLUMNS($R$1006:W1006),$R$1006:$W$1006,0))&gt;=100000), " ",IF(INDEX($R$2:$W$1001,MATCH(ROWS($K$2:K931),$K$2:$K$1001,0),MATCH(COLUMNS($R$1006:W1006),$R$1006:$W$1006,0)), HYPERLINK("#",""), HYPERLINK(CONCATENATE("#Metadata!", ADDRESS(INDEX($M$2:$M$1001,MATCH(ROWS($K$2:K931),$K$2:$K$1001,0),0), INDEX($R$1004:$W$1004,1,MATCH(COLUMNS($R$1006:W1006),$R$1006:$W$1006,0)))),"Fix")))</f>
        <v>0</v>
      </c>
      <c r="K931">
        <v>0</v>
      </c>
      <c r="L931">
        <v>0</v>
      </c>
      <c r="M931">
        <v>0</v>
      </c>
      <c r="N931">
        <f>IF(O931,TRUE,AND(R931:W931))</f>
        <v>0</v>
      </c>
      <c r="O931">
        <f>COUNTBLANK(Metadata!B931:G931)=COLUMNS(Metadata!B931:G931)</f>
        <v>0</v>
      </c>
      <c r="P931">
        <v>0</v>
      </c>
      <c r="R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S931">
        <f>IF(Metadata!C931="",FALSE,TRUE)</f>
        <v>0</v>
      </c>
      <c r="T931">
        <f>IF(Metadata!D931="",FALSE,TRUE)</f>
        <v>0</v>
      </c>
      <c r="U931">
        <f>IF(Metadata!E931="",FALSE,TRUE)</f>
        <v>0</v>
      </c>
      <c r="V931">
        <f>AND(IF(Metadata!F931="",FALSE,TRUE),exact(Metadata!F931,"rat gut metagenome"))</f>
        <v>0</v>
      </c>
      <c r="W931">
        <f>AND(IF(Metadata!G931="",FALSE,TRUE),exact(Metadata!G931,"1436733"))</f>
        <v>0</v>
      </c>
    </row>
    <row r="932" spans="1:23">
      <c r="A932" s="4">
        <f>IF(B932=" "," ",HYPERLINK(CONCATENATE("#metadata!",ADDRESS(INDEX($M$2:$M$1001,MATCH(ROWS($K$2:K932),$K$2:$K$1001,0),0),1)),INDEX($P$2:$P$1001,MATCH(ROWS($K$2:K932),$K$2:$K$1001,0),0)))</f>
        <v>0</v>
      </c>
      <c r="B932" s="3">
        <f>IF(OR(INDEX($L$2:$L$1001,MATCH(ROWS($K$2:K932),$K$2:$K$1001,0),1)&gt;=100000,INDEX($R$1005:$W$1005,1,MATCH(COLUMNS($R$1006:R1006),$R$1006:$W$1006,0))&gt;=100000), " ",IF(INDEX($R$2:$W$1001,MATCH(ROWS($K$2:K932),$K$2:$K$1001,0),MATCH(COLUMNS($R$1006:R1006),$R$1006:$W$1006,0)), HYPERLINK("#",""), HYPERLINK(CONCATENATE("#Metadata!", ADDRESS(INDEX($M$2:$M$1001,MATCH(ROWS($K$2:K932),$K$2:$K$1001,0),0), INDEX($R$1004:$W$1004,1,MATCH(COLUMNS($R$1006:R1006),$R$1006:$W$1006,0)))),"Fix")))</f>
        <v>0</v>
      </c>
      <c r="C932" s="3">
        <f>IF(OR(INDEX($L$2:$L$1001,MATCH(ROWS($K$2:K932),$K$2:$K$1001,0),1)&gt;=100000,INDEX($R$1005:$W$1005,1,MATCH(COLUMNS($R$1006:S1006),$R$1006:$W$1006,0))&gt;=100000), " ",IF(INDEX($R$2:$W$1001,MATCH(ROWS($K$2:K932),$K$2:$K$1001,0),MATCH(COLUMNS($R$1006:S1006),$R$1006:$W$1006,0)), HYPERLINK("#",""), HYPERLINK(CONCATENATE("#Metadata!", ADDRESS(INDEX($M$2:$M$1001,MATCH(ROWS($K$2:K932),$K$2:$K$1001,0),0), INDEX($R$1004:$W$1004,1,MATCH(COLUMNS($R$1006:S1006),$R$1006:$W$1006,0)))),"Fix")))</f>
        <v>0</v>
      </c>
      <c r="D932" s="3">
        <f>IF(OR(INDEX($L$2:$L$1001,MATCH(ROWS($K$2:K932),$K$2:$K$1001,0),1)&gt;=100000,INDEX($R$1005:$W$1005,1,MATCH(COLUMNS($R$1006:T1006),$R$1006:$W$1006,0))&gt;=100000), " ",IF(INDEX($R$2:$W$1001,MATCH(ROWS($K$2:K932),$K$2:$K$1001,0),MATCH(COLUMNS($R$1006:T1006),$R$1006:$W$1006,0)), HYPERLINK("#",""), HYPERLINK(CONCATENATE("#Metadata!", ADDRESS(INDEX($M$2:$M$1001,MATCH(ROWS($K$2:K932),$K$2:$K$1001,0),0), INDEX($R$1004:$W$1004,1,MATCH(COLUMNS($R$1006:T1006),$R$1006:$W$1006,0)))),"Fix")))</f>
        <v>0</v>
      </c>
      <c r="E932" s="3">
        <f>IF(OR(INDEX($L$2:$L$1001,MATCH(ROWS($K$2:K932),$K$2:$K$1001,0),1)&gt;=100000,INDEX($R$1005:$W$1005,1,MATCH(COLUMNS($R$1006:U1006),$R$1006:$W$1006,0))&gt;=100000), " ",IF(INDEX($R$2:$W$1001,MATCH(ROWS($K$2:K932),$K$2:$K$1001,0),MATCH(COLUMNS($R$1006:U1006),$R$1006:$W$1006,0)), HYPERLINK("#",""), HYPERLINK(CONCATENATE("#Metadata!", ADDRESS(INDEX($M$2:$M$1001,MATCH(ROWS($K$2:K932),$K$2:$K$1001,0),0), INDEX($R$1004:$W$1004,1,MATCH(COLUMNS($R$1006:U1006),$R$1006:$W$1006,0)))),"Fix")))</f>
        <v>0</v>
      </c>
      <c r="F932" s="3">
        <f>IF(OR(INDEX($L$2:$L$1001,MATCH(ROWS($K$2:K932),$K$2:$K$1001,0),1)&gt;=100000,INDEX($R$1005:$W$1005,1,MATCH(COLUMNS($R$1006:V1006),$R$1006:$W$1006,0))&gt;=100000), " ",IF(INDEX($R$2:$W$1001,MATCH(ROWS($K$2:K932),$K$2:$K$1001,0),MATCH(COLUMNS($R$1006:V1006),$R$1006:$W$1006,0)), HYPERLINK("#",""), HYPERLINK(CONCATENATE("#Metadata!", ADDRESS(INDEX($M$2:$M$1001,MATCH(ROWS($K$2:K932),$K$2:$K$1001,0),0), INDEX($R$1004:$W$1004,1,MATCH(COLUMNS($R$1006:V1006),$R$1006:$W$1006,0)))),"Fix")))</f>
        <v>0</v>
      </c>
      <c r="G932" s="3">
        <f>IF(OR(INDEX($L$2:$L$1001,MATCH(ROWS($K$2:K932),$K$2:$K$1001,0),1)&gt;=100000,INDEX($R$1005:$W$1005,1,MATCH(COLUMNS($R$1006:W1006),$R$1006:$W$1006,0))&gt;=100000), " ",IF(INDEX($R$2:$W$1001,MATCH(ROWS($K$2:K932),$K$2:$K$1001,0),MATCH(COLUMNS($R$1006:W1006),$R$1006:$W$1006,0)), HYPERLINK("#",""), HYPERLINK(CONCATENATE("#Metadata!", ADDRESS(INDEX($M$2:$M$1001,MATCH(ROWS($K$2:K932),$K$2:$K$1001,0),0), INDEX($R$1004:$W$1004,1,MATCH(COLUMNS($R$1006:W1006),$R$1006:$W$1006,0)))),"Fix")))</f>
        <v>0</v>
      </c>
      <c r="K932">
        <v>0</v>
      </c>
      <c r="L932">
        <v>0</v>
      </c>
      <c r="M932">
        <v>0</v>
      </c>
      <c r="N932">
        <f>IF(O932,TRUE,AND(R932:W932))</f>
        <v>0</v>
      </c>
      <c r="O932">
        <f>COUNTBLANK(Metadata!B932:G932)=COLUMNS(Metadata!B932:G932)</f>
        <v>0</v>
      </c>
      <c r="P932">
        <v>0</v>
      </c>
      <c r="R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S932">
        <f>IF(Metadata!C932="",FALSE,TRUE)</f>
        <v>0</v>
      </c>
      <c r="T932">
        <f>IF(Metadata!D932="",FALSE,TRUE)</f>
        <v>0</v>
      </c>
      <c r="U932">
        <f>IF(Metadata!E932="",FALSE,TRUE)</f>
        <v>0</v>
      </c>
      <c r="V932">
        <f>AND(IF(Metadata!F932="",FALSE,TRUE),exact(Metadata!F932,"rat gut metagenome"))</f>
        <v>0</v>
      </c>
      <c r="W932">
        <f>AND(IF(Metadata!G932="",FALSE,TRUE),exact(Metadata!G932,"1436733"))</f>
        <v>0</v>
      </c>
    </row>
    <row r="933" spans="1:23">
      <c r="A933" s="4">
        <f>IF(B933=" "," ",HYPERLINK(CONCATENATE("#metadata!",ADDRESS(INDEX($M$2:$M$1001,MATCH(ROWS($K$2:K933),$K$2:$K$1001,0),0),1)),INDEX($P$2:$P$1001,MATCH(ROWS($K$2:K933),$K$2:$K$1001,0),0)))</f>
        <v>0</v>
      </c>
      <c r="B933" s="3">
        <f>IF(OR(INDEX($L$2:$L$1001,MATCH(ROWS($K$2:K933),$K$2:$K$1001,0),1)&gt;=100000,INDEX($R$1005:$W$1005,1,MATCH(COLUMNS($R$1006:R1006),$R$1006:$W$1006,0))&gt;=100000), " ",IF(INDEX($R$2:$W$1001,MATCH(ROWS($K$2:K933),$K$2:$K$1001,0),MATCH(COLUMNS($R$1006:R1006),$R$1006:$W$1006,0)), HYPERLINK("#",""), HYPERLINK(CONCATENATE("#Metadata!", ADDRESS(INDEX($M$2:$M$1001,MATCH(ROWS($K$2:K933),$K$2:$K$1001,0),0), INDEX($R$1004:$W$1004,1,MATCH(COLUMNS($R$1006:R1006),$R$1006:$W$1006,0)))),"Fix")))</f>
        <v>0</v>
      </c>
      <c r="C933" s="3">
        <f>IF(OR(INDEX($L$2:$L$1001,MATCH(ROWS($K$2:K933),$K$2:$K$1001,0),1)&gt;=100000,INDEX($R$1005:$W$1005,1,MATCH(COLUMNS($R$1006:S1006),$R$1006:$W$1006,0))&gt;=100000), " ",IF(INDEX($R$2:$W$1001,MATCH(ROWS($K$2:K933),$K$2:$K$1001,0),MATCH(COLUMNS($R$1006:S1006),$R$1006:$W$1006,0)), HYPERLINK("#",""), HYPERLINK(CONCATENATE("#Metadata!", ADDRESS(INDEX($M$2:$M$1001,MATCH(ROWS($K$2:K933),$K$2:$K$1001,0),0), INDEX($R$1004:$W$1004,1,MATCH(COLUMNS($R$1006:S1006),$R$1006:$W$1006,0)))),"Fix")))</f>
        <v>0</v>
      </c>
      <c r="D933" s="3">
        <f>IF(OR(INDEX($L$2:$L$1001,MATCH(ROWS($K$2:K933),$K$2:$K$1001,0),1)&gt;=100000,INDEX($R$1005:$W$1005,1,MATCH(COLUMNS($R$1006:T1006),$R$1006:$W$1006,0))&gt;=100000), " ",IF(INDEX($R$2:$W$1001,MATCH(ROWS($K$2:K933),$K$2:$K$1001,0),MATCH(COLUMNS($R$1006:T1006),$R$1006:$W$1006,0)), HYPERLINK("#",""), HYPERLINK(CONCATENATE("#Metadata!", ADDRESS(INDEX($M$2:$M$1001,MATCH(ROWS($K$2:K933),$K$2:$K$1001,0),0), INDEX($R$1004:$W$1004,1,MATCH(COLUMNS($R$1006:T1006),$R$1006:$W$1006,0)))),"Fix")))</f>
        <v>0</v>
      </c>
      <c r="E933" s="3">
        <f>IF(OR(INDEX($L$2:$L$1001,MATCH(ROWS($K$2:K933),$K$2:$K$1001,0),1)&gt;=100000,INDEX($R$1005:$W$1005,1,MATCH(COLUMNS($R$1006:U1006),$R$1006:$W$1006,0))&gt;=100000), " ",IF(INDEX($R$2:$W$1001,MATCH(ROWS($K$2:K933),$K$2:$K$1001,0),MATCH(COLUMNS($R$1006:U1006),$R$1006:$W$1006,0)), HYPERLINK("#",""), HYPERLINK(CONCATENATE("#Metadata!", ADDRESS(INDEX($M$2:$M$1001,MATCH(ROWS($K$2:K933),$K$2:$K$1001,0),0), INDEX($R$1004:$W$1004,1,MATCH(COLUMNS($R$1006:U1006),$R$1006:$W$1006,0)))),"Fix")))</f>
        <v>0</v>
      </c>
      <c r="F933" s="3">
        <f>IF(OR(INDEX($L$2:$L$1001,MATCH(ROWS($K$2:K933),$K$2:$K$1001,0),1)&gt;=100000,INDEX($R$1005:$W$1005,1,MATCH(COLUMNS($R$1006:V1006),$R$1006:$W$1006,0))&gt;=100000), " ",IF(INDEX($R$2:$W$1001,MATCH(ROWS($K$2:K933),$K$2:$K$1001,0),MATCH(COLUMNS($R$1006:V1006),$R$1006:$W$1006,0)), HYPERLINK("#",""), HYPERLINK(CONCATENATE("#Metadata!", ADDRESS(INDEX($M$2:$M$1001,MATCH(ROWS($K$2:K933),$K$2:$K$1001,0),0), INDEX($R$1004:$W$1004,1,MATCH(COLUMNS($R$1006:V1006),$R$1006:$W$1006,0)))),"Fix")))</f>
        <v>0</v>
      </c>
      <c r="G933" s="3">
        <f>IF(OR(INDEX($L$2:$L$1001,MATCH(ROWS($K$2:K933),$K$2:$K$1001,0),1)&gt;=100000,INDEX($R$1005:$W$1005,1,MATCH(COLUMNS($R$1006:W1006),$R$1006:$W$1006,0))&gt;=100000), " ",IF(INDEX($R$2:$W$1001,MATCH(ROWS($K$2:K933),$K$2:$K$1001,0),MATCH(COLUMNS($R$1006:W1006),$R$1006:$W$1006,0)), HYPERLINK("#",""), HYPERLINK(CONCATENATE("#Metadata!", ADDRESS(INDEX($M$2:$M$1001,MATCH(ROWS($K$2:K933),$K$2:$K$1001,0),0), INDEX($R$1004:$W$1004,1,MATCH(COLUMNS($R$1006:W1006),$R$1006:$W$1006,0)))),"Fix")))</f>
        <v>0</v>
      </c>
      <c r="K933">
        <v>0</v>
      </c>
      <c r="L933">
        <v>0</v>
      </c>
      <c r="M933">
        <v>0</v>
      </c>
      <c r="N933">
        <f>IF(O933,TRUE,AND(R933:W933))</f>
        <v>0</v>
      </c>
      <c r="O933">
        <f>COUNTBLANK(Metadata!B933:G933)=COLUMNS(Metadata!B933:G933)</f>
        <v>0</v>
      </c>
      <c r="P933">
        <v>0</v>
      </c>
      <c r="R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S933">
        <f>IF(Metadata!C933="",FALSE,TRUE)</f>
        <v>0</v>
      </c>
      <c r="T933">
        <f>IF(Metadata!D933="",FALSE,TRUE)</f>
        <v>0</v>
      </c>
      <c r="U933">
        <f>IF(Metadata!E933="",FALSE,TRUE)</f>
        <v>0</v>
      </c>
      <c r="V933">
        <f>AND(IF(Metadata!F933="",FALSE,TRUE),exact(Metadata!F933,"rat gut metagenome"))</f>
        <v>0</v>
      </c>
      <c r="W933">
        <f>AND(IF(Metadata!G933="",FALSE,TRUE),exact(Metadata!G933,"1436733"))</f>
        <v>0</v>
      </c>
    </row>
    <row r="934" spans="1:23">
      <c r="A934" s="4">
        <f>IF(B934=" "," ",HYPERLINK(CONCATENATE("#metadata!",ADDRESS(INDEX($M$2:$M$1001,MATCH(ROWS($K$2:K934),$K$2:$K$1001,0),0),1)),INDEX($P$2:$P$1001,MATCH(ROWS($K$2:K934),$K$2:$K$1001,0),0)))</f>
        <v>0</v>
      </c>
      <c r="B934" s="3">
        <f>IF(OR(INDEX($L$2:$L$1001,MATCH(ROWS($K$2:K934),$K$2:$K$1001,0),1)&gt;=100000,INDEX($R$1005:$W$1005,1,MATCH(COLUMNS($R$1006:R1006),$R$1006:$W$1006,0))&gt;=100000), " ",IF(INDEX($R$2:$W$1001,MATCH(ROWS($K$2:K934),$K$2:$K$1001,0),MATCH(COLUMNS($R$1006:R1006),$R$1006:$W$1006,0)), HYPERLINK("#",""), HYPERLINK(CONCATENATE("#Metadata!", ADDRESS(INDEX($M$2:$M$1001,MATCH(ROWS($K$2:K934),$K$2:$K$1001,0),0), INDEX($R$1004:$W$1004,1,MATCH(COLUMNS($R$1006:R1006),$R$1006:$W$1006,0)))),"Fix")))</f>
        <v>0</v>
      </c>
      <c r="C934" s="3">
        <f>IF(OR(INDEX($L$2:$L$1001,MATCH(ROWS($K$2:K934),$K$2:$K$1001,0),1)&gt;=100000,INDEX($R$1005:$W$1005,1,MATCH(COLUMNS($R$1006:S1006),$R$1006:$W$1006,0))&gt;=100000), " ",IF(INDEX($R$2:$W$1001,MATCH(ROWS($K$2:K934),$K$2:$K$1001,0),MATCH(COLUMNS($R$1006:S1006),$R$1006:$W$1006,0)), HYPERLINK("#",""), HYPERLINK(CONCATENATE("#Metadata!", ADDRESS(INDEX($M$2:$M$1001,MATCH(ROWS($K$2:K934),$K$2:$K$1001,0),0), INDEX($R$1004:$W$1004,1,MATCH(COLUMNS($R$1006:S1006),$R$1006:$W$1006,0)))),"Fix")))</f>
        <v>0</v>
      </c>
      <c r="D934" s="3">
        <f>IF(OR(INDEX($L$2:$L$1001,MATCH(ROWS($K$2:K934),$K$2:$K$1001,0),1)&gt;=100000,INDEX($R$1005:$W$1005,1,MATCH(COLUMNS($R$1006:T1006),$R$1006:$W$1006,0))&gt;=100000), " ",IF(INDEX($R$2:$W$1001,MATCH(ROWS($K$2:K934),$K$2:$K$1001,0),MATCH(COLUMNS($R$1006:T1006),$R$1006:$W$1006,0)), HYPERLINK("#",""), HYPERLINK(CONCATENATE("#Metadata!", ADDRESS(INDEX($M$2:$M$1001,MATCH(ROWS($K$2:K934),$K$2:$K$1001,0),0), INDEX($R$1004:$W$1004,1,MATCH(COLUMNS($R$1006:T1006),$R$1006:$W$1006,0)))),"Fix")))</f>
        <v>0</v>
      </c>
      <c r="E934" s="3">
        <f>IF(OR(INDEX($L$2:$L$1001,MATCH(ROWS($K$2:K934),$K$2:$K$1001,0),1)&gt;=100000,INDEX($R$1005:$W$1005,1,MATCH(COLUMNS($R$1006:U1006),$R$1006:$W$1006,0))&gt;=100000), " ",IF(INDEX($R$2:$W$1001,MATCH(ROWS($K$2:K934),$K$2:$K$1001,0),MATCH(COLUMNS($R$1006:U1006),$R$1006:$W$1006,0)), HYPERLINK("#",""), HYPERLINK(CONCATENATE("#Metadata!", ADDRESS(INDEX($M$2:$M$1001,MATCH(ROWS($K$2:K934),$K$2:$K$1001,0),0), INDEX($R$1004:$W$1004,1,MATCH(COLUMNS($R$1006:U1006),$R$1006:$W$1006,0)))),"Fix")))</f>
        <v>0</v>
      </c>
      <c r="F934" s="3">
        <f>IF(OR(INDEX($L$2:$L$1001,MATCH(ROWS($K$2:K934),$K$2:$K$1001,0),1)&gt;=100000,INDEX($R$1005:$W$1005,1,MATCH(COLUMNS($R$1006:V1006),$R$1006:$W$1006,0))&gt;=100000), " ",IF(INDEX($R$2:$W$1001,MATCH(ROWS($K$2:K934),$K$2:$K$1001,0),MATCH(COLUMNS($R$1006:V1006),$R$1006:$W$1006,0)), HYPERLINK("#",""), HYPERLINK(CONCATENATE("#Metadata!", ADDRESS(INDEX($M$2:$M$1001,MATCH(ROWS($K$2:K934),$K$2:$K$1001,0),0), INDEX($R$1004:$W$1004,1,MATCH(COLUMNS($R$1006:V1006),$R$1006:$W$1006,0)))),"Fix")))</f>
        <v>0</v>
      </c>
      <c r="G934" s="3">
        <f>IF(OR(INDEX($L$2:$L$1001,MATCH(ROWS($K$2:K934),$K$2:$K$1001,0),1)&gt;=100000,INDEX($R$1005:$W$1005,1,MATCH(COLUMNS($R$1006:W1006),$R$1006:$W$1006,0))&gt;=100000), " ",IF(INDEX($R$2:$W$1001,MATCH(ROWS($K$2:K934),$K$2:$K$1001,0),MATCH(COLUMNS($R$1006:W1006),$R$1006:$W$1006,0)), HYPERLINK("#",""), HYPERLINK(CONCATENATE("#Metadata!", ADDRESS(INDEX($M$2:$M$1001,MATCH(ROWS($K$2:K934),$K$2:$K$1001,0),0), INDEX($R$1004:$W$1004,1,MATCH(COLUMNS($R$1006:W1006),$R$1006:$W$1006,0)))),"Fix")))</f>
        <v>0</v>
      </c>
      <c r="K934">
        <v>0</v>
      </c>
      <c r="L934">
        <v>0</v>
      </c>
      <c r="M934">
        <v>0</v>
      </c>
      <c r="N934">
        <f>IF(O934,TRUE,AND(R934:W934))</f>
        <v>0</v>
      </c>
      <c r="O934">
        <f>COUNTBLANK(Metadata!B934:G934)=COLUMNS(Metadata!B934:G934)</f>
        <v>0</v>
      </c>
      <c r="P934">
        <v>0</v>
      </c>
      <c r="R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S934">
        <f>IF(Metadata!C934="",FALSE,TRUE)</f>
        <v>0</v>
      </c>
      <c r="T934">
        <f>IF(Metadata!D934="",FALSE,TRUE)</f>
        <v>0</v>
      </c>
      <c r="U934">
        <f>IF(Metadata!E934="",FALSE,TRUE)</f>
        <v>0</v>
      </c>
      <c r="V934">
        <f>AND(IF(Metadata!F934="",FALSE,TRUE),exact(Metadata!F934,"rat gut metagenome"))</f>
        <v>0</v>
      </c>
      <c r="W934">
        <f>AND(IF(Metadata!G934="",FALSE,TRUE),exact(Metadata!G934,"1436733"))</f>
        <v>0</v>
      </c>
    </row>
    <row r="935" spans="1:23">
      <c r="A935" s="4">
        <f>IF(B935=" "," ",HYPERLINK(CONCATENATE("#metadata!",ADDRESS(INDEX($M$2:$M$1001,MATCH(ROWS($K$2:K935),$K$2:$K$1001,0),0),1)),INDEX($P$2:$P$1001,MATCH(ROWS($K$2:K935),$K$2:$K$1001,0),0)))</f>
        <v>0</v>
      </c>
      <c r="B935" s="3">
        <f>IF(OR(INDEX($L$2:$L$1001,MATCH(ROWS($K$2:K935),$K$2:$K$1001,0),1)&gt;=100000,INDEX($R$1005:$W$1005,1,MATCH(COLUMNS($R$1006:R1006),$R$1006:$W$1006,0))&gt;=100000), " ",IF(INDEX($R$2:$W$1001,MATCH(ROWS($K$2:K935),$K$2:$K$1001,0),MATCH(COLUMNS($R$1006:R1006),$R$1006:$W$1006,0)), HYPERLINK("#",""), HYPERLINK(CONCATENATE("#Metadata!", ADDRESS(INDEX($M$2:$M$1001,MATCH(ROWS($K$2:K935),$K$2:$K$1001,0),0), INDEX($R$1004:$W$1004,1,MATCH(COLUMNS($R$1006:R1006),$R$1006:$W$1006,0)))),"Fix")))</f>
        <v>0</v>
      </c>
      <c r="C935" s="3">
        <f>IF(OR(INDEX($L$2:$L$1001,MATCH(ROWS($K$2:K935),$K$2:$K$1001,0),1)&gt;=100000,INDEX($R$1005:$W$1005,1,MATCH(COLUMNS($R$1006:S1006),$R$1006:$W$1006,0))&gt;=100000), " ",IF(INDEX($R$2:$W$1001,MATCH(ROWS($K$2:K935),$K$2:$K$1001,0),MATCH(COLUMNS($R$1006:S1006),$R$1006:$W$1006,0)), HYPERLINK("#",""), HYPERLINK(CONCATENATE("#Metadata!", ADDRESS(INDEX($M$2:$M$1001,MATCH(ROWS($K$2:K935),$K$2:$K$1001,0),0), INDEX($R$1004:$W$1004,1,MATCH(COLUMNS($R$1006:S1006),$R$1006:$W$1006,0)))),"Fix")))</f>
        <v>0</v>
      </c>
      <c r="D935" s="3">
        <f>IF(OR(INDEX($L$2:$L$1001,MATCH(ROWS($K$2:K935),$K$2:$K$1001,0),1)&gt;=100000,INDEX($R$1005:$W$1005,1,MATCH(COLUMNS($R$1006:T1006),$R$1006:$W$1006,0))&gt;=100000), " ",IF(INDEX($R$2:$W$1001,MATCH(ROWS($K$2:K935),$K$2:$K$1001,0),MATCH(COLUMNS($R$1006:T1006),$R$1006:$W$1006,0)), HYPERLINK("#",""), HYPERLINK(CONCATENATE("#Metadata!", ADDRESS(INDEX($M$2:$M$1001,MATCH(ROWS($K$2:K935),$K$2:$K$1001,0),0), INDEX($R$1004:$W$1004,1,MATCH(COLUMNS($R$1006:T1006),$R$1006:$W$1006,0)))),"Fix")))</f>
        <v>0</v>
      </c>
      <c r="E935" s="3">
        <f>IF(OR(INDEX($L$2:$L$1001,MATCH(ROWS($K$2:K935),$K$2:$K$1001,0),1)&gt;=100000,INDEX($R$1005:$W$1005,1,MATCH(COLUMNS($R$1006:U1006),$R$1006:$W$1006,0))&gt;=100000), " ",IF(INDEX($R$2:$W$1001,MATCH(ROWS($K$2:K935),$K$2:$K$1001,0),MATCH(COLUMNS($R$1006:U1006),$R$1006:$W$1006,0)), HYPERLINK("#",""), HYPERLINK(CONCATENATE("#Metadata!", ADDRESS(INDEX($M$2:$M$1001,MATCH(ROWS($K$2:K935),$K$2:$K$1001,0),0), INDEX($R$1004:$W$1004,1,MATCH(COLUMNS($R$1006:U1006),$R$1006:$W$1006,0)))),"Fix")))</f>
        <v>0</v>
      </c>
      <c r="F935" s="3">
        <f>IF(OR(INDEX($L$2:$L$1001,MATCH(ROWS($K$2:K935),$K$2:$K$1001,0),1)&gt;=100000,INDEX($R$1005:$W$1005,1,MATCH(COLUMNS($R$1006:V1006),$R$1006:$W$1006,0))&gt;=100000), " ",IF(INDEX($R$2:$W$1001,MATCH(ROWS($K$2:K935),$K$2:$K$1001,0),MATCH(COLUMNS($R$1006:V1006),$R$1006:$W$1006,0)), HYPERLINK("#",""), HYPERLINK(CONCATENATE("#Metadata!", ADDRESS(INDEX($M$2:$M$1001,MATCH(ROWS($K$2:K935),$K$2:$K$1001,0),0), INDEX($R$1004:$W$1004,1,MATCH(COLUMNS($R$1006:V1006),$R$1006:$W$1006,0)))),"Fix")))</f>
        <v>0</v>
      </c>
      <c r="G935" s="3">
        <f>IF(OR(INDEX($L$2:$L$1001,MATCH(ROWS($K$2:K935),$K$2:$K$1001,0),1)&gt;=100000,INDEX($R$1005:$W$1005,1,MATCH(COLUMNS($R$1006:W1006),$R$1006:$W$1006,0))&gt;=100000), " ",IF(INDEX($R$2:$W$1001,MATCH(ROWS($K$2:K935),$K$2:$K$1001,0),MATCH(COLUMNS($R$1006:W1006),$R$1006:$W$1006,0)), HYPERLINK("#",""), HYPERLINK(CONCATENATE("#Metadata!", ADDRESS(INDEX($M$2:$M$1001,MATCH(ROWS($K$2:K935),$K$2:$K$1001,0),0), INDEX($R$1004:$W$1004,1,MATCH(COLUMNS($R$1006:W1006),$R$1006:$W$1006,0)))),"Fix")))</f>
        <v>0</v>
      </c>
      <c r="K935">
        <v>0</v>
      </c>
      <c r="L935">
        <v>0</v>
      </c>
      <c r="M935">
        <v>0</v>
      </c>
      <c r="N935">
        <f>IF(O935,TRUE,AND(R935:W935))</f>
        <v>0</v>
      </c>
      <c r="O935">
        <f>COUNTBLANK(Metadata!B935:G935)=COLUMNS(Metadata!B935:G935)</f>
        <v>0</v>
      </c>
      <c r="P935">
        <v>0</v>
      </c>
      <c r="R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S935">
        <f>IF(Metadata!C935="",FALSE,TRUE)</f>
        <v>0</v>
      </c>
      <c r="T935">
        <f>IF(Metadata!D935="",FALSE,TRUE)</f>
        <v>0</v>
      </c>
      <c r="U935">
        <f>IF(Metadata!E935="",FALSE,TRUE)</f>
        <v>0</v>
      </c>
      <c r="V935">
        <f>AND(IF(Metadata!F935="",FALSE,TRUE),exact(Metadata!F935,"rat gut metagenome"))</f>
        <v>0</v>
      </c>
      <c r="W935">
        <f>AND(IF(Metadata!G935="",FALSE,TRUE),exact(Metadata!G935,"1436733"))</f>
        <v>0</v>
      </c>
    </row>
    <row r="936" spans="1:23">
      <c r="A936" s="4">
        <f>IF(B936=" "," ",HYPERLINK(CONCATENATE("#metadata!",ADDRESS(INDEX($M$2:$M$1001,MATCH(ROWS($K$2:K936),$K$2:$K$1001,0),0),1)),INDEX($P$2:$P$1001,MATCH(ROWS($K$2:K936),$K$2:$K$1001,0),0)))</f>
        <v>0</v>
      </c>
      <c r="B936" s="3">
        <f>IF(OR(INDEX($L$2:$L$1001,MATCH(ROWS($K$2:K936),$K$2:$K$1001,0),1)&gt;=100000,INDEX($R$1005:$W$1005,1,MATCH(COLUMNS($R$1006:R1006),$R$1006:$W$1006,0))&gt;=100000), " ",IF(INDEX($R$2:$W$1001,MATCH(ROWS($K$2:K936),$K$2:$K$1001,0),MATCH(COLUMNS($R$1006:R1006),$R$1006:$W$1006,0)), HYPERLINK("#",""), HYPERLINK(CONCATENATE("#Metadata!", ADDRESS(INDEX($M$2:$M$1001,MATCH(ROWS($K$2:K936),$K$2:$K$1001,0),0), INDEX($R$1004:$W$1004,1,MATCH(COLUMNS($R$1006:R1006),$R$1006:$W$1006,0)))),"Fix")))</f>
        <v>0</v>
      </c>
      <c r="C936" s="3">
        <f>IF(OR(INDEX($L$2:$L$1001,MATCH(ROWS($K$2:K936),$K$2:$K$1001,0),1)&gt;=100000,INDEX($R$1005:$W$1005,1,MATCH(COLUMNS($R$1006:S1006),$R$1006:$W$1006,0))&gt;=100000), " ",IF(INDEX($R$2:$W$1001,MATCH(ROWS($K$2:K936),$K$2:$K$1001,0),MATCH(COLUMNS($R$1006:S1006),$R$1006:$W$1006,0)), HYPERLINK("#",""), HYPERLINK(CONCATENATE("#Metadata!", ADDRESS(INDEX($M$2:$M$1001,MATCH(ROWS($K$2:K936),$K$2:$K$1001,0),0), INDEX($R$1004:$W$1004,1,MATCH(COLUMNS($R$1006:S1006),$R$1006:$W$1006,0)))),"Fix")))</f>
        <v>0</v>
      </c>
      <c r="D936" s="3">
        <f>IF(OR(INDEX($L$2:$L$1001,MATCH(ROWS($K$2:K936),$K$2:$K$1001,0),1)&gt;=100000,INDEX($R$1005:$W$1005,1,MATCH(COLUMNS($R$1006:T1006),$R$1006:$W$1006,0))&gt;=100000), " ",IF(INDEX($R$2:$W$1001,MATCH(ROWS($K$2:K936),$K$2:$K$1001,0),MATCH(COLUMNS($R$1006:T1006),$R$1006:$W$1006,0)), HYPERLINK("#",""), HYPERLINK(CONCATENATE("#Metadata!", ADDRESS(INDEX($M$2:$M$1001,MATCH(ROWS($K$2:K936),$K$2:$K$1001,0),0), INDEX($R$1004:$W$1004,1,MATCH(COLUMNS($R$1006:T1006),$R$1006:$W$1006,0)))),"Fix")))</f>
        <v>0</v>
      </c>
      <c r="E936" s="3">
        <f>IF(OR(INDEX($L$2:$L$1001,MATCH(ROWS($K$2:K936),$K$2:$K$1001,0),1)&gt;=100000,INDEX($R$1005:$W$1005,1,MATCH(COLUMNS($R$1006:U1006),$R$1006:$W$1006,0))&gt;=100000), " ",IF(INDEX($R$2:$W$1001,MATCH(ROWS($K$2:K936),$K$2:$K$1001,0),MATCH(COLUMNS($R$1006:U1006),$R$1006:$W$1006,0)), HYPERLINK("#",""), HYPERLINK(CONCATENATE("#Metadata!", ADDRESS(INDEX($M$2:$M$1001,MATCH(ROWS($K$2:K936),$K$2:$K$1001,0),0), INDEX($R$1004:$W$1004,1,MATCH(COLUMNS($R$1006:U1006),$R$1006:$W$1006,0)))),"Fix")))</f>
        <v>0</v>
      </c>
      <c r="F936" s="3">
        <f>IF(OR(INDEX($L$2:$L$1001,MATCH(ROWS($K$2:K936),$K$2:$K$1001,0),1)&gt;=100000,INDEX($R$1005:$W$1005,1,MATCH(COLUMNS($R$1006:V1006),$R$1006:$W$1006,0))&gt;=100000), " ",IF(INDEX($R$2:$W$1001,MATCH(ROWS($K$2:K936),$K$2:$K$1001,0),MATCH(COLUMNS($R$1006:V1006),$R$1006:$W$1006,0)), HYPERLINK("#",""), HYPERLINK(CONCATENATE("#Metadata!", ADDRESS(INDEX($M$2:$M$1001,MATCH(ROWS($K$2:K936),$K$2:$K$1001,0),0), INDEX($R$1004:$W$1004,1,MATCH(COLUMNS($R$1006:V1006),$R$1006:$W$1006,0)))),"Fix")))</f>
        <v>0</v>
      </c>
      <c r="G936" s="3">
        <f>IF(OR(INDEX($L$2:$L$1001,MATCH(ROWS($K$2:K936),$K$2:$K$1001,0),1)&gt;=100000,INDEX($R$1005:$W$1005,1,MATCH(COLUMNS($R$1006:W1006),$R$1006:$W$1006,0))&gt;=100000), " ",IF(INDEX($R$2:$W$1001,MATCH(ROWS($K$2:K936),$K$2:$K$1001,0),MATCH(COLUMNS($R$1006:W1006),$R$1006:$W$1006,0)), HYPERLINK("#",""), HYPERLINK(CONCATENATE("#Metadata!", ADDRESS(INDEX($M$2:$M$1001,MATCH(ROWS($K$2:K936),$K$2:$K$1001,0),0), INDEX($R$1004:$W$1004,1,MATCH(COLUMNS($R$1006:W1006),$R$1006:$W$1006,0)))),"Fix")))</f>
        <v>0</v>
      </c>
      <c r="K936">
        <v>0</v>
      </c>
      <c r="L936">
        <v>0</v>
      </c>
      <c r="M936">
        <v>0</v>
      </c>
      <c r="N936">
        <f>IF(O936,TRUE,AND(R936:W936))</f>
        <v>0</v>
      </c>
      <c r="O936">
        <f>COUNTBLANK(Metadata!B936:G936)=COLUMNS(Metadata!B936:G936)</f>
        <v>0</v>
      </c>
      <c r="P936">
        <v>0</v>
      </c>
      <c r="R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S936">
        <f>IF(Metadata!C936="",FALSE,TRUE)</f>
        <v>0</v>
      </c>
      <c r="T936">
        <f>IF(Metadata!D936="",FALSE,TRUE)</f>
        <v>0</v>
      </c>
      <c r="U936">
        <f>IF(Metadata!E936="",FALSE,TRUE)</f>
        <v>0</v>
      </c>
      <c r="V936">
        <f>AND(IF(Metadata!F936="",FALSE,TRUE),exact(Metadata!F936,"rat gut metagenome"))</f>
        <v>0</v>
      </c>
      <c r="W936">
        <f>AND(IF(Metadata!G936="",FALSE,TRUE),exact(Metadata!G936,"1436733"))</f>
        <v>0</v>
      </c>
    </row>
    <row r="937" spans="1:23">
      <c r="A937" s="4">
        <f>IF(B937=" "," ",HYPERLINK(CONCATENATE("#metadata!",ADDRESS(INDEX($M$2:$M$1001,MATCH(ROWS($K$2:K937),$K$2:$K$1001,0),0),1)),INDEX($P$2:$P$1001,MATCH(ROWS($K$2:K937),$K$2:$K$1001,0),0)))</f>
        <v>0</v>
      </c>
      <c r="B937" s="3">
        <f>IF(OR(INDEX($L$2:$L$1001,MATCH(ROWS($K$2:K937),$K$2:$K$1001,0),1)&gt;=100000,INDEX($R$1005:$W$1005,1,MATCH(COLUMNS($R$1006:R1006),$R$1006:$W$1006,0))&gt;=100000), " ",IF(INDEX($R$2:$W$1001,MATCH(ROWS($K$2:K937),$K$2:$K$1001,0),MATCH(COLUMNS($R$1006:R1006),$R$1006:$W$1006,0)), HYPERLINK("#",""), HYPERLINK(CONCATENATE("#Metadata!", ADDRESS(INDEX($M$2:$M$1001,MATCH(ROWS($K$2:K937),$K$2:$K$1001,0),0), INDEX($R$1004:$W$1004,1,MATCH(COLUMNS($R$1006:R1006),$R$1006:$W$1006,0)))),"Fix")))</f>
        <v>0</v>
      </c>
      <c r="C937" s="3">
        <f>IF(OR(INDEX($L$2:$L$1001,MATCH(ROWS($K$2:K937),$K$2:$K$1001,0),1)&gt;=100000,INDEX($R$1005:$W$1005,1,MATCH(COLUMNS($R$1006:S1006),$R$1006:$W$1006,0))&gt;=100000), " ",IF(INDEX($R$2:$W$1001,MATCH(ROWS($K$2:K937),$K$2:$K$1001,0),MATCH(COLUMNS($R$1006:S1006),$R$1006:$W$1006,0)), HYPERLINK("#",""), HYPERLINK(CONCATENATE("#Metadata!", ADDRESS(INDEX($M$2:$M$1001,MATCH(ROWS($K$2:K937),$K$2:$K$1001,0),0), INDEX($R$1004:$W$1004,1,MATCH(COLUMNS($R$1006:S1006),$R$1006:$W$1006,0)))),"Fix")))</f>
        <v>0</v>
      </c>
      <c r="D937" s="3">
        <f>IF(OR(INDEX($L$2:$L$1001,MATCH(ROWS($K$2:K937),$K$2:$K$1001,0),1)&gt;=100000,INDEX($R$1005:$W$1005,1,MATCH(COLUMNS($R$1006:T1006),$R$1006:$W$1006,0))&gt;=100000), " ",IF(INDEX($R$2:$W$1001,MATCH(ROWS($K$2:K937),$K$2:$K$1001,0),MATCH(COLUMNS($R$1006:T1006),$R$1006:$W$1006,0)), HYPERLINK("#",""), HYPERLINK(CONCATENATE("#Metadata!", ADDRESS(INDEX($M$2:$M$1001,MATCH(ROWS($K$2:K937),$K$2:$K$1001,0),0), INDEX($R$1004:$W$1004,1,MATCH(COLUMNS($R$1006:T1006),$R$1006:$W$1006,0)))),"Fix")))</f>
        <v>0</v>
      </c>
      <c r="E937" s="3">
        <f>IF(OR(INDEX($L$2:$L$1001,MATCH(ROWS($K$2:K937),$K$2:$K$1001,0),1)&gt;=100000,INDEX($R$1005:$W$1005,1,MATCH(COLUMNS($R$1006:U1006),$R$1006:$W$1006,0))&gt;=100000), " ",IF(INDEX($R$2:$W$1001,MATCH(ROWS($K$2:K937),$K$2:$K$1001,0),MATCH(COLUMNS($R$1006:U1006),$R$1006:$W$1006,0)), HYPERLINK("#",""), HYPERLINK(CONCATENATE("#Metadata!", ADDRESS(INDEX($M$2:$M$1001,MATCH(ROWS($K$2:K937),$K$2:$K$1001,0),0), INDEX($R$1004:$W$1004,1,MATCH(COLUMNS($R$1006:U1006),$R$1006:$W$1006,0)))),"Fix")))</f>
        <v>0</v>
      </c>
      <c r="F937" s="3">
        <f>IF(OR(INDEX($L$2:$L$1001,MATCH(ROWS($K$2:K937),$K$2:$K$1001,0),1)&gt;=100000,INDEX($R$1005:$W$1005,1,MATCH(COLUMNS($R$1006:V1006),$R$1006:$W$1006,0))&gt;=100000), " ",IF(INDEX($R$2:$W$1001,MATCH(ROWS($K$2:K937),$K$2:$K$1001,0),MATCH(COLUMNS($R$1006:V1006),$R$1006:$W$1006,0)), HYPERLINK("#",""), HYPERLINK(CONCATENATE("#Metadata!", ADDRESS(INDEX($M$2:$M$1001,MATCH(ROWS($K$2:K937),$K$2:$K$1001,0),0), INDEX($R$1004:$W$1004,1,MATCH(COLUMNS($R$1006:V1006),$R$1006:$W$1006,0)))),"Fix")))</f>
        <v>0</v>
      </c>
      <c r="G937" s="3">
        <f>IF(OR(INDEX($L$2:$L$1001,MATCH(ROWS($K$2:K937),$K$2:$K$1001,0),1)&gt;=100000,INDEX($R$1005:$W$1005,1,MATCH(COLUMNS($R$1006:W1006),$R$1006:$W$1006,0))&gt;=100000), " ",IF(INDEX($R$2:$W$1001,MATCH(ROWS($K$2:K937),$K$2:$K$1001,0),MATCH(COLUMNS($R$1006:W1006),$R$1006:$W$1006,0)), HYPERLINK("#",""), HYPERLINK(CONCATENATE("#Metadata!", ADDRESS(INDEX($M$2:$M$1001,MATCH(ROWS($K$2:K937),$K$2:$K$1001,0),0), INDEX($R$1004:$W$1004,1,MATCH(COLUMNS($R$1006:W1006),$R$1006:$W$1006,0)))),"Fix")))</f>
        <v>0</v>
      </c>
      <c r="K937">
        <v>0</v>
      </c>
      <c r="L937">
        <v>0</v>
      </c>
      <c r="M937">
        <v>0</v>
      </c>
      <c r="N937">
        <f>IF(O937,TRUE,AND(R937:W937))</f>
        <v>0</v>
      </c>
      <c r="O937">
        <f>COUNTBLANK(Metadata!B937:G937)=COLUMNS(Metadata!B937:G937)</f>
        <v>0</v>
      </c>
      <c r="P937">
        <v>0</v>
      </c>
      <c r="R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S937">
        <f>IF(Metadata!C937="",FALSE,TRUE)</f>
        <v>0</v>
      </c>
      <c r="T937">
        <f>IF(Metadata!D937="",FALSE,TRUE)</f>
        <v>0</v>
      </c>
      <c r="U937">
        <f>IF(Metadata!E937="",FALSE,TRUE)</f>
        <v>0</v>
      </c>
      <c r="V937">
        <f>AND(IF(Metadata!F937="",FALSE,TRUE),exact(Metadata!F937,"rat gut metagenome"))</f>
        <v>0</v>
      </c>
      <c r="W937">
        <f>AND(IF(Metadata!G937="",FALSE,TRUE),exact(Metadata!G937,"1436733"))</f>
        <v>0</v>
      </c>
    </row>
    <row r="938" spans="1:23">
      <c r="A938" s="4">
        <f>IF(B938=" "," ",HYPERLINK(CONCATENATE("#metadata!",ADDRESS(INDEX($M$2:$M$1001,MATCH(ROWS($K$2:K938),$K$2:$K$1001,0),0),1)),INDEX($P$2:$P$1001,MATCH(ROWS($K$2:K938),$K$2:$K$1001,0),0)))</f>
        <v>0</v>
      </c>
      <c r="B938" s="3">
        <f>IF(OR(INDEX($L$2:$L$1001,MATCH(ROWS($K$2:K938),$K$2:$K$1001,0),1)&gt;=100000,INDEX($R$1005:$W$1005,1,MATCH(COLUMNS($R$1006:R1006),$R$1006:$W$1006,0))&gt;=100000), " ",IF(INDEX($R$2:$W$1001,MATCH(ROWS($K$2:K938),$K$2:$K$1001,0),MATCH(COLUMNS($R$1006:R1006),$R$1006:$W$1006,0)), HYPERLINK("#",""), HYPERLINK(CONCATENATE("#Metadata!", ADDRESS(INDEX($M$2:$M$1001,MATCH(ROWS($K$2:K938),$K$2:$K$1001,0),0), INDEX($R$1004:$W$1004,1,MATCH(COLUMNS($R$1006:R1006),$R$1006:$W$1006,0)))),"Fix")))</f>
        <v>0</v>
      </c>
      <c r="C938" s="3">
        <f>IF(OR(INDEX($L$2:$L$1001,MATCH(ROWS($K$2:K938),$K$2:$K$1001,0),1)&gt;=100000,INDEX($R$1005:$W$1005,1,MATCH(COLUMNS($R$1006:S1006),$R$1006:$W$1006,0))&gt;=100000), " ",IF(INDEX($R$2:$W$1001,MATCH(ROWS($K$2:K938),$K$2:$K$1001,0),MATCH(COLUMNS($R$1006:S1006),$R$1006:$W$1006,0)), HYPERLINK("#",""), HYPERLINK(CONCATENATE("#Metadata!", ADDRESS(INDEX($M$2:$M$1001,MATCH(ROWS($K$2:K938),$K$2:$K$1001,0),0), INDEX($R$1004:$W$1004,1,MATCH(COLUMNS($R$1006:S1006),$R$1006:$W$1006,0)))),"Fix")))</f>
        <v>0</v>
      </c>
      <c r="D938" s="3">
        <f>IF(OR(INDEX($L$2:$L$1001,MATCH(ROWS($K$2:K938),$K$2:$K$1001,0),1)&gt;=100000,INDEX($R$1005:$W$1005,1,MATCH(COLUMNS($R$1006:T1006),$R$1006:$W$1006,0))&gt;=100000), " ",IF(INDEX($R$2:$W$1001,MATCH(ROWS($K$2:K938),$K$2:$K$1001,0),MATCH(COLUMNS($R$1006:T1006),$R$1006:$W$1006,0)), HYPERLINK("#",""), HYPERLINK(CONCATENATE("#Metadata!", ADDRESS(INDEX($M$2:$M$1001,MATCH(ROWS($K$2:K938),$K$2:$K$1001,0),0), INDEX($R$1004:$W$1004,1,MATCH(COLUMNS($R$1006:T1006),$R$1006:$W$1006,0)))),"Fix")))</f>
        <v>0</v>
      </c>
      <c r="E938" s="3">
        <f>IF(OR(INDEX($L$2:$L$1001,MATCH(ROWS($K$2:K938),$K$2:$K$1001,0),1)&gt;=100000,INDEX($R$1005:$W$1005,1,MATCH(COLUMNS($R$1006:U1006),$R$1006:$W$1006,0))&gt;=100000), " ",IF(INDEX($R$2:$W$1001,MATCH(ROWS($K$2:K938),$K$2:$K$1001,0),MATCH(COLUMNS($R$1006:U1006),$R$1006:$W$1006,0)), HYPERLINK("#",""), HYPERLINK(CONCATENATE("#Metadata!", ADDRESS(INDEX($M$2:$M$1001,MATCH(ROWS($K$2:K938),$K$2:$K$1001,0),0), INDEX($R$1004:$W$1004,1,MATCH(COLUMNS($R$1006:U1006),$R$1006:$W$1006,0)))),"Fix")))</f>
        <v>0</v>
      </c>
      <c r="F938" s="3">
        <f>IF(OR(INDEX($L$2:$L$1001,MATCH(ROWS($K$2:K938),$K$2:$K$1001,0),1)&gt;=100000,INDEX($R$1005:$W$1005,1,MATCH(COLUMNS($R$1006:V1006),$R$1006:$W$1006,0))&gt;=100000), " ",IF(INDEX($R$2:$W$1001,MATCH(ROWS($K$2:K938),$K$2:$K$1001,0),MATCH(COLUMNS($R$1006:V1006),$R$1006:$W$1006,0)), HYPERLINK("#",""), HYPERLINK(CONCATENATE("#Metadata!", ADDRESS(INDEX($M$2:$M$1001,MATCH(ROWS($K$2:K938),$K$2:$K$1001,0),0), INDEX($R$1004:$W$1004,1,MATCH(COLUMNS($R$1006:V1006),$R$1006:$W$1006,0)))),"Fix")))</f>
        <v>0</v>
      </c>
      <c r="G938" s="3">
        <f>IF(OR(INDEX($L$2:$L$1001,MATCH(ROWS($K$2:K938),$K$2:$K$1001,0),1)&gt;=100000,INDEX($R$1005:$W$1005,1,MATCH(COLUMNS($R$1006:W1006),$R$1006:$W$1006,0))&gt;=100000), " ",IF(INDEX($R$2:$W$1001,MATCH(ROWS($K$2:K938),$K$2:$K$1001,0),MATCH(COLUMNS($R$1006:W1006),$R$1006:$W$1006,0)), HYPERLINK("#",""), HYPERLINK(CONCATENATE("#Metadata!", ADDRESS(INDEX($M$2:$M$1001,MATCH(ROWS($K$2:K938),$K$2:$K$1001,0),0), INDEX($R$1004:$W$1004,1,MATCH(COLUMNS($R$1006:W1006),$R$1006:$W$1006,0)))),"Fix")))</f>
        <v>0</v>
      </c>
      <c r="K938">
        <v>0</v>
      </c>
      <c r="L938">
        <v>0</v>
      </c>
      <c r="M938">
        <v>0</v>
      </c>
      <c r="N938">
        <f>IF(O938,TRUE,AND(R938:W938))</f>
        <v>0</v>
      </c>
      <c r="O938">
        <f>COUNTBLANK(Metadata!B938:G938)=COLUMNS(Metadata!B938:G938)</f>
        <v>0</v>
      </c>
      <c r="P938">
        <v>0</v>
      </c>
      <c r="R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S938">
        <f>IF(Metadata!C938="",FALSE,TRUE)</f>
        <v>0</v>
      </c>
      <c r="T938">
        <f>IF(Metadata!D938="",FALSE,TRUE)</f>
        <v>0</v>
      </c>
      <c r="U938">
        <f>IF(Metadata!E938="",FALSE,TRUE)</f>
        <v>0</v>
      </c>
      <c r="V938">
        <f>AND(IF(Metadata!F938="",FALSE,TRUE),exact(Metadata!F938,"rat gut metagenome"))</f>
        <v>0</v>
      </c>
      <c r="W938">
        <f>AND(IF(Metadata!G938="",FALSE,TRUE),exact(Metadata!G938,"1436733"))</f>
        <v>0</v>
      </c>
    </row>
    <row r="939" spans="1:23">
      <c r="A939" s="4">
        <f>IF(B939=" "," ",HYPERLINK(CONCATENATE("#metadata!",ADDRESS(INDEX($M$2:$M$1001,MATCH(ROWS($K$2:K939),$K$2:$K$1001,0),0),1)),INDEX($P$2:$P$1001,MATCH(ROWS($K$2:K939),$K$2:$K$1001,0),0)))</f>
        <v>0</v>
      </c>
      <c r="B939" s="3">
        <f>IF(OR(INDEX($L$2:$L$1001,MATCH(ROWS($K$2:K939),$K$2:$K$1001,0),1)&gt;=100000,INDEX($R$1005:$W$1005,1,MATCH(COLUMNS($R$1006:R1006),$R$1006:$W$1006,0))&gt;=100000), " ",IF(INDEX($R$2:$W$1001,MATCH(ROWS($K$2:K939),$K$2:$K$1001,0),MATCH(COLUMNS($R$1006:R1006),$R$1006:$W$1006,0)), HYPERLINK("#",""), HYPERLINK(CONCATENATE("#Metadata!", ADDRESS(INDEX($M$2:$M$1001,MATCH(ROWS($K$2:K939),$K$2:$K$1001,0),0), INDEX($R$1004:$W$1004,1,MATCH(COLUMNS($R$1006:R1006),$R$1006:$W$1006,0)))),"Fix")))</f>
        <v>0</v>
      </c>
      <c r="C939" s="3">
        <f>IF(OR(INDEX($L$2:$L$1001,MATCH(ROWS($K$2:K939),$K$2:$K$1001,0),1)&gt;=100000,INDEX($R$1005:$W$1005,1,MATCH(COLUMNS($R$1006:S1006),$R$1006:$W$1006,0))&gt;=100000), " ",IF(INDEX($R$2:$W$1001,MATCH(ROWS($K$2:K939),$K$2:$K$1001,0),MATCH(COLUMNS($R$1006:S1006),$R$1006:$W$1006,0)), HYPERLINK("#",""), HYPERLINK(CONCATENATE("#Metadata!", ADDRESS(INDEX($M$2:$M$1001,MATCH(ROWS($K$2:K939),$K$2:$K$1001,0),0), INDEX($R$1004:$W$1004,1,MATCH(COLUMNS($R$1006:S1006),$R$1006:$W$1006,0)))),"Fix")))</f>
        <v>0</v>
      </c>
      <c r="D939" s="3">
        <f>IF(OR(INDEX($L$2:$L$1001,MATCH(ROWS($K$2:K939),$K$2:$K$1001,0),1)&gt;=100000,INDEX($R$1005:$W$1005,1,MATCH(COLUMNS($R$1006:T1006),$R$1006:$W$1006,0))&gt;=100000), " ",IF(INDEX($R$2:$W$1001,MATCH(ROWS($K$2:K939),$K$2:$K$1001,0),MATCH(COLUMNS($R$1006:T1006),$R$1006:$W$1006,0)), HYPERLINK("#",""), HYPERLINK(CONCATENATE("#Metadata!", ADDRESS(INDEX($M$2:$M$1001,MATCH(ROWS($K$2:K939),$K$2:$K$1001,0),0), INDEX($R$1004:$W$1004,1,MATCH(COLUMNS($R$1006:T1006),$R$1006:$W$1006,0)))),"Fix")))</f>
        <v>0</v>
      </c>
      <c r="E939" s="3">
        <f>IF(OR(INDEX($L$2:$L$1001,MATCH(ROWS($K$2:K939),$K$2:$K$1001,0),1)&gt;=100000,INDEX($R$1005:$W$1005,1,MATCH(COLUMNS($R$1006:U1006),$R$1006:$W$1006,0))&gt;=100000), " ",IF(INDEX($R$2:$W$1001,MATCH(ROWS($K$2:K939),$K$2:$K$1001,0),MATCH(COLUMNS($R$1006:U1006),$R$1006:$W$1006,0)), HYPERLINK("#",""), HYPERLINK(CONCATENATE("#Metadata!", ADDRESS(INDEX($M$2:$M$1001,MATCH(ROWS($K$2:K939),$K$2:$K$1001,0),0), INDEX($R$1004:$W$1004,1,MATCH(COLUMNS($R$1006:U1006),$R$1006:$W$1006,0)))),"Fix")))</f>
        <v>0</v>
      </c>
      <c r="F939" s="3">
        <f>IF(OR(INDEX($L$2:$L$1001,MATCH(ROWS($K$2:K939),$K$2:$K$1001,0),1)&gt;=100000,INDEX($R$1005:$W$1005,1,MATCH(COLUMNS($R$1006:V1006),$R$1006:$W$1006,0))&gt;=100000), " ",IF(INDEX($R$2:$W$1001,MATCH(ROWS($K$2:K939),$K$2:$K$1001,0),MATCH(COLUMNS($R$1006:V1006),$R$1006:$W$1006,0)), HYPERLINK("#",""), HYPERLINK(CONCATENATE("#Metadata!", ADDRESS(INDEX($M$2:$M$1001,MATCH(ROWS($K$2:K939),$K$2:$K$1001,0),0), INDEX($R$1004:$W$1004,1,MATCH(COLUMNS($R$1006:V1006),$R$1006:$W$1006,0)))),"Fix")))</f>
        <v>0</v>
      </c>
      <c r="G939" s="3">
        <f>IF(OR(INDEX($L$2:$L$1001,MATCH(ROWS($K$2:K939),$K$2:$K$1001,0),1)&gt;=100000,INDEX($R$1005:$W$1005,1,MATCH(COLUMNS($R$1006:W1006),$R$1006:$W$1006,0))&gt;=100000), " ",IF(INDEX($R$2:$W$1001,MATCH(ROWS($K$2:K939),$K$2:$K$1001,0),MATCH(COLUMNS($R$1006:W1006),$R$1006:$W$1006,0)), HYPERLINK("#",""), HYPERLINK(CONCATENATE("#Metadata!", ADDRESS(INDEX($M$2:$M$1001,MATCH(ROWS($K$2:K939),$K$2:$K$1001,0),0), INDEX($R$1004:$W$1004,1,MATCH(COLUMNS($R$1006:W1006),$R$1006:$W$1006,0)))),"Fix")))</f>
        <v>0</v>
      </c>
      <c r="K939">
        <v>0</v>
      </c>
      <c r="L939">
        <v>0</v>
      </c>
      <c r="M939">
        <v>0</v>
      </c>
      <c r="N939">
        <f>IF(O939,TRUE,AND(R939:W939))</f>
        <v>0</v>
      </c>
      <c r="O939">
        <f>COUNTBLANK(Metadata!B939:G939)=COLUMNS(Metadata!B939:G939)</f>
        <v>0</v>
      </c>
      <c r="P939">
        <v>0</v>
      </c>
      <c r="R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S939">
        <f>IF(Metadata!C939="",FALSE,TRUE)</f>
        <v>0</v>
      </c>
      <c r="T939">
        <f>IF(Metadata!D939="",FALSE,TRUE)</f>
        <v>0</v>
      </c>
      <c r="U939">
        <f>IF(Metadata!E939="",FALSE,TRUE)</f>
        <v>0</v>
      </c>
      <c r="V939">
        <f>AND(IF(Metadata!F939="",FALSE,TRUE),exact(Metadata!F939,"rat gut metagenome"))</f>
        <v>0</v>
      </c>
      <c r="W939">
        <f>AND(IF(Metadata!G939="",FALSE,TRUE),exact(Metadata!G939,"1436733"))</f>
        <v>0</v>
      </c>
    </row>
    <row r="940" spans="1:23">
      <c r="A940" s="4">
        <f>IF(B940=" "," ",HYPERLINK(CONCATENATE("#metadata!",ADDRESS(INDEX($M$2:$M$1001,MATCH(ROWS($K$2:K940),$K$2:$K$1001,0),0),1)),INDEX($P$2:$P$1001,MATCH(ROWS($K$2:K940),$K$2:$K$1001,0),0)))</f>
        <v>0</v>
      </c>
      <c r="B940" s="3">
        <f>IF(OR(INDEX($L$2:$L$1001,MATCH(ROWS($K$2:K940),$K$2:$K$1001,0),1)&gt;=100000,INDEX($R$1005:$W$1005,1,MATCH(COLUMNS($R$1006:R1006),$R$1006:$W$1006,0))&gt;=100000), " ",IF(INDEX($R$2:$W$1001,MATCH(ROWS($K$2:K940),$K$2:$K$1001,0),MATCH(COLUMNS($R$1006:R1006),$R$1006:$W$1006,0)), HYPERLINK("#",""), HYPERLINK(CONCATENATE("#Metadata!", ADDRESS(INDEX($M$2:$M$1001,MATCH(ROWS($K$2:K940),$K$2:$K$1001,0),0), INDEX($R$1004:$W$1004,1,MATCH(COLUMNS($R$1006:R1006),$R$1006:$W$1006,0)))),"Fix")))</f>
        <v>0</v>
      </c>
      <c r="C940" s="3">
        <f>IF(OR(INDEX($L$2:$L$1001,MATCH(ROWS($K$2:K940),$K$2:$K$1001,0),1)&gt;=100000,INDEX($R$1005:$W$1005,1,MATCH(COLUMNS($R$1006:S1006),$R$1006:$W$1006,0))&gt;=100000), " ",IF(INDEX($R$2:$W$1001,MATCH(ROWS($K$2:K940),$K$2:$K$1001,0),MATCH(COLUMNS($R$1006:S1006),$R$1006:$W$1006,0)), HYPERLINK("#",""), HYPERLINK(CONCATENATE("#Metadata!", ADDRESS(INDEX($M$2:$M$1001,MATCH(ROWS($K$2:K940),$K$2:$K$1001,0),0), INDEX($R$1004:$W$1004,1,MATCH(COLUMNS($R$1006:S1006),$R$1006:$W$1006,0)))),"Fix")))</f>
        <v>0</v>
      </c>
      <c r="D940" s="3">
        <f>IF(OR(INDEX($L$2:$L$1001,MATCH(ROWS($K$2:K940),$K$2:$K$1001,0),1)&gt;=100000,INDEX($R$1005:$W$1005,1,MATCH(COLUMNS($R$1006:T1006),$R$1006:$W$1006,0))&gt;=100000), " ",IF(INDEX($R$2:$W$1001,MATCH(ROWS($K$2:K940),$K$2:$K$1001,0),MATCH(COLUMNS($R$1006:T1006),$R$1006:$W$1006,0)), HYPERLINK("#",""), HYPERLINK(CONCATENATE("#Metadata!", ADDRESS(INDEX($M$2:$M$1001,MATCH(ROWS($K$2:K940),$K$2:$K$1001,0),0), INDEX($R$1004:$W$1004,1,MATCH(COLUMNS($R$1006:T1006),$R$1006:$W$1006,0)))),"Fix")))</f>
        <v>0</v>
      </c>
      <c r="E940" s="3">
        <f>IF(OR(INDEX($L$2:$L$1001,MATCH(ROWS($K$2:K940),$K$2:$K$1001,0),1)&gt;=100000,INDEX($R$1005:$W$1005,1,MATCH(COLUMNS($R$1006:U1006),$R$1006:$W$1006,0))&gt;=100000), " ",IF(INDEX($R$2:$W$1001,MATCH(ROWS($K$2:K940),$K$2:$K$1001,0),MATCH(COLUMNS($R$1006:U1006),$R$1006:$W$1006,0)), HYPERLINK("#",""), HYPERLINK(CONCATENATE("#Metadata!", ADDRESS(INDEX($M$2:$M$1001,MATCH(ROWS($K$2:K940),$K$2:$K$1001,0),0), INDEX($R$1004:$W$1004,1,MATCH(COLUMNS($R$1006:U1006),$R$1006:$W$1006,0)))),"Fix")))</f>
        <v>0</v>
      </c>
      <c r="F940" s="3">
        <f>IF(OR(INDEX($L$2:$L$1001,MATCH(ROWS($K$2:K940),$K$2:$K$1001,0),1)&gt;=100000,INDEX($R$1005:$W$1005,1,MATCH(COLUMNS($R$1006:V1006),$R$1006:$W$1006,0))&gt;=100000), " ",IF(INDEX($R$2:$W$1001,MATCH(ROWS($K$2:K940),$K$2:$K$1001,0),MATCH(COLUMNS($R$1006:V1006),$R$1006:$W$1006,0)), HYPERLINK("#",""), HYPERLINK(CONCATENATE("#Metadata!", ADDRESS(INDEX($M$2:$M$1001,MATCH(ROWS($K$2:K940),$K$2:$K$1001,0),0), INDEX($R$1004:$W$1004,1,MATCH(COLUMNS($R$1006:V1006),$R$1006:$W$1006,0)))),"Fix")))</f>
        <v>0</v>
      </c>
      <c r="G940" s="3">
        <f>IF(OR(INDEX($L$2:$L$1001,MATCH(ROWS($K$2:K940),$K$2:$K$1001,0),1)&gt;=100000,INDEX($R$1005:$W$1005,1,MATCH(COLUMNS($R$1006:W1006),$R$1006:$W$1006,0))&gt;=100000), " ",IF(INDEX($R$2:$W$1001,MATCH(ROWS($K$2:K940),$K$2:$K$1001,0),MATCH(COLUMNS($R$1006:W1006),$R$1006:$W$1006,0)), HYPERLINK("#",""), HYPERLINK(CONCATENATE("#Metadata!", ADDRESS(INDEX($M$2:$M$1001,MATCH(ROWS($K$2:K940),$K$2:$K$1001,0),0), INDEX($R$1004:$W$1004,1,MATCH(COLUMNS($R$1006:W1006),$R$1006:$W$1006,0)))),"Fix")))</f>
        <v>0</v>
      </c>
      <c r="K940">
        <v>0</v>
      </c>
      <c r="L940">
        <v>0</v>
      </c>
      <c r="M940">
        <v>0</v>
      </c>
      <c r="N940">
        <f>IF(O940,TRUE,AND(R940:W940))</f>
        <v>0</v>
      </c>
      <c r="O940">
        <f>COUNTBLANK(Metadata!B940:G940)=COLUMNS(Metadata!B940:G940)</f>
        <v>0</v>
      </c>
      <c r="P940">
        <v>0</v>
      </c>
      <c r="R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S940">
        <f>IF(Metadata!C940="",FALSE,TRUE)</f>
        <v>0</v>
      </c>
      <c r="T940">
        <f>IF(Metadata!D940="",FALSE,TRUE)</f>
        <v>0</v>
      </c>
      <c r="U940">
        <f>IF(Metadata!E940="",FALSE,TRUE)</f>
        <v>0</v>
      </c>
      <c r="V940">
        <f>AND(IF(Metadata!F940="",FALSE,TRUE),exact(Metadata!F940,"rat gut metagenome"))</f>
        <v>0</v>
      </c>
      <c r="W940">
        <f>AND(IF(Metadata!G940="",FALSE,TRUE),exact(Metadata!G940,"1436733"))</f>
        <v>0</v>
      </c>
    </row>
    <row r="941" spans="1:23">
      <c r="A941" s="4">
        <f>IF(B941=" "," ",HYPERLINK(CONCATENATE("#metadata!",ADDRESS(INDEX($M$2:$M$1001,MATCH(ROWS($K$2:K941),$K$2:$K$1001,0),0),1)),INDEX($P$2:$P$1001,MATCH(ROWS($K$2:K941),$K$2:$K$1001,0),0)))</f>
        <v>0</v>
      </c>
      <c r="B941" s="3">
        <f>IF(OR(INDEX($L$2:$L$1001,MATCH(ROWS($K$2:K941),$K$2:$K$1001,0),1)&gt;=100000,INDEX($R$1005:$W$1005,1,MATCH(COLUMNS($R$1006:R1006),$R$1006:$W$1006,0))&gt;=100000), " ",IF(INDEX($R$2:$W$1001,MATCH(ROWS($K$2:K941),$K$2:$K$1001,0),MATCH(COLUMNS($R$1006:R1006),$R$1006:$W$1006,0)), HYPERLINK("#",""), HYPERLINK(CONCATENATE("#Metadata!", ADDRESS(INDEX($M$2:$M$1001,MATCH(ROWS($K$2:K941),$K$2:$K$1001,0),0), INDEX($R$1004:$W$1004,1,MATCH(COLUMNS($R$1006:R1006),$R$1006:$W$1006,0)))),"Fix")))</f>
        <v>0</v>
      </c>
      <c r="C941" s="3">
        <f>IF(OR(INDEX($L$2:$L$1001,MATCH(ROWS($K$2:K941),$K$2:$K$1001,0),1)&gt;=100000,INDEX($R$1005:$W$1005,1,MATCH(COLUMNS($R$1006:S1006),$R$1006:$W$1006,0))&gt;=100000), " ",IF(INDEX($R$2:$W$1001,MATCH(ROWS($K$2:K941),$K$2:$K$1001,0),MATCH(COLUMNS($R$1006:S1006),$R$1006:$W$1006,0)), HYPERLINK("#",""), HYPERLINK(CONCATENATE("#Metadata!", ADDRESS(INDEX($M$2:$M$1001,MATCH(ROWS($K$2:K941),$K$2:$K$1001,0),0), INDEX($R$1004:$W$1004,1,MATCH(COLUMNS($R$1006:S1006),$R$1006:$W$1006,0)))),"Fix")))</f>
        <v>0</v>
      </c>
      <c r="D941" s="3">
        <f>IF(OR(INDEX($L$2:$L$1001,MATCH(ROWS($K$2:K941),$K$2:$K$1001,0),1)&gt;=100000,INDEX($R$1005:$W$1005,1,MATCH(COLUMNS($R$1006:T1006),$R$1006:$W$1006,0))&gt;=100000), " ",IF(INDEX($R$2:$W$1001,MATCH(ROWS($K$2:K941),$K$2:$K$1001,0),MATCH(COLUMNS($R$1006:T1006),$R$1006:$W$1006,0)), HYPERLINK("#",""), HYPERLINK(CONCATENATE("#Metadata!", ADDRESS(INDEX($M$2:$M$1001,MATCH(ROWS($K$2:K941),$K$2:$K$1001,0),0), INDEX($R$1004:$W$1004,1,MATCH(COLUMNS($R$1006:T1006),$R$1006:$W$1006,0)))),"Fix")))</f>
        <v>0</v>
      </c>
      <c r="E941" s="3">
        <f>IF(OR(INDEX($L$2:$L$1001,MATCH(ROWS($K$2:K941),$K$2:$K$1001,0),1)&gt;=100000,INDEX($R$1005:$W$1005,1,MATCH(COLUMNS($R$1006:U1006),$R$1006:$W$1006,0))&gt;=100000), " ",IF(INDEX($R$2:$W$1001,MATCH(ROWS($K$2:K941),$K$2:$K$1001,0),MATCH(COLUMNS($R$1006:U1006),$R$1006:$W$1006,0)), HYPERLINK("#",""), HYPERLINK(CONCATENATE("#Metadata!", ADDRESS(INDEX($M$2:$M$1001,MATCH(ROWS($K$2:K941),$K$2:$K$1001,0),0), INDEX($R$1004:$W$1004,1,MATCH(COLUMNS($R$1006:U1006),$R$1006:$W$1006,0)))),"Fix")))</f>
        <v>0</v>
      </c>
      <c r="F941" s="3">
        <f>IF(OR(INDEX($L$2:$L$1001,MATCH(ROWS($K$2:K941),$K$2:$K$1001,0),1)&gt;=100000,INDEX($R$1005:$W$1005,1,MATCH(COLUMNS($R$1006:V1006),$R$1006:$W$1006,0))&gt;=100000), " ",IF(INDEX($R$2:$W$1001,MATCH(ROWS($K$2:K941),$K$2:$K$1001,0),MATCH(COLUMNS($R$1006:V1006),$R$1006:$W$1006,0)), HYPERLINK("#",""), HYPERLINK(CONCATENATE("#Metadata!", ADDRESS(INDEX($M$2:$M$1001,MATCH(ROWS($K$2:K941),$K$2:$K$1001,0),0), INDEX($R$1004:$W$1004,1,MATCH(COLUMNS($R$1006:V1006),$R$1006:$W$1006,0)))),"Fix")))</f>
        <v>0</v>
      </c>
      <c r="G941" s="3">
        <f>IF(OR(INDEX($L$2:$L$1001,MATCH(ROWS($K$2:K941),$K$2:$K$1001,0),1)&gt;=100000,INDEX($R$1005:$W$1005,1,MATCH(COLUMNS($R$1006:W1006),$R$1006:$W$1006,0))&gt;=100000), " ",IF(INDEX($R$2:$W$1001,MATCH(ROWS($K$2:K941),$K$2:$K$1001,0),MATCH(COLUMNS($R$1006:W1006),$R$1006:$W$1006,0)), HYPERLINK("#",""), HYPERLINK(CONCATENATE("#Metadata!", ADDRESS(INDEX($M$2:$M$1001,MATCH(ROWS($K$2:K941),$K$2:$K$1001,0),0), INDEX($R$1004:$W$1004,1,MATCH(COLUMNS($R$1006:W1006),$R$1006:$W$1006,0)))),"Fix")))</f>
        <v>0</v>
      </c>
      <c r="K941">
        <v>0</v>
      </c>
      <c r="L941">
        <v>0</v>
      </c>
      <c r="M941">
        <v>0</v>
      </c>
      <c r="N941">
        <f>IF(O941,TRUE,AND(R941:W941))</f>
        <v>0</v>
      </c>
      <c r="O941">
        <f>COUNTBLANK(Metadata!B941:G941)=COLUMNS(Metadata!B941:G941)</f>
        <v>0</v>
      </c>
      <c r="P941">
        <v>0</v>
      </c>
      <c r="R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S941">
        <f>IF(Metadata!C941="",FALSE,TRUE)</f>
        <v>0</v>
      </c>
      <c r="T941">
        <f>IF(Metadata!D941="",FALSE,TRUE)</f>
        <v>0</v>
      </c>
      <c r="U941">
        <f>IF(Metadata!E941="",FALSE,TRUE)</f>
        <v>0</v>
      </c>
      <c r="V941">
        <f>AND(IF(Metadata!F941="",FALSE,TRUE),exact(Metadata!F941,"rat gut metagenome"))</f>
        <v>0</v>
      </c>
      <c r="W941">
        <f>AND(IF(Metadata!G941="",FALSE,TRUE),exact(Metadata!G941,"1436733"))</f>
        <v>0</v>
      </c>
    </row>
    <row r="942" spans="1:23">
      <c r="A942" s="4">
        <f>IF(B942=" "," ",HYPERLINK(CONCATENATE("#metadata!",ADDRESS(INDEX($M$2:$M$1001,MATCH(ROWS($K$2:K942),$K$2:$K$1001,0),0),1)),INDEX($P$2:$P$1001,MATCH(ROWS($K$2:K942),$K$2:$K$1001,0),0)))</f>
        <v>0</v>
      </c>
      <c r="B942" s="3">
        <f>IF(OR(INDEX($L$2:$L$1001,MATCH(ROWS($K$2:K942),$K$2:$K$1001,0),1)&gt;=100000,INDEX($R$1005:$W$1005,1,MATCH(COLUMNS($R$1006:R1006),$R$1006:$W$1006,0))&gt;=100000), " ",IF(INDEX($R$2:$W$1001,MATCH(ROWS($K$2:K942),$K$2:$K$1001,0),MATCH(COLUMNS($R$1006:R1006),$R$1006:$W$1006,0)), HYPERLINK("#",""), HYPERLINK(CONCATENATE("#Metadata!", ADDRESS(INDEX($M$2:$M$1001,MATCH(ROWS($K$2:K942),$K$2:$K$1001,0),0), INDEX($R$1004:$W$1004,1,MATCH(COLUMNS($R$1006:R1006),$R$1006:$W$1006,0)))),"Fix")))</f>
        <v>0</v>
      </c>
      <c r="C942" s="3">
        <f>IF(OR(INDEX($L$2:$L$1001,MATCH(ROWS($K$2:K942),$K$2:$K$1001,0),1)&gt;=100000,INDEX($R$1005:$W$1005,1,MATCH(COLUMNS($R$1006:S1006),$R$1006:$W$1006,0))&gt;=100000), " ",IF(INDEX($R$2:$W$1001,MATCH(ROWS($K$2:K942),$K$2:$K$1001,0),MATCH(COLUMNS($R$1006:S1006),$R$1006:$W$1006,0)), HYPERLINK("#",""), HYPERLINK(CONCATENATE("#Metadata!", ADDRESS(INDEX($M$2:$M$1001,MATCH(ROWS($K$2:K942),$K$2:$K$1001,0),0), INDEX($R$1004:$W$1004,1,MATCH(COLUMNS($R$1006:S1006),$R$1006:$W$1006,0)))),"Fix")))</f>
        <v>0</v>
      </c>
      <c r="D942" s="3">
        <f>IF(OR(INDEX($L$2:$L$1001,MATCH(ROWS($K$2:K942),$K$2:$K$1001,0),1)&gt;=100000,INDEX($R$1005:$W$1005,1,MATCH(COLUMNS($R$1006:T1006),$R$1006:$W$1006,0))&gt;=100000), " ",IF(INDEX($R$2:$W$1001,MATCH(ROWS($K$2:K942),$K$2:$K$1001,0),MATCH(COLUMNS($R$1006:T1006),$R$1006:$W$1006,0)), HYPERLINK("#",""), HYPERLINK(CONCATENATE("#Metadata!", ADDRESS(INDEX($M$2:$M$1001,MATCH(ROWS($K$2:K942),$K$2:$K$1001,0),0), INDEX($R$1004:$W$1004,1,MATCH(COLUMNS($R$1006:T1006),$R$1006:$W$1006,0)))),"Fix")))</f>
        <v>0</v>
      </c>
      <c r="E942" s="3">
        <f>IF(OR(INDEX($L$2:$L$1001,MATCH(ROWS($K$2:K942),$K$2:$K$1001,0),1)&gt;=100000,INDEX($R$1005:$W$1005,1,MATCH(COLUMNS($R$1006:U1006),$R$1006:$W$1006,0))&gt;=100000), " ",IF(INDEX($R$2:$W$1001,MATCH(ROWS($K$2:K942),$K$2:$K$1001,0),MATCH(COLUMNS($R$1006:U1006),$R$1006:$W$1006,0)), HYPERLINK("#",""), HYPERLINK(CONCATENATE("#Metadata!", ADDRESS(INDEX($M$2:$M$1001,MATCH(ROWS($K$2:K942),$K$2:$K$1001,0),0), INDEX($R$1004:$W$1004,1,MATCH(COLUMNS($R$1006:U1006),$R$1006:$W$1006,0)))),"Fix")))</f>
        <v>0</v>
      </c>
      <c r="F942" s="3">
        <f>IF(OR(INDEX($L$2:$L$1001,MATCH(ROWS($K$2:K942),$K$2:$K$1001,0),1)&gt;=100000,INDEX($R$1005:$W$1005,1,MATCH(COLUMNS($R$1006:V1006),$R$1006:$W$1006,0))&gt;=100000), " ",IF(INDEX($R$2:$W$1001,MATCH(ROWS($K$2:K942),$K$2:$K$1001,0),MATCH(COLUMNS($R$1006:V1006),$R$1006:$W$1006,0)), HYPERLINK("#",""), HYPERLINK(CONCATENATE("#Metadata!", ADDRESS(INDEX($M$2:$M$1001,MATCH(ROWS($K$2:K942),$K$2:$K$1001,0),0), INDEX($R$1004:$W$1004,1,MATCH(COLUMNS($R$1006:V1006),$R$1006:$W$1006,0)))),"Fix")))</f>
        <v>0</v>
      </c>
      <c r="G942" s="3">
        <f>IF(OR(INDEX($L$2:$L$1001,MATCH(ROWS($K$2:K942),$K$2:$K$1001,0),1)&gt;=100000,INDEX($R$1005:$W$1005,1,MATCH(COLUMNS($R$1006:W1006),$R$1006:$W$1006,0))&gt;=100000), " ",IF(INDEX($R$2:$W$1001,MATCH(ROWS($K$2:K942),$K$2:$K$1001,0),MATCH(COLUMNS($R$1006:W1006),$R$1006:$W$1006,0)), HYPERLINK("#",""), HYPERLINK(CONCATENATE("#Metadata!", ADDRESS(INDEX($M$2:$M$1001,MATCH(ROWS($K$2:K942),$K$2:$K$1001,0),0), INDEX($R$1004:$W$1004,1,MATCH(COLUMNS($R$1006:W1006),$R$1006:$W$1006,0)))),"Fix")))</f>
        <v>0</v>
      </c>
      <c r="K942">
        <v>0</v>
      </c>
      <c r="L942">
        <v>0</v>
      </c>
      <c r="M942">
        <v>0</v>
      </c>
      <c r="N942">
        <f>IF(O942,TRUE,AND(R942:W942))</f>
        <v>0</v>
      </c>
      <c r="O942">
        <f>COUNTBLANK(Metadata!B942:G942)=COLUMNS(Metadata!B942:G942)</f>
        <v>0</v>
      </c>
      <c r="P942">
        <v>0</v>
      </c>
      <c r="R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S942">
        <f>IF(Metadata!C942="",FALSE,TRUE)</f>
        <v>0</v>
      </c>
      <c r="T942">
        <f>IF(Metadata!D942="",FALSE,TRUE)</f>
        <v>0</v>
      </c>
      <c r="U942">
        <f>IF(Metadata!E942="",FALSE,TRUE)</f>
        <v>0</v>
      </c>
      <c r="V942">
        <f>AND(IF(Metadata!F942="",FALSE,TRUE),exact(Metadata!F942,"rat gut metagenome"))</f>
        <v>0</v>
      </c>
      <c r="W942">
        <f>AND(IF(Metadata!G942="",FALSE,TRUE),exact(Metadata!G942,"1436733"))</f>
        <v>0</v>
      </c>
    </row>
    <row r="943" spans="1:23">
      <c r="A943" s="4">
        <f>IF(B943=" "," ",HYPERLINK(CONCATENATE("#metadata!",ADDRESS(INDEX($M$2:$M$1001,MATCH(ROWS($K$2:K943),$K$2:$K$1001,0),0),1)),INDEX($P$2:$P$1001,MATCH(ROWS($K$2:K943),$K$2:$K$1001,0),0)))</f>
        <v>0</v>
      </c>
      <c r="B943" s="3">
        <f>IF(OR(INDEX($L$2:$L$1001,MATCH(ROWS($K$2:K943),$K$2:$K$1001,0),1)&gt;=100000,INDEX($R$1005:$W$1005,1,MATCH(COLUMNS($R$1006:R1006),$R$1006:$W$1006,0))&gt;=100000), " ",IF(INDEX($R$2:$W$1001,MATCH(ROWS($K$2:K943),$K$2:$K$1001,0),MATCH(COLUMNS($R$1006:R1006),$R$1006:$W$1006,0)), HYPERLINK("#",""), HYPERLINK(CONCATENATE("#Metadata!", ADDRESS(INDEX($M$2:$M$1001,MATCH(ROWS($K$2:K943),$K$2:$K$1001,0),0), INDEX($R$1004:$W$1004,1,MATCH(COLUMNS($R$1006:R1006),$R$1006:$W$1006,0)))),"Fix")))</f>
        <v>0</v>
      </c>
      <c r="C943" s="3">
        <f>IF(OR(INDEX($L$2:$L$1001,MATCH(ROWS($K$2:K943),$K$2:$K$1001,0),1)&gt;=100000,INDEX($R$1005:$W$1005,1,MATCH(COLUMNS($R$1006:S1006),$R$1006:$W$1006,0))&gt;=100000), " ",IF(INDEX($R$2:$W$1001,MATCH(ROWS($K$2:K943),$K$2:$K$1001,0),MATCH(COLUMNS($R$1006:S1006),$R$1006:$W$1006,0)), HYPERLINK("#",""), HYPERLINK(CONCATENATE("#Metadata!", ADDRESS(INDEX($M$2:$M$1001,MATCH(ROWS($K$2:K943),$K$2:$K$1001,0),0), INDEX($R$1004:$W$1004,1,MATCH(COLUMNS($R$1006:S1006),$R$1006:$W$1006,0)))),"Fix")))</f>
        <v>0</v>
      </c>
      <c r="D943" s="3">
        <f>IF(OR(INDEX($L$2:$L$1001,MATCH(ROWS($K$2:K943),$K$2:$K$1001,0),1)&gt;=100000,INDEX($R$1005:$W$1005,1,MATCH(COLUMNS($R$1006:T1006),$R$1006:$W$1006,0))&gt;=100000), " ",IF(INDEX($R$2:$W$1001,MATCH(ROWS($K$2:K943),$K$2:$K$1001,0),MATCH(COLUMNS($R$1006:T1006),$R$1006:$W$1006,0)), HYPERLINK("#",""), HYPERLINK(CONCATENATE("#Metadata!", ADDRESS(INDEX($M$2:$M$1001,MATCH(ROWS($K$2:K943),$K$2:$K$1001,0),0), INDEX($R$1004:$W$1004,1,MATCH(COLUMNS($R$1006:T1006),$R$1006:$W$1006,0)))),"Fix")))</f>
        <v>0</v>
      </c>
      <c r="E943" s="3">
        <f>IF(OR(INDEX($L$2:$L$1001,MATCH(ROWS($K$2:K943),$K$2:$K$1001,0),1)&gt;=100000,INDEX($R$1005:$W$1005,1,MATCH(COLUMNS($R$1006:U1006),$R$1006:$W$1006,0))&gt;=100000), " ",IF(INDEX($R$2:$W$1001,MATCH(ROWS($K$2:K943),$K$2:$K$1001,0),MATCH(COLUMNS($R$1006:U1006),$R$1006:$W$1006,0)), HYPERLINK("#",""), HYPERLINK(CONCATENATE("#Metadata!", ADDRESS(INDEX($M$2:$M$1001,MATCH(ROWS($K$2:K943),$K$2:$K$1001,0),0), INDEX($R$1004:$W$1004,1,MATCH(COLUMNS($R$1006:U1006),$R$1006:$W$1006,0)))),"Fix")))</f>
        <v>0</v>
      </c>
      <c r="F943" s="3">
        <f>IF(OR(INDEX($L$2:$L$1001,MATCH(ROWS($K$2:K943),$K$2:$K$1001,0),1)&gt;=100000,INDEX($R$1005:$W$1005,1,MATCH(COLUMNS($R$1006:V1006),$R$1006:$W$1006,0))&gt;=100000), " ",IF(INDEX($R$2:$W$1001,MATCH(ROWS($K$2:K943),$K$2:$K$1001,0),MATCH(COLUMNS($R$1006:V1006),$R$1006:$W$1006,0)), HYPERLINK("#",""), HYPERLINK(CONCATENATE("#Metadata!", ADDRESS(INDEX($M$2:$M$1001,MATCH(ROWS($K$2:K943),$K$2:$K$1001,0),0), INDEX($R$1004:$W$1004,1,MATCH(COLUMNS($R$1006:V1006),$R$1006:$W$1006,0)))),"Fix")))</f>
        <v>0</v>
      </c>
      <c r="G943" s="3">
        <f>IF(OR(INDEX($L$2:$L$1001,MATCH(ROWS($K$2:K943),$K$2:$K$1001,0),1)&gt;=100000,INDEX($R$1005:$W$1005,1,MATCH(COLUMNS($R$1006:W1006),$R$1006:$W$1006,0))&gt;=100000), " ",IF(INDEX($R$2:$W$1001,MATCH(ROWS($K$2:K943),$K$2:$K$1001,0),MATCH(COLUMNS($R$1006:W1006),$R$1006:$W$1006,0)), HYPERLINK("#",""), HYPERLINK(CONCATENATE("#Metadata!", ADDRESS(INDEX($M$2:$M$1001,MATCH(ROWS($K$2:K943),$K$2:$K$1001,0),0), INDEX($R$1004:$W$1004,1,MATCH(COLUMNS($R$1006:W1006),$R$1006:$W$1006,0)))),"Fix")))</f>
        <v>0</v>
      </c>
      <c r="K943">
        <v>0</v>
      </c>
      <c r="L943">
        <v>0</v>
      </c>
      <c r="M943">
        <v>0</v>
      </c>
      <c r="N943">
        <f>IF(O943,TRUE,AND(R943:W943))</f>
        <v>0</v>
      </c>
      <c r="O943">
        <f>COUNTBLANK(Metadata!B943:G943)=COLUMNS(Metadata!B943:G943)</f>
        <v>0</v>
      </c>
      <c r="P943">
        <v>0</v>
      </c>
      <c r="R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S943">
        <f>IF(Metadata!C943="",FALSE,TRUE)</f>
        <v>0</v>
      </c>
      <c r="T943">
        <f>IF(Metadata!D943="",FALSE,TRUE)</f>
        <v>0</v>
      </c>
      <c r="U943">
        <f>IF(Metadata!E943="",FALSE,TRUE)</f>
        <v>0</v>
      </c>
      <c r="V943">
        <f>AND(IF(Metadata!F943="",FALSE,TRUE),exact(Metadata!F943,"rat gut metagenome"))</f>
        <v>0</v>
      </c>
      <c r="W943">
        <f>AND(IF(Metadata!G943="",FALSE,TRUE),exact(Metadata!G943,"1436733"))</f>
        <v>0</v>
      </c>
    </row>
    <row r="944" spans="1:23">
      <c r="A944" s="4">
        <f>IF(B944=" "," ",HYPERLINK(CONCATENATE("#metadata!",ADDRESS(INDEX($M$2:$M$1001,MATCH(ROWS($K$2:K944),$K$2:$K$1001,0),0),1)),INDEX($P$2:$P$1001,MATCH(ROWS($K$2:K944),$K$2:$K$1001,0),0)))</f>
        <v>0</v>
      </c>
      <c r="B944" s="3">
        <f>IF(OR(INDEX($L$2:$L$1001,MATCH(ROWS($K$2:K944),$K$2:$K$1001,0),1)&gt;=100000,INDEX($R$1005:$W$1005,1,MATCH(COLUMNS($R$1006:R1006),$R$1006:$W$1006,0))&gt;=100000), " ",IF(INDEX($R$2:$W$1001,MATCH(ROWS($K$2:K944),$K$2:$K$1001,0),MATCH(COLUMNS($R$1006:R1006),$R$1006:$W$1006,0)), HYPERLINK("#",""), HYPERLINK(CONCATENATE("#Metadata!", ADDRESS(INDEX($M$2:$M$1001,MATCH(ROWS($K$2:K944),$K$2:$K$1001,0),0), INDEX($R$1004:$W$1004,1,MATCH(COLUMNS($R$1006:R1006),$R$1006:$W$1006,0)))),"Fix")))</f>
        <v>0</v>
      </c>
      <c r="C944" s="3">
        <f>IF(OR(INDEX($L$2:$L$1001,MATCH(ROWS($K$2:K944),$K$2:$K$1001,0),1)&gt;=100000,INDEX($R$1005:$W$1005,1,MATCH(COLUMNS($R$1006:S1006),$R$1006:$W$1006,0))&gt;=100000), " ",IF(INDEX($R$2:$W$1001,MATCH(ROWS($K$2:K944),$K$2:$K$1001,0),MATCH(COLUMNS($R$1006:S1006),$R$1006:$W$1006,0)), HYPERLINK("#",""), HYPERLINK(CONCATENATE("#Metadata!", ADDRESS(INDEX($M$2:$M$1001,MATCH(ROWS($K$2:K944),$K$2:$K$1001,0),0), INDEX($R$1004:$W$1004,1,MATCH(COLUMNS($R$1006:S1006),$R$1006:$W$1006,0)))),"Fix")))</f>
        <v>0</v>
      </c>
      <c r="D944" s="3">
        <f>IF(OR(INDEX($L$2:$L$1001,MATCH(ROWS($K$2:K944),$K$2:$K$1001,0),1)&gt;=100000,INDEX($R$1005:$W$1005,1,MATCH(COLUMNS($R$1006:T1006),$R$1006:$W$1006,0))&gt;=100000), " ",IF(INDEX($R$2:$W$1001,MATCH(ROWS($K$2:K944),$K$2:$K$1001,0),MATCH(COLUMNS($R$1006:T1006),$R$1006:$W$1006,0)), HYPERLINK("#",""), HYPERLINK(CONCATENATE("#Metadata!", ADDRESS(INDEX($M$2:$M$1001,MATCH(ROWS($K$2:K944),$K$2:$K$1001,0),0), INDEX($R$1004:$W$1004,1,MATCH(COLUMNS($R$1006:T1006),$R$1006:$W$1006,0)))),"Fix")))</f>
        <v>0</v>
      </c>
      <c r="E944" s="3">
        <f>IF(OR(INDEX($L$2:$L$1001,MATCH(ROWS($K$2:K944),$K$2:$K$1001,0),1)&gt;=100000,INDEX($R$1005:$W$1005,1,MATCH(COLUMNS($R$1006:U1006),$R$1006:$W$1006,0))&gt;=100000), " ",IF(INDEX($R$2:$W$1001,MATCH(ROWS($K$2:K944),$K$2:$K$1001,0),MATCH(COLUMNS($R$1006:U1006),$R$1006:$W$1006,0)), HYPERLINK("#",""), HYPERLINK(CONCATENATE("#Metadata!", ADDRESS(INDEX($M$2:$M$1001,MATCH(ROWS($K$2:K944),$K$2:$K$1001,0),0), INDEX($R$1004:$W$1004,1,MATCH(COLUMNS($R$1006:U1006),$R$1006:$W$1006,0)))),"Fix")))</f>
        <v>0</v>
      </c>
      <c r="F944" s="3">
        <f>IF(OR(INDEX($L$2:$L$1001,MATCH(ROWS($K$2:K944),$K$2:$K$1001,0),1)&gt;=100000,INDEX($R$1005:$W$1005,1,MATCH(COLUMNS($R$1006:V1006),$R$1006:$W$1006,0))&gt;=100000), " ",IF(INDEX($R$2:$W$1001,MATCH(ROWS($K$2:K944),$K$2:$K$1001,0),MATCH(COLUMNS($R$1006:V1006),$R$1006:$W$1006,0)), HYPERLINK("#",""), HYPERLINK(CONCATENATE("#Metadata!", ADDRESS(INDEX($M$2:$M$1001,MATCH(ROWS($K$2:K944),$K$2:$K$1001,0),0), INDEX($R$1004:$W$1004,1,MATCH(COLUMNS($R$1006:V1006),$R$1006:$W$1006,0)))),"Fix")))</f>
        <v>0</v>
      </c>
      <c r="G944" s="3">
        <f>IF(OR(INDEX($L$2:$L$1001,MATCH(ROWS($K$2:K944),$K$2:$K$1001,0),1)&gt;=100000,INDEX($R$1005:$W$1005,1,MATCH(COLUMNS($R$1006:W1006),$R$1006:$W$1006,0))&gt;=100000), " ",IF(INDEX($R$2:$W$1001,MATCH(ROWS($K$2:K944),$K$2:$K$1001,0),MATCH(COLUMNS($R$1006:W1006),$R$1006:$W$1006,0)), HYPERLINK("#",""), HYPERLINK(CONCATENATE("#Metadata!", ADDRESS(INDEX($M$2:$M$1001,MATCH(ROWS($K$2:K944),$K$2:$K$1001,0),0), INDEX($R$1004:$W$1004,1,MATCH(COLUMNS($R$1006:W1006),$R$1006:$W$1006,0)))),"Fix")))</f>
        <v>0</v>
      </c>
      <c r="K944">
        <v>0</v>
      </c>
      <c r="L944">
        <v>0</v>
      </c>
      <c r="M944">
        <v>0</v>
      </c>
      <c r="N944">
        <f>IF(O944,TRUE,AND(R944:W944))</f>
        <v>0</v>
      </c>
      <c r="O944">
        <f>COUNTBLANK(Metadata!B944:G944)=COLUMNS(Metadata!B944:G944)</f>
        <v>0</v>
      </c>
      <c r="P944">
        <v>0</v>
      </c>
      <c r="R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S944">
        <f>IF(Metadata!C944="",FALSE,TRUE)</f>
        <v>0</v>
      </c>
      <c r="T944">
        <f>IF(Metadata!D944="",FALSE,TRUE)</f>
        <v>0</v>
      </c>
      <c r="U944">
        <f>IF(Metadata!E944="",FALSE,TRUE)</f>
        <v>0</v>
      </c>
      <c r="V944">
        <f>AND(IF(Metadata!F944="",FALSE,TRUE),exact(Metadata!F944,"rat gut metagenome"))</f>
        <v>0</v>
      </c>
      <c r="W944">
        <f>AND(IF(Metadata!G944="",FALSE,TRUE),exact(Metadata!G944,"1436733"))</f>
        <v>0</v>
      </c>
    </row>
    <row r="945" spans="1:23">
      <c r="A945" s="4">
        <f>IF(B945=" "," ",HYPERLINK(CONCATENATE("#metadata!",ADDRESS(INDEX($M$2:$M$1001,MATCH(ROWS($K$2:K945),$K$2:$K$1001,0),0),1)),INDEX($P$2:$P$1001,MATCH(ROWS($K$2:K945),$K$2:$K$1001,0),0)))</f>
        <v>0</v>
      </c>
      <c r="B945" s="3">
        <f>IF(OR(INDEX($L$2:$L$1001,MATCH(ROWS($K$2:K945),$K$2:$K$1001,0),1)&gt;=100000,INDEX($R$1005:$W$1005,1,MATCH(COLUMNS($R$1006:R1006),$R$1006:$W$1006,0))&gt;=100000), " ",IF(INDEX($R$2:$W$1001,MATCH(ROWS($K$2:K945),$K$2:$K$1001,0),MATCH(COLUMNS($R$1006:R1006),$R$1006:$W$1006,0)), HYPERLINK("#",""), HYPERLINK(CONCATENATE("#Metadata!", ADDRESS(INDEX($M$2:$M$1001,MATCH(ROWS($K$2:K945),$K$2:$K$1001,0),0), INDEX($R$1004:$W$1004,1,MATCH(COLUMNS($R$1006:R1006),$R$1006:$W$1006,0)))),"Fix")))</f>
        <v>0</v>
      </c>
      <c r="C945" s="3">
        <f>IF(OR(INDEX($L$2:$L$1001,MATCH(ROWS($K$2:K945),$K$2:$K$1001,0),1)&gt;=100000,INDEX($R$1005:$W$1005,1,MATCH(COLUMNS($R$1006:S1006),$R$1006:$W$1006,0))&gt;=100000), " ",IF(INDEX($R$2:$W$1001,MATCH(ROWS($K$2:K945),$K$2:$K$1001,0),MATCH(COLUMNS($R$1006:S1006),$R$1006:$W$1006,0)), HYPERLINK("#",""), HYPERLINK(CONCATENATE("#Metadata!", ADDRESS(INDEX($M$2:$M$1001,MATCH(ROWS($K$2:K945),$K$2:$K$1001,0),0), INDEX($R$1004:$W$1004,1,MATCH(COLUMNS($R$1006:S1006),$R$1006:$W$1006,0)))),"Fix")))</f>
        <v>0</v>
      </c>
      <c r="D945" s="3">
        <f>IF(OR(INDEX($L$2:$L$1001,MATCH(ROWS($K$2:K945),$K$2:$K$1001,0),1)&gt;=100000,INDEX($R$1005:$W$1005,1,MATCH(COLUMNS($R$1006:T1006),$R$1006:$W$1006,0))&gt;=100000), " ",IF(INDEX($R$2:$W$1001,MATCH(ROWS($K$2:K945),$K$2:$K$1001,0),MATCH(COLUMNS($R$1006:T1006),$R$1006:$W$1006,0)), HYPERLINK("#",""), HYPERLINK(CONCATENATE("#Metadata!", ADDRESS(INDEX($M$2:$M$1001,MATCH(ROWS($K$2:K945),$K$2:$K$1001,0),0), INDEX($R$1004:$W$1004,1,MATCH(COLUMNS($R$1006:T1006),$R$1006:$W$1006,0)))),"Fix")))</f>
        <v>0</v>
      </c>
      <c r="E945" s="3">
        <f>IF(OR(INDEX($L$2:$L$1001,MATCH(ROWS($K$2:K945),$K$2:$K$1001,0),1)&gt;=100000,INDEX($R$1005:$W$1005,1,MATCH(COLUMNS($R$1006:U1006),$R$1006:$W$1006,0))&gt;=100000), " ",IF(INDEX($R$2:$W$1001,MATCH(ROWS($K$2:K945),$K$2:$K$1001,0),MATCH(COLUMNS($R$1006:U1006),$R$1006:$W$1006,0)), HYPERLINK("#",""), HYPERLINK(CONCATENATE("#Metadata!", ADDRESS(INDEX($M$2:$M$1001,MATCH(ROWS($K$2:K945),$K$2:$K$1001,0),0), INDEX($R$1004:$W$1004,1,MATCH(COLUMNS($R$1006:U1006),$R$1006:$W$1006,0)))),"Fix")))</f>
        <v>0</v>
      </c>
      <c r="F945" s="3">
        <f>IF(OR(INDEX($L$2:$L$1001,MATCH(ROWS($K$2:K945),$K$2:$K$1001,0),1)&gt;=100000,INDEX($R$1005:$W$1005,1,MATCH(COLUMNS($R$1006:V1006),$R$1006:$W$1006,0))&gt;=100000), " ",IF(INDEX($R$2:$W$1001,MATCH(ROWS($K$2:K945),$K$2:$K$1001,0),MATCH(COLUMNS($R$1006:V1006),$R$1006:$W$1006,0)), HYPERLINK("#",""), HYPERLINK(CONCATENATE("#Metadata!", ADDRESS(INDEX($M$2:$M$1001,MATCH(ROWS($K$2:K945),$K$2:$K$1001,0),0), INDEX($R$1004:$W$1004,1,MATCH(COLUMNS($R$1006:V1006),$R$1006:$W$1006,0)))),"Fix")))</f>
        <v>0</v>
      </c>
      <c r="G945" s="3">
        <f>IF(OR(INDEX($L$2:$L$1001,MATCH(ROWS($K$2:K945),$K$2:$K$1001,0),1)&gt;=100000,INDEX($R$1005:$W$1005,1,MATCH(COLUMNS($R$1006:W1006),$R$1006:$W$1006,0))&gt;=100000), " ",IF(INDEX($R$2:$W$1001,MATCH(ROWS($K$2:K945),$K$2:$K$1001,0),MATCH(COLUMNS($R$1006:W1006),$R$1006:$W$1006,0)), HYPERLINK("#",""), HYPERLINK(CONCATENATE("#Metadata!", ADDRESS(INDEX($M$2:$M$1001,MATCH(ROWS($K$2:K945),$K$2:$K$1001,0),0), INDEX($R$1004:$W$1004,1,MATCH(COLUMNS($R$1006:W1006),$R$1006:$W$1006,0)))),"Fix")))</f>
        <v>0</v>
      </c>
      <c r="K945">
        <v>0</v>
      </c>
      <c r="L945">
        <v>0</v>
      </c>
      <c r="M945">
        <v>0</v>
      </c>
      <c r="N945">
        <f>IF(O945,TRUE,AND(R945:W945))</f>
        <v>0</v>
      </c>
      <c r="O945">
        <f>COUNTBLANK(Metadata!B945:G945)=COLUMNS(Metadata!B945:G945)</f>
        <v>0</v>
      </c>
      <c r="P945">
        <v>0</v>
      </c>
      <c r="R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S945">
        <f>IF(Metadata!C945="",FALSE,TRUE)</f>
        <v>0</v>
      </c>
      <c r="T945">
        <f>IF(Metadata!D945="",FALSE,TRUE)</f>
        <v>0</v>
      </c>
      <c r="U945">
        <f>IF(Metadata!E945="",FALSE,TRUE)</f>
        <v>0</v>
      </c>
      <c r="V945">
        <f>AND(IF(Metadata!F945="",FALSE,TRUE),exact(Metadata!F945,"rat gut metagenome"))</f>
        <v>0</v>
      </c>
      <c r="W945">
        <f>AND(IF(Metadata!G945="",FALSE,TRUE),exact(Metadata!G945,"1436733"))</f>
        <v>0</v>
      </c>
    </row>
    <row r="946" spans="1:23">
      <c r="A946" s="4">
        <f>IF(B946=" "," ",HYPERLINK(CONCATENATE("#metadata!",ADDRESS(INDEX($M$2:$M$1001,MATCH(ROWS($K$2:K946),$K$2:$K$1001,0),0),1)),INDEX($P$2:$P$1001,MATCH(ROWS($K$2:K946),$K$2:$K$1001,0),0)))</f>
        <v>0</v>
      </c>
      <c r="B946" s="3">
        <f>IF(OR(INDEX($L$2:$L$1001,MATCH(ROWS($K$2:K946),$K$2:$K$1001,0),1)&gt;=100000,INDEX($R$1005:$W$1005,1,MATCH(COLUMNS($R$1006:R1006),$R$1006:$W$1006,0))&gt;=100000), " ",IF(INDEX($R$2:$W$1001,MATCH(ROWS($K$2:K946),$K$2:$K$1001,0),MATCH(COLUMNS($R$1006:R1006),$R$1006:$W$1006,0)), HYPERLINK("#",""), HYPERLINK(CONCATENATE("#Metadata!", ADDRESS(INDEX($M$2:$M$1001,MATCH(ROWS($K$2:K946),$K$2:$K$1001,0),0), INDEX($R$1004:$W$1004,1,MATCH(COLUMNS($R$1006:R1006),$R$1006:$W$1006,0)))),"Fix")))</f>
        <v>0</v>
      </c>
      <c r="C946" s="3">
        <f>IF(OR(INDEX($L$2:$L$1001,MATCH(ROWS($K$2:K946),$K$2:$K$1001,0),1)&gt;=100000,INDEX($R$1005:$W$1005,1,MATCH(COLUMNS($R$1006:S1006),$R$1006:$W$1006,0))&gt;=100000), " ",IF(INDEX($R$2:$W$1001,MATCH(ROWS($K$2:K946),$K$2:$K$1001,0),MATCH(COLUMNS($R$1006:S1006),$R$1006:$W$1006,0)), HYPERLINK("#",""), HYPERLINK(CONCATENATE("#Metadata!", ADDRESS(INDEX($M$2:$M$1001,MATCH(ROWS($K$2:K946),$K$2:$K$1001,0),0), INDEX($R$1004:$W$1004,1,MATCH(COLUMNS($R$1006:S1006),$R$1006:$W$1006,0)))),"Fix")))</f>
        <v>0</v>
      </c>
      <c r="D946" s="3">
        <f>IF(OR(INDEX($L$2:$L$1001,MATCH(ROWS($K$2:K946),$K$2:$K$1001,0),1)&gt;=100000,INDEX($R$1005:$W$1005,1,MATCH(COLUMNS($R$1006:T1006),$R$1006:$W$1006,0))&gt;=100000), " ",IF(INDEX($R$2:$W$1001,MATCH(ROWS($K$2:K946),$K$2:$K$1001,0),MATCH(COLUMNS($R$1006:T1006),$R$1006:$W$1006,0)), HYPERLINK("#",""), HYPERLINK(CONCATENATE("#Metadata!", ADDRESS(INDEX($M$2:$M$1001,MATCH(ROWS($K$2:K946),$K$2:$K$1001,0),0), INDEX($R$1004:$W$1004,1,MATCH(COLUMNS($R$1006:T1006),$R$1006:$W$1006,0)))),"Fix")))</f>
        <v>0</v>
      </c>
      <c r="E946" s="3">
        <f>IF(OR(INDEX($L$2:$L$1001,MATCH(ROWS($K$2:K946),$K$2:$K$1001,0),1)&gt;=100000,INDEX($R$1005:$W$1005,1,MATCH(COLUMNS($R$1006:U1006),$R$1006:$W$1006,0))&gt;=100000), " ",IF(INDEX($R$2:$W$1001,MATCH(ROWS($K$2:K946),$K$2:$K$1001,0),MATCH(COLUMNS($R$1006:U1006),$R$1006:$W$1006,0)), HYPERLINK("#",""), HYPERLINK(CONCATENATE("#Metadata!", ADDRESS(INDEX($M$2:$M$1001,MATCH(ROWS($K$2:K946),$K$2:$K$1001,0),0), INDEX($R$1004:$W$1004,1,MATCH(COLUMNS($R$1006:U1006),$R$1006:$W$1006,0)))),"Fix")))</f>
        <v>0</v>
      </c>
      <c r="F946" s="3">
        <f>IF(OR(INDEX($L$2:$L$1001,MATCH(ROWS($K$2:K946),$K$2:$K$1001,0),1)&gt;=100000,INDEX($R$1005:$W$1005,1,MATCH(COLUMNS($R$1006:V1006),$R$1006:$W$1006,0))&gt;=100000), " ",IF(INDEX($R$2:$W$1001,MATCH(ROWS($K$2:K946),$K$2:$K$1001,0),MATCH(COLUMNS($R$1006:V1006),$R$1006:$W$1006,0)), HYPERLINK("#",""), HYPERLINK(CONCATENATE("#Metadata!", ADDRESS(INDEX($M$2:$M$1001,MATCH(ROWS($K$2:K946),$K$2:$K$1001,0),0), INDEX($R$1004:$W$1004,1,MATCH(COLUMNS($R$1006:V1006),$R$1006:$W$1006,0)))),"Fix")))</f>
        <v>0</v>
      </c>
      <c r="G946" s="3">
        <f>IF(OR(INDEX($L$2:$L$1001,MATCH(ROWS($K$2:K946),$K$2:$K$1001,0),1)&gt;=100000,INDEX($R$1005:$W$1005,1,MATCH(COLUMNS($R$1006:W1006),$R$1006:$W$1006,0))&gt;=100000), " ",IF(INDEX($R$2:$W$1001,MATCH(ROWS($K$2:K946),$K$2:$K$1001,0),MATCH(COLUMNS($R$1006:W1006),$R$1006:$W$1006,0)), HYPERLINK("#",""), HYPERLINK(CONCATENATE("#Metadata!", ADDRESS(INDEX($M$2:$M$1001,MATCH(ROWS($K$2:K946),$K$2:$K$1001,0),0), INDEX($R$1004:$W$1004,1,MATCH(COLUMNS($R$1006:W1006),$R$1006:$W$1006,0)))),"Fix")))</f>
        <v>0</v>
      </c>
      <c r="K946">
        <v>0</v>
      </c>
      <c r="L946">
        <v>0</v>
      </c>
      <c r="M946">
        <v>0</v>
      </c>
      <c r="N946">
        <f>IF(O946,TRUE,AND(R946:W946))</f>
        <v>0</v>
      </c>
      <c r="O946">
        <f>COUNTBLANK(Metadata!B946:G946)=COLUMNS(Metadata!B946:G946)</f>
        <v>0</v>
      </c>
      <c r="P946">
        <v>0</v>
      </c>
      <c r="R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S946">
        <f>IF(Metadata!C946="",FALSE,TRUE)</f>
        <v>0</v>
      </c>
      <c r="T946">
        <f>IF(Metadata!D946="",FALSE,TRUE)</f>
        <v>0</v>
      </c>
      <c r="U946">
        <f>IF(Metadata!E946="",FALSE,TRUE)</f>
        <v>0</v>
      </c>
      <c r="V946">
        <f>AND(IF(Metadata!F946="",FALSE,TRUE),exact(Metadata!F946,"rat gut metagenome"))</f>
        <v>0</v>
      </c>
      <c r="W946">
        <f>AND(IF(Metadata!G946="",FALSE,TRUE),exact(Metadata!G946,"1436733"))</f>
        <v>0</v>
      </c>
    </row>
    <row r="947" spans="1:23">
      <c r="A947" s="4">
        <f>IF(B947=" "," ",HYPERLINK(CONCATENATE("#metadata!",ADDRESS(INDEX($M$2:$M$1001,MATCH(ROWS($K$2:K947),$K$2:$K$1001,0),0),1)),INDEX($P$2:$P$1001,MATCH(ROWS($K$2:K947),$K$2:$K$1001,0),0)))</f>
        <v>0</v>
      </c>
      <c r="B947" s="3">
        <f>IF(OR(INDEX($L$2:$L$1001,MATCH(ROWS($K$2:K947),$K$2:$K$1001,0),1)&gt;=100000,INDEX($R$1005:$W$1005,1,MATCH(COLUMNS($R$1006:R1006),$R$1006:$W$1006,0))&gt;=100000), " ",IF(INDEX($R$2:$W$1001,MATCH(ROWS($K$2:K947),$K$2:$K$1001,0),MATCH(COLUMNS($R$1006:R1006),$R$1006:$W$1006,0)), HYPERLINK("#",""), HYPERLINK(CONCATENATE("#Metadata!", ADDRESS(INDEX($M$2:$M$1001,MATCH(ROWS($K$2:K947),$K$2:$K$1001,0),0), INDEX($R$1004:$W$1004,1,MATCH(COLUMNS($R$1006:R1006),$R$1006:$W$1006,0)))),"Fix")))</f>
        <v>0</v>
      </c>
      <c r="C947" s="3">
        <f>IF(OR(INDEX($L$2:$L$1001,MATCH(ROWS($K$2:K947),$K$2:$K$1001,0),1)&gt;=100000,INDEX($R$1005:$W$1005,1,MATCH(COLUMNS($R$1006:S1006),$R$1006:$W$1006,0))&gt;=100000), " ",IF(INDEX($R$2:$W$1001,MATCH(ROWS($K$2:K947),$K$2:$K$1001,0),MATCH(COLUMNS($R$1006:S1006),$R$1006:$W$1006,0)), HYPERLINK("#",""), HYPERLINK(CONCATENATE("#Metadata!", ADDRESS(INDEX($M$2:$M$1001,MATCH(ROWS($K$2:K947),$K$2:$K$1001,0),0), INDEX($R$1004:$W$1004,1,MATCH(COLUMNS($R$1006:S1006),$R$1006:$W$1006,0)))),"Fix")))</f>
        <v>0</v>
      </c>
      <c r="D947" s="3">
        <f>IF(OR(INDEX($L$2:$L$1001,MATCH(ROWS($K$2:K947),$K$2:$K$1001,0),1)&gt;=100000,INDEX($R$1005:$W$1005,1,MATCH(COLUMNS($R$1006:T1006),$R$1006:$W$1006,0))&gt;=100000), " ",IF(INDEX($R$2:$W$1001,MATCH(ROWS($K$2:K947),$K$2:$K$1001,0),MATCH(COLUMNS($R$1006:T1006),$R$1006:$W$1006,0)), HYPERLINK("#",""), HYPERLINK(CONCATENATE("#Metadata!", ADDRESS(INDEX($M$2:$M$1001,MATCH(ROWS($K$2:K947),$K$2:$K$1001,0),0), INDEX($R$1004:$W$1004,1,MATCH(COLUMNS($R$1006:T1006),$R$1006:$W$1006,0)))),"Fix")))</f>
        <v>0</v>
      </c>
      <c r="E947" s="3">
        <f>IF(OR(INDEX($L$2:$L$1001,MATCH(ROWS($K$2:K947),$K$2:$K$1001,0),1)&gt;=100000,INDEX($R$1005:$W$1005,1,MATCH(COLUMNS($R$1006:U1006),$R$1006:$W$1006,0))&gt;=100000), " ",IF(INDEX($R$2:$W$1001,MATCH(ROWS($K$2:K947),$K$2:$K$1001,0),MATCH(COLUMNS($R$1006:U1006),$R$1006:$W$1006,0)), HYPERLINK("#",""), HYPERLINK(CONCATENATE("#Metadata!", ADDRESS(INDEX($M$2:$M$1001,MATCH(ROWS($K$2:K947),$K$2:$K$1001,0),0), INDEX($R$1004:$W$1004,1,MATCH(COLUMNS($R$1006:U1006),$R$1006:$W$1006,0)))),"Fix")))</f>
        <v>0</v>
      </c>
      <c r="F947" s="3">
        <f>IF(OR(INDEX($L$2:$L$1001,MATCH(ROWS($K$2:K947),$K$2:$K$1001,0),1)&gt;=100000,INDEX($R$1005:$W$1005,1,MATCH(COLUMNS($R$1006:V1006),$R$1006:$W$1006,0))&gt;=100000), " ",IF(INDEX($R$2:$W$1001,MATCH(ROWS($K$2:K947),$K$2:$K$1001,0),MATCH(COLUMNS($R$1006:V1006),$R$1006:$W$1006,0)), HYPERLINK("#",""), HYPERLINK(CONCATENATE("#Metadata!", ADDRESS(INDEX($M$2:$M$1001,MATCH(ROWS($K$2:K947),$K$2:$K$1001,0),0), INDEX($R$1004:$W$1004,1,MATCH(COLUMNS($R$1006:V1006),$R$1006:$W$1006,0)))),"Fix")))</f>
        <v>0</v>
      </c>
      <c r="G947" s="3">
        <f>IF(OR(INDEX($L$2:$L$1001,MATCH(ROWS($K$2:K947),$K$2:$K$1001,0),1)&gt;=100000,INDEX($R$1005:$W$1005,1,MATCH(COLUMNS($R$1006:W1006),$R$1006:$W$1006,0))&gt;=100000), " ",IF(INDEX($R$2:$W$1001,MATCH(ROWS($K$2:K947),$K$2:$K$1001,0),MATCH(COLUMNS($R$1006:W1006),$R$1006:$W$1006,0)), HYPERLINK("#",""), HYPERLINK(CONCATENATE("#Metadata!", ADDRESS(INDEX($M$2:$M$1001,MATCH(ROWS($K$2:K947),$K$2:$K$1001,0),0), INDEX($R$1004:$W$1004,1,MATCH(COLUMNS($R$1006:W1006),$R$1006:$W$1006,0)))),"Fix")))</f>
        <v>0</v>
      </c>
      <c r="K947">
        <v>0</v>
      </c>
      <c r="L947">
        <v>0</v>
      </c>
      <c r="M947">
        <v>0</v>
      </c>
      <c r="N947">
        <f>IF(O947,TRUE,AND(R947:W947))</f>
        <v>0</v>
      </c>
      <c r="O947">
        <f>COUNTBLANK(Metadata!B947:G947)=COLUMNS(Metadata!B947:G947)</f>
        <v>0</v>
      </c>
      <c r="P947">
        <v>0</v>
      </c>
      <c r="R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S947">
        <f>IF(Metadata!C947="",FALSE,TRUE)</f>
        <v>0</v>
      </c>
      <c r="T947">
        <f>IF(Metadata!D947="",FALSE,TRUE)</f>
        <v>0</v>
      </c>
      <c r="U947">
        <f>IF(Metadata!E947="",FALSE,TRUE)</f>
        <v>0</v>
      </c>
      <c r="V947">
        <f>AND(IF(Metadata!F947="",FALSE,TRUE),exact(Metadata!F947,"rat gut metagenome"))</f>
        <v>0</v>
      </c>
      <c r="W947">
        <f>AND(IF(Metadata!G947="",FALSE,TRUE),exact(Metadata!G947,"1436733"))</f>
        <v>0</v>
      </c>
    </row>
    <row r="948" spans="1:23">
      <c r="A948" s="4">
        <f>IF(B948=" "," ",HYPERLINK(CONCATENATE("#metadata!",ADDRESS(INDEX($M$2:$M$1001,MATCH(ROWS($K$2:K948),$K$2:$K$1001,0),0),1)),INDEX($P$2:$P$1001,MATCH(ROWS($K$2:K948),$K$2:$K$1001,0),0)))</f>
        <v>0</v>
      </c>
      <c r="B948" s="3">
        <f>IF(OR(INDEX($L$2:$L$1001,MATCH(ROWS($K$2:K948),$K$2:$K$1001,0),1)&gt;=100000,INDEX($R$1005:$W$1005,1,MATCH(COLUMNS($R$1006:R1006),$R$1006:$W$1006,0))&gt;=100000), " ",IF(INDEX($R$2:$W$1001,MATCH(ROWS($K$2:K948),$K$2:$K$1001,0),MATCH(COLUMNS($R$1006:R1006),$R$1006:$W$1006,0)), HYPERLINK("#",""), HYPERLINK(CONCATENATE("#Metadata!", ADDRESS(INDEX($M$2:$M$1001,MATCH(ROWS($K$2:K948),$K$2:$K$1001,0),0), INDEX($R$1004:$W$1004,1,MATCH(COLUMNS($R$1006:R1006),$R$1006:$W$1006,0)))),"Fix")))</f>
        <v>0</v>
      </c>
      <c r="C948" s="3">
        <f>IF(OR(INDEX($L$2:$L$1001,MATCH(ROWS($K$2:K948),$K$2:$K$1001,0),1)&gt;=100000,INDEX($R$1005:$W$1005,1,MATCH(COLUMNS($R$1006:S1006),$R$1006:$W$1006,0))&gt;=100000), " ",IF(INDEX($R$2:$W$1001,MATCH(ROWS($K$2:K948),$K$2:$K$1001,0),MATCH(COLUMNS($R$1006:S1006),$R$1006:$W$1006,0)), HYPERLINK("#",""), HYPERLINK(CONCATENATE("#Metadata!", ADDRESS(INDEX($M$2:$M$1001,MATCH(ROWS($K$2:K948),$K$2:$K$1001,0),0), INDEX($R$1004:$W$1004,1,MATCH(COLUMNS($R$1006:S1006),$R$1006:$W$1006,0)))),"Fix")))</f>
        <v>0</v>
      </c>
      <c r="D948" s="3">
        <f>IF(OR(INDEX($L$2:$L$1001,MATCH(ROWS($K$2:K948),$K$2:$K$1001,0),1)&gt;=100000,INDEX($R$1005:$W$1005,1,MATCH(COLUMNS($R$1006:T1006),$R$1006:$W$1006,0))&gt;=100000), " ",IF(INDEX($R$2:$W$1001,MATCH(ROWS($K$2:K948),$K$2:$K$1001,0),MATCH(COLUMNS($R$1006:T1006),$R$1006:$W$1006,0)), HYPERLINK("#",""), HYPERLINK(CONCATENATE("#Metadata!", ADDRESS(INDEX($M$2:$M$1001,MATCH(ROWS($K$2:K948),$K$2:$K$1001,0),0), INDEX($R$1004:$W$1004,1,MATCH(COLUMNS($R$1006:T1006),$R$1006:$W$1006,0)))),"Fix")))</f>
        <v>0</v>
      </c>
      <c r="E948" s="3">
        <f>IF(OR(INDEX($L$2:$L$1001,MATCH(ROWS($K$2:K948),$K$2:$K$1001,0),1)&gt;=100000,INDEX($R$1005:$W$1005,1,MATCH(COLUMNS($R$1006:U1006),$R$1006:$W$1006,0))&gt;=100000), " ",IF(INDEX($R$2:$W$1001,MATCH(ROWS($K$2:K948),$K$2:$K$1001,0),MATCH(COLUMNS($R$1006:U1006),$R$1006:$W$1006,0)), HYPERLINK("#",""), HYPERLINK(CONCATENATE("#Metadata!", ADDRESS(INDEX($M$2:$M$1001,MATCH(ROWS($K$2:K948),$K$2:$K$1001,0),0), INDEX($R$1004:$W$1004,1,MATCH(COLUMNS($R$1006:U1006),$R$1006:$W$1006,0)))),"Fix")))</f>
        <v>0</v>
      </c>
      <c r="F948" s="3">
        <f>IF(OR(INDEX($L$2:$L$1001,MATCH(ROWS($K$2:K948),$K$2:$K$1001,0),1)&gt;=100000,INDEX($R$1005:$W$1005,1,MATCH(COLUMNS($R$1006:V1006),$R$1006:$W$1006,0))&gt;=100000), " ",IF(INDEX($R$2:$W$1001,MATCH(ROWS($K$2:K948),$K$2:$K$1001,0),MATCH(COLUMNS($R$1006:V1006),$R$1006:$W$1006,0)), HYPERLINK("#",""), HYPERLINK(CONCATENATE("#Metadata!", ADDRESS(INDEX($M$2:$M$1001,MATCH(ROWS($K$2:K948),$K$2:$K$1001,0),0), INDEX($R$1004:$W$1004,1,MATCH(COLUMNS($R$1006:V1006),$R$1006:$W$1006,0)))),"Fix")))</f>
        <v>0</v>
      </c>
      <c r="G948" s="3">
        <f>IF(OR(INDEX($L$2:$L$1001,MATCH(ROWS($K$2:K948),$K$2:$K$1001,0),1)&gt;=100000,INDEX($R$1005:$W$1005,1,MATCH(COLUMNS($R$1006:W1006),$R$1006:$W$1006,0))&gt;=100000), " ",IF(INDEX($R$2:$W$1001,MATCH(ROWS($K$2:K948),$K$2:$K$1001,0),MATCH(COLUMNS($R$1006:W1006),$R$1006:$W$1006,0)), HYPERLINK("#",""), HYPERLINK(CONCATENATE("#Metadata!", ADDRESS(INDEX($M$2:$M$1001,MATCH(ROWS($K$2:K948),$K$2:$K$1001,0),0), INDEX($R$1004:$W$1004,1,MATCH(COLUMNS($R$1006:W1006),$R$1006:$W$1006,0)))),"Fix")))</f>
        <v>0</v>
      </c>
      <c r="K948">
        <v>0</v>
      </c>
      <c r="L948">
        <v>0</v>
      </c>
      <c r="M948">
        <v>0</v>
      </c>
      <c r="N948">
        <f>IF(O948,TRUE,AND(R948:W948))</f>
        <v>0</v>
      </c>
      <c r="O948">
        <f>COUNTBLANK(Metadata!B948:G948)=COLUMNS(Metadata!B948:G948)</f>
        <v>0</v>
      </c>
      <c r="P948">
        <v>0</v>
      </c>
      <c r="R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S948">
        <f>IF(Metadata!C948="",FALSE,TRUE)</f>
        <v>0</v>
      </c>
      <c r="T948">
        <f>IF(Metadata!D948="",FALSE,TRUE)</f>
        <v>0</v>
      </c>
      <c r="U948">
        <f>IF(Metadata!E948="",FALSE,TRUE)</f>
        <v>0</v>
      </c>
      <c r="V948">
        <f>AND(IF(Metadata!F948="",FALSE,TRUE),exact(Metadata!F948,"rat gut metagenome"))</f>
        <v>0</v>
      </c>
      <c r="W948">
        <f>AND(IF(Metadata!G948="",FALSE,TRUE),exact(Metadata!G948,"1436733"))</f>
        <v>0</v>
      </c>
    </row>
    <row r="949" spans="1:23">
      <c r="A949" s="4">
        <f>IF(B949=" "," ",HYPERLINK(CONCATENATE("#metadata!",ADDRESS(INDEX($M$2:$M$1001,MATCH(ROWS($K$2:K949),$K$2:$K$1001,0),0),1)),INDEX($P$2:$P$1001,MATCH(ROWS($K$2:K949),$K$2:$K$1001,0),0)))</f>
        <v>0</v>
      </c>
      <c r="B949" s="3">
        <f>IF(OR(INDEX($L$2:$L$1001,MATCH(ROWS($K$2:K949),$K$2:$K$1001,0),1)&gt;=100000,INDEX($R$1005:$W$1005,1,MATCH(COLUMNS($R$1006:R1006),$R$1006:$W$1006,0))&gt;=100000), " ",IF(INDEX($R$2:$W$1001,MATCH(ROWS($K$2:K949),$K$2:$K$1001,0),MATCH(COLUMNS($R$1006:R1006),$R$1006:$W$1006,0)), HYPERLINK("#",""), HYPERLINK(CONCATENATE("#Metadata!", ADDRESS(INDEX($M$2:$M$1001,MATCH(ROWS($K$2:K949),$K$2:$K$1001,0),0), INDEX($R$1004:$W$1004,1,MATCH(COLUMNS($R$1006:R1006),$R$1006:$W$1006,0)))),"Fix")))</f>
        <v>0</v>
      </c>
      <c r="C949" s="3">
        <f>IF(OR(INDEX($L$2:$L$1001,MATCH(ROWS($K$2:K949),$K$2:$K$1001,0),1)&gt;=100000,INDEX($R$1005:$W$1005,1,MATCH(COLUMNS($R$1006:S1006),$R$1006:$W$1006,0))&gt;=100000), " ",IF(INDEX($R$2:$W$1001,MATCH(ROWS($K$2:K949),$K$2:$K$1001,0),MATCH(COLUMNS($R$1006:S1006),$R$1006:$W$1006,0)), HYPERLINK("#",""), HYPERLINK(CONCATENATE("#Metadata!", ADDRESS(INDEX($M$2:$M$1001,MATCH(ROWS($K$2:K949),$K$2:$K$1001,0),0), INDEX($R$1004:$W$1004,1,MATCH(COLUMNS($R$1006:S1006),$R$1006:$W$1006,0)))),"Fix")))</f>
        <v>0</v>
      </c>
      <c r="D949" s="3">
        <f>IF(OR(INDEX($L$2:$L$1001,MATCH(ROWS($K$2:K949),$K$2:$K$1001,0),1)&gt;=100000,INDEX($R$1005:$W$1005,1,MATCH(COLUMNS($R$1006:T1006),$R$1006:$W$1006,0))&gt;=100000), " ",IF(INDEX($R$2:$W$1001,MATCH(ROWS($K$2:K949),$K$2:$K$1001,0),MATCH(COLUMNS($R$1006:T1006),$R$1006:$W$1006,0)), HYPERLINK("#",""), HYPERLINK(CONCATENATE("#Metadata!", ADDRESS(INDEX($M$2:$M$1001,MATCH(ROWS($K$2:K949),$K$2:$K$1001,0),0), INDEX($R$1004:$W$1004,1,MATCH(COLUMNS($R$1006:T1006),$R$1006:$W$1006,0)))),"Fix")))</f>
        <v>0</v>
      </c>
      <c r="E949" s="3">
        <f>IF(OR(INDEX($L$2:$L$1001,MATCH(ROWS($K$2:K949),$K$2:$K$1001,0),1)&gt;=100000,INDEX($R$1005:$W$1005,1,MATCH(COLUMNS($R$1006:U1006),$R$1006:$W$1006,0))&gt;=100000), " ",IF(INDEX($R$2:$W$1001,MATCH(ROWS($K$2:K949),$K$2:$K$1001,0),MATCH(COLUMNS($R$1006:U1006),$R$1006:$W$1006,0)), HYPERLINK("#",""), HYPERLINK(CONCATENATE("#Metadata!", ADDRESS(INDEX($M$2:$M$1001,MATCH(ROWS($K$2:K949),$K$2:$K$1001,0),0), INDEX($R$1004:$W$1004,1,MATCH(COLUMNS($R$1006:U1006),$R$1006:$W$1006,0)))),"Fix")))</f>
        <v>0</v>
      </c>
      <c r="F949" s="3">
        <f>IF(OR(INDEX($L$2:$L$1001,MATCH(ROWS($K$2:K949),$K$2:$K$1001,0),1)&gt;=100000,INDEX($R$1005:$W$1005,1,MATCH(COLUMNS($R$1006:V1006),$R$1006:$W$1006,0))&gt;=100000), " ",IF(INDEX($R$2:$W$1001,MATCH(ROWS($K$2:K949),$K$2:$K$1001,0),MATCH(COLUMNS($R$1006:V1006),$R$1006:$W$1006,0)), HYPERLINK("#",""), HYPERLINK(CONCATENATE("#Metadata!", ADDRESS(INDEX($M$2:$M$1001,MATCH(ROWS($K$2:K949),$K$2:$K$1001,0),0), INDEX($R$1004:$W$1004,1,MATCH(COLUMNS($R$1006:V1006),$R$1006:$W$1006,0)))),"Fix")))</f>
        <v>0</v>
      </c>
      <c r="G949" s="3">
        <f>IF(OR(INDEX($L$2:$L$1001,MATCH(ROWS($K$2:K949),$K$2:$K$1001,0),1)&gt;=100000,INDEX($R$1005:$W$1005,1,MATCH(COLUMNS($R$1006:W1006),$R$1006:$W$1006,0))&gt;=100000), " ",IF(INDEX($R$2:$W$1001,MATCH(ROWS($K$2:K949),$K$2:$K$1001,0),MATCH(COLUMNS($R$1006:W1006),$R$1006:$W$1006,0)), HYPERLINK("#",""), HYPERLINK(CONCATENATE("#Metadata!", ADDRESS(INDEX($M$2:$M$1001,MATCH(ROWS($K$2:K949),$K$2:$K$1001,0),0), INDEX($R$1004:$W$1004,1,MATCH(COLUMNS($R$1006:W1006),$R$1006:$W$1006,0)))),"Fix")))</f>
        <v>0</v>
      </c>
      <c r="K949">
        <v>0</v>
      </c>
      <c r="L949">
        <v>0</v>
      </c>
      <c r="M949">
        <v>0</v>
      </c>
      <c r="N949">
        <f>IF(O949,TRUE,AND(R949:W949))</f>
        <v>0</v>
      </c>
      <c r="O949">
        <f>COUNTBLANK(Metadata!B949:G949)=COLUMNS(Metadata!B949:G949)</f>
        <v>0</v>
      </c>
      <c r="P949">
        <v>0</v>
      </c>
      <c r="R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S949">
        <f>IF(Metadata!C949="",FALSE,TRUE)</f>
        <v>0</v>
      </c>
      <c r="T949">
        <f>IF(Metadata!D949="",FALSE,TRUE)</f>
        <v>0</v>
      </c>
      <c r="U949">
        <f>IF(Metadata!E949="",FALSE,TRUE)</f>
        <v>0</v>
      </c>
      <c r="V949">
        <f>AND(IF(Metadata!F949="",FALSE,TRUE),exact(Metadata!F949,"rat gut metagenome"))</f>
        <v>0</v>
      </c>
      <c r="W949">
        <f>AND(IF(Metadata!G949="",FALSE,TRUE),exact(Metadata!G949,"1436733"))</f>
        <v>0</v>
      </c>
    </row>
    <row r="950" spans="1:23">
      <c r="A950" s="4">
        <f>IF(B950=" "," ",HYPERLINK(CONCATENATE("#metadata!",ADDRESS(INDEX($M$2:$M$1001,MATCH(ROWS($K$2:K950),$K$2:$K$1001,0),0),1)),INDEX($P$2:$P$1001,MATCH(ROWS($K$2:K950),$K$2:$K$1001,0),0)))</f>
        <v>0</v>
      </c>
      <c r="B950" s="3">
        <f>IF(OR(INDEX($L$2:$L$1001,MATCH(ROWS($K$2:K950),$K$2:$K$1001,0),1)&gt;=100000,INDEX($R$1005:$W$1005,1,MATCH(COLUMNS($R$1006:R1006),$R$1006:$W$1006,0))&gt;=100000), " ",IF(INDEX($R$2:$W$1001,MATCH(ROWS($K$2:K950),$K$2:$K$1001,0),MATCH(COLUMNS($R$1006:R1006),$R$1006:$W$1006,0)), HYPERLINK("#",""), HYPERLINK(CONCATENATE("#Metadata!", ADDRESS(INDEX($M$2:$M$1001,MATCH(ROWS($K$2:K950),$K$2:$K$1001,0),0), INDEX($R$1004:$W$1004,1,MATCH(COLUMNS($R$1006:R1006),$R$1006:$W$1006,0)))),"Fix")))</f>
        <v>0</v>
      </c>
      <c r="C950" s="3">
        <f>IF(OR(INDEX($L$2:$L$1001,MATCH(ROWS($K$2:K950),$K$2:$K$1001,0),1)&gt;=100000,INDEX($R$1005:$W$1005,1,MATCH(COLUMNS($R$1006:S1006),$R$1006:$W$1006,0))&gt;=100000), " ",IF(INDEX($R$2:$W$1001,MATCH(ROWS($K$2:K950),$K$2:$K$1001,0),MATCH(COLUMNS($R$1006:S1006),$R$1006:$W$1006,0)), HYPERLINK("#",""), HYPERLINK(CONCATENATE("#Metadata!", ADDRESS(INDEX($M$2:$M$1001,MATCH(ROWS($K$2:K950),$K$2:$K$1001,0),0), INDEX($R$1004:$W$1004,1,MATCH(COLUMNS($R$1006:S1006),$R$1006:$W$1006,0)))),"Fix")))</f>
        <v>0</v>
      </c>
      <c r="D950" s="3">
        <f>IF(OR(INDEX($L$2:$L$1001,MATCH(ROWS($K$2:K950),$K$2:$K$1001,0),1)&gt;=100000,INDEX($R$1005:$W$1005,1,MATCH(COLUMNS($R$1006:T1006),$R$1006:$W$1006,0))&gt;=100000), " ",IF(INDEX($R$2:$W$1001,MATCH(ROWS($K$2:K950),$K$2:$K$1001,0),MATCH(COLUMNS($R$1006:T1006),$R$1006:$W$1006,0)), HYPERLINK("#",""), HYPERLINK(CONCATENATE("#Metadata!", ADDRESS(INDEX($M$2:$M$1001,MATCH(ROWS($K$2:K950),$K$2:$K$1001,0),0), INDEX($R$1004:$W$1004,1,MATCH(COLUMNS($R$1006:T1006),$R$1006:$W$1006,0)))),"Fix")))</f>
        <v>0</v>
      </c>
      <c r="E950" s="3">
        <f>IF(OR(INDEX($L$2:$L$1001,MATCH(ROWS($K$2:K950),$K$2:$K$1001,0),1)&gt;=100000,INDEX($R$1005:$W$1005,1,MATCH(COLUMNS($R$1006:U1006),$R$1006:$W$1006,0))&gt;=100000), " ",IF(INDEX($R$2:$W$1001,MATCH(ROWS($K$2:K950),$K$2:$K$1001,0),MATCH(COLUMNS($R$1006:U1006),$R$1006:$W$1006,0)), HYPERLINK("#",""), HYPERLINK(CONCATENATE("#Metadata!", ADDRESS(INDEX($M$2:$M$1001,MATCH(ROWS($K$2:K950),$K$2:$K$1001,0),0), INDEX($R$1004:$W$1004,1,MATCH(COLUMNS($R$1006:U1006),$R$1006:$W$1006,0)))),"Fix")))</f>
        <v>0</v>
      </c>
      <c r="F950" s="3">
        <f>IF(OR(INDEX($L$2:$L$1001,MATCH(ROWS($K$2:K950),$K$2:$K$1001,0),1)&gt;=100000,INDEX($R$1005:$W$1005,1,MATCH(COLUMNS($R$1006:V1006),$R$1006:$W$1006,0))&gt;=100000), " ",IF(INDEX($R$2:$W$1001,MATCH(ROWS($K$2:K950),$K$2:$K$1001,0),MATCH(COLUMNS($R$1006:V1006),$R$1006:$W$1006,0)), HYPERLINK("#",""), HYPERLINK(CONCATENATE("#Metadata!", ADDRESS(INDEX($M$2:$M$1001,MATCH(ROWS($K$2:K950),$K$2:$K$1001,0),0), INDEX($R$1004:$W$1004,1,MATCH(COLUMNS($R$1006:V1006),$R$1006:$W$1006,0)))),"Fix")))</f>
        <v>0</v>
      </c>
      <c r="G950" s="3">
        <f>IF(OR(INDEX($L$2:$L$1001,MATCH(ROWS($K$2:K950),$K$2:$K$1001,0),1)&gt;=100000,INDEX($R$1005:$W$1005,1,MATCH(COLUMNS($R$1006:W1006),$R$1006:$W$1006,0))&gt;=100000), " ",IF(INDEX($R$2:$W$1001,MATCH(ROWS($K$2:K950),$K$2:$K$1001,0),MATCH(COLUMNS($R$1006:W1006),$R$1006:$W$1006,0)), HYPERLINK("#",""), HYPERLINK(CONCATENATE("#Metadata!", ADDRESS(INDEX($M$2:$M$1001,MATCH(ROWS($K$2:K950),$K$2:$K$1001,0),0), INDEX($R$1004:$W$1004,1,MATCH(COLUMNS($R$1006:W1006),$R$1006:$W$1006,0)))),"Fix")))</f>
        <v>0</v>
      </c>
      <c r="K950">
        <v>0</v>
      </c>
      <c r="L950">
        <v>0</v>
      </c>
      <c r="M950">
        <v>0</v>
      </c>
      <c r="N950">
        <f>IF(O950,TRUE,AND(R950:W950))</f>
        <v>0</v>
      </c>
      <c r="O950">
        <f>COUNTBLANK(Metadata!B950:G950)=COLUMNS(Metadata!B950:G950)</f>
        <v>0</v>
      </c>
      <c r="P950">
        <v>0</v>
      </c>
      <c r="R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S950">
        <f>IF(Metadata!C950="",FALSE,TRUE)</f>
        <v>0</v>
      </c>
      <c r="T950">
        <f>IF(Metadata!D950="",FALSE,TRUE)</f>
        <v>0</v>
      </c>
      <c r="U950">
        <f>IF(Metadata!E950="",FALSE,TRUE)</f>
        <v>0</v>
      </c>
      <c r="V950">
        <f>AND(IF(Metadata!F950="",FALSE,TRUE),exact(Metadata!F950,"rat gut metagenome"))</f>
        <v>0</v>
      </c>
      <c r="W950">
        <f>AND(IF(Metadata!G950="",FALSE,TRUE),exact(Metadata!G950,"1436733"))</f>
        <v>0</v>
      </c>
    </row>
    <row r="951" spans="1:23">
      <c r="A951" s="4">
        <f>IF(B951=" "," ",HYPERLINK(CONCATENATE("#metadata!",ADDRESS(INDEX($M$2:$M$1001,MATCH(ROWS($K$2:K951),$K$2:$K$1001,0),0),1)),INDEX($P$2:$P$1001,MATCH(ROWS($K$2:K951),$K$2:$K$1001,0),0)))</f>
        <v>0</v>
      </c>
      <c r="B951" s="3">
        <f>IF(OR(INDEX($L$2:$L$1001,MATCH(ROWS($K$2:K951),$K$2:$K$1001,0),1)&gt;=100000,INDEX($R$1005:$W$1005,1,MATCH(COLUMNS($R$1006:R1006),$R$1006:$W$1006,0))&gt;=100000), " ",IF(INDEX($R$2:$W$1001,MATCH(ROWS($K$2:K951),$K$2:$K$1001,0),MATCH(COLUMNS($R$1006:R1006),$R$1006:$W$1006,0)), HYPERLINK("#",""), HYPERLINK(CONCATENATE("#Metadata!", ADDRESS(INDEX($M$2:$M$1001,MATCH(ROWS($K$2:K951),$K$2:$K$1001,0),0), INDEX($R$1004:$W$1004,1,MATCH(COLUMNS($R$1006:R1006),$R$1006:$W$1006,0)))),"Fix")))</f>
        <v>0</v>
      </c>
      <c r="C951" s="3">
        <f>IF(OR(INDEX($L$2:$L$1001,MATCH(ROWS($K$2:K951),$K$2:$K$1001,0),1)&gt;=100000,INDEX($R$1005:$W$1005,1,MATCH(COLUMNS($R$1006:S1006),$R$1006:$W$1006,0))&gt;=100000), " ",IF(INDEX($R$2:$W$1001,MATCH(ROWS($K$2:K951),$K$2:$K$1001,0),MATCH(COLUMNS($R$1006:S1006),$R$1006:$W$1006,0)), HYPERLINK("#",""), HYPERLINK(CONCATENATE("#Metadata!", ADDRESS(INDEX($M$2:$M$1001,MATCH(ROWS($K$2:K951),$K$2:$K$1001,0),0), INDEX($R$1004:$W$1004,1,MATCH(COLUMNS($R$1006:S1006),$R$1006:$W$1006,0)))),"Fix")))</f>
        <v>0</v>
      </c>
      <c r="D951" s="3">
        <f>IF(OR(INDEX($L$2:$L$1001,MATCH(ROWS($K$2:K951),$K$2:$K$1001,0),1)&gt;=100000,INDEX($R$1005:$W$1005,1,MATCH(COLUMNS($R$1006:T1006),$R$1006:$W$1006,0))&gt;=100000), " ",IF(INDEX($R$2:$W$1001,MATCH(ROWS($K$2:K951),$K$2:$K$1001,0),MATCH(COLUMNS($R$1006:T1006),$R$1006:$W$1006,0)), HYPERLINK("#",""), HYPERLINK(CONCATENATE("#Metadata!", ADDRESS(INDEX($M$2:$M$1001,MATCH(ROWS($K$2:K951),$K$2:$K$1001,0),0), INDEX($R$1004:$W$1004,1,MATCH(COLUMNS($R$1006:T1006),$R$1006:$W$1006,0)))),"Fix")))</f>
        <v>0</v>
      </c>
      <c r="E951" s="3">
        <f>IF(OR(INDEX($L$2:$L$1001,MATCH(ROWS($K$2:K951),$K$2:$K$1001,0),1)&gt;=100000,INDEX($R$1005:$W$1005,1,MATCH(COLUMNS($R$1006:U1006),$R$1006:$W$1006,0))&gt;=100000), " ",IF(INDEX($R$2:$W$1001,MATCH(ROWS($K$2:K951),$K$2:$K$1001,0),MATCH(COLUMNS($R$1006:U1006),$R$1006:$W$1006,0)), HYPERLINK("#",""), HYPERLINK(CONCATENATE("#Metadata!", ADDRESS(INDEX($M$2:$M$1001,MATCH(ROWS($K$2:K951),$K$2:$K$1001,0),0), INDEX($R$1004:$W$1004,1,MATCH(COLUMNS($R$1006:U1006),$R$1006:$W$1006,0)))),"Fix")))</f>
        <v>0</v>
      </c>
      <c r="F951" s="3">
        <f>IF(OR(INDEX($L$2:$L$1001,MATCH(ROWS($K$2:K951),$K$2:$K$1001,0),1)&gt;=100000,INDEX($R$1005:$W$1005,1,MATCH(COLUMNS($R$1006:V1006),$R$1006:$W$1006,0))&gt;=100000), " ",IF(INDEX($R$2:$W$1001,MATCH(ROWS($K$2:K951),$K$2:$K$1001,0),MATCH(COLUMNS($R$1006:V1006),$R$1006:$W$1006,0)), HYPERLINK("#",""), HYPERLINK(CONCATENATE("#Metadata!", ADDRESS(INDEX($M$2:$M$1001,MATCH(ROWS($K$2:K951),$K$2:$K$1001,0),0), INDEX($R$1004:$W$1004,1,MATCH(COLUMNS($R$1006:V1006),$R$1006:$W$1006,0)))),"Fix")))</f>
        <v>0</v>
      </c>
      <c r="G951" s="3">
        <f>IF(OR(INDEX($L$2:$L$1001,MATCH(ROWS($K$2:K951),$K$2:$K$1001,0),1)&gt;=100000,INDEX($R$1005:$W$1005,1,MATCH(COLUMNS($R$1006:W1006),$R$1006:$W$1006,0))&gt;=100000), " ",IF(INDEX($R$2:$W$1001,MATCH(ROWS($K$2:K951),$K$2:$K$1001,0),MATCH(COLUMNS($R$1006:W1006),$R$1006:$W$1006,0)), HYPERLINK("#",""), HYPERLINK(CONCATENATE("#Metadata!", ADDRESS(INDEX($M$2:$M$1001,MATCH(ROWS($K$2:K951),$K$2:$K$1001,0),0), INDEX($R$1004:$W$1004,1,MATCH(COLUMNS($R$1006:W1006),$R$1006:$W$1006,0)))),"Fix")))</f>
        <v>0</v>
      </c>
      <c r="K951">
        <v>0</v>
      </c>
      <c r="L951">
        <v>0</v>
      </c>
      <c r="M951">
        <v>0</v>
      </c>
      <c r="N951">
        <f>IF(O951,TRUE,AND(R951:W951))</f>
        <v>0</v>
      </c>
      <c r="O951">
        <f>COUNTBLANK(Metadata!B951:G951)=COLUMNS(Metadata!B951:G951)</f>
        <v>0</v>
      </c>
      <c r="P951">
        <v>0</v>
      </c>
      <c r="R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S951">
        <f>IF(Metadata!C951="",FALSE,TRUE)</f>
        <v>0</v>
      </c>
      <c r="T951">
        <f>IF(Metadata!D951="",FALSE,TRUE)</f>
        <v>0</v>
      </c>
      <c r="U951">
        <f>IF(Metadata!E951="",FALSE,TRUE)</f>
        <v>0</v>
      </c>
      <c r="V951">
        <f>AND(IF(Metadata!F951="",FALSE,TRUE),exact(Metadata!F951,"rat gut metagenome"))</f>
        <v>0</v>
      </c>
      <c r="W951">
        <f>AND(IF(Metadata!G951="",FALSE,TRUE),exact(Metadata!G951,"1436733"))</f>
        <v>0</v>
      </c>
    </row>
    <row r="952" spans="1:23">
      <c r="A952" s="4">
        <f>IF(B952=" "," ",HYPERLINK(CONCATENATE("#metadata!",ADDRESS(INDEX($M$2:$M$1001,MATCH(ROWS($K$2:K952),$K$2:$K$1001,0),0),1)),INDEX($P$2:$P$1001,MATCH(ROWS($K$2:K952),$K$2:$K$1001,0),0)))</f>
        <v>0</v>
      </c>
      <c r="B952" s="3">
        <f>IF(OR(INDEX($L$2:$L$1001,MATCH(ROWS($K$2:K952),$K$2:$K$1001,0),1)&gt;=100000,INDEX($R$1005:$W$1005,1,MATCH(COLUMNS($R$1006:R1006),$R$1006:$W$1006,0))&gt;=100000), " ",IF(INDEX($R$2:$W$1001,MATCH(ROWS($K$2:K952),$K$2:$K$1001,0),MATCH(COLUMNS($R$1006:R1006),$R$1006:$W$1006,0)), HYPERLINK("#",""), HYPERLINK(CONCATENATE("#Metadata!", ADDRESS(INDEX($M$2:$M$1001,MATCH(ROWS($K$2:K952),$K$2:$K$1001,0),0), INDEX($R$1004:$W$1004,1,MATCH(COLUMNS($R$1006:R1006),$R$1006:$W$1006,0)))),"Fix")))</f>
        <v>0</v>
      </c>
      <c r="C952" s="3">
        <f>IF(OR(INDEX($L$2:$L$1001,MATCH(ROWS($K$2:K952),$K$2:$K$1001,0),1)&gt;=100000,INDEX($R$1005:$W$1005,1,MATCH(COLUMNS($R$1006:S1006),$R$1006:$W$1006,0))&gt;=100000), " ",IF(INDEX($R$2:$W$1001,MATCH(ROWS($K$2:K952),$K$2:$K$1001,0),MATCH(COLUMNS($R$1006:S1006),$R$1006:$W$1006,0)), HYPERLINK("#",""), HYPERLINK(CONCATENATE("#Metadata!", ADDRESS(INDEX($M$2:$M$1001,MATCH(ROWS($K$2:K952),$K$2:$K$1001,0),0), INDEX($R$1004:$W$1004,1,MATCH(COLUMNS($R$1006:S1006),$R$1006:$W$1006,0)))),"Fix")))</f>
        <v>0</v>
      </c>
      <c r="D952" s="3">
        <f>IF(OR(INDEX($L$2:$L$1001,MATCH(ROWS($K$2:K952),$K$2:$K$1001,0),1)&gt;=100000,INDEX($R$1005:$W$1005,1,MATCH(COLUMNS($R$1006:T1006),$R$1006:$W$1006,0))&gt;=100000), " ",IF(INDEX($R$2:$W$1001,MATCH(ROWS($K$2:K952),$K$2:$K$1001,0),MATCH(COLUMNS($R$1006:T1006),$R$1006:$W$1006,0)), HYPERLINK("#",""), HYPERLINK(CONCATENATE("#Metadata!", ADDRESS(INDEX($M$2:$M$1001,MATCH(ROWS($K$2:K952),$K$2:$K$1001,0),0), INDEX($R$1004:$W$1004,1,MATCH(COLUMNS($R$1006:T1006),$R$1006:$W$1006,0)))),"Fix")))</f>
        <v>0</v>
      </c>
      <c r="E952" s="3">
        <f>IF(OR(INDEX($L$2:$L$1001,MATCH(ROWS($K$2:K952),$K$2:$K$1001,0),1)&gt;=100000,INDEX($R$1005:$W$1005,1,MATCH(COLUMNS($R$1006:U1006),$R$1006:$W$1006,0))&gt;=100000), " ",IF(INDEX($R$2:$W$1001,MATCH(ROWS($K$2:K952),$K$2:$K$1001,0),MATCH(COLUMNS($R$1006:U1006),$R$1006:$W$1006,0)), HYPERLINK("#",""), HYPERLINK(CONCATENATE("#Metadata!", ADDRESS(INDEX($M$2:$M$1001,MATCH(ROWS($K$2:K952),$K$2:$K$1001,0),0), INDEX($R$1004:$W$1004,1,MATCH(COLUMNS($R$1006:U1006),$R$1006:$W$1006,0)))),"Fix")))</f>
        <v>0</v>
      </c>
      <c r="F952" s="3">
        <f>IF(OR(INDEX($L$2:$L$1001,MATCH(ROWS($K$2:K952),$K$2:$K$1001,0),1)&gt;=100000,INDEX($R$1005:$W$1005,1,MATCH(COLUMNS($R$1006:V1006),$R$1006:$W$1006,0))&gt;=100000), " ",IF(INDEX($R$2:$W$1001,MATCH(ROWS($K$2:K952),$K$2:$K$1001,0),MATCH(COLUMNS($R$1006:V1006),$R$1006:$W$1006,0)), HYPERLINK("#",""), HYPERLINK(CONCATENATE("#Metadata!", ADDRESS(INDEX($M$2:$M$1001,MATCH(ROWS($K$2:K952),$K$2:$K$1001,0),0), INDEX($R$1004:$W$1004,1,MATCH(COLUMNS($R$1006:V1006),$R$1006:$W$1006,0)))),"Fix")))</f>
        <v>0</v>
      </c>
      <c r="G952" s="3">
        <f>IF(OR(INDEX($L$2:$L$1001,MATCH(ROWS($K$2:K952),$K$2:$K$1001,0),1)&gt;=100000,INDEX($R$1005:$W$1005,1,MATCH(COLUMNS($R$1006:W1006),$R$1006:$W$1006,0))&gt;=100000), " ",IF(INDEX($R$2:$W$1001,MATCH(ROWS($K$2:K952),$K$2:$K$1001,0),MATCH(COLUMNS($R$1006:W1006),$R$1006:$W$1006,0)), HYPERLINK("#",""), HYPERLINK(CONCATENATE("#Metadata!", ADDRESS(INDEX($M$2:$M$1001,MATCH(ROWS($K$2:K952),$K$2:$K$1001,0),0), INDEX($R$1004:$W$1004,1,MATCH(COLUMNS($R$1006:W1006),$R$1006:$W$1006,0)))),"Fix")))</f>
        <v>0</v>
      </c>
      <c r="K952">
        <v>0</v>
      </c>
      <c r="L952">
        <v>0</v>
      </c>
      <c r="M952">
        <v>0</v>
      </c>
      <c r="N952">
        <f>IF(O952,TRUE,AND(R952:W952))</f>
        <v>0</v>
      </c>
      <c r="O952">
        <f>COUNTBLANK(Metadata!B952:G952)=COLUMNS(Metadata!B952:G952)</f>
        <v>0</v>
      </c>
      <c r="P952">
        <v>0</v>
      </c>
      <c r="R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S952">
        <f>IF(Metadata!C952="",FALSE,TRUE)</f>
        <v>0</v>
      </c>
      <c r="T952">
        <f>IF(Metadata!D952="",FALSE,TRUE)</f>
        <v>0</v>
      </c>
      <c r="U952">
        <f>IF(Metadata!E952="",FALSE,TRUE)</f>
        <v>0</v>
      </c>
      <c r="V952">
        <f>AND(IF(Metadata!F952="",FALSE,TRUE),exact(Metadata!F952,"rat gut metagenome"))</f>
        <v>0</v>
      </c>
      <c r="W952">
        <f>AND(IF(Metadata!G952="",FALSE,TRUE),exact(Metadata!G952,"1436733"))</f>
        <v>0</v>
      </c>
    </row>
    <row r="953" spans="1:23">
      <c r="A953" s="4">
        <f>IF(B953=" "," ",HYPERLINK(CONCATENATE("#metadata!",ADDRESS(INDEX($M$2:$M$1001,MATCH(ROWS($K$2:K953),$K$2:$K$1001,0),0),1)),INDEX($P$2:$P$1001,MATCH(ROWS($K$2:K953),$K$2:$K$1001,0),0)))</f>
        <v>0</v>
      </c>
      <c r="B953" s="3">
        <f>IF(OR(INDEX($L$2:$L$1001,MATCH(ROWS($K$2:K953),$K$2:$K$1001,0),1)&gt;=100000,INDEX($R$1005:$W$1005,1,MATCH(COLUMNS($R$1006:R1006),$R$1006:$W$1006,0))&gt;=100000), " ",IF(INDEX($R$2:$W$1001,MATCH(ROWS($K$2:K953),$K$2:$K$1001,0),MATCH(COLUMNS($R$1006:R1006),$R$1006:$W$1006,0)), HYPERLINK("#",""), HYPERLINK(CONCATENATE("#Metadata!", ADDRESS(INDEX($M$2:$M$1001,MATCH(ROWS($K$2:K953),$K$2:$K$1001,0),0), INDEX($R$1004:$W$1004,1,MATCH(COLUMNS($R$1006:R1006),$R$1006:$W$1006,0)))),"Fix")))</f>
        <v>0</v>
      </c>
      <c r="C953" s="3">
        <f>IF(OR(INDEX($L$2:$L$1001,MATCH(ROWS($K$2:K953),$K$2:$K$1001,0),1)&gt;=100000,INDEX($R$1005:$W$1005,1,MATCH(COLUMNS($R$1006:S1006),$R$1006:$W$1006,0))&gt;=100000), " ",IF(INDEX($R$2:$W$1001,MATCH(ROWS($K$2:K953),$K$2:$K$1001,0),MATCH(COLUMNS($R$1006:S1006),$R$1006:$W$1006,0)), HYPERLINK("#",""), HYPERLINK(CONCATENATE("#Metadata!", ADDRESS(INDEX($M$2:$M$1001,MATCH(ROWS($K$2:K953),$K$2:$K$1001,0),0), INDEX($R$1004:$W$1004,1,MATCH(COLUMNS($R$1006:S1006),$R$1006:$W$1006,0)))),"Fix")))</f>
        <v>0</v>
      </c>
      <c r="D953" s="3">
        <f>IF(OR(INDEX($L$2:$L$1001,MATCH(ROWS($K$2:K953),$K$2:$K$1001,0),1)&gt;=100000,INDEX($R$1005:$W$1005,1,MATCH(COLUMNS($R$1006:T1006),$R$1006:$W$1006,0))&gt;=100000), " ",IF(INDEX($R$2:$W$1001,MATCH(ROWS($K$2:K953),$K$2:$K$1001,0),MATCH(COLUMNS($R$1006:T1006),$R$1006:$W$1006,0)), HYPERLINK("#",""), HYPERLINK(CONCATENATE("#Metadata!", ADDRESS(INDEX($M$2:$M$1001,MATCH(ROWS($K$2:K953),$K$2:$K$1001,0),0), INDEX($R$1004:$W$1004,1,MATCH(COLUMNS($R$1006:T1006),$R$1006:$W$1006,0)))),"Fix")))</f>
        <v>0</v>
      </c>
      <c r="E953" s="3">
        <f>IF(OR(INDEX($L$2:$L$1001,MATCH(ROWS($K$2:K953),$K$2:$K$1001,0),1)&gt;=100000,INDEX($R$1005:$W$1005,1,MATCH(COLUMNS($R$1006:U1006),$R$1006:$W$1006,0))&gt;=100000), " ",IF(INDEX($R$2:$W$1001,MATCH(ROWS($K$2:K953),$K$2:$K$1001,0),MATCH(COLUMNS($R$1006:U1006),$R$1006:$W$1006,0)), HYPERLINK("#",""), HYPERLINK(CONCATENATE("#Metadata!", ADDRESS(INDEX($M$2:$M$1001,MATCH(ROWS($K$2:K953),$K$2:$K$1001,0),0), INDEX($R$1004:$W$1004,1,MATCH(COLUMNS($R$1006:U1006),$R$1006:$W$1006,0)))),"Fix")))</f>
        <v>0</v>
      </c>
      <c r="F953" s="3">
        <f>IF(OR(INDEX($L$2:$L$1001,MATCH(ROWS($K$2:K953),$K$2:$K$1001,0),1)&gt;=100000,INDEX($R$1005:$W$1005,1,MATCH(COLUMNS($R$1006:V1006),$R$1006:$W$1006,0))&gt;=100000), " ",IF(INDEX($R$2:$W$1001,MATCH(ROWS($K$2:K953),$K$2:$K$1001,0),MATCH(COLUMNS($R$1006:V1006),$R$1006:$W$1006,0)), HYPERLINK("#",""), HYPERLINK(CONCATENATE("#Metadata!", ADDRESS(INDEX($M$2:$M$1001,MATCH(ROWS($K$2:K953),$K$2:$K$1001,0),0), INDEX($R$1004:$W$1004,1,MATCH(COLUMNS($R$1006:V1006),$R$1006:$W$1006,0)))),"Fix")))</f>
        <v>0</v>
      </c>
      <c r="G953" s="3">
        <f>IF(OR(INDEX($L$2:$L$1001,MATCH(ROWS($K$2:K953),$K$2:$K$1001,0),1)&gt;=100000,INDEX($R$1005:$W$1005,1,MATCH(COLUMNS($R$1006:W1006),$R$1006:$W$1006,0))&gt;=100000), " ",IF(INDEX($R$2:$W$1001,MATCH(ROWS($K$2:K953),$K$2:$K$1001,0),MATCH(COLUMNS($R$1006:W1006),$R$1006:$W$1006,0)), HYPERLINK("#",""), HYPERLINK(CONCATENATE("#Metadata!", ADDRESS(INDEX($M$2:$M$1001,MATCH(ROWS($K$2:K953),$K$2:$K$1001,0),0), INDEX($R$1004:$W$1004,1,MATCH(COLUMNS($R$1006:W1006),$R$1006:$W$1006,0)))),"Fix")))</f>
        <v>0</v>
      </c>
      <c r="K953">
        <v>0</v>
      </c>
      <c r="L953">
        <v>0</v>
      </c>
      <c r="M953">
        <v>0</v>
      </c>
      <c r="N953">
        <f>IF(O953,TRUE,AND(R953:W953))</f>
        <v>0</v>
      </c>
      <c r="O953">
        <f>COUNTBLANK(Metadata!B953:G953)=COLUMNS(Metadata!B953:G953)</f>
        <v>0</v>
      </c>
      <c r="P953">
        <v>0</v>
      </c>
      <c r="R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S953">
        <f>IF(Metadata!C953="",FALSE,TRUE)</f>
        <v>0</v>
      </c>
      <c r="T953">
        <f>IF(Metadata!D953="",FALSE,TRUE)</f>
        <v>0</v>
      </c>
      <c r="U953">
        <f>IF(Metadata!E953="",FALSE,TRUE)</f>
        <v>0</v>
      </c>
      <c r="V953">
        <f>AND(IF(Metadata!F953="",FALSE,TRUE),exact(Metadata!F953,"rat gut metagenome"))</f>
        <v>0</v>
      </c>
      <c r="W953">
        <f>AND(IF(Metadata!G953="",FALSE,TRUE),exact(Metadata!G953,"1436733"))</f>
        <v>0</v>
      </c>
    </row>
    <row r="954" spans="1:23">
      <c r="A954" s="4">
        <f>IF(B954=" "," ",HYPERLINK(CONCATENATE("#metadata!",ADDRESS(INDEX($M$2:$M$1001,MATCH(ROWS($K$2:K954),$K$2:$K$1001,0),0),1)),INDEX($P$2:$P$1001,MATCH(ROWS($K$2:K954),$K$2:$K$1001,0),0)))</f>
        <v>0</v>
      </c>
      <c r="B954" s="3">
        <f>IF(OR(INDEX($L$2:$L$1001,MATCH(ROWS($K$2:K954),$K$2:$K$1001,0),1)&gt;=100000,INDEX($R$1005:$W$1005,1,MATCH(COLUMNS($R$1006:R1006),$R$1006:$W$1006,0))&gt;=100000), " ",IF(INDEX($R$2:$W$1001,MATCH(ROWS($K$2:K954),$K$2:$K$1001,0),MATCH(COLUMNS($R$1006:R1006),$R$1006:$W$1006,0)), HYPERLINK("#",""), HYPERLINK(CONCATENATE("#Metadata!", ADDRESS(INDEX($M$2:$M$1001,MATCH(ROWS($K$2:K954),$K$2:$K$1001,0),0), INDEX($R$1004:$W$1004,1,MATCH(COLUMNS($R$1006:R1006),$R$1006:$W$1006,0)))),"Fix")))</f>
        <v>0</v>
      </c>
      <c r="C954" s="3">
        <f>IF(OR(INDEX($L$2:$L$1001,MATCH(ROWS($K$2:K954),$K$2:$K$1001,0),1)&gt;=100000,INDEX($R$1005:$W$1005,1,MATCH(COLUMNS($R$1006:S1006),$R$1006:$W$1006,0))&gt;=100000), " ",IF(INDEX($R$2:$W$1001,MATCH(ROWS($K$2:K954),$K$2:$K$1001,0),MATCH(COLUMNS($R$1006:S1006),$R$1006:$W$1006,0)), HYPERLINK("#",""), HYPERLINK(CONCATENATE("#Metadata!", ADDRESS(INDEX($M$2:$M$1001,MATCH(ROWS($K$2:K954),$K$2:$K$1001,0),0), INDEX($R$1004:$W$1004,1,MATCH(COLUMNS($R$1006:S1006),$R$1006:$W$1006,0)))),"Fix")))</f>
        <v>0</v>
      </c>
      <c r="D954" s="3">
        <f>IF(OR(INDEX($L$2:$L$1001,MATCH(ROWS($K$2:K954),$K$2:$K$1001,0),1)&gt;=100000,INDEX($R$1005:$W$1005,1,MATCH(COLUMNS($R$1006:T1006),$R$1006:$W$1006,0))&gt;=100000), " ",IF(INDEX($R$2:$W$1001,MATCH(ROWS($K$2:K954),$K$2:$K$1001,0),MATCH(COLUMNS($R$1006:T1006),$R$1006:$W$1006,0)), HYPERLINK("#",""), HYPERLINK(CONCATENATE("#Metadata!", ADDRESS(INDEX($M$2:$M$1001,MATCH(ROWS($K$2:K954),$K$2:$K$1001,0),0), INDEX($R$1004:$W$1004,1,MATCH(COLUMNS($R$1006:T1006),$R$1006:$W$1006,0)))),"Fix")))</f>
        <v>0</v>
      </c>
      <c r="E954" s="3">
        <f>IF(OR(INDEX($L$2:$L$1001,MATCH(ROWS($K$2:K954),$K$2:$K$1001,0),1)&gt;=100000,INDEX($R$1005:$W$1005,1,MATCH(COLUMNS($R$1006:U1006),$R$1006:$W$1006,0))&gt;=100000), " ",IF(INDEX($R$2:$W$1001,MATCH(ROWS($K$2:K954),$K$2:$K$1001,0),MATCH(COLUMNS($R$1006:U1006),$R$1006:$W$1006,0)), HYPERLINK("#",""), HYPERLINK(CONCATENATE("#Metadata!", ADDRESS(INDEX($M$2:$M$1001,MATCH(ROWS($K$2:K954),$K$2:$K$1001,0),0), INDEX($R$1004:$W$1004,1,MATCH(COLUMNS($R$1006:U1006),$R$1006:$W$1006,0)))),"Fix")))</f>
        <v>0</v>
      </c>
      <c r="F954" s="3">
        <f>IF(OR(INDEX($L$2:$L$1001,MATCH(ROWS($K$2:K954),$K$2:$K$1001,0),1)&gt;=100000,INDEX($R$1005:$W$1005,1,MATCH(COLUMNS($R$1006:V1006),$R$1006:$W$1006,0))&gt;=100000), " ",IF(INDEX($R$2:$W$1001,MATCH(ROWS($K$2:K954),$K$2:$K$1001,0),MATCH(COLUMNS($R$1006:V1006),$R$1006:$W$1006,0)), HYPERLINK("#",""), HYPERLINK(CONCATENATE("#Metadata!", ADDRESS(INDEX($M$2:$M$1001,MATCH(ROWS($K$2:K954),$K$2:$K$1001,0),0), INDEX($R$1004:$W$1004,1,MATCH(COLUMNS($R$1006:V1006),$R$1006:$W$1006,0)))),"Fix")))</f>
        <v>0</v>
      </c>
      <c r="G954" s="3">
        <f>IF(OR(INDEX($L$2:$L$1001,MATCH(ROWS($K$2:K954),$K$2:$K$1001,0),1)&gt;=100000,INDEX($R$1005:$W$1005,1,MATCH(COLUMNS($R$1006:W1006),$R$1006:$W$1006,0))&gt;=100000), " ",IF(INDEX($R$2:$W$1001,MATCH(ROWS($K$2:K954),$K$2:$K$1001,0),MATCH(COLUMNS($R$1006:W1006),$R$1006:$W$1006,0)), HYPERLINK("#",""), HYPERLINK(CONCATENATE("#Metadata!", ADDRESS(INDEX($M$2:$M$1001,MATCH(ROWS($K$2:K954),$K$2:$K$1001,0),0), INDEX($R$1004:$W$1004,1,MATCH(COLUMNS($R$1006:W1006),$R$1006:$W$1006,0)))),"Fix")))</f>
        <v>0</v>
      </c>
      <c r="K954">
        <v>0</v>
      </c>
      <c r="L954">
        <v>0</v>
      </c>
      <c r="M954">
        <v>0</v>
      </c>
      <c r="N954">
        <f>IF(O954,TRUE,AND(R954:W954))</f>
        <v>0</v>
      </c>
      <c r="O954">
        <f>COUNTBLANK(Metadata!B954:G954)=COLUMNS(Metadata!B954:G954)</f>
        <v>0</v>
      </c>
      <c r="P954">
        <v>0</v>
      </c>
      <c r="R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S954">
        <f>IF(Metadata!C954="",FALSE,TRUE)</f>
        <v>0</v>
      </c>
      <c r="T954">
        <f>IF(Metadata!D954="",FALSE,TRUE)</f>
        <v>0</v>
      </c>
      <c r="U954">
        <f>IF(Metadata!E954="",FALSE,TRUE)</f>
        <v>0</v>
      </c>
      <c r="V954">
        <f>AND(IF(Metadata!F954="",FALSE,TRUE),exact(Metadata!F954,"rat gut metagenome"))</f>
        <v>0</v>
      </c>
      <c r="W954">
        <f>AND(IF(Metadata!G954="",FALSE,TRUE),exact(Metadata!G954,"1436733"))</f>
        <v>0</v>
      </c>
    </row>
    <row r="955" spans="1:23">
      <c r="A955" s="4">
        <f>IF(B955=" "," ",HYPERLINK(CONCATENATE("#metadata!",ADDRESS(INDEX($M$2:$M$1001,MATCH(ROWS($K$2:K955),$K$2:$K$1001,0),0),1)),INDEX($P$2:$P$1001,MATCH(ROWS($K$2:K955),$K$2:$K$1001,0),0)))</f>
        <v>0</v>
      </c>
      <c r="B955" s="3">
        <f>IF(OR(INDEX($L$2:$L$1001,MATCH(ROWS($K$2:K955),$K$2:$K$1001,0),1)&gt;=100000,INDEX($R$1005:$W$1005,1,MATCH(COLUMNS($R$1006:R1006),$R$1006:$W$1006,0))&gt;=100000), " ",IF(INDEX($R$2:$W$1001,MATCH(ROWS($K$2:K955),$K$2:$K$1001,0),MATCH(COLUMNS($R$1006:R1006),$R$1006:$W$1006,0)), HYPERLINK("#",""), HYPERLINK(CONCATENATE("#Metadata!", ADDRESS(INDEX($M$2:$M$1001,MATCH(ROWS($K$2:K955),$K$2:$K$1001,0),0), INDEX($R$1004:$W$1004,1,MATCH(COLUMNS($R$1006:R1006),$R$1006:$W$1006,0)))),"Fix")))</f>
        <v>0</v>
      </c>
      <c r="C955" s="3">
        <f>IF(OR(INDEX($L$2:$L$1001,MATCH(ROWS($K$2:K955),$K$2:$K$1001,0),1)&gt;=100000,INDEX($R$1005:$W$1005,1,MATCH(COLUMNS($R$1006:S1006),$R$1006:$W$1006,0))&gt;=100000), " ",IF(INDEX($R$2:$W$1001,MATCH(ROWS($K$2:K955),$K$2:$K$1001,0),MATCH(COLUMNS($R$1006:S1006),$R$1006:$W$1006,0)), HYPERLINK("#",""), HYPERLINK(CONCATENATE("#Metadata!", ADDRESS(INDEX($M$2:$M$1001,MATCH(ROWS($K$2:K955),$K$2:$K$1001,0),0), INDEX($R$1004:$W$1004,1,MATCH(COLUMNS($R$1006:S1006),$R$1006:$W$1006,0)))),"Fix")))</f>
        <v>0</v>
      </c>
      <c r="D955" s="3">
        <f>IF(OR(INDEX($L$2:$L$1001,MATCH(ROWS($K$2:K955),$K$2:$K$1001,0),1)&gt;=100000,INDEX($R$1005:$W$1005,1,MATCH(COLUMNS($R$1006:T1006),$R$1006:$W$1006,0))&gt;=100000), " ",IF(INDEX($R$2:$W$1001,MATCH(ROWS($K$2:K955),$K$2:$K$1001,0),MATCH(COLUMNS($R$1006:T1006),$R$1006:$W$1006,0)), HYPERLINK("#",""), HYPERLINK(CONCATENATE("#Metadata!", ADDRESS(INDEX($M$2:$M$1001,MATCH(ROWS($K$2:K955),$K$2:$K$1001,0),0), INDEX($R$1004:$W$1004,1,MATCH(COLUMNS($R$1006:T1006),$R$1006:$W$1006,0)))),"Fix")))</f>
        <v>0</v>
      </c>
      <c r="E955" s="3">
        <f>IF(OR(INDEX($L$2:$L$1001,MATCH(ROWS($K$2:K955),$K$2:$K$1001,0),1)&gt;=100000,INDEX($R$1005:$W$1005,1,MATCH(COLUMNS($R$1006:U1006),$R$1006:$W$1006,0))&gt;=100000), " ",IF(INDEX($R$2:$W$1001,MATCH(ROWS($K$2:K955),$K$2:$K$1001,0),MATCH(COLUMNS($R$1006:U1006),$R$1006:$W$1006,0)), HYPERLINK("#",""), HYPERLINK(CONCATENATE("#Metadata!", ADDRESS(INDEX($M$2:$M$1001,MATCH(ROWS($K$2:K955),$K$2:$K$1001,0),0), INDEX($R$1004:$W$1004,1,MATCH(COLUMNS($R$1006:U1006),$R$1006:$W$1006,0)))),"Fix")))</f>
        <v>0</v>
      </c>
      <c r="F955" s="3">
        <f>IF(OR(INDEX($L$2:$L$1001,MATCH(ROWS($K$2:K955),$K$2:$K$1001,0),1)&gt;=100000,INDEX($R$1005:$W$1005,1,MATCH(COLUMNS($R$1006:V1006),$R$1006:$W$1006,0))&gt;=100000), " ",IF(INDEX($R$2:$W$1001,MATCH(ROWS($K$2:K955),$K$2:$K$1001,0),MATCH(COLUMNS($R$1006:V1006),$R$1006:$W$1006,0)), HYPERLINK("#",""), HYPERLINK(CONCATENATE("#Metadata!", ADDRESS(INDEX($M$2:$M$1001,MATCH(ROWS($K$2:K955),$K$2:$K$1001,0),0), INDEX($R$1004:$W$1004,1,MATCH(COLUMNS($R$1006:V1006),$R$1006:$W$1006,0)))),"Fix")))</f>
        <v>0</v>
      </c>
      <c r="G955" s="3">
        <f>IF(OR(INDEX($L$2:$L$1001,MATCH(ROWS($K$2:K955),$K$2:$K$1001,0),1)&gt;=100000,INDEX($R$1005:$W$1005,1,MATCH(COLUMNS($R$1006:W1006),$R$1006:$W$1006,0))&gt;=100000), " ",IF(INDEX($R$2:$W$1001,MATCH(ROWS($K$2:K955),$K$2:$K$1001,0),MATCH(COLUMNS($R$1006:W1006),$R$1006:$W$1006,0)), HYPERLINK("#",""), HYPERLINK(CONCATENATE("#Metadata!", ADDRESS(INDEX($M$2:$M$1001,MATCH(ROWS($K$2:K955),$K$2:$K$1001,0),0), INDEX($R$1004:$W$1004,1,MATCH(COLUMNS($R$1006:W1006),$R$1006:$W$1006,0)))),"Fix")))</f>
        <v>0</v>
      </c>
      <c r="K955">
        <v>0</v>
      </c>
      <c r="L955">
        <v>0</v>
      </c>
      <c r="M955">
        <v>0</v>
      </c>
      <c r="N955">
        <f>IF(O955,TRUE,AND(R955:W955))</f>
        <v>0</v>
      </c>
      <c r="O955">
        <f>COUNTBLANK(Metadata!B955:G955)=COLUMNS(Metadata!B955:G955)</f>
        <v>0</v>
      </c>
      <c r="P955">
        <v>0</v>
      </c>
      <c r="R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S955">
        <f>IF(Metadata!C955="",FALSE,TRUE)</f>
        <v>0</v>
      </c>
      <c r="T955">
        <f>IF(Metadata!D955="",FALSE,TRUE)</f>
        <v>0</v>
      </c>
      <c r="U955">
        <f>IF(Metadata!E955="",FALSE,TRUE)</f>
        <v>0</v>
      </c>
      <c r="V955">
        <f>AND(IF(Metadata!F955="",FALSE,TRUE),exact(Metadata!F955,"rat gut metagenome"))</f>
        <v>0</v>
      </c>
      <c r="W955">
        <f>AND(IF(Metadata!G955="",FALSE,TRUE),exact(Metadata!G955,"1436733"))</f>
        <v>0</v>
      </c>
    </row>
    <row r="956" spans="1:23">
      <c r="A956" s="4">
        <f>IF(B956=" "," ",HYPERLINK(CONCATENATE("#metadata!",ADDRESS(INDEX($M$2:$M$1001,MATCH(ROWS($K$2:K956),$K$2:$K$1001,0),0),1)),INDEX($P$2:$P$1001,MATCH(ROWS($K$2:K956),$K$2:$K$1001,0),0)))</f>
        <v>0</v>
      </c>
      <c r="B956" s="3">
        <f>IF(OR(INDEX($L$2:$L$1001,MATCH(ROWS($K$2:K956),$K$2:$K$1001,0),1)&gt;=100000,INDEX($R$1005:$W$1005,1,MATCH(COLUMNS($R$1006:R1006),$R$1006:$W$1006,0))&gt;=100000), " ",IF(INDEX($R$2:$W$1001,MATCH(ROWS($K$2:K956),$K$2:$K$1001,0),MATCH(COLUMNS($R$1006:R1006),$R$1006:$W$1006,0)), HYPERLINK("#",""), HYPERLINK(CONCATENATE("#Metadata!", ADDRESS(INDEX($M$2:$M$1001,MATCH(ROWS($K$2:K956),$K$2:$K$1001,0),0), INDEX($R$1004:$W$1004,1,MATCH(COLUMNS($R$1006:R1006),$R$1006:$W$1006,0)))),"Fix")))</f>
        <v>0</v>
      </c>
      <c r="C956" s="3">
        <f>IF(OR(INDEX($L$2:$L$1001,MATCH(ROWS($K$2:K956),$K$2:$K$1001,0),1)&gt;=100000,INDEX($R$1005:$W$1005,1,MATCH(COLUMNS($R$1006:S1006),$R$1006:$W$1006,0))&gt;=100000), " ",IF(INDEX($R$2:$W$1001,MATCH(ROWS($K$2:K956),$K$2:$K$1001,0),MATCH(COLUMNS($R$1006:S1006),$R$1006:$W$1006,0)), HYPERLINK("#",""), HYPERLINK(CONCATENATE("#Metadata!", ADDRESS(INDEX($M$2:$M$1001,MATCH(ROWS($K$2:K956),$K$2:$K$1001,0),0), INDEX($R$1004:$W$1004,1,MATCH(COLUMNS($R$1006:S1006),$R$1006:$W$1006,0)))),"Fix")))</f>
        <v>0</v>
      </c>
      <c r="D956" s="3">
        <f>IF(OR(INDEX($L$2:$L$1001,MATCH(ROWS($K$2:K956),$K$2:$K$1001,0),1)&gt;=100000,INDEX($R$1005:$W$1005,1,MATCH(COLUMNS($R$1006:T1006),$R$1006:$W$1006,0))&gt;=100000), " ",IF(INDEX($R$2:$W$1001,MATCH(ROWS($K$2:K956),$K$2:$K$1001,0),MATCH(COLUMNS($R$1006:T1006),$R$1006:$W$1006,0)), HYPERLINK("#",""), HYPERLINK(CONCATENATE("#Metadata!", ADDRESS(INDEX($M$2:$M$1001,MATCH(ROWS($K$2:K956),$K$2:$K$1001,0),0), INDEX($R$1004:$W$1004,1,MATCH(COLUMNS($R$1006:T1006),$R$1006:$W$1006,0)))),"Fix")))</f>
        <v>0</v>
      </c>
      <c r="E956" s="3">
        <f>IF(OR(INDEX($L$2:$L$1001,MATCH(ROWS($K$2:K956),$K$2:$K$1001,0),1)&gt;=100000,INDEX($R$1005:$W$1005,1,MATCH(COLUMNS($R$1006:U1006),$R$1006:$W$1006,0))&gt;=100000), " ",IF(INDEX($R$2:$W$1001,MATCH(ROWS($K$2:K956),$K$2:$K$1001,0),MATCH(COLUMNS($R$1006:U1006),$R$1006:$W$1006,0)), HYPERLINK("#",""), HYPERLINK(CONCATENATE("#Metadata!", ADDRESS(INDEX($M$2:$M$1001,MATCH(ROWS($K$2:K956),$K$2:$K$1001,0),0), INDEX($R$1004:$W$1004,1,MATCH(COLUMNS($R$1006:U1006),$R$1006:$W$1006,0)))),"Fix")))</f>
        <v>0</v>
      </c>
      <c r="F956" s="3">
        <f>IF(OR(INDEX($L$2:$L$1001,MATCH(ROWS($K$2:K956),$K$2:$K$1001,0),1)&gt;=100000,INDEX($R$1005:$W$1005,1,MATCH(COLUMNS($R$1006:V1006),$R$1006:$W$1006,0))&gt;=100000), " ",IF(INDEX($R$2:$W$1001,MATCH(ROWS($K$2:K956),$K$2:$K$1001,0),MATCH(COLUMNS($R$1006:V1006),$R$1006:$W$1006,0)), HYPERLINK("#",""), HYPERLINK(CONCATENATE("#Metadata!", ADDRESS(INDEX($M$2:$M$1001,MATCH(ROWS($K$2:K956),$K$2:$K$1001,0),0), INDEX($R$1004:$W$1004,1,MATCH(COLUMNS($R$1006:V1006),$R$1006:$W$1006,0)))),"Fix")))</f>
        <v>0</v>
      </c>
      <c r="G956" s="3">
        <f>IF(OR(INDEX($L$2:$L$1001,MATCH(ROWS($K$2:K956),$K$2:$K$1001,0),1)&gt;=100000,INDEX($R$1005:$W$1005,1,MATCH(COLUMNS($R$1006:W1006),$R$1006:$W$1006,0))&gt;=100000), " ",IF(INDEX($R$2:$W$1001,MATCH(ROWS($K$2:K956),$K$2:$K$1001,0),MATCH(COLUMNS($R$1006:W1006),$R$1006:$W$1006,0)), HYPERLINK("#",""), HYPERLINK(CONCATENATE("#Metadata!", ADDRESS(INDEX($M$2:$M$1001,MATCH(ROWS($K$2:K956),$K$2:$K$1001,0),0), INDEX($R$1004:$W$1004,1,MATCH(COLUMNS($R$1006:W1006),$R$1006:$W$1006,0)))),"Fix")))</f>
        <v>0</v>
      </c>
      <c r="K956">
        <v>0</v>
      </c>
      <c r="L956">
        <v>0</v>
      </c>
      <c r="M956">
        <v>0</v>
      </c>
      <c r="N956">
        <f>IF(O956,TRUE,AND(R956:W956))</f>
        <v>0</v>
      </c>
      <c r="O956">
        <f>COUNTBLANK(Metadata!B956:G956)=COLUMNS(Metadata!B956:G956)</f>
        <v>0</v>
      </c>
      <c r="P956">
        <v>0</v>
      </c>
      <c r="R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S956">
        <f>IF(Metadata!C956="",FALSE,TRUE)</f>
        <v>0</v>
      </c>
      <c r="T956">
        <f>IF(Metadata!D956="",FALSE,TRUE)</f>
        <v>0</v>
      </c>
      <c r="U956">
        <f>IF(Metadata!E956="",FALSE,TRUE)</f>
        <v>0</v>
      </c>
      <c r="V956">
        <f>AND(IF(Metadata!F956="",FALSE,TRUE),exact(Metadata!F956,"rat gut metagenome"))</f>
        <v>0</v>
      </c>
      <c r="W956">
        <f>AND(IF(Metadata!G956="",FALSE,TRUE),exact(Metadata!G956,"1436733"))</f>
        <v>0</v>
      </c>
    </row>
    <row r="957" spans="1:23">
      <c r="A957" s="4">
        <f>IF(B957=" "," ",HYPERLINK(CONCATENATE("#metadata!",ADDRESS(INDEX($M$2:$M$1001,MATCH(ROWS($K$2:K957),$K$2:$K$1001,0),0),1)),INDEX($P$2:$P$1001,MATCH(ROWS($K$2:K957),$K$2:$K$1001,0),0)))</f>
        <v>0</v>
      </c>
      <c r="B957" s="3">
        <f>IF(OR(INDEX($L$2:$L$1001,MATCH(ROWS($K$2:K957),$K$2:$K$1001,0),1)&gt;=100000,INDEX($R$1005:$W$1005,1,MATCH(COLUMNS($R$1006:R1006),$R$1006:$W$1006,0))&gt;=100000), " ",IF(INDEX($R$2:$W$1001,MATCH(ROWS($K$2:K957),$K$2:$K$1001,0),MATCH(COLUMNS($R$1006:R1006),$R$1006:$W$1006,0)), HYPERLINK("#",""), HYPERLINK(CONCATENATE("#Metadata!", ADDRESS(INDEX($M$2:$M$1001,MATCH(ROWS($K$2:K957),$K$2:$K$1001,0),0), INDEX($R$1004:$W$1004,1,MATCH(COLUMNS($R$1006:R1006),$R$1006:$W$1006,0)))),"Fix")))</f>
        <v>0</v>
      </c>
      <c r="C957" s="3">
        <f>IF(OR(INDEX($L$2:$L$1001,MATCH(ROWS($K$2:K957),$K$2:$K$1001,0),1)&gt;=100000,INDEX($R$1005:$W$1005,1,MATCH(COLUMNS($R$1006:S1006),$R$1006:$W$1006,0))&gt;=100000), " ",IF(INDEX($R$2:$W$1001,MATCH(ROWS($K$2:K957),$K$2:$K$1001,0),MATCH(COLUMNS($R$1006:S1006),$R$1006:$W$1006,0)), HYPERLINK("#",""), HYPERLINK(CONCATENATE("#Metadata!", ADDRESS(INDEX($M$2:$M$1001,MATCH(ROWS($K$2:K957),$K$2:$K$1001,0),0), INDEX($R$1004:$W$1004,1,MATCH(COLUMNS($R$1006:S1006),$R$1006:$W$1006,0)))),"Fix")))</f>
        <v>0</v>
      </c>
      <c r="D957" s="3">
        <f>IF(OR(INDEX($L$2:$L$1001,MATCH(ROWS($K$2:K957),$K$2:$K$1001,0),1)&gt;=100000,INDEX($R$1005:$W$1005,1,MATCH(COLUMNS($R$1006:T1006),$R$1006:$W$1006,0))&gt;=100000), " ",IF(INDEX($R$2:$W$1001,MATCH(ROWS($K$2:K957),$K$2:$K$1001,0),MATCH(COLUMNS($R$1006:T1006),$R$1006:$W$1006,0)), HYPERLINK("#",""), HYPERLINK(CONCATENATE("#Metadata!", ADDRESS(INDEX($M$2:$M$1001,MATCH(ROWS($K$2:K957),$K$2:$K$1001,0),0), INDEX($R$1004:$W$1004,1,MATCH(COLUMNS($R$1006:T1006),$R$1006:$W$1006,0)))),"Fix")))</f>
        <v>0</v>
      </c>
      <c r="E957" s="3">
        <f>IF(OR(INDEX($L$2:$L$1001,MATCH(ROWS($K$2:K957),$K$2:$K$1001,0),1)&gt;=100000,INDEX($R$1005:$W$1005,1,MATCH(COLUMNS($R$1006:U1006),$R$1006:$W$1006,0))&gt;=100000), " ",IF(INDEX($R$2:$W$1001,MATCH(ROWS($K$2:K957),$K$2:$K$1001,0),MATCH(COLUMNS($R$1006:U1006),$R$1006:$W$1006,0)), HYPERLINK("#",""), HYPERLINK(CONCATENATE("#Metadata!", ADDRESS(INDEX($M$2:$M$1001,MATCH(ROWS($K$2:K957),$K$2:$K$1001,0),0), INDEX($R$1004:$W$1004,1,MATCH(COLUMNS($R$1006:U1006),$R$1006:$W$1006,0)))),"Fix")))</f>
        <v>0</v>
      </c>
      <c r="F957" s="3">
        <f>IF(OR(INDEX($L$2:$L$1001,MATCH(ROWS($K$2:K957),$K$2:$K$1001,0),1)&gt;=100000,INDEX($R$1005:$W$1005,1,MATCH(COLUMNS($R$1006:V1006),$R$1006:$W$1006,0))&gt;=100000), " ",IF(INDEX($R$2:$W$1001,MATCH(ROWS($K$2:K957),$K$2:$K$1001,0),MATCH(COLUMNS($R$1006:V1006),$R$1006:$W$1006,0)), HYPERLINK("#",""), HYPERLINK(CONCATENATE("#Metadata!", ADDRESS(INDEX($M$2:$M$1001,MATCH(ROWS($K$2:K957),$K$2:$K$1001,0),0), INDEX($R$1004:$W$1004,1,MATCH(COLUMNS($R$1006:V1006),$R$1006:$W$1006,0)))),"Fix")))</f>
        <v>0</v>
      </c>
      <c r="G957" s="3">
        <f>IF(OR(INDEX($L$2:$L$1001,MATCH(ROWS($K$2:K957),$K$2:$K$1001,0),1)&gt;=100000,INDEX($R$1005:$W$1005,1,MATCH(COLUMNS($R$1006:W1006),$R$1006:$W$1006,0))&gt;=100000), " ",IF(INDEX($R$2:$W$1001,MATCH(ROWS($K$2:K957),$K$2:$K$1001,0),MATCH(COLUMNS($R$1006:W1006),$R$1006:$W$1006,0)), HYPERLINK("#",""), HYPERLINK(CONCATENATE("#Metadata!", ADDRESS(INDEX($M$2:$M$1001,MATCH(ROWS($K$2:K957),$K$2:$K$1001,0),0), INDEX($R$1004:$W$1004,1,MATCH(COLUMNS($R$1006:W1006),$R$1006:$W$1006,0)))),"Fix")))</f>
        <v>0</v>
      </c>
      <c r="K957">
        <v>0</v>
      </c>
      <c r="L957">
        <v>0</v>
      </c>
      <c r="M957">
        <v>0</v>
      </c>
      <c r="N957">
        <f>IF(O957,TRUE,AND(R957:W957))</f>
        <v>0</v>
      </c>
      <c r="O957">
        <f>COUNTBLANK(Metadata!B957:G957)=COLUMNS(Metadata!B957:G957)</f>
        <v>0</v>
      </c>
      <c r="P957">
        <v>0</v>
      </c>
      <c r="R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S957">
        <f>IF(Metadata!C957="",FALSE,TRUE)</f>
        <v>0</v>
      </c>
      <c r="T957">
        <f>IF(Metadata!D957="",FALSE,TRUE)</f>
        <v>0</v>
      </c>
      <c r="U957">
        <f>IF(Metadata!E957="",FALSE,TRUE)</f>
        <v>0</v>
      </c>
      <c r="V957">
        <f>AND(IF(Metadata!F957="",FALSE,TRUE),exact(Metadata!F957,"rat gut metagenome"))</f>
        <v>0</v>
      </c>
      <c r="W957">
        <f>AND(IF(Metadata!G957="",FALSE,TRUE),exact(Metadata!G957,"1436733"))</f>
        <v>0</v>
      </c>
    </row>
    <row r="958" spans="1:23">
      <c r="A958" s="4">
        <f>IF(B958=" "," ",HYPERLINK(CONCATENATE("#metadata!",ADDRESS(INDEX($M$2:$M$1001,MATCH(ROWS($K$2:K958),$K$2:$K$1001,0),0),1)),INDEX($P$2:$P$1001,MATCH(ROWS($K$2:K958),$K$2:$K$1001,0),0)))</f>
        <v>0</v>
      </c>
      <c r="B958" s="3">
        <f>IF(OR(INDEX($L$2:$L$1001,MATCH(ROWS($K$2:K958),$K$2:$K$1001,0),1)&gt;=100000,INDEX($R$1005:$W$1005,1,MATCH(COLUMNS($R$1006:R1006),$R$1006:$W$1006,0))&gt;=100000), " ",IF(INDEX($R$2:$W$1001,MATCH(ROWS($K$2:K958),$K$2:$K$1001,0),MATCH(COLUMNS($R$1006:R1006),$R$1006:$W$1006,0)), HYPERLINK("#",""), HYPERLINK(CONCATENATE("#Metadata!", ADDRESS(INDEX($M$2:$M$1001,MATCH(ROWS($K$2:K958),$K$2:$K$1001,0),0), INDEX($R$1004:$W$1004,1,MATCH(COLUMNS($R$1006:R1006),$R$1006:$W$1006,0)))),"Fix")))</f>
        <v>0</v>
      </c>
      <c r="C958" s="3">
        <f>IF(OR(INDEX($L$2:$L$1001,MATCH(ROWS($K$2:K958),$K$2:$K$1001,0),1)&gt;=100000,INDEX($R$1005:$W$1005,1,MATCH(COLUMNS($R$1006:S1006),$R$1006:$W$1006,0))&gt;=100000), " ",IF(INDEX($R$2:$W$1001,MATCH(ROWS($K$2:K958),$K$2:$K$1001,0),MATCH(COLUMNS($R$1006:S1006),$R$1006:$W$1006,0)), HYPERLINK("#",""), HYPERLINK(CONCATENATE("#Metadata!", ADDRESS(INDEX($M$2:$M$1001,MATCH(ROWS($K$2:K958),$K$2:$K$1001,0),0), INDEX($R$1004:$W$1004,1,MATCH(COLUMNS($R$1006:S1006),$R$1006:$W$1006,0)))),"Fix")))</f>
        <v>0</v>
      </c>
      <c r="D958" s="3">
        <f>IF(OR(INDEX($L$2:$L$1001,MATCH(ROWS($K$2:K958),$K$2:$K$1001,0),1)&gt;=100000,INDEX($R$1005:$W$1005,1,MATCH(COLUMNS($R$1006:T1006),$R$1006:$W$1006,0))&gt;=100000), " ",IF(INDEX($R$2:$W$1001,MATCH(ROWS($K$2:K958),$K$2:$K$1001,0),MATCH(COLUMNS($R$1006:T1006),$R$1006:$W$1006,0)), HYPERLINK("#",""), HYPERLINK(CONCATENATE("#Metadata!", ADDRESS(INDEX($M$2:$M$1001,MATCH(ROWS($K$2:K958),$K$2:$K$1001,0),0), INDEX($R$1004:$W$1004,1,MATCH(COLUMNS($R$1006:T1006),$R$1006:$W$1006,0)))),"Fix")))</f>
        <v>0</v>
      </c>
      <c r="E958" s="3">
        <f>IF(OR(INDEX($L$2:$L$1001,MATCH(ROWS($K$2:K958),$K$2:$K$1001,0),1)&gt;=100000,INDEX($R$1005:$W$1005,1,MATCH(COLUMNS($R$1006:U1006),$R$1006:$W$1006,0))&gt;=100000), " ",IF(INDEX($R$2:$W$1001,MATCH(ROWS($K$2:K958),$K$2:$K$1001,0),MATCH(COLUMNS($R$1006:U1006),$R$1006:$W$1006,0)), HYPERLINK("#",""), HYPERLINK(CONCATENATE("#Metadata!", ADDRESS(INDEX($M$2:$M$1001,MATCH(ROWS($K$2:K958),$K$2:$K$1001,0),0), INDEX($R$1004:$W$1004,1,MATCH(COLUMNS($R$1006:U1006),$R$1006:$W$1006,0)))),"Fix")))</f>
        <v>0</v>
      </c>
      <c r="F958" s="3">
        <f>IF(OR(INDEX($L$2:$L$1001,MATCH(ROWS($K$2:K958),$K$2:$K$1001,0),1)&gt;=100000,INDEX($R$1005:$W$1005,1,MATCH(COLUMNS($R$1006:V1006),$R$1006:$W$1006,0))&gt;=100000), " ",IF(INDEX($R$2:$W$1001,MATCH(ROWS($K$2:K958),$K$2:$K$1001,0),MATCH(COLUMNS($R$1006:V1006),$R$1006:$W$1006,0)), HYPERLINK("#",""), HYPERLINK(CONCATENATE("#Metadata!", ADDRESS(INDEX($M$2:$M$1001,MATCH(ROWS($K$2:K958),$K$2:$K$1001,0),0), INDEX($R$1004:$W$1004,1,MATCH(COLUMNS($R$1006:V1006),$R$1006:$W$1006,0)))),"Fix")))</f>
        <v>0</v>
      </c>
      <c r="G958" s="3">
        <f>IF(OR(INDEX($L$2:$L$1001,MATCH(ROWS($K$2:K958),$K$2:$K$1001,0),1)&gt;=100000,INDEX($R$1005:$W$1005,1,MATCH(COLUMNS($R$1006:W1006),$R$1006:$W$1006,0))&gt;=100000), " ",IF(INDEX($R$2:$W$1001,MATCH(ROWS($K$2:K958),$K$2:$K$1001,0),MATCH(COLUMNS($R$1006:W1006),$R$1006:$W$1006,0)), HYPERLINK("#",""), HYPERLINK(CONCATENATE("#Metadata!", ADDRESS(INDEX($M$2:$M$1001,MATCH(ROWS($K$2:K958),$K$2:$K$1001,0),0), INDEX($R$1004:$W$1004,1,MATCH(COLUMNS($R$1006:W1006),$R$1006:$W$1006,0)))),"Fix")))</f>
        <v>0</v>
      </c>
      <c r="K958">
        <v>0</v>
      </c>
      <c r="L958">
        <v>0</v>
      </c>
      <c r="M958">
        <v>0</v>
      </c>
      <c r="N958">
        <f>IF(O958,TRUE,AND(R958:W958))</f>
        <v>0</v>
      </c>
      <c r="O958">
        <f>COUNTBLANK(Metadata!B958:G958)=COLUMNS(Metadata!B958:G958)</f>
        <v>0</v>
      </c>
      <c r="P958">
        <v>0</v>
      </c>
      <c r="R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S958">
        <f>IF(Metadata!C958="",FALSE,TRUE)</f>
        <v>0</v>
      </c>
      <c r="T958">
        <f>IF(Metadata!D958="",FALSE,TRUE)</f>
        <v>0</v>
      </c>
      <c r="U958">
        <f>IF(Metadata!E958="",FALSE,TRUE)</f>
        <v>0</v>
      </c>
      <c r="V958">
        <f>AND(IF(Metadata!F958="",FALSE,TRUE),exact(Metadata!F958,"rat gut metagenome"))</f>
        <v>0</v>
      </c>
      <c r="W958">
        <f>AND(IF(Metadata!G958="",FALSE,TRUE),exact(Metadata!G958,"1436733"))</f>
        <v>0</v>
      </c>
    </row>
    <row r="959" spans="1:23">
      <c r="A959" s="4">
        <f>IF(B959=" "," ",HYPERLINK(CONCATENATE("#metadata!",ADDRESS(INDEX($M$2:$M$1001,MATCH(ROWS($K$2:K959),$K$2:$K$1001,0),0),1)),INDEX($P$2:$P$1001,MATCH(ROWS($K$2:K959),$K$2:$K$1001,0),0)))</f>
        <v>0</v>
      </c>
      <c r="B959" s="3">
        <f>IF(OR(INDEX($L$2:$L$1001,MATCH(ROWS($K$2:K959),$K$2:$K$1001,0),1)&gt;=100000,INDEX($R$1005:$W$1005,1,MATCH(COLUMNS($R$1006:R1006),$R$1006:$W$1006,0))&gt;=100000), " ",IF(INDEX($R$2:$W$1001,MATCH(ROWS($K$2:K959),$K$2:$K$1001,0),MATCH(COLUMNS($R$1006:R1006),$R$1006:$W$1006,0)), HYPERLINK("#",""), HYPERLINK(CONCATENATE("#Metadata!", ADDRESS(INDEX($M$2:$M$1001,MATCH(ROWS($K$2:K959),$K$2:$K$1001,0),0), INDEX($R$1004:$W$1004,1,MATCH(COLUMNS($R$1006:R1006),$R$1006:$W$1006,0)))),"Fix")))</f>
        <v>0</v>
      </c>
      <c r="C959" s="3">
        <f>IF(OR(INDEX($L$2:$L$1001,MATCH(ROWS($K$2:K959),$K$2:$K$1001,0),1)&gt;=100000,INDEX($R$1005:$W$1005,1,MATCH(COLUMNS($R$1006:S1006),$R$1006:$W$1006,0))&gt;=100000), " ",IF(INDEX($R$2:$W$1001,MATCH(ROWS($K$2:K959),$K$2:$K$1001,0),MATCH(COLUMNS($R$1006:S1006),$R$1006:$W$1006,0)), HYPERLINK("#",""), HYPERLINK(CONCATENATE("#Metadata!", ADDRESS(INDEX($M$2:$M$1001,MATCH(ROWS($K$2:K959),$K$2:$K$1001,0),0), INDEX($R$1004:$W$1004,1,MATCH(COLUMNS($R$1006:S1006),$R$1006:$W$1006,0)))),"Fix")))</f>
        <v>0</v>
      </c>
      <c r="D959" s="3">
        <f>IF(OR(INDEX($L$2:$L$1001,MATCH(ROWS($K$2:K959),$K$2:$K$1001,0),1)&gt;=100000,INDEX($R$1005:$W$1005,1,MATCH(COLUMNS($R$1006:T1006),$R$1006:$W$1006,0))&gt;=100000), " ",IF(INDEX($R$2:$W$1001,MATCH(ROWS($K$2:K959),$K$2:$K$1001,0),MATCH(COLUMNS($R$1006:T1006),$R$1006:$W$1006,0)), HYPERLINK("#",""), HYPERLINK(CONCATENATE("#Metadata!", ADDRESS(INDEX($M$2:$M$1001,MATCH(ROWS($K$2:K959),$K$2:$K$1001,0),0), INDEX($R$1004:$W$1004,1,MATCH(COLUMNS($R$1006:T1006),$R$1006:$W$1006,0)))),"Fix")))</f>
        <v>0</v>
      </c>
      <c r="E959" s="3">
        <f>IF(OR(INDEX($L$2:$L$1001,MATCH(ROWS($K$2:K959),$K$2:$K$1001,0),1)&gt;=100000,INDEX($R$1005:$W$1005,1,MATCH(COLUMNS($R$1006:U1006),$R$1006:$W$1006,0))&gt;=100000), " ",IF(INDEX($R$2:$W$1001,MATCH(ROWS($K$2:K959),$K$2:$K$1001,0),MATCH(COLUMNS($R$1006:U1006),$R$1006:$W$1006,0)), HYPERLINK("#",""), HYPERLINK(CONCATENATE("#Metadata!", ADDRESS(INDEX($M$2:$M$1001,MATCH(ROWS($K$2:K959),$K$2:$K$1001,0),0), INDEX($R$1004:$W$1004,1,MATCH(COLUMNS($R$1006:U1006),$R$1006:$W$1006,0)))),"Fix")))</f>
        <v>0</v>
      </c>
      <c r="F959" s="3">
        <f>IF(OR(INDEX($L$2:$L$1001,MATCH(ROWS($K$2:K959),$K$2:$K$1001,0),1)&gt;=100000,INDEX($R$1005:$W$1005,1,MATCH(COLUMNS($R$1006:V1006),$R$1006:$W$1006,0))&gt;=100000), " ",IF(INDEX($R$2:$W$1001,MATCH(ROWS($K$2:K959),$K$2:$K$1001,0),MATCH(COLUMNS($R$1006:V1006),$R$1006:$W$1006,0)), HYPERLINK("#",""), HYPERLINK(CONCATENATE("#Metadata!", ADDRESS(INDEX($M$2:$M$1001,MATCH(ROWS($K$2:K959),$K$2:$K$1001,0),0), INDEX($R$1004:$W$1004,1,MATCH(COLUMNS($R$1006:V1006),$R$1006:$W$1006,0)))),"Fix")))</f>
        <v>0</v>
      </c>
      <c r="G959" s="3">
        <f>IF(OR(INDEX($L$2:$L$1001,MATCH(ROWS($K$2:K959),$K$2:$K$1001,0),1)&gt;=100000,INDEX($R$1005:$W$1005,1,MATCH(COLUMNS($R$1006:W1006),$R$1006:$W$1006,0))&gt;=100000), " ",IF(INDEX($R$2:$W$1001,MATCH(ROWS($K$2:K959),$K$2:$K$1001,0),MATCH(COLUMNS($R$1006:W1006),$R$1006:$W$1006,0)), HYPERLINK("#",""), HYPERLINK(CONCATENATE("#Metadata!", ADDRESS(INDEX($M$2:$M$1001,MATCH(ROWS($K$2:K959),$K$2:$K$1001,0),0), INDEX($R$1004:$W$1004,1,MATCH(COLUMNS($R$1006:W1006),$R$1006:$W$1006,0)))),"Fix")))</f>
        <v>0</v>
      </c>
      <c r="K959">
        <v>0</v>
      </c>
      <c r="L959">
        <v>0</v>
      </c>
      <c r="M959">
        <v>0</v>
      </c>
      <c r="N959">
        <f>IF(O959,TRUE,AND(R959:W959))</f>
        <v>0</v>
      </c>
      <c r="O959">
        <f>COUNTBLANK(Metadata!B959:G959)=COLUMNS(Metadata!B959:G959)</f>
        <v>0</v>
      </c>
      <c r="P959">
        <v>0</v>
      </c>
      <c r="R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S959">
        <f>IF(Metadata!C959="",FALSE,TRUE)</f>
        <v>0</v>
      </c>
      <c r="T959">
        <f>IF(Metadata!D959="",FALSE,TRUE)</f>
        <v>0</v>
      </c>
      <c r="U959">
        <f>IF(Metadata!E959="",FALSE,TRUE)</f>
        <v>0</v>
      </c>
      <c r="V959">
        <f>AND(IF(Metadata!F959="",FALSE,TRUE),exact(Metadata!F959,"rat gut metagenome"))</f>
        <v>0</v>
      </c>
      <c r="W959">
        <f>AND(IF(Metadata!G959="",FALSE,TRUE),exact(Metadata!G959,"1436733"))</f>
        <v>0</v>
      </c>
    </row>
    <row r="960" spans="1:23">
      <c r="A960" s="4">
        <f>IF(B960=" "," ",HYPERLINK(CONCATENATE("#metadata!",ADDRESS(INDEX($M$2:$M$1001,MATCH(ROWS($K$2:K960),$K$2:$K$1001,0),0),1)),INDEX($P$2:$P$1001,MATCH(ROWS($K$2:K960),$K$2:$K$1001,0),0)))</f>
        <v>0</v>
      </c>
      <c r="B960" s="3">
        <f>IF(OR(INDEX($L$2:$L$1001,MATCH(ROWS($K$2:K960),$K$2:$K$1001,0),1)&gt;=100000,INDEX($R$1005:$W$1005,1,MATCH(COLUMNS($R$1006:R1006),$R$1006:$W$1006,0))&gt;=100000), " ",IF(INDEX($R$2:$W$1001,MATCH(ROWS($K$2:K960),$K$2:$K$1001,0),MATCH(COLUMNS($R$1006:R1006),$R$1006:$W$1006,0)), HYPERLINK("#",""), HYPERLINK(CONCATENATE("#Metadata!", ADDRESS(INDEX($M$2:$M$1001,MATCH(ROWS($K$2:K960),$K$2:$K$1001,0),0), INDEX($R$1004:$W$1004,1,MATCH(COLUMNS($R$1006:R1006),$R$1006:$W$1006,0)))),"Fix")))</f>
        <v>0</v>
      </c>
      <c r="C960" s="3">
        <f>IF(OR(INDEX($L$2:$L$1001,MATCH(ROWS($K$2:K960),$K$2:$K$1001,0),1)&gt;=100000,INDEX($R$1005:$W$1005,1,MATCH(COLUMNS($R$1006:S1006),$R$1006:$W$1006,0))&gt;=100000), " ",IF(INDEX($R$2:$W$1001,MATCH(ROWS($K$2:K960),$K$2:$K$1001,0),MATCH(COLUMNS($R$1006:S1006),$R$1006:$W$1006,0)), HYPERLINK("#",""), HYPERLINK(CONCATENATE("#Metadata!", ADDRESS(INDEX($M$2:$M$1001,MATCH(ROWS($K$2:K960),$K$2:$K$1001,0),0), INDEX($R$1004:$W$1004,1,MATCH(COLUMNS($R$1006:S1006),$R$1006:$W$1006,0)))),"Fix")))</f>
        <v>0</v>
      </c>
      <c r="D960" s="3">
        <f>IF(OR(INDEX($L$2:$L$1001,MATCH(ROWS($K$2:K960),$K$2:$K$1001,0),1)&gt;=100000,INDEX($R$1005:$W$1005,1,MATCH(COLUMNS($R$1006:T1006),$R$1006:$W$1006,0))&gt;=100000), " ",IF(INDEX($R$2:$W$1001,MATCH(ROWS($K$2:K960),$K$2:$K$1001,0),MATCH(COLUMNS($R$1006:T1006),$R$1006:$W$1006,0)), HYPERLINK("#",""), HYPERLINK(CONCATENATE("#Metadata!", ADDRESS(INDEX($M$2:$M$1001,MATCH(ROWS($K$2:K960),$K$2:$K$1001,0),0), INDEX($R$1004:$W$1004,1,MATCH(COLUMNS($R$1006:T1006),$R$1006:$W$1006,0)))),"Fix")))</f>
        <v>0</v>
      </c>
      <c r="E960" s="3">
        <f>IF(OR(INDEX($L$2:$L$1001,MATCH(ROWS($K$2:K960),$K$2:$K$1001,0),1)&gt;=100000,INDEX($R$1005:$W$1005,1,MATCH(COLUMNS($R$1006:U1006),$R$1006:$W$1006,0))&gt;=100000), " ",IF(INDEX($R$2:$W$1001,MATCH(ROWS($K$2:K960),$K$2:$K$1001,0),MATCH(COLUMNS($R$1006:U1006),$R$1006:$W$1006,0)), HYPERLINK("#",""), HYPERLINK(CONCATENATE("#Metadata!", ADDRESS(INDEX($M$2:$M$1001,MATCH(ROWS($K$2:K960),$K$2:$K$1001,0),0), INDEX($R$1004:$W$1004,1,MATCH(COLUMNS($R$1006:U1006),$R$1006:$W$1006,0)))),"Fix")))</f>
        <v>0</v>
      </c>
      <c r="F960" s="3">
        <f>IF(OR(INDEX($L$2:$L$1001,MATCH(ROWS($K$2:K960),$K$2:$K$1001,0),1)&gt;=100000,INDEX($R$1005:$W$1005,1,MATCH(COLUMNS($R$1006:V1006),$R$1006:$W$1006,0))&gt;=100000), " ",IF(INDEX($R$2:$W$1001,MATCH(ROWS($K$2:K960),$K$2:$K$1001,0),MATCH(COLUMNS($R$1006:V1006),$R$1006:$W$1006,0)), HYPERLINK("#",""), HYPERLINK(CONCATENATE("#Metadata!", ADDRESS(INDEX($M$2:$M$1001,MATCH(ROWS($K$2:K960),$K$2:$K$1001,0),0), INDEX($R$1004:$W$1004,1,MATCH(COLUMNS($R$1006:V1006),$R$1006:$W$1006,0)))),"Fix")))</f>
        <v>0</v>
      </c>
      <c r="G960" s="3">
        <f>IF(OR(INDEX($L$2:$L$1001,MATCH(ROWS($K$2:K960),$K$2:$K$1001,0),1)&gt;=100000,INDEX($R$1005:$W$1005,1,MATCH(COLUMNS($R$1006:W1006),$R$1006:$W$1006,0))&gt;=100000), " ",IF(INDEX($R$2:$W$1001,MATCH(ROWS($K$2:K960),$K$2:$K$1001,0),MATCH(COLUMNS($R$1006:W1006),$R$1006:$W$1006,0)), HYPERLINK("#",""), HYPERLINK(CONCATENATE("#Metadata!", ADDRESS(INDEX($M$2:$M$1001,MATCH(ROWS($K$2:K960),$K$2:$K$1001,0),0), INDEX($R$1004:$W$1004,1,MATCH(COLUMNS($R$1006:W1006),$R$1006:$W$1006,0)))),"Fix")))</f>
        <v>0</v>
      </c>
      <c r="K960">
        <v>0</v>
      </c>
      <c r="L960">
        <v>0</v>
      </c>
      <c r="M960">
        <v>0</v>
      </c>
      <c r="N960">
        <f>IF(O960,TRUE,AND(R960:W960))</f>
        <v>0</v>
      </c>
      <c r="O960">
        <f>COUNTBLANK(Metadata!B960:G960)=COLUMNS(Metadata!B960:G960)</f>
        <v>0</v>
      </c>
      <c r="P960">
        <v>0</v>
      </c>
      <c r="R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S960">
        <f>IF(Metadata!C960="",FALSE,TRUE)</f>
        <v>0</v>
      </c>
      <c r="T960">
        <f>IF(Metadata!D960="",FALSE,TRUE)</f>
        <v>0</v>
      </c>
      <c r="U960">
        <f>IF(Metadata!E960="",FALSE,TRUE)</f>
        <v>0</v>
      </c>
      <c r="V960">
        <f>AND(IF(Metadata!F960="",FALSE,TRUE),exact(Metadata!F960,"rat gut metagenome"))</f>
        <v>0</v>
      </c>
      <c r="W960">
        <f>AND(IF(Metadata!G960="",FALSE,TRUE),exact(Metadata!G960,"1436733"))</f>
        <v>0</v>
      </c>
    </row>
    <row r="961" spans="1:23">
      <c r="A961" s="4">
        <f>IF(B961=" "," ",HYPERLINK(CONCATENATE("#metadata!",ADDRESS(INDEX($M$2:$M$1001,MATCH(ROWS($K$2:K961),$K$2:$K$1001,0),0),1)),INDEX($P$2:$P$1001,MATCH(ROWS($K$2:K961),$K$2:$K$1001,0),0)))</f>
        <v>0</v>
      </c>
      <c r="B961" s="3">
        <f>IF(OR(INDEX($L$2:$L$1001,MATCH(ROWS($K$2:K961),$K$2:$K$1001,0),1)&gt;=100000,INDEX($R$1005:$W$1005,1,MATCH(COLUMNS($R$1006:R1006),$R$1006:$W$1006,0))&gt;=100000), " ",IF(INDEX($R$2:$W$1001,MATCH(ROWS($K$2:K961),$K$2:$K$1001,0),MATCH(COLUMNS($R$1006:R1006),$R$1006:$W$1006,0)), HYPERLINK("#",""), HYPERLINK(CONCATENATE("#Metadata!", ADDRESS(INDEX($M$2:$M$1001,MATCH(ROWS($K$2:K961),$K$2:$K$1001,0),0), INDEX($R$1004:$W$1004,1,MATCH(COLUMNS($R$1006:R1006),$R$1006:$W$1006,0)))),"Fix")))</f>
        <v>0</v>
      </c>
      <c r="C961" s="3">
        <f>IF(OR(INDEX($L$2:$L$1001,MATCH(ROWS($K$2:K961),$K$2:$K$1001,0),1)&gt;=100000,INDEX($R$1005:$W$1005,1,MATCH(COLUMNS($R$1006:S1006),$R$1006:$W$1006,0))&gt;=100000), " ",IF(INDEX($R$2:$W$1001,MATCH(ROWS($K$2:K961),$K$2:$K$1001,0),MATCH(COLUMNS($R$1006:S1006),$R$1006:$W$1006,0)), HYPERLINK("#",""), HYPERLINK(CONCATENATE("#Metadata!", ADDRESS(INDEX($M$2:$M$1001,MATCH(ROWS($K$2:K961),$K$2:$K$1001,0),0), INDEX($R$1004:$W$1004,1,MATCH(COLUMNS($R$1006:S1006),$R$1006:$W$1006,0)))),"Fix")))</f>
        <v>0</v>
      </c>
      <c r="D961" s="3">
        <f>IF(OR(INDEX($L$2:$L$1001,MATCH(ROWS($K$2:K961),$K$2:$K$1001,0),1)&gt;=100000,INDEX($R$1005:$W$1005,1,MATCH(COLUMNS($R$1006:T1006),$R$1006:$W$1006,0))&gt;=100000), " ",IF(INDEX($R$2:$W$1001,MATCH(ROWS($K$2:K961),$K$2:$K$1001,0),MATCH(COLUMNS($R$1006:T1006),$R$1006:$W$1006,0)), HYPERLINK("#",""), HYPERLINK(CONCATENATE("#Metadata!", ADDRESS(INDEX($M$2:$M$1001,MATCH(ROWS($K$2:K961),$K$2:$K$1001,0),0), INDEX($R$1004:$W$1004,1,MATCH(COLUMNS($R$1006:T1006),$R$1006:$W$1006,0)))),"Fix")))</f>
        <v>0</v>
      </c>
      <c r="E961" s="3">
        <f>IF(OR(INDEX($L$2:$L$1001,MATCH(ROWS($K$2:K961),$K$2:$K$1001,0),1)&gt;=100000,INDEX($R$1005:$W$1005,1,MATCH(COLUMNS($R$1006:U1006),$R$1006:$W$1006,0))&gt;=100000), " ",IF(INDEX($R$2:$W$1001,MATCH(ROWS($K$2:K961),$K$2:$K$1001,0),MATCH(COLUMNS($R$1006:U1006),$R$1006:$W$1006,0)), HYPERLINK("#",""), HYPERLINK(CONCATENATE("#Metadata!", ADDRESS(INDEX($M$2:$M$1001,MATCH(ROWS($K$2:K961),$K$2:$K$1001,0),0), INDEX($R$1004:$W$1004,1,MATCH(COLUMNS($R$1006:U1006),$R$1006:$W$1006,0)))),"Fix")))</f>
        <v>0</v>
      </c>
      <c r="F961" s="3">
        <f>IF(OR(INDEX($L$2:$L$1001,MATCH(ROWS($K$2:K961),$K$2:$K$1001,0),1)&gt;=100000,INDEX($R$1005:$W$1005,1,MATCH(COLUMNS($R$1006:V1006),$R$1006:$W$1006,0))&gt;=100000), " ",IF(INDEX($R$2:$W$1001,MATCH(ROWS($K$2:K961),$K$2:$K$1001,0),MATCH(COLUMNS($R$1006:V1006),$R$1006:$W$1006,0)), HYPERLINK("#",""), HYPERLINK(CONCATENATE("#Metadata!", ADDRESS(INDEX($M$2:$M$1001,MATCH(ROWS($K$2:K961),$K$2:$K$1001,0),0), INDEX($R$1004:$W$1004,1,MATCH(COLUMNS($R$1006:V1006),$R$1006:$W$1006,0)))),"Fix")))</f>
        <v>0</v>
      </c>
      <c r="G961" s="3">
        <f>IF(OR(INDEX($L$2:$L$1001,MATCH(ROWS($K$2:K961),$K$2:$K$1001,0),1)&gt;=100000,INDEX($R$1005:$W$1005,1,MATCH(COLUMNS($R$1006:W1006),$R$1006:$W$1006,0))&gt;=100000), " ",IF(INDEX($R$2:$W$1001,MATCH(ROWS($K$2:K961),$K$2:$K$1001,0),MATCH(COLUMNS($R$1006:W1006),$R$1006:$W$1006,0)), HYPERLINK("#",""), HYPERLINK(CONCATENATE("#Metadata!", ADDRESS(INDEX($M$2:$M$1001,MATCH(ROWS($K$2:K961),$K$2:$K$1001,0),0), INDEX($R$1004:$W$1004,1,MATCH(COLUMNS($R$1006:W1006),$R$1006:$W$1006,0)))),"Fix")))</f>
        <v>0</v>
      </c>
      <c r="K961">
        <v>0</v>
      </c>
      <c r="L961">
        <v>0</v>
      </c>
      <c r="M961">
        <v>0</v>
      </c>
      <c r="N961">
        <f>IF(O961,TRUE,AND(R961:W961))</f>
        <v>0</v>
      </c>
      <c r="O961">
        <f>COUNTBLANK(Metadata!B961:G961)=COLUMNS(Metadata!B961:G961)</f>
        <v>0</v>
      </c>
      <c r="P961">
        <v>0</v>
      </c>
      <c r="R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S961">
        <f>IF(Metadata!C961="",FALSE,TRUE)</f>
        <v>0</v>
      </c>
      <c r="T961">
        <f>IF(Metadata!D961="",FALSE,TRUE)</f>
        <v>0</v>
      </c>
      <c r="U961">
        <f>IF(Metadata!E961="",FALSE,TRUE)</f>
        <v>0</v>
      </c>
      <c r="V961">
        <f>AND(IF(Metadata!F961="",FALSE,TRUE),exact(Metadata!F961,"rat gut metagenome"))</f>
        <v>0</v>
      </c>
      <c r="W961">
        <f>AND(IF(Metadata!G961="",FALSE,TRUE),exact(Metadata!G961,"1436733"))</f>
        <v>0</v>
      </c>
    </row>
    <row r="962" spans="1:23">
      <c r="A962" s="4">
        <f>IF(B962=" "," ",HYPERLINK(CONCATENATE("#metadata!",ADDRESS(INDEX($M$2:$M$1001,MATCH(ROWS($K$2:K962),$K$2:$K$1001,0),0),1)),INDEX($P$2:$P$1001,MATCH(ROWS($K$2:K962),$K$2:$K$1001,0),0)))</f>
        <v>0</v>
      </c>
      <c r="B962" s="3">
        <f>IF(OR(INDEX($L$2:$L$1001,MATCH(ROWS($K$2:K962),$K$2:$K$1001,0),1)&gt;=100000,INDEX($R$1005:$W$1005,1,MATCH(COLUMNS($R$1006:R1006),$R$1006:$W$1006,0))&gt;=100000), " ",IF(INDEX($R$2:$W$1001,MATCH(ROWS($K$2:K962),$K$2:$K$1001,0),MATCH(COLUMNS($R$1006:R1006),$R$1006:$W$1006,0)), HYPERLINK("#",""), HYPERLINK(CONCATENATE("#Metadata!", ADDRESS(INDEX($M$2:$M$1001,MATCH(ROWS($K$2:K962),$K$2:$K$1001,0),0), INDEX($R$1004:$W$1004,1,MATCH(COLUMNS($R$1006:R1006),$R$1006:$W$1006,0)))),"Fix")))</f>
        <v>0</v>
      </c>
      <c r="C962" s="3">
        <f>IF(OR(INDEX($L$2:$L$1001,MATCH(ROWS($K$2:K962),$K$2:$K$1001,0),1)&gt;=100000,INDEX($R$1005:$W$1005,1,MATCH(COLUMNS($R$1006:S1006),$R$1006:$W$1006,0))&gt;=100000), " ",IF(INDEX($R$2:$W$1001,MATCH(ROWS($K$2:K962),$K$2:$K$1001,0),MATCH(COLUMNS($R$1006:S1006),$R$1006:$W$1006,0)), HYPERLINK("#",""), HYPERLINK(CONCATENATE("#Metadata!", ADDRESS(INDEX($M$2:$M$1001,MATCH(ROWS($K$2:K962),$K$2:$K$1001,0),0), INDEX($R$1004:$W$1004,1,MATCH(COLUMNS($R$1006:S1006),$R$1006:$W$1006,0)))),"Fix")))</f>
        <v>0</v>
      </c>
      <c r="D962" s="3">
        <f>IF(OR(INDEX($L$2:$L$1001,MATCH(ROWS($K$2:K962),$K$2:$K$1001,0),1)&gt;=100000,INDEX($R$1005:$W$1005,1,MATCH(COLUMNS($R$1006:T1006),$R$1006:$W$1006,0))&gt;=100000), " ",IF(INDEX($R$2:$W$1001,MATCH(ROWS($K$2:K962),$K$2:$K$1001,0),MATCH(COLUMNS($R$1006:T1006),$R$1006:$W$1006,0)), HYPERLINK("#",""), HYPERLINK(CONCATENATE("#Metadata!", ADDRESS(INDEX($M$2:$M$1001,MATCH(ROWS($K$2:K962),$K$2:$K$1001,0),0), INDEX($R$1004:$W$1004,1,MATCH(COLUMNS($R$1006:T1006),$R$1006:$W$1006,0)))),"Fix")))</f>
        <v>0</v>
      </c>
      <c r="E962" s="3">
        <f>IF(OR(INDEX($L$2:$L$1001,MATCH(ROWS($K$2:K962),$K$2:$K$1001,0),1)&gt;=100000,INDEX($R$1005:$W$1005,1,MATCH(COLUMNS($R$1006:U1006),$R$1006:$W$1006,0))&gt;=100000), " ",IF(INDEX($R$2:$W$1001,MATCH(ROWS($K$2:K962),$K$2:$K$1001,0),MATCH(COLUMNS($R$1006:U1006),$R$1006:$W$1006,0)), HYPERLINK("#",""), HYPERLINK(CONCATENATE("#Metadata!", ADDRESS(INDEX($M$2:$M$1001,MATCH(ROWS($K$2:K962),$K$2:$K$1001,0),0), INDEX($R$1004:$W$1004,1,MATCH(COLUMNS($R$1006:U1006),$R$1006:$W$1006,0)))),"Fix")))</f>
        <v>0</v>
      </c>
      <c r="F962" s="3">
        <f>IF(OR(INDEX($L$2:$L$1001,MATCH(ROWS($K$2:K962),$K$2:$K$1001,0),1)&gt;=100000,INDEX($R$1005:$W$1005,1,MATCH(COLUMNS($R$1006:V1006),$R$1006:$W$1006,0))&gt;=100000), " ",IF(INDEX($R$2:$W$1001,MATCH(ROWS($K$2:K962),$K$2:$K$1001,0),MATCH(COLUMNS($R$1006:V1006),$R$1006:$W$1006,0)), HYPERLINK("#",""), HYPERLINK(CONCATENATE("#Metadata!", ADDRESS(INDEX($M$2:$M$1001,MATCH(ROWS($K$2:K962),$K$2:$K$1001,0),0), INDEX($R$1004:$W$1004,1,MATCH(COLUMNS($R$1006:V1006),$R$1006:$W$1006,0)))),"Fix")))</f>
        <v>0</v>
      </c>
      <c r="G962" s="3">
        <f>IF(OR(INDEX($L$2:$L$1001,MATCH(ROWS($K$2:K962),$K$2:$K$1001,0),1)&gt;=100000,INDEX($R$1005:$W$1005,1,MATCH(COLUMNS($R$1006:W1006),$R$1006:$W$1006,0))&gt;=100000), " ",IF(INDEX($R$2:$W$1001,MATCH(ROWS($K$2:K962),$K$2:$K$1001,0),MATCH(COLUMNS($R$1006:W1006),$R$1006:$W$1006,0)), HYPERLINK("#",""), HYPERLINK(CONCATENATE("#Metadata!", ADDRESS(INDEX($M$2:$M$1001,MATCH(ROWS($K$2:K962),$K$2:$K$1001,0),0), INDEX($R$1004:$W$1004,1,MATCH(COLUMNS($R$1006:W1006),$R$1006:$W$1006,0)))),"Fix")))</f>
        <v>0</v>
      </c>
      <c r="K962">
        <v>0</v>
      </c>
      <c r="L962">
        <v>0</v>
      </c>
      <c r="M962">
        <v>0</v>
      </c>
      <c r="N962">
        <f>IF(O962,TRUE,AND(R962:W962))</f>
        <v>0</v>
      </c>
      <c r="O962">
        <f>COUNTBLANK(Metadata!B962:G962)=COLUMNS(Metadata!B962:G962)</f>
        <v>0</v>
      </c>
      <c r="P962">
        <v>0</v>
      </c>
      <c r="R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S962">
        <f>IF(Metadata!C962="",FALSE,TRUE)</f>
        <v>0</v>
      </c>
      <c r="T962">
        <f>IF(Metadata!D962="",FALSE,TRUE)</f>
        <v>0</v>
      </c>
      <c r="U962">
        <f>IF(Metadata!E962="",FALSE,TRUE)</f>
        <v>0</v>
      </c>
      <c r="V962">
        <f>AND(IF(Metadata!F962="",FALSE,TRUE),exact(Metadata!F962,"rat gut metagenome"))</f>
        <v>0</v>
      </c>
      <c r="W962">
        <f>AND(IF(Metadata!G962="",FALSE,TRUE),exact(Metadata!G962,"1436733"))</f>
        <v>0</v>
      </c>
    </row>
    <row r="963" spans="1:23">
      <c r="A963" s="4">
        <f>IF(B963=" "," ",HYPERLINK(CONCATENATE("#metadata!",ADDRESS(INDEX($M$2:$M$1001,MATCH(ROWS($K$2:K963),$K$2:$K$1001,0),0),1)),INDEX($P$2:$P$1001,MATCH(ROWS($K$2:K963),$K$2:$K$1001,0),0)))</f>
        <v>0</v>
      </c>
      <c r="B963" s="3">
        <f>IF(OR(INDEX($L$2:$L$1001,MATCH(ROWS($K$2:K963),$K$2:$K$1001,0),1)&gt;=100000,INDEX($R$1005:$W$1005,1,MATCH(COLUMNS($R$1006:R1006),$R$1006:$W$1006,0))&gt;=100000), " ",IF(INDEX($R$2:$W$1001,MATCH(ROWS($K$2:K963),$K$2:$K$1001,0),MATCH(COLUMNS($R$1006:R1006),$R$1006:$W$1006,0)), HYPERLINK("#",""), HYPERLINK(CONCATENATE("#Metadata!", ADDRESS(INDEX($M$2:$M$1001,MATCH(ROWS($K$2:K963),$K$2:$K$1001,0),0), INDEX($R$1004:$W$1004,1,MATCH(COLUMNS($R$1006:R1006),$R$1006:$W$1006,0)))),"Fix")))</f>
        <v>0</v>
      </c>
      <c r="C963" s="3">
        <f>IF(OR(INDEX($L$2:$L$1001,MATCH(ROWS($K$2:K963),$K$2:$K$1001,0),1)&gt;=100000,INDEX($R$1005:$W$1005,1,MATCH(COLUMNS($R$1006:S1006),$R$1006:$W$1006,0))&gt;=100000), " ",IF(INDEX($R$2:$W$1001,MATCH(ROWS($K$2:K963),$K$2:$K$1001,0),MATCH(COLUMNS($R$1006:S1006),$R$1006:$W$1006,0)), HYPERLINK("#",""), HYPERLINK(CONCATENATE("#Metadata!", ADDRESS(INDEX($M$2:$M$1001,MATCH(ROWS($K$2:K963),$K$2:$K$1001,0),0), INDEX($R$1004:$W$1004,1,MATCH(COLUMNS($R$1006:S1006),$R$1006:$W$1006,0)))),"Fix")))</f>
        <v>0</v>
      </c>
      <c r="D963" s="3">
        <f>IF(OR(INDEX($L$2:$L$1001,MATCH(ROWS($K$2:K963),$K$2:$K$1001,0),1)&gt;=100000,INDEX($R$1005:$W$1005,1,MATCH(COLUMNS($R$1006:T1006),$R$1006:$W$1006,0))&gt;=100000), " ",IF(INDEX($R$2:$W$1001,MATCH(ROWS($K$2:K963),$K$2:$K$1001,0),MATCH(COLUMNS($R$1006:T1006),$R$1006:$W$1006,0)), HYPERLINK("#",""), HYPERLINK(CONCATENATE("#Metadata!", ADDRESS(INDEX($M$2:$M$1001,MATCH(ROWS($K$2:K963),$K$2:$K$1001,0),0), INDEX($R$1004:$W$1004,1,MATCH(COLUMNS($R$1006:T1006),$R$1006:$W$1006,0)))),"Fix")))</f>
        <v>0</v>
      </c>
      <c r="E963" s="3">
        <f>IF(OR(INDEX($L$2:$L$1001,MATCH(ROWS($K$2:K963),$K$2:$K$1001,0),1)&gt;=100000,INDEX($R$1005:$W$1005,1,MATCH(COLUMNS($R$1006:U1006),$R$1006:$W$1006,0))&gt;=100000), " ",IF(INDEX($R$2:$W$1001,MATCH(ROWS($K$2:K963),$K$2:$K$1001,0),MATCH(COLUMNS($R$1006:U1006),$R$1006:$W$1006,0)), HYPERLINK("#",""), HYPERLINK(CONCATENATE("#Metadata!", ADDRESS(INDEX($M$2:$M$1001,MATCH(ROWS($K$2:K963),$K$2:$K$1001,0),0), INDEX($R$1004:$W$1004,1,MATCH(COLUMNS($R$1006:U1006),$R$1006:$W$1006,0)))),"Fix")))</f>
        <v>0</v>
      </c>
      <c r="F963" s="3">
        <f>IF(OR(INDEX($L$2:$L$1001,MATCH(ROWS($K$2:K963),$K$2:$K$1001,0),1)&gt;=100000,INDEX($R$1005:$W$1005,1,MATCH(COLUMNS($R$1006:V1006),$R$1006:$W$1006,0))&gt;=100000), " ",IF(INDEX($R$2:$W$1001,MATCH(ROWS($K$2:K963),$K$2:$K$1001,0),MATCH(COLUMNS($R$1006:V1006),$R$1006:$W$1006,0)), HYPERLINK("#",""), HYPERLINK(CONCATENATE("#Metadata!", ADDRESS(INDEX($M$2:$M$1001,MATCH(ROWS($K$2:K963),$K$2:$K$1001,0),0), INDEX($R$1004:$W$1004,1,MATCH(COLUMNS($R$1006:V1006),$R$1006:$W$1006,0)))),"Fix")))</f>
        <v>0</v>
      </c>
      <c r="G963" s="3">
        <f>IF(OR(INDEX($L$2:$L$1001,MATCH(ROWS($K$2:K963),$K$2:$K$1001,0),1)&gt;=100000,INDEX($R$1005:$W$1005,1,MATCH(COLUMNS($R$1006:W1006),$R$1006:$W$1006,0))&gt;=100000), " ",IF(INDEX($R$2:$W$1001,MATCH(ROWS($K$2:K963),$K$2:$K$1001,0),MATCH(COLUMNS($R$1006:W1006),$R$1006:$W$1006,0)), HYPERLINK("#",""), HYPERLINK(CONCATENATE("#Metadata!", ADDRESS(INDEX($M$2:$M$1001,MATCH(ROWS($K$2:K963),$K$2:$K$1001,0),0), INDEX($R$1004:$W$1004,1,MATCH(COLUMNS($R$1006:W1006),$R$1006:$W$1006,0)))),"Fix")))</f>
        <v>0</v>
      </c>
      <c r="K963">
        <v>0</v>
      </c>
      <c r="L963">
        <v>0</v>
      </c>
      <c r="M963">
        <v>0</v>
      </c>
      <c r="N963">
        <f>IF(O963,TRUE,AND(R963:W963))</f>
        <v>0</v>
      </c>
      <c r="O963">
        <f>COUNTBLANK(Metadata!B963:G963)=COLUMNS(Metadata!B963:G963)</f>
        <v>0</v>
      </c>
      <c r="P963">
        <v>0</v>
      </c>
      <c r="R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S963">
        <f>IF(Metadata!C963="",FALSE,TRUE)</f>
        <v>0</v>
      </c>
      <c r="T963">
        <f>IF(Metadata!D963="",FALSE,TRUE)</f>
        <v>0</v>
      </c>
      <c r="U963">
        <f>IF(Metadata!E963="",FALSE,TRUE)</f>
        <v>0</v>
      </c>
      <c r="V963">
        <f>AND(IF(Metadata!F963="",FALSE,TRUE),exact(Metadata!F963,"rat gut metagenome"))</f>
        <v>0</v>
      </c>
      <c r="W963">
        <f>AND(IF(Metadata!G963="",FALSE,TRUE),exact(Metadata!G963,"1436733"))</f>
        <v>0</v>
      </c>
    </row>
    <row r="964" spans="1:23">
      <c r="A964" s="4">
        <f>IF(B964=" "," ",HYPERLINK(CONCATENATE("#metadata!",ADDRESS(INDEX($M$2:$M$1001,MATCH(ROWS($K$2:K964),$K$2:$K$1001,0),0),1)),INDEX($P$2:$P$1001,MATCH(ROWS($K$2:K964),$K$2:$K$1001,0),0)))</f>
        <v>0</v>
      </c>
      <c r="B964" s="3">
        <f>IF(OR(INDEX($L$2:$L$1001,MATCH(ROWS($K$2:K964),$K$2:$K$1001,0),1)&gt;=100000,INDEX($R$1005:$W$1005,1,MATCH(COLUMNS($R$1006:R1006),$R$1006:$W$1006,0))&gt;=100000), " ",IF(INDEX($R$2:$W$1001,MATCH(ROWS($K$2:K964),$K$2:$K$1001,0),MATCH(COLUMNS($R$1006:R1006),$R$1006:$W$1006,0)), HYPERLINK("#",""), HYPERLINK(CONCATENATE("#Metadata!", ADDRESS(INDEX($M$2:$M$1001,MATCH(ROWS($K$2:K964),$K$2:$K$1001,0),0), INDEX($R$1004:$W$1004,1,MATCH(COLUMNS($R$1006:R1006),$R$1006:$W$1006,0)))),"Fix")))</f>
        <v>0</v>
      </c>
      <c r="C964" s="3">
        <f>IF(OR(INDEX($L$2:$L$1001,MATCH(ROWS($K$2:K964),$K$2:$K$1001,0),1)&gt;=100000,INDEX($R$1005:$W$1005,1,MATCH(COLUMNS($R$1006:S1006),$R$1006:$W$1006,0))&gt;=100000), " ",IF(INDEX($R$2:$W$1001,MATCH(ROWS($K$2:K964),$K$2:$K$1001,0),MATCH(COLUMNS($R$1006:S1006),$R$1006:$W$1006,0)), HYPERLINK("#",""), HYPERLINK(CONCATENATE("#Metadata!", ADDRESS(INDEX($M$2:$M$1001,MATCH(ROWS($K$2:K964),$K$2:$K$1001,0),0), INDEX($R$1004:$W$1004,1,MATCH(COLUMNS($R$1006:S1006),$R$1006:$W$1006,0)))),"Fix")))</f>
        <v>0</v>
      </c>
      <c r="D964" s="3">
        <f>IF(OR(INDEX($L$2:$L$1001,MATCH(ROWS($K$2:K964),$K$2:$K$1001,0),1)&gt;=100000,INDEX($R$1005:$W$1005,1,MATCH(COLUMNS($R$1006:T1006),$R$1006:$W$1006,0))&gt;=100000), " ",IF(INDEX($R$2:$W$1001,MATCH(ROWS($K$2:K964),$K$2:$K$1001,0),MATCH(COLUMNS($R$1006:T1006),$R$1006:$W$1006,0)), HYPERLINK("#",""), HYPERLINK(CONCATENATE("#Metadata!", ADDRESS(INDEX($M$2:$M$1001,MATCH(ROWS($K$2:K964),$K$2:$K$1001,0),0), INDEX($R$1004:$W$1004,1,MATCH(COLUMNS($R$1006:T1006),$R$1006:$W$1006,0)))),"Fix")))</f>
        <v>0</v>
      </c>
      <c r="E964" s="3">
        <f>IF(OR(INDEX($L$2:$L$1001,MATCH(ROWS($K$2:K964),$K$2:$K$1001,0),1)&gt;=100000,INDEX($R$1005:$W$1005,1,MATCH(COLUMNS($R$1006:U1006),$R$1006:$W$1006,0))&gt;=100000), " ",IF(INDEX($R$2:$W$1001,MATCH(ROWS($K$2:K964),$K$2:$K$1001,0),MATCH(COLUMNS($R$1006:U1006),$R$1006:$W$1006,0)), HYPERLINK("#",""), HYPERLINK(CONCATENATE("#Metadata!", ADDRESS(INDEX($M$2:$M$1001,MATCH(ROWS($K$2:K964),$K$2:$K$1001,0),0), INDEX($R$1004:$W$1004,1,MATCH(COLUMNS($R$1006:U1006),$R$1006:$W$1006,0)))),"Fix")))</f>
        <v>0</v>
      </c>
      <c r="F964" s="3">
        <f>IF(OR(INDEX($L$2:$L$1001,MATCH(ROWS($K$2:K964),$K$2:$K$1001,0),1)&gt;=100000,INDEX($R$1005:$W$1005,1,MATCH(COLUMNS($R$1006:V1006),$R$1006:$W$1006,0))&gt;=100000), " ",IF(INDEX($R$2:$W$1001,MATCH(ROWS($K$2:K964),$K$2:$K$1001,0),MATCH(COLUMNS($R$1006:V1006),$R$1006:$W$1006,0)), HYPERLINK("#",""), HYPERLINK(CONCATENATE("#Metadata!", ADDRESS(INDEX($M$2:$M$1001,MATCH(ROWS($K$2:K964),$K$2:$K$1001,0),0), INDEX($R$1004:$W$1004,1,MATCH(COLUMNS($R$1006:V1006),$R$1006:$W$1006,0)))),"Fix")))</f>
        <v>0</v>
      </c>
      <c r="G964" s="3">
        <f>IF(OR(INDEX($L$2:$L$1001,MATCH(ROWS($K$2:K964),$K$2:$K$1001,0),1)&gt;=100000,INDEX($R$1005:$W$1005,1,MATCH(COLUMNS($R$1006:W1006),$R$1006:$W$1006,0))&gt;=100000), " ",IF(INDEX($R$2:$W$1001,MATCH(ROWS($K$2:K964),$K$2:$K$1001,0),MATCH(COLUMNS($R$1006:W1006),$R$1006:$W$1006,0)), HYPERLINK("#",""), HYPERLINK(CONCATENATE("#Metadata!", ADDRESS(INDEX($M$2:$M$1001,MATCH(ROWS($K$2:K964),$K$2:$K$1001,0),0), INDEX($R$1004:$W$1004,1,MATCH(COLUMNS($R$1006:W1006),$R$1006:$W$1006,0)))),"Fix")))</f>
        <v>0</v>
      </c>
      <c r="K964">
        <v>0</v>
      </c>
      <c r="L964">
        <v>0</v>
      </c>
      <c r="M964">
        <v>0</v>
      </c>
      <c r="N964">
        <f>IF(O964,TRUE,AND(R964:W964))</f>
        <v>0</v>
      </c>
      <c r="O964">
        <f>COUNTBLANK(Metadata!B964:G964)=COLUMNS(Metadata!B964:G964)</f>
        <v>0</v>
      </c>
      <c r="P964">
        <v>0</v>
      </c>
      <c r="R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S964">
        <f>IF(Metadata!C964="",FALSE,TRUE)</f>
        <v>0</v>
      </c>
      <c r="T964">
        <f>IF(Metadata!D964="",FALSE,TRUE)</f>
        <v>0</v>
      </c>
      <c r="U964">
        <f>IF(Metadata!E964="",FALSE,TRUE)</f>
        <v>0</v>
      </c>
      <c r="V964">
        <f>AND(IF(Metadata!F964="",FALSE,TRUE),exact(Metadata!F964,"rat gut metagenome"))</f>
        <v>0</v>
      </c>
      <c r="W964">
        <f>AND(IF(Metadata!G964="",FALSE,TRUE),exact(Metadata!G964,"1436733"))</f>
        <v>0</v>
      </c>
    </row>
    <row r="965" spans="1:23">
      <c r="A965" s="4">
        <f>IF(B965=" "," ",HYPERLINK(CONCATENATE("#metadata!",ADDRESS(INDEX($M$2:$M$1001,MATCH(ROWS($K$2:K965),$K$2:$K$1001,0),0),1)),INDEX($P$2:$P$1001,MATCH(ROWS($K$2:K965),$K$2:$K$1001,0),0)))</f>
        <v>0</v>
      </c>
      <c r="B965" s="3">
        <f>IF(OR(INDEX($L$2:$L$1001,MATCH(ROWS($K$2:K965),$K$2:$K$1001,0),1)&gt;=100000,INDEX($R$1005:$W$1005,1,MATCH(COLUMNS($R$1006:R1006),$R$1006:$W$1006,0))&gt;=100000), " ",IF(INDEX($R$2:$W$1001,MATCH(ROWS($K$2:K965),$K$2:$K$1001,0),MATCH(COLUMNS($R$1006:R1006),$R$1006:$W$1006,0)), HYPERLINK("#",""), HYPERLINK(CONCATENATE("#Metadata!", ADDRESS(INDEX($M$2:$M$1001,MATCH(ROWS($K$2:K965),$K$2:$K$1001,0),0), INDEX($R$1004:$W$1004,1,MATCH(COLUMNS($R$1006:R1006),$R$1006:$W$1006,0)))),"Fix")))</f>
        <v>0</v>
      </c>
      <c r="C965" s="3">
        <f>IF(OR(INDEX($L$2:$L$1001,MATCH(ROWS($K$2:K965),$K$2:$K$1001,0),1)&gt;=100000,INDEX($R$1005:$W$1005,1,MATCH(COLUMNS($R$1006:S1006),$R$1006:$W$1006,0))&gt;=100000), " ",IF(INDEX($R$2:$W$1001,MATCH(ROWS($K$2:K965),$K$2:$K$1001,0),MATCH(COLUMNS($R$1006:S1006),$R$1006:$W$1006,0)), HYPERLINK("#",""), HYPERLINK(CONCATENATE("#Metadata!", ADDRESS(INDEX($M$2:$M$1001,MATCH(ROWS($K$2:K965),$K$2:$K$1001,0),0), INDEX($R$1004:$W$1004,1,MATCH(COLUMNS($R$1006:S1006),$R$1006:$W$1006,0)))),"Fix")))</f>
        <v>0</v>
      </c>
      <c r="D965" s="3">
        <f>IF(OR(INDEX($L$2:$L$1001,MATCH(ROWS($K$2:K965),$K$2:$K$1001,0),1)&gt;=100000,INDEX($R$1005:$W$1005,1,MATCH(COLUMNS($R$1006:T1006),$R$1006:$W$1006,0))&gt;=100000), " ",IF(INDEX($R$2:$W$1001,MATCH(ROWS($K$2:K965),$K$2:$K$1001,0),MATCH(COLUMNS($R$1006:T1006),$R$1006:$W$1006,0)), HYPERLINK("#",""), HYPERLINK(CONCATENATE("#Metadata!", ADDRESS(INDEX($M$2:$M$1001,MATCH(ROWS($K$2:K965),$K$2:$K$1001,0),0), INDEX($R$1004:$W$1004,1,MATCH(COLUMNS($R$1006:T1006),$R$1006:$W$1006,0)))),"Fix")))</f>
        <v>0</v>
      </c>
      <c r="E965" s="3">
        <f>IF(OR(INDEX($L$2:$L$1001,MATCH(ROWS($K$2:K965),$K$2:$K$1001,0),1)&gt;=100000,INDEX($R$1005:$W$1005,1,MATCH(COLUMNS($R$1006:U1006),$R$1006:$W$1006,0))&gt;=100000), " ",IF(INDEX($R$2:$W$1001,MATCH(ROWS($K$2:K965),$K$2:$K$1001,0),MATCH(COLUMNS($R$1006:U1006),$R$1006:$W$1006,0)), HYPERLINK("#",""), HYPERLINK(CONCATENATE("#Metadata!", ADDRESS(INDEX($M$2:$M$1001,MATCH(ROWS($K$2:K965),$K$2:$K$1001,0),0), INDEX($R$1004:$W$1004,1,MATCH(COLUMNS($R$1006:U1006),$R$1006:$W$1006,0)))),"Fix")))</f>
        <v>0</v>
      </c>
      <c r="F965" s="3">
        <f>IF(OR(INDEX($L$2:$L$1001,MATCH(ROWS($K$2:K965),$K$2:$K$1001,0),1)&gt;=100000,INDEX($R$1005:$W$1005,1,MATCH(COLUMNS($R$1006:V1006),$R$1006:$W$1006,0))&gt;=100000), " ",IF(INDEX($R$2:$W$1001,MATCH(ROWS($K$2:K965),$K$2:$K$1001,0),MATCH(COLUMNS($R$1006:V1006),$R$1006:$W$1006,0)), HYPERLINK("#",""), HYPERLINK(CONCATENATE("#Metadata!", ADDRESS(INDEX($M$2:$M$1001,MATCH(ROWS($K$2:K965),$K$2:$K$1001,0),0), INDEX($R$1004:$W$1004,1,MATCH(COLUMNS($R$1006:V1006),$R$1006:$W$1006,0)))),"Fix")))</f>
        <v>0</v>
      </c>
      <c r="G965" s="3">
        <f>IF(OR(INDEX($L$2:$L$1001,MATCH(ROWS($K$2:K965),$K$2:$K$1001,0),1)&gt;=100000,INDEX($R$1005:$W$1005,1,MATCH(COLUMNS($R$1006:W1006),$R$1006:$W$1006,0))&gt;=100000), " ",IF(INDEX($R$2:$W$1001,MATCH(ROWS($K$2:K965),$K$2:$K$1001,0),MATCH(COLUMNS($R$1006:W1006),$R$1006:$W$1006,0)), HYPERLINK("#",""), HYPERLINK(CONCATENATE("#Metadata!", ADDRESS(INDEX($M$2:$M$1001,MATCH(ROWS($K$2:K965),$K$2:$K$1001,0),0), INDEX($R$1004:$W$1004,1,MATCH(COLUMNS($R$1006:W1006),$R$1006:$W$1006,0)))),"Fix")))</f>
        <v>0</v>
      </c>
      <c r="K965">
        <v>0</v>
      </c>
      <c r="L965">
        <v>0</v>
      </c>
      <c r="M965">
        <v>0</v>
      </c>
      <c r="N965">
        <f>IF(O965,TRUE,AND(R965:W965))</f>
        <v>0</v>
      </c>
      <c r="O965">
        <f>COUNTBLANK(Metadata!B965:G965)=COLUMNS(Metadata!B965:G965)</f>
        <v>0</v>
      </c>
      <c r="P965">
        <v>0</v>
      </c>
      <c r="R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S965">
        <f>IF(Metadata!C965="",FALSE,TRUE)</f>
        <v>0</v>
      </c>
      <c r="T965">
        <f>IF(Metadata!D965="",FALSE,TRUE)</f>
        <v>0</v>
      </c>
      <c r="U965">
        <f>IF(Metadata!E965="",FALSE,TRUE)</f>
        <v>0</v>
      </c>
      <c r="V965">
        <f>AND(IF(Metadata!F965="",FALSE,TRUE),exact(Metadata!F965,"rat gut metagenome"))</f>
        <v>0</v>
      </c>
      <c r="W965">
        <f>AND(IF(Metadata!G965="",FALSE,TRUE),exact(Metadata!G965,"1436733"))</f>
        <v>0</v>
      </c>
    </row>
    <row r="966" spans="1:23">
      <c r="A966" s="4">
        <f>IF(B966=" "," ",HYPERLINK(CONCATENATE("#metadata!",ADDRESS(INDEX($M$2:$M$1001,MATCH(ROWS($K$2:K966),$K$2:$K$1001,0),0),1)),INDEX($P$2:$P$1001,MATCH(ROWS($K$2:K966),$K$2:$K$1001,0),0)))</f>
        <v>0</v>
      </c>
      <c r="B966" s="3">
        <f>IF(OR(INDEX($L$2:$L$1001,MATCH(ROWS($K$2:K966),$K$2:$K$1001,0),1)&gt;=100000,INDEX($R$1005:$W$1005,1,MATCH(COLUMNS($R$1006:R1006),$R$1006:$W$1006,0))&gt;=100000), " ",IF(INDEX($R$2:$W$1001,MATCH(ROWS($K$2:K966),$K$2:$K$1001,0),MATCH(COLUMNS($R$1006:R1006),$R$1006:$W$1006,0)), HYPERLINK("#",""), HYPERLINK(CONCATENATE("#Metadata!", ADDRESS(INDEX($M$2:$M$1001,MATCH(ROWS($K$2:K966),$K$2:$K$1001,0),0), INDEX($R$1004:$W$1004,1,MATCH(COLUMNS($R$1006:R1006),$R$1006:$W$1006,0)))),"Fix")))</f>
        <v>0</v>
      </c>
      <c r="C966" s="3">
        <f>IF(OR(INDEX($L$2:$L$1001,MATCH(ROWS($K$2:K966),$K$2:$K$1001,0),1)&gt;=100000,INDEX($R$1005:$W$1005,1,MATCH(COLUMNS($R$1006:S1006),$R$1006:$W$1006,0))&gt;=100000), " ",IF(INDEX($R$2:$W$1001,MATCH(ROWS($K$2:K966),$K$2:$K$1001,0),MATCH(COLUMNS($R$1006:S1006),$R$1006:$W$1006,0)), HYPERLINK("#",""), HYPERLINK(CONCATENATE("#Metadata!", ADDRESS(INDEX($M$2:$M$1001,MATCH(ROWS($K$2:K966),$K$2:$K$1001,0),0), INDEX($R$1004:$W$1004,1,MATCH(COLUMNS($R$1006:S1006),$R$1006:$W$1006,0)))),"Fix")))</f>
        <v>0</v>
      </c>
      <c r="D966" s="3">
        <f>IF(OR(INDEX($L$2:$L$1001,MATCH(ROWS($K$2:K966),$K$2:$K$1001,0),1)&gt;=100000,INDEX($R$1005:$W$1005,1,MATCH(COLUMNS($R$1006:T1006),$R$1006:$W$1006,0))&gt;=100000), " ",IF(INDEX($R$2:$W$1001,MATCH(ROWS($K$2:K966),$K$2:$K$1001,0),MATCH(COLUMNS($R$1006:T1006),$R$1006:$W$1006,0)), HYPERLINK("#",""), HYPERLINK(CONCATENATE("#Metadata!", ADDRESS(INDEX($M$2:$M$1001,MATCH(ROWS($K$2:K966),$K$2:$K$1001,0),0), INDEX($R$1004:$W$1004,1,MATCH(COLUMNS($R$1006:T1006),$R$1006:$W$1006,0)))),"Fix")))</f>
        <v>0</v>
      </c>
      <c r="E966" s="3">
        <f>IF(OR(INDEX($L$2:$L$1001,MATCH(ROWS($K$2:K966),$K$2:$K$1001,0),1)&gt;=100000,INDEX($R$1005:$W$1005,1,MATCH(COLUMNS($R$1006:U1006),$R$1006:$W$1006,0))&gt;=100000), " ",IF(INDEX($R$2:$W$1001,MATCH(ROWS($K$2:K966),$K$2:$K$1001,0),MATCH(COLUMNS($R$1006:U1006),$R$1006:$W$1006,0)), HYPERLINK("#",""), HYPERLINK(CONCATENATE("#Metadata!", ADDRESS(INDEX($M$2:$M$1001,MATCH(ROWS($K$2:K966),$K$2:$K$1001,0),0), INDEX($R$1004:$W$1004,1,MATCH(COLUMNS($R$1006:U1006),$R$1006:$W$1006,0)))),"Fix")))</f>
        <v>0</v>
      </c>
      <c r="F966" s="3">
        <f>IF(OR(INDEX($L$2:$L$1001,MATCH(ROWS($K$2:K966),$K$2:$K$1001,0),1)&gt;=100000,INDEX($R$1005:$W$1005,1,MATCH(COLUMNS($R$1006:V1006),$R$1006:$W$1006,0))&gt;=100000), " ",IF(INDEX($R$2:$W$1001,MATCH(ROWS($K$2:K966),$K$2:$K$1001,0),MATCH(COLUMNS($R$1006:V1006),$R$1006:$W$1006,0)), HYPERLINK("#",""), HYPERLINK(CONCATENATE("#Metadata!", ADDRESS(INDEX($M$2:$M$1001,MATCH(ROWS($K$2:K966),$K$2:$K$1001,0),0), INDEX($R$1004:$W$1004,1,MATCH(COLUMNS($R$1006:V1006),$R$1006:$W$1006,0)))),"Fix")))</f>
        <v>0</v>
      </c>
      <c r="G966" s="3">
        <f>IF(OR(INDEX($L$2:$L$1001,MATCH(ROWS($K$2:K966),$K$2:$K$1001,0),1)&gt;=100000,INDEX($R$1005:$W$1005,1,MATCH(COLUMNS($R$1006:W1006),$R$1006:$W$1006,0))&gt;=100000), " ",IF(INDEX($R$2:$W$1001,MATCH(ROWS($K$2:K966),$K$2:$K$1001,0),MATCH(COLUMNS($R$1006:W1006),$R$1006:$W$1006,0)), HYPERLINK("#",""), HYPERLINK(CONCATENATE("#Metadata!", ADDRESS(INDEX($M$2:$M$1001,MATCH(ROWS($K$2:K966),$K$2:$K$1001,0),0), INDEX($R$1004:$W$1004,1,MATCH(COLUMNS($R$1006:W1006),$R$1006:$W$1006,0)))),"Fix")))</f>
        <v>0</v>
      </c>
      <c r="K966">
        <v>0</v>
      </c>
      <c r="L966">
        <v>0</v>
      </c>
      <c r="M966">
        <v>0</v>
      </c>
      <c r="N966">
        <f>IF(O966,TRUE,AND(R966:W966))</f>
        <v>0</v>
      </c>
      <c r="O966">
        <f>COUNTBLANK(Metadata!B966:G966)=COLUMNS(Metadata!B966:G966)</f>
        <v>0</v>
      </c>
      <c r="P966">
        <v>0</v>
      </c>
      <c r="R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S966">
        <f>IF(Metadata!C966="",FALSE,TRUE)</f>
        <v>0</v>
      </c>
      <c r="T966">
        <f>IF(Metadata!D966="",FALSE,TRUE)</f>
        <v>0</v>
      </c>
      <c r="U966">
        <f>IF(Metadata!E966="",FALSE,TRUE)</f>
        <v>0</v>
      </c>
      <c r="V966">
        <f>AND(IF(Metadata!F966="",FALSE,TRUE),exact(Metadata!F966,"rat gut metagenome"))</f>
        <v>0</v>
      </c>
      <c r="W966">
        <f>AND(IF(Metadata!G966="",FALSE,TRUE),exact(Metadata!G966,"1436733"))</f>
        <v>0</v>
      </c>
    </row>
    <row r="967" spans="1:23">
      <c r="A967" s="4">
        <f>IF(B967=" "," ",HYPERLINK(CONCATENATE("#metadata!",ADDRESS(INDEX($M$2:$M$1001,MATCH(ROWS($K$2:K967),$K$2:$K$1001,0),0),1)),INDEX($P$2:$P$1001,MATCH(ROWS($K$2:K967),$K$2:$K$1001,0),0)))</f>
        <v>0</v>
      </c>
      <c r="B967" s="3">
        <f>IF(OR(INDEX($L$2:$L$1001,MATCH(ROWS($K$2:K967),$K$2:$K$1001,0),1)&gt;=100000,INDEX($R$1005:$W$1005,1,MATCH(COLUMNS($R$1006:R1006),$R$1006:$W$1006,0))&gt;=100000), " ",IF(INDEX($R$2:$W$1001,MATCH(ROWS($K$2:K967),$K$2:$K$1001,0),MATCH(COLUMNS($R$1006:R1006),$R$1006:$W$1006,0)), HYPERLINK("#",""), HYPERLINK(CONCATENATE("#Metadata!", ADDRESS(INDEX($M$2:$M$1001,MATCH(ROWS($K$2:K967),$K$2:$K$1001,0),0), INDEX($R$1004:$W$1004,1,MATCH(COLUMNS($R$1006:R1006),$R$1006:$W$1006,0)))),"Fix")))</f>
        <v>0</v>
      </c>
      <c r="C967" s="3">
        <f>IF(OR(INDEX($L$2:$L$1001,MATCH(ROWS($K$2:K967),$K$2:$K$1001,0),1)&gt;=100000,INDEX($R$1005:$W$1005,1,MATCH(COLUMNS($R$1006:S1006),$R$1006:$W$1006,0))&gt;=100000), " ",IF(INDEX($R$2:$W$1001,MATCH(ROWS($K$2:K967),$K$2:$K$1001,0),MATCH(COLUMNS($R$1006:S1006),$R$1006:$W$1006,0)), HYPERLINK("#",""), HYPERLINK(CONCATENATE("#Metadata!", ADDRESS(INDEX($M$2:$M$1001,MATCH(ROWS($K$2:K967),$K$2:$K$1001,0),0), INDEX($R$1004:$W$1004,1,MATCH(COLUMNS($R$1006:S1006),$R$1006:$W$1006,0)))),"Fix")))</f>
        <v>0</v>
      </c>
      <c r="D967" s="3">
        <f>IF(OR(INDEX($L$2:$L$1001,MATCH(ROWS($K$2:K967),$K$2:$K$1001,0),1)&gt;=100000,INDEX($R$1005:$W$1005,1,MATCH(COLUMNS($R$1006:T1006),$R$1006:$W$1006,0))&gt;=100000), " ",IF(INDEX($R$2:$W$1001,MATCH(ROWS($K$2:K967),$K$2:$K$1001,0),MATCH(COLUMNS($R$1006:T1006),$R$1006:$W$1006,0)), HYPERLINK("#",""), HYPERLINK(CONCATENATE("#Metadata!", ADDRESS(INDEX($M$2:$M$1001,MATCH(ROWS($K$2:K967),$K$2:$K$1001,0),0), INDEX($R$1004:$W$1004,1,MATCH(COLUMNS($R$1006:T1006),$R$1006:$W$1006,0)))),"Fix")))</f>
        <v>0</v>
      </c>
      <c r="E967" s="3">
        <f>IF(OR(INDEX($L$2:$L$1001,MATCH(ROWS($K$2:K967),$K$2:$K$1001,0),1)&gt;=100000,INDEX($R$1005:$W$1005,1,MATCH(COLUMNS($R$1006:U1006),$R$1006:$W$1006,0))&gt;=100000), " ",IF(INDEX($R$2:$W$1001,MATCH(ROWS($K$2:K967),$K$2:$K$1001,0),MATCH(COLUMNS($R$1006:U1006),$R$1006:$W$1006,0)), HYPERLINK("#",""), HYPERLINK(CONCATENATE("#Metadata!", ADDRESS(INDEX($M$2:$M$1001,MATCH(ROWS($K$2:K967),$K$2:$K$1001,0),0), INDEX($R$1004:$W$1004,1,MATCH(COLUMNS($R$1006:U1006),$R$1006:$W$1006,0)))),"Fix")))</f>
        <v>0</v>
      </c>
      <c r="F967" s="3">
        <f>IF(OR(INDEX($L$2:$L$1001,MATCH(ROWS($K$2:K967),$K$2:$K$1001,0),1)&gt;=100000,INDEX($R$1005:$W$1005,1,MATCH(COLUMNS($R$1006:V1006),$R$1006:$W$1006,0))&gt;=100000), " ",IF(INDEX($R$2:$W$1001,MATCH(ROWS($K$2:K967),$K$2:$K$1001,0),MATCH(COLUMNS($R$1006:V1006),$R$1006:$W$1006,0)), HYPERLINK("#",""), HYPERLINK(CONCATENATE("#Metadata!", ADDRESS(INDEX($M$2:$M$1001,MATCH(ROWS($K$2:K967),$K$2:$K$1001,0),0), INDEX($R$1004:$W$1004,1,MATCH(COLUMNS($R$1006:V1006),$R$1006:$W$1006,0)))),"Fix")))</f>
        <v>0</v>
      </c>
      <c r="G967" s="3">
        <f>IF(OR(INDEX($L$2:$L$1001,MATCH(ROWS($K$2:K967),$K$2:$K$1001,0),1)&gt;=100000,INDEX($R$1005:$W$1005,1,MATCH(COLUMNS($R$1006:W1006),$R$1006:$W$1006,0))&gt;=100000), " ",IF(INDEX($R$2:$W$1001,MATCH(ROWS($K$2:K967),$K$2:$K$1001,0),MATCH(COLUMNS($R$1006:W1006),$R$1006:$W$1006,0)), HYPERLINK("#",""), HYPERLINK(CONCATENATE("#Metadata!", ADDRESS(INDEX($M$2:$M$1001,MATCH(ROWS($K$2:K967),$K$2:$K$1001,0),0), INDEX($R$1004:$W$1004,1,MATCH(COLUMNS($R$1006:W1006),$R$1006:$W$1006,0)))),"Fix")))</f>
        <v>0</v>
      </c>
      <c r="K967">
        <v>0</v>
      </c>
      <c r="L967">
        <v>0</v>
      </c>
      <c r="M967">
        <v>0</v>
      </c>
      <c r="N967">
        <f>IF(O967,TRUE,AND(R967:W967))</f>
        <v>0</v>
      </c>
      <c r="O967">
        <f>COUNTBLANK(Metadata!B967:G967)=COLUMNS(Metadata!B967:G967)</f>
        <v>0</v>
      </c>
      <c r="P967">
        <v>0</v>
      </c>
      <c r="R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S967">
        <f>IF(Metadata!C967="",FALSE,TRUE)</f>
        <v>0</v>
      </c>
      <c r="T967">
        <f>IF(Metadata!D967="",FALSE,TRUE)</f>
        <v>0</v>
      </c>
      <c r="U967">
        <f>IF(Metadata!E967="",FALSE,TRUE)</f>
        <v>0</v>
      </c>
      <c r="V967">
        <f>AND(IF(Metadata!F967="",FALSE,TRUE),exact(Metadata!F967,"rat gut metagenome"))</f>
        <v>0</v>
      </c>
      <c r="W967">
        <f>AND(IF(Metadata!G967="",FALSE,TRUE),exact(Metadata!G967,"1436733"))</f>
        <v>0</v>
      </c>
    </row>
    <row r="968" spans="1:23">
      <c r="A968" s="4">
        <f>IF(B968=" "," ",HYPERLINK(CONCATENATE("#metadata!",ADDRESS(INDEX($M$2:$M$1001,MATCH(ROWS($K$2:K968),$K$2:$K$1001,0),0),1)),INDEX($P$2:$P$1001,MATCH(ROWS($K$2:K968),$K$2:$K$1001,0),0)))</f>
        <v>0</v>
      </c>
      <c r="B968" s="3">
        <f>IF(OR(INDEX($L$2:$L$1001,MATCH(ROWS($K$2:K968),$K$2:$K$1001,0),1)&gt;=100000,INDEX($R$1005:$W$1005,1,MATCH(COLUMNS($R$1006:R1006),$R$1006:$W$1006,0))&gt;=100000), " ",IF(INDEX($R$2:$W$1001,MATCH(ROWS($K$2:K968),$K$2:$K$1001,0),MATCH(COLUMNS($R$1006:R1006),$R$1006:$W$1006,0)), HYPERLINK("#",""), HYPERLINK(CONCATENATE("#Metadata!", ADDRESS(INDEX($M$2:$M$1001,MATCH(ROWS($K$2:K968),$K$2:$K$1001,0),0), INDEX($R$1004:$W$1004,1,MATCH(COLUMNS($R$1006:R1006),$R$1006:$W$1006,0)))),"Fix")))</f>
        <v>0</v>
      </c>
      <c r="C968" s="3">
        <f>IF(OR(INDEX($L$2:$L$1001,MATCH(ROWS($K$2:K968),$K$2:$K$1001,0),1)&gt;=100000,INDEX($R$1005:$W$1005,1,MATCH(COLUMNS($R$1006:S1006),$R$1006:$W$1006,0))&gt;=100000), " ",IF(INDEX($R$2:$W$1001,MATCH(ROWS($K$2:K968),$K$2:$K$1001,0),MATCH(COLUMNS($R$1006:S1006),$R$1006:$W$1006,0)), HYPERLINK("#",""), HYPERLINK(CONCATENATE("#Metadata!", ADDRESS(INDEX($M$2:$M$1001,MATCH(ROWS($K$2:K968),$K$2:$K$1001,0),0), INDEX($R$1004:$W$1004,1,MATCH(COLUMNS($R$1006:S1006),$R$1006:$W$1006,0)))),"Fix")))</f>
        <v>0</v>
      </c>
      <c r="D968" s="3">
        <f>IF(OR(INDEX($L$2:$L$1001,MATCH(ROWS($K$2:K968),$K$2:$K$1001,0),1)&gt;=100000,INDEX($R$1005:$W$1005,1,MATCH(COLUMNS($R$1006:T1006),$R$1006:$W$1006,0))&gt;=100000), " ",IF(INDEX($R$2:$W$1001,MATCH(ROWS($K$2:K968),$K$2:$K$1001,0),MATCH(COLUMNS($R$1006:T1006),$R$1006:$W$1006,0)), HYPERLINK("#",""), HYPERLINK(CONCATENATE("#Metadata!", ADDRESS(INDEX($M$2:$M$1001,MATCH(ROWS($K$2:K968),$K$2:$K$1001,0),0), INDEX($R$1004:$W$1004,1,MATCH(COLUMNS($R$1006:T1006),$R$1006:$W$1006,0)))),"Fix")))</f>
        <v>0</v>
      </c>
      <c r="E968" s="3">
        <f>IF(OR(INDEX($L$2:$L$1001,MATCH(ROWS($K$2:K968),$K$2:$K$1001,0),1)&gt;=100000,INDEX($R$1005:$W$1005,1,MATCH(COLUMNS($R$1006:U1006),$R$1006:$W$1006,0))&gt;=100000), " ",IF(INDEX($R$2:$W$1001,MATCH(ROWS($K$2:K968),$K$2:$K$1001,0),MATCH(COLUMNS($R$1006:U1006),$R$1006:$W$1006,0)), HYPERLINK("#",""), HYPERLINK(CONCATENATE("#Metadata!", ADDRESS(INDEX($M$2:$M$1001,MATCH(ROWS($K$2:K968),$K$2:$K$1001,0),0), INDEX($R$1004:$W$1004,1,MATCH(COLUMNS($R$1006:U1006),$R$1006:$W$1006,0)))),"Fix")))</f>
        <v>0</v>
      </c>
      <c r="F968" s="3">
        <f>IF(OR(INDEX($L$2:$L$1001,MATCH(ROWS($K$2:K968),$K$2:$K$1001,0),1)&gt;=100000,INDEX($R$1005:$W$1005,1,MATCH(COLUMNS($R$1006:V1006),$R$1006:$W$1006,0))&gt;=100000), " ",IF(INDEX($R$2:$W$1001,MATCH(ROWS($K$2:K968),$K$2:$K$1001,0),MATCH(COLUMNS($R$1006:V1006),$R$1006:$W$1006,0)), HYPERLINK("#",""), HYPERLINK(CONCATENATE("#Metadata!", ADDRESS(INDEX($M$2:$M$1001,MATCH(ROWS($K$2:K968),$K$2:$K$1001,0),0), INDEX($R$1004:$W$1004,1,MATCH(COLUMNS($R$1006:V1006),$R$1006:$W$1006,0)))),"Fix")))</f>
        <v>0</v>
      </c>
      <c r="G968" s="3">
        <f>IF(OR(INDEX($L$2:$L$1001,MATCH(ROWS($K$2:K968),$K$2:$K$1001,0),1)&gt;=100000,INDEX($R$1005:$W$1005,1,MATCH(COLUMNS($R$1006:W1006),$R$1006:$W$1006,0))&gt;=100000), " ",IF(INDEX($R$2:$W$1001,MATCH(ROWS($K$2:K968),$K$2:$K$1001,0),MATCH(COLUMNS($R$1006:W1006),$R$1006:$W$1006,0)), HYPERLINK("#",""), HYPERLINK(CONCATENATE("#Metadata!", ADDRESS(INDEX($M$2:$M$1001,MATCH(ROWS($K$2:K968),$K$2:$K$1001,0),0), INDEX($R$1004:$W$1004,1,MATCH(COLUMNS($R$1006:W1006),$R$1006:$W$1006,0)))),"Fix")))</f>
        <v>0</v>
      </c>
      <c r="K968">
        <v>0</v>
      </c>
      <c r="L968">
        <v>0</v>
      </c>
      <c r="M968">
        <v>0</v>
      </c>
      <c r="N968">
        <f>IF(O968,TRUE,AND(R968:W968))</f>
        <v>0</v>
      </c>
      <c r="O968">
        <f>COUNTBLANK(Metadata!B968:G968)=COLUMNS(Metadata!B968:G968)</f>
        <v>0</v>
      </c>
      <c r="P968">
        <v>0</v>
      </c>
      <c r="R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S968">
        <f>IF(Metadata!C968="",FALSE,TRUE)</f>
        <v>0</v>
      </c>
      <c r="T968">
        <f>IF(Metadata!D968="",FALSE,TRUE)</f>
        <v>0</v>
      </c>
      <c r="U968">
        <f>IF(Metadata!E968="",FALSE,TRUE)</f>
        <v>0</v>
      </c>
      <c r="V968">
        <f>AND(IF(Metadata!F968="",FALSE,TRUE),exact(Metadata!F968,"rat gut metagenome"))</f>
        <v>0</v>
      </c>
      <c r="W968">
        <f>AND(IF(Metadata!G968="",FALSE,TRUE),exact(Metadata!G968,"1436733"))</f>
        <v>0</v>
      </c>
    </row>
    <row r="969" spans="1:23">
      <c r="A969" s="4">
        <f>IF(B969=" "," ",HYPERLINK(CONCATENATE("#metadata!",ADDRESS(INDEX($M$2:$M$1001,MATCH(ROWS($K$2:K969),$K$2:$K$1001,0),0),1)),INDEX($P$2:$P$1001,MATCH(ROWS($K$2:K969),$K$2:$K$1001,0),0)))</f>
        <v>0</v>
      </c>
      <c r="B969" s="3">
        <f>IF(OR(INDEX($L$2:$L$1001,MATCH(ROWS($K$2:K969),$K$2:$K$1001,0),1)&gt;=100000,INDEX($R$1005:$W$1005,1,MATCH(COLUMNS($R$1006:R1006),$R$1006:$W$1006,0))&gt;=100000), " ",IF(INDEX($R$2:$W$1001,MATCH(ROWS($K$2:K969),$K$2:$K$1001,0),MATCH(COLUMNS($R$1006:R1006),$R$1006:$W$1006,0)), HYPERLINK("#",""), HYPERLINK(CONCATENATE("#Metadata!", ADDRESS(INDEX($M$2:$M$1001,MATCH(ROWS($K$2:K969),$K$2:$K$1001,0),0), INDEX($R$1004:$W$1004,1,MATCH(COLUMNS($R$1006:R1006),$R$1006:$W$1006,0)))),"Fix")))</f>
        <v>0</v>
      </c>
      <c r="C969" s="3">
        <f>IF(OR(INDEX($L$2:$L$1001,MATCH(ROWS($K$2:K969),$K$2:$K$1001,0),1)&gt;=100000,INDEX($R$1005:$W$1005,1,MATCH(COLUMNS($R$1006:S1006),$R$1006:$W$1006,0))&gt;=100000), " ",IF(INDEX($R$2:$W$1001,MATCH(ROWS($K$2:K969),$K$2:$K$1001,0),MATCH(COLUMNS($R$1006:S1006),$R$1006:$W$1006,0)), HYPERLINK("#",""), HYPERLINK(CONCATENATE("#Metadata!", ADDRESS(INDEX($M$2:$M$1001,MATCH(ROWS($K$2:K969),$K$2:$K$1001,0),0), INDEX($R$1004:$W$1004,1,MATCH(COLUMNS($R$1006:S1006),$R$1006:$W$1006,0)))),"Fix")))</f>
        <v>0</v>
      </c>
      <c r="D969" s="3">
        <f>IF(OR(INDEX($L$2:$L$1001,MATCH(ROWS($K$2:K969),$K$2:$K$1001,0),1)&gt;=100000,INDEX($R$1005:$W$1005,1,MATCH(COLUMNS($R$1006:T1006),$R$1006:$W$1006,0))&gt;=100000), " ",IF(INDEX($R$2:$W$1001,MATCH(ROWS($K$2:K969),$K$2:$K$1001,0),MATCH(COLUMNS($R$1006:T1006),$R$1006:$W$1006,0)), HYPERLINK("#",""), HYPERLINK(CONCATENATE("#Metadata!", ADDRESS(INDEX($M$2:$M$1001,MATCH(ROWS($K$2:K969),$K$2:$K$1001,0),0), INDEX($R$1004:$W$1004,1,MATCH(COLUMNS($R$1006:T1006),$R$1006:$W$1006,0)))),"Fix")))</f>
        <v>0</v>
      </c>
      <c r="E969" s="3">
        <f>IF(OR(INDEX($L$2:$L$1001,MATCH(ROWS($K$2:K969),$K$2:$K$1001,0),1)&gt;=100000,INDEX($R$1005:$W$1005,1,MATCH(COLUMNS($R$1006:U1006),$R$1006:$W$1006,0))&gt;=100000), " ",IF(INDEX($R$2:$W$1001,MATCH(ROWS($K$2:K969),$K$2:$K$1001,0),MATCH(COLUMNS($R$1006:U1006),$R$1006:$W$1006,0)), HYPERLINK("#",""), HYPERLINK(CONCATENATE("#Metadata!", ADDRESS(INDEX($M$2:$M$1001,MATCH(ROWS($K$2:K969),$K$2:$K$1001,0),0), INDEX($R$1004:$W$1004,1,MATCH(COLUMNS($R$1006:U1006),$R$1006:$W$1006,0)))),"Fix")))</f>
        <v>0</v>
      </c>
      <c r="F969" s="3">
        <f>IF(OR(INDEX($L$2:$L$1001,MATCH(ROWS($K$2:K969),$K$2:$K$1001,0),1)&gt;=100000,INDEX($R$1005:$W$1005,1,MATCH(COLUMNS($R$1006:V1006),$R$1006:$W$1006,0))&gt;=100000), " ",IF(INDEX($R$2:$W$1001,MATCH(ROWS($K$2:K969),$K$2:$K$1001,0),MATCH(COLUMNS($R$1006:V1006),$R$1006:$W$1006,0)), HYPERLINK("#",""), HYPERLINK(CONCATENATE("#Metadata!", ADDRESS(INDEX($M$2:$M$1001,MATCH(ROWS($K$2:K969),$K$2:$K$1001,0),0), INDEX($R$1004:$W$1004,1,MATCH(COLUMNS($R$1006:V1006),$R$1006:$W$1006,0)))),"Fix")))</f>
        <v>0</v>
      </c>
      <c r="G969" s="3">
        <f>IF(OR(INDEX($L$2:$L$1001,MATCH(ROWS($K$2:K969),$K$2:$K$1001,0),1)&gt;=100000,INDEX($R$1005:$W$1005,1,MATCH(COLUMNS($R$1006:W1006),$R$1006:$W$1006,0))&gt;=100000), " ",IF(INDEX($R$2:$W$1001,MATCH(ROWS($K$2:K969),$K$2:$K$1001,0),MATCH(COLUMNS($R$1006:W1006),$R$1006:$W$1006,0)), HYPERLINK("#",""), HYPERLINK(CONCATENATE("#Metadata!", ADDRESS(INDEX($M$2:$M$1001,MATCH(ROWS($K$2:K969),$K$2:$K$1001,0),0), INDEX($R$1004:$W$1004,1,MATCH(COLUMNS($R$1006:W1006),$R$1006:$W$1006,0)))),"Fix")))</f>
        <v>0</v>
      </c>
      <c r="K969">
        <v>0</v>
      </c>
      <c r="L969">
        <v>0</v>
      </c>
      <c r="M969">
        <v>0</v>
      </c>
      <c r="N969">
        <f>IF(O969,TRUE,AND(R969:W969))</f>
        <v>0</v>
      </c>
      <c r="O969">
        <f>COUNTBLANK(Metadata!B969:G969)=COLUMNS(Metadata!B969:G969)</f>
        <v>0</v>
      </c>
      <c r="P969">
        <v>0</v>
      </c>
      <c r="R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S969">
        <f>IF(Metadata!C969="",FALSE,TRUE)</f>
        <v>0</v>
      </c>
      <c r="T969">
        <f>IF(Metadata!D969="",FALSE,TRUE)</f>
        <v>0</v>
      </c>
      <c r="U969">
        <f>IF(Metadata!E969="",FALSE,TRUE)</f>
        <v>0</v>
      </c>
      <c r="V969">
        <f>AND(IF(Metadata!F969="",FALSE,TRUE),exact(Metadata!F969,"rat gut metagenome"))</f>
        <v>0</v>
      </c>
      <c r="W969">
        <f>AND(IF(Metadata!G969="",FALSE,TRUE),exact(Metadata!G969,"1436733"))</f>
        <v>0</v>
      </c>
    </row>
    <row r="970" spans="1:23">
      <c r="A970" s="4">
        <f>IF(B970=" "," ",HYPERLINK(CONCATENATE("#metadata!",ADDRESS(INDEX($M$2:$M$1001,MATCH(ROWS($K$2:K970),$K$2:$K$1001,0),0),1)),INDEX($P$2:$P$1001,MATCH(ROWS($K$2:K970),$K$2:$K$1001,0),0)))</f>
        <v>0</v>
      </c>
      <c r="B970" s="3">
        <f>IF(OR(INDEX($L$2:$L$1001,MATCH(ROWS($K$2:K970),$K$2:$K$1001,0),1)&gt;=100000,INDEX($R$1005:$W$1005,1,MATCH(COLUMNS($R$1006:R1006),$R$1006:$W$1006,0))&gt;=100000), " ",IF(INDEX($R$2:$W$1001,MATCH(ROWS($K$2:K970),$K$2:$K$1001,0),MATCH(COLUMNS($R$1006:R1006),$R$1006:$W$1006,0)), HYPERLINK("#",""), HYPERLINK(CONCATENATE("#Metadata!", ADDRESS(INDEX($M$2:$M$1001,MATCH(ROWS($K$2:K970),$K$2:$K$1001,0),0), INDEX($R$1004:$W$1004,1,MATCH(COLUMNS($R$1006:R1006),$R$1006:$W$1006,0)))),"Fix")))</f>
        <v>0</v>
      </c>
      <c r="C970" s="3">
        <f>IF(OR(INDEX($L$2:$L$1001,MATCH(ROWS($K$2:K970),$K$2:$K$1001,0),1)&gt;=100000,INDEX($R$1005:$W$1005,1,MATCH(COLUMNS($R$1006:S1006),$R$1006:$W$1006,0))&gt;=100000), " ",IF(INDEX($R$2:$W$1001,MATCH(ROWS($K$2:K970),$K$2:$K$1001,0),MATCH(COLUMNS($R$1006:S1006),$R$1006:$W$1006,0)), HYPERLINK("#",""), HYPERLINK(CONCATENATE("#Metadata!", ADDRESS(INDEX($M$2:$M$1001,MATCH(ROWS($K$2:K970),$K$2:$K$1001,0),0), INDEX($R$1004:$W$1004,1,MATCH(COLUMNS($R$1006:S1006),$R$1006:$W$1006,0)))),"Fix")))</f>
        <v>0</v>
      </c>
      <c r="D970" s="3">
        <f>IF(OR(INDEX($L$2:$L$1001,MATCH(ROWS($K$2:K970),$K$2:$K$1001,0),1)&gt;=100000,INDEX($R$1005:$W$1005,1,MATCH(COLUMNS($R$1006:T1006),$R$1006:$W$1006,0))&gt;=100000), " ",IF(INDEX($R$2:$W$1001,MATCH(ROWS($K$2:K970),$K$2:$K$1001,0),MATCH(COLUMNS($R$1006:T1006),$R$1006:$W$1006,0)), HYPERLINK("#",""), HYPERLINK(CONCATENATE("#Metadata!", ADDRESS(INDEX($M$2:$M$1001,MATCH(ROWS($K$2:K970),$K$2:$K$1001,0),0), INDEX($R$1004:$W$1004,1,MATCH(COLUMNS($R$1006:T1006),$R$1006:$W$1006,0)))),"Fix")))</f>
        <v>0</v>
      </c>
      <c r="E970" s="3">
        <f>IF(OR(INDEX($L$2:$L$1001,MATCH(ROWS($K$2:K970),$K$2:$K$1001,0),1)&gt;=100000,INDEX($R$1005:$W$1005,1,MATCH(COLUMNS($R$1006:U1006),$R$1006:$W$1006,0))&gt;=100000), " ",IF(INDEX($R$2:$W$1001,MATCH(ROWS($K$2:K970),$K$2:$K$1001,0),MATCH(COLUMNS($R$1006:U1006),$R$1006:$W$1006,0)), HYPERLINK("#",""), HYPERLINK(CONCATENATE("#Metadata!", ADDRESS(INDEX($M$2:$M$1001,MATCH(ROWS($K$2:K970),$K$2:$K$1001,0),0), INDEX($R$1004:$W$1004,1,MATCH(COLUMNS($R$1006:U1006),$R$1006:$W$1006,0)))),"Fix")))</f>
        <v>0</v>
      </c>
      <c r="F970" s="3">
        <f>IF(OR(INDEX($L$2:$L$1001,MATCH(ROWS($K$2:K970),$K$2:$K$1001,0),1)&gt;=100000,INDEX($R$1005:$W$1005,1,MATCH(COLUMNS($R$1006:V1006),$R$1006:$W$1006,0))&gt;=100000), " ",IF(INDEX($R$2:$W$1001,MATCH(ROWS($K$2:K970),$K$2:$K$1001,0),MATCH(COLUMNS($R$1006:V1006),$R$1006:$W$1006,0)), HYPERLINK("#",""), HYPERLINK(CONCATENATE("#Metadata!", ADDRESS(INDEX($M$2:$M$1001,MATCH(ROWS($K$2:K970),$K$2:$K$1001,0),0), INDEX($R$1004:$W$1004,1,MATCH(COLUMNS($R$1006:V1006),$R$1006:$W$1006,0)))),"Fix")))</f>
        <v>0</v>
      </c>
      <c r="G970" s="3">
        <f>IF(OR(INDEX($L$2:$L$1001,MATCH(ROWS($K$2:K970),$K$2:$K$1001,0),1)&gt;=100000,INDEX($R$1005:$W$1005,1,MATCH(COLUMNS($R$1006:W1006),$R$1006:$W$1006,0))&gt;=100000), " ",IF(INDEX($R$2:$W$1001,MATCH(ROWS($K$2:K970),$K$2:$K$1001,0),MATCH(COLUMNS($R$1006:W1006),$R$1006:$W$1006,0)), HYPERLINK("#",""), HYPERLINK(CONCATENATE("#Metadata!", ADDRESS(INDEX($M$2:$M$1001,MATCH(ROWS($K$2:K970),$K$2:$K$1001,0),0), INDEX($R$1004:$W$1004,1,MATCH(COLUMNS($R$1006:W1006),$R$1006:$W$1006,0)))),"Fix")))</f>
        <v>0</v>
      </c>
      <c r="K970">
        <v>0</v>
      </c>
      <c r="L970">
        <v>0</v>
      </c>
      <c r="M970">
        <v>0</v>
      </c>
      <c r="N970">
        <f>IF(O970,TRUE,AND(R970:W970))</f>
        <v>0</v>
      </c>
      <c r="O970">
        <f>COUNTBLANK(Metadata!B970:G970)=COLUMNS(Metadata!B970:G970)</f>
        <v>0</v>
      </c>
      <c r="P970">
        <v>0</v>
      </c>
      <c r="R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S970">
        <f>IF(Metadata!C970="",FALSE,TRUE)</f>
        <v>0</v>
      </c>
      <c r="T970">
        <f>IF(Metadata!D970="",FALSE,TRUE)</f>
        <v>0</v>
      </c>
      <c r="U970">
        <f>IF(Metadata!E970="",FALSE,TRUE)</f>
        <v>0</v>
      </c>
      <c r="V970">
        <f>AND(IF(Metadata!F970="",FALSE,TRUE),exact(Metadata!F970,"rat gut metagenome"))</f>
        <v>0</v>
      </c>
      <c r="W970">
        <f>AND(IF(Metadata!G970="",FALSE,TRUE),exact(Metadata!G970,"1436733"))</f>
        <v>0</v>
      </c>
    </row>
    <row r="971" spans="1:23">
      <c r="A971" s="4">
        <f>IF(B971=" "," ",HYPERLINK(CONCATENATE("#metadata!",ADDRESS(INDEX($M$2:$M$1001,MATCH(ROWS($K$2:K971),$K$2:$K$1001,0),0),1)),INDEX($P$2:$P$1001,MATCH(ROWS($K$2:K971),$K$2:$K$1001,0),0)))</f>
        <v>0</v>
      </c>
      <c r="B971" s="3">
        <f>IF(OR(INDEX($L$2:$L$1001,MATCH(ROWS($K$2:K971),$K$2:$K$1001,0),1)&gt;=100000,INDEX($R$1005:$W$1005,1,MATCH(COLUMNS($R$1006:R1006),$R$1006:$W$1006,0))&gt;=100000), " ",IF(INDEX($R$2:$W$1001,MATCH(ROWS($K$2:K971),$K$2:$K$1001,0),MATCH(COLUMNS($R$1006:R1006),$R$1006:$W$1006,0)), HYPERLINK("#",""), HYPERLINK(CONCATENATE("#Metadata!", ADDRESS(INDEX($M$2:$M$1001,MATCH(ROWS($K$2:K971),$K$2:$K$1001,0),0), INDEX($R$1004:$W$1004,1,MATCH(COLUMNS($R$1006:R1006),$R$1006:$W$1006,0)))),"Fix")))</f>
        <v>0</v>
      </c>
      <c r="C971" s="3">
        <f>IF(OR(INDEX($L$2:$L$1001,MATCH(ROWS($K$2:K971),$K$2:$K$1001,0),1)&gt;=100000,INDEX($R$1005:$W$1005,1,MATCH(COLUMNS($R$1006:S1006),$R$1006:$W$1006,0))&gt;=100000), " ",IF(INDEX($R$2:$W$1001,MATCH(ROWS($K$2:K971),$K$2:$K$1001,0),MATCH(COLUMNS($R$1006:S1006),$R$1006:$W$1006,0)), HYPERLINK("#",""), HYPERLINK(CONCATENATE("#Metadata!", ADDRESS(INDEX($M$2:$M$1001,MATCH(ROWS($K$2:K971),$K$2:$K$1001,0),0), INDEX($R$1004:$W$1004,1,MATCH(COLUMNS($R$1006:S1006),$R$1006:$W$1006,0)))),"Fix")))</f>
        <v>0</v>
      </c>
      <c r="D971" s="3">
        <f>IF(OR(INDEX($L$2:$L$1001,MATCH(ROWS($K$2:K971),$K$2:$K$1001,0),1)&gt;=100000,INDEX($R$1005:$W$1005,1,MATCH(COLUMNS($R$1006:T1006),$R$1006:$W$1006,0))&gt;=100000), " ",IF(INDEX($R$2:$W$1001,MATCH(ROWS($K$2:K971),$K$2:$K$1001,0),MATCH(COLUMNS($R$1006:T1006),$R$1006:$W$1006,0)), HYPERLINK("#",""), HYPERLINK(CONCATENATE("#Metadata!", ADDRESS(INDEX($M$2:$M$1001,MATCH(ROWS($K$2:K971),$K$2:$K$1001,0),0), INDEX($R$1004:$W$1004,1,MATCH(COLUMNS($R$1006:T1006),$R$1006:$W$1006,0)))),"Fix")))</f>
        <v>0</v>
      </c>
      <c r="E971" s="3">
        <f>IF(OR(INDEX($L$2:$L$1001,MATCH(ROWS($K$2:K971),$K$2:$K$1001,0),1)&gt;=100000,INDEX($R$1005:$W$1005,1,MATCH(COLUMNS($R$1006:U1006),$R$1006:$W$1006,0))&gt;=100000), " ",IF(INDEX($R$2:$W$1001,MATCH(ROWS($K$2:K971),$K$2:$K$1001,0),MATCH(COLUMNS($R$1006:U1006),$R$1006:$W$1006,0)), HYPERLINK("#",""), HYPERLINK(CONCATENATE("#Metadata!", ADDRESS(INDEX($M$2:$M$1001,MATCH(ROWS($K$2:K971),$K$2:$K$1001,0),0), INDEX($R$1004:$W$1004,1,MATCH(COLUMNS($R$1006:U1006),$R$1006:$W$1006,0)))),"Fix")))</f>
        <v>0</v>
      </c>
      <c r="F971" s="3">
        <f>IF(OR(INDEX($L$2:$L$1001,MATCH(ROWS($K$2:K971),$K$2:$K$1001,0),1)&gt;=100000,INDEX($R$1005:$W$1005,1,MATCH(COLUMNS($R$1006:V1006),$R$1006:$W$1006,0))&gt;=100000), " ",IF(INDEX($R$2:$W$1001,MATCH(ROWS($K$2:K971),$K$2:$K$1001,0),MATCH(COLUMNS($R$1006:V1006),$R$1006:$W$1006,0)), HYPERLINK("#",""), HYPERLINK(CONCATENATE("#Metadata!", ADDRESS(INDEX($M$2:$M$1001,MATCH(ROWS($K$2:K971),$K$2:$K$1001,0),0), INDEX($R$1004:$W$1004,1,MATCH(COLUMNS($R$1006:V1006),$R$1006:$W$1006,0)))),"Fix")))</f>
        <v>0</v>
      </c>
      <c r="G971" s="3">
        <f>IF(OR(INDEX($L$2:$L$1001,MATCH(ROWS($K$2:K971),$K$2:$K$1001,0),1)&gt;=100000,INDEX($R$1005:$W$1005,1,MATCH(COLUMNS($R$1006:W1006),$R$1006:$W$1006,0))&gt;=100000), " ",IF(INDEX($R$2:$W$1001,MATCH(ROWS($K$2:K971),$K$2:$K$1001,0),MATCH(COLUMNS($R$1006:W1006),$R$1006:$W$1006,0)), HYPERLINK("#",""), HYPERLINK(CONCATENATE("#Metadata!", ADDRESS(INDEX($M$2:$M$1001,MATCH(ROWS($K$2:K971),$K$2:$K$1001,0),0), INDEX($R$1004:$W$1004,1,MATCH(COLUMNS($R$1006:W1006),$R$1006:$W$1006,0)))),"Fix")))</f>
        <v>0</v>
      </c>
      <c r="K971">
        <v>0</v>
      </c>
      <c r="L971">
        <v>0</v>
      </c>
      <c r="M971">
        <v>0</v>
      </c>
      <c r="N971">
        <f>IF(O971,TRUE,AND(R971:W971))</f>
        <v>0</v>
      </c>
      <c r="O971">
        <f>COUNTBLANK(Metadata!B971:G971)=COLUMNS(Metadata!B971:G971)</f>
        <v>0</v>
      </c>
      <c r="P971">
        <v>0</v>
      </c>
      <c r="R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S971">
        <f>IF(Metadata!C971="",FALSE,TRUE)</f>
        <v>0</v>
      </c>
      <c r="T971">
        <f>IF(Metadata!D971="",FALSE,TRUE)</f>
        <v>0</v>
      </c>
      <c r="U971">
        <f>IF(Metadata!E971="",FALSE,TRUE)</f>
        <v>0</v>
      </c>
      <c r="V971">
        <f>AND(IF(Metadata!F971="",FALSE,TRUE),exact(Metadata!F971,"rat gut metagenome"))</f>
        <v>0</v>
      </c>
      <c r="W971">
        <f>AND(IF(Metadata!G971="",FALSE,TRUE),exact(Metadata!G971,"1436733"))</f>
        <v>0</v>
      </c>
    </row>
    <row r="972" spans="1:23">
      <c r="A972" s="4">
        <f>IF(B972=" "," ",HYPERLINK(CONCATENATE("#metadata!",ADDRESS(INDEX($M$2:$M$1001,MATCH(ROWS($K$2:K972),$K$2:$K$1001,0),0),1)),INDEX($P$2:$P$1001,MATCH(ROWS($K$2:K972),$K$2:$K$1001,0),0)))</f>
        <v>0</v>
      </c>
      <c r="B972" s="3">
        <f>IF(OR(INDEX($L$2:$L$1001,MATCH(ROWS($K$2:K972),$K$2:$K$1001,0),1)&gt;=100000,INDEX($R$1005:$W$1005,1,MATCH(COLUMNS($R$1006:R1006),$R$1006:$W$1006,0))&gt;=100000), " ",IF(INDEX($R$2:$W$1001,MATCH(ROWS($K$2:K972),$K$2:$K$1001,0),MATCH(COLUMNS($R$1006:R1006),$R$1006:$W$1006,0)), HYPERLINK("#",""), HYPERLINK(CONCATENATE("#Metadata!", ADDRESS(INDEX($M$2:$M$1001,MATCH(ROWS($K$2:K972),$K$2:$K$1001,0),0), INDEX($R$1004:$W$1004,1,MATCH(COLUMNS($R$1006:R1006),$R$1006:$W$1006,0)))),"Fix")))</f>
        <v>0</v>
      </c>
      <c r="C972" s="3">
        <f>IF(OR(INDEX($L$2:$L$1001,MATCH(ROWS($K$2:K972),$K$2:$K$1001,0),1)&gt;=100000,INDEX($R$1005:$W$1005,1,MATCH(COLUMNS($R$1006:S1006),$R$1006:$W$1006,0))&gt;=100000), " ",IF(INDEX($R$2:$W$1001,MATCH(ROWS($K$2:K972),$K$2:$K$1001,0),MATCH(COLUMNS($R$1006:S1006),$R$1006:$W$1006,0)), HYPERLINK("#",""), HYPERLINK(CONCATENATE("#Metadata!", ADDRESS(INDEX($M$2:$M$1001,MATCH(ROWS($K$2:K972),$K$2:$K$1001,0),0), INDEX($R$1004:$W$1004,1,MATCH(COLUMNS($R$1006:S1006),$R$1006:$W$1006,0)))),"Fix")))</f>
        <v>0</v>
      </c>
      <c r="D972" s="3">
        <f>IF(OR(INDEX($L$2:$L$1001,MATCH(ROWS($K$2:K972),$K$2:$K$1001,0),1)&gt;=100000,INDEX($R$1005:$W$1005,1,MATCH(COLUMNS($R$1006:T1006),$R$1006:$W$1006,0))&gt;=100000), " ",IF(INDEX($R$2:$W$1001,MATCH(ROWS($K$2:K972),$K$2:$K$1001,0),MATCH(COLUMNS($R$1006:T1006),$R$1006:$W$1006,0)), HYPERLINK("#",""), HYPERLINK(CONCATENATE("#Metadata!", ADDRESS(INDEX($M$2:$M$1001,MATCH(ROWS($K$2:K972),$K$2:$K$1001,0),0), INDEX($R$1004:$W$1004,1,MATCH(COLUMNS($R$1006:T1006),$R$1006:$W$1006,0)))),"Fix")))</f>
        <v>0</v>
      </c>
      <c r="E972" s="3">
        <f>IF(OR(INDEX($L$2:$L$1001,MATCH(ROWS($K$2:K972),$K$2:$K$1001,0),1)&gt;=100000,INDEX($R$1005:$W$1005,1,MATCH(COLUMNS($R$1006:U1006),$R$1006:$W$1006,0))&gt;=100000), " ",IF(INDEX($R$2:$W$1001,MATCH(ROWS($K$2:K972),$K$2:$K$1001,0),MATCH(COLUMNS($R$1006:U1006),$R$1006:$W$1006,0)), HYPERLINK("#",""), HYPERLINK(CONCATENATE("#Metadata!", ADDRESS(INDEX($M$2:$M$1001,MATCH(ROWS($K$2:K972),$K$2:$K$1001,0),0), INDEX($R$1004:$W$1004,1,MATCH(COLUMNS($R$1006:U1006),$R$1006:$W$1006,0)))),"Fix")))</f>
        <v>0</v>
      </c>
      <c r="F972" s="3">
        <f>IF(OR(INDEX($L$2:$L$1001,MATCH(ROWS($K$2:K972),$K$2:$K$1001,0),1)&gt;=100000,INDEX($R$1005:$W$1005,1,MATCH(COLUMNS($R$1006:V1006),$R$1006:$W$1006,0))&gt;=100000), " ",IF(INDEX($R$2:$W$1001,MATCH(ROWS($K$2:K972),$K$2:$K$1001,0),MATCH(COLUMNS($R$1006:V1006),$R$1006:$W$1006,0)), HYPERLINK("#",""), HYPERLINK(CONCATENATE("#Metadata!", ADDRESS(INDEX($M$2:$M$1001,MATCH(ROWS($K$2:K972),$K$2:$K$1001,0),0), INDEX($R$1004:$W$1004,1,MATCH(COLUMNS($R$1006:V1006),$R$1006:$W$1006,0)))),"Fix")))</f>
        <v>0</v>
      </c>
      <c r="G972" s="3">
        <f>IF(OR(INDEX($L$2:$L$1001,MATCH(ROWS($K$2:K972),$K$2:$K$1001,0),1)&gt;=100000,INDEX($R$1005:$W$1005,1,MATCH(COLUMNS($R$1006:W1006),$R$1006:$W$1006,0))&gt;=100000), " ",IF(INDEX($R$2:$W$1001,MATCH(ROWS($K$2:K972),$K$2:$K$1001,0),MATCH(COLUMNS($R$1006:W1006),$R$1006:$W$1006,0)), HYPERLINK("#",""), HYPERLINK(CONCATENATE("#Metadata!", ADDRESS(INDEX($M$2:$M$1001,MATCH(ROWS($K$2:K972),$K$2:$K$1001,0),0), INDEX($R$1004:$W$1004,1,MATCH(COLUMNS($R$1006:W1006),$R$1006:$W$1006,0)))),"Fix")))</f>
        <v>0</v>
      </c>
      <c r="K972">
        <v>0</v>
      </c>
      <c r="L972">
        <v>0</v>
      </c>
      <c r="M972">
        <v>0</v>
      </c>
      <c r="N972">
        <f>IF(O972,TRUE,AND(R972:W972))</f>
        <v>0</v>
      </c>
      <c r="O972">
        <f>COUNTBLANK(Metadata!B972:G972)=COLUMNS(Metadata!B972:G972)</f>
        <v>0</v>
      </c>
      <c r="P972">
        <v>0</v>
      </c>
      <c r="R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S972">
        <f>IF(Metadata!C972="",FALSE,TRUE)</f>
        <v>0</v>
      </c>
      <c r="T972">
        <f>IF(Metadata!D972="",FALSE,TRUE)</f>
        <v>0</v>
      </c>
      <c r="U972">
        <f>IF(Metadata!E972="",FALSE,TRUE)</f>
        <v>0</v>
      </c>
      <c r="V972">
        <f>AND(IF(Metadata!F972="",FALSE,TRUE),exact(Metadata!F972,"rat gut metagenome"))</f>
        <v>0</v>
      </c>
      <c r="W972">
        <f>AND(IF(Metadata!G972="",FALSE,TRUE),exact(Metadata!G972,"1436733"))</f>
        <v>0</v>
      </c>
    </row>
    <row r="973" spans="1:23">
      <c r="A973" s="4">
        <f>IF(B973=" "," ",HYPERLINK(CONCATENATE("#metadata!",ADDRESS(INDEX($M$2:$M$1001,MATCH(ROWS($K$2:K973),$K$2:$K$1001,0),0),1)),INDEX($P$2:$P$1001,MATCH(ROWS($K$2:K973),$K$2:$K$1001,0),0)))</f>
        <v>0</v>
      </c>
      <c r="B973" s="3">
        <f>IF(OR(INDEX($L$2:$L$1001,MATCH(ROWS($K$2:K973),$K$2:$K$1001,0),1)&gt;=100000,INDEX($R$1005:$W$1005,1,MATCH(COLUMNS($R$1006:R1006),$R$1006:$W$1006,0))&gt;=100000), " ",IF(INDEX($R$2:$W$1001,MATCH(ROWS($K$2:K973),$K$2:$K$1001,0),MATCH(COLUMNS($R$1006:R1006),$R$1006:$W$1006,0)), HYPERLINK("#",""), HYPERLINK(CONCATENATE("#Metadata!", ADDRESS(INDEX($M$2:$M$1001,MATCH(ROWS($K$2:K973),$K$2:$K$1001,0),0), INDEX($R$1004:$W$1004,1,MATCH(COLUMNS($R$1006:R1006),$R$1006:$W$1006,0)))),"Fix")))</f>
        <v>0</v>
      </c>
      <c r="C973" s="3">
        <f>IF(OR(INDEX($L$2:$L$1001,MATCH(ROWS($K$2:K973),$K$2:$K$1001,0),1)&gt;=100000,INDEX($R$1005:$W$1005,1,MATCH(COLUMNS($R$1006:S1006),$R$1006:$W$1006,0))&gt;=100000), " ",IF(INDEX($R$2:$W$1001,MATCH(ROWS($K$2:K973),$K$2:$K$1001,0),MATCH(COLUMNS($R$1006:S1006),$R$1006:$W$1006,0)), HYPERLINK("#",""), HYPERLINK(CONCATENATE("#Metadata!", ADDRESS(INDEX($M$2:$M$1001,MATCH(ROWS($K$2:K973),$K$2:$K$1001,0),0), INDEX($R$1004:$W$1004,1,MATCH(COLUMNS($R$1006:S1006),$R$1006:$W$1006,0)))),"Fix")))</f>
        <v>0</v>
      </c>
      <c r="D973" s="3">
        <f>IF(OR(INDEX($L$2:$L$1001,MATCH(ROWS($K$2:K973),$K$2:$K$1001,0),1)&gt;=100000,INDEX($R$1005:$W$1005,1,MATCH(COLUMNS($R$1006:T1006),$R$1006:$W$1006,0))&gt;=100000), " ",IF(INDEX($R$2:$W$1001,MATCH(ROWS($K$2:K973),$K$2:$K$1001,0),MATCH(COLUMNS($R$1006:T1006),$R$1006:$W$1006,0)), HYPERLINK("#",""), HYPERLINK(CONCATENATE("#Metadata!", ADDRESS(INDEX($M$2:$M$1001,MATCH(ROWS($K$2:K973),$K$2:$K$1001,0),0), INDEX($R$1004:$W$1004,1,MATCH(COLUMNS($R$1006:T1006),$R$1006:$W$1006,0)))),"Fix")))</f>
        <v>0</v>
      </c>
      <c r="E973" s="3">
        <f>IF(OR(INDEX($L$2:$L$1001,MATCH(ROWS($K$2:K973),$K$2:$K$1001,0),1)&gt;=100000,INDEX($R$1005:$W$1005,1,MATCH(COLUMNS($R$1006:U1006),$R$1006:$W$1006,0))&gt;=100000), " ",IF(INDEX($R$2:$W$1001,MATCH(ROWS($K$2:K973),$K$2:$K$1001,0),MATCH(COLUMNS($R$1006:U1006),$R$1006:$W$1006,0)), HYPERLINK("#",""), HYPERLINK(CONCATENATE("#Metadata!", ADDRESS(INDEX($M$2:$M$1001,MATCH(ROWS($K$2:K973),$K$2:$K$1001,0),0), INDEX($R$1004:$W$1004,1,MATCH(COLUMNS($R$1006:U1006),$R$1006:$W$1006,0)))),"Fix")))</f>
        <v>0</v>
      </c>
      <c r="F973" s="3">
        <f>IF(OR(INDEX($L$2:$L$1001,MATCH(ROWS($K$2:K973),$K$2:$K$1001,0),1)&gt;=100000,INDEX($R$1005:$W$1005,1,MATCH(COLUMNS($R$1006:V1006),$R$1006:$W$1006,0))&gt;=100000), " ",IF(INDEX($R$2:$W$1001,MATCH(ROWS($K$2:K973),$K$2:$K$1001,0),MATCH(COLUMNS($R$1006:V1006),$R$1006:$W$1006,0)), HYPERLINK("#",""), HYPERLINK(CONCATENATE("#Metadata!", ADDRESS(INDEX($M$2:$M$1001,MATCH(ROWS($K$2:K973),$K$2:$K$1001,0),0), INDEX($R$1004:$W$1004,1,MATCH(COLUMNS($R$1006:V1006),$R$1006:$W$1006,0)))),"Fix")))</f>
        <v>0</v>
      </c>
      <c r="G973" s="3">
        <f>IF(OR(INDEX($L$2:$L$1001,MATCH(ROWS($K$2:K973),$K$2:$K$1001,0),1)&gt;=100000,INDEX($R$1005:$W$1005,1,MATCH(COLUMNS($R$1006:W1006),$R$1006:$W$1006,0))&gt;=100000), " ",IF(INDEX($R$2:$W$1001,MATCH(ROWS($K$2:K973),$K$2:$K$1001,0),MATCH(COLUMNS($R$1006:W1006),$R$1006:$W$1006,0)), HYPERLINK("#",""), HYPERLINK(CONCATENATE("#Metadata!", ADDRESS(INDEX($M$2:$M$1001,MATCH(ROWS($K$2:K973),$K$2:$K$1001,0),0), INDEX($R$1004:$W$1004,1,MATCH(COLUMNS($R$1006:W1006),$R$1006:$W$1006,0)))),"Fix")))</f>
        <v>0</v>
      </c>
      <c r="K973">
        <v>0</v>
      </c>
      <c r="L973">
        <v>0</v>
      </c>
      <c r="M973">
        <v>0</v>
      </c>
      <c r="N973">
        <f>IF(O973,TRUE,AND(R973:W973))</f>
        <v>0</v>
      </c>
      <c r="O973">
        <f>COUNTBLANK(Metadata!B973:G973)=COLUMNS(Metadata!B973:G973)</f>
        <v>0</v>
      </c>
      <c r="P973">
        <v>0</v>
      </c>
      <c r="R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S973">
        <f>IF(Metadata!C973="",FALSE,TRUE)</f>
        <v>0</v>
      </c>
      <c r="T973">
        <f>IF(Metadata!D973="",FALSE,TRUE)</f>
        <v>0</v>
      </c>
      <c r="U973">
        <f>IF(Metadata!E973="",FALSE,TRUE)</f>
        <v>0</v>
      </c>
      <c r="V973">
        <f>AND(IF(Metadata!F973="",FALSE,TRUE),exact(Metadata!F973,"rat gut metagenome"))</f>
        <v>0</v>
      </c>
      <c r="W973">
        <f>AND(IF(Metadata!G973="",FALSE,TRUE),exact(Metadata!G973,"1436733"))</f>
        <v>0</v>
      </c>
    </row>
    <row r="974" spans="1:23">
      <c r="A974" s="4">
        <f>IF(B974=" "," ",HYPERLINK(CONCATENATE("#metadata!",ADDRESS(INDEX($M$2:$M$1001,MATCH(ROWS($K$2:K974),$K$2:$K$1001,0),0),1)),INDEX($P$2:$P$1001,MATCH(ROWS($K$2:K974),$K$2:$K$1001,0),0)))</f>
        <v>0</v>
      </c>
      <c r="B974" s="3">
        <f>IF(OR(INDEX($L$2:$L$1001,MATCH(ROWS($K$2:K974),$K$2:$K$1001,0),1)&gt;=100000,INDEX($R$1005:$W$1005,1,MATCH(COLUMNS($R$1006:R1006),$R$1006:$W$1006,0))&gt;=100000), " ",IF(INDEX($R$2:$W$1001,MATCH(ROWS($K$2:K974),$K$2:$K$1001,0),MATCH(COLUMNS($R$1006:R1006),$R$1006:$W$1006,0)), HYPERLINK("#",""), HYPERLINK(CONCATENATE("#Metadata!", ADDRESS(INDEX($M$2:$M$1001,MATCH(ROWS($K$2:K974),$K$2:$K$1001,0),0), INDEX($R$1004:$W$1004,1,MATCH(COLUMNS($R$1006:R1006),$R$1006:$W$1006,0)))),"Fix")))</f>
        <v>0</v>
      </c>
      <c r="C974" s="3">
        <f>IF(OR(INDEX($L$2:$L$1001,MATCH(ROWS($K$2:K974),$K$2:$K$1001,0),1)&gt;=100000,INDEX($R$1005:$W$1005,1,MATCH(COLUMNS($R$1006:S1006),$R$1006:$W$1006,0))&gt;=100000), " ",IF(INDEX($R$2:$W$1001,MATCH(ROWS($K$2:K974),$K$2:$K$1001,0),MATCH(COLUMNS($R$1006:S1006),$R$1006:$W$1006,0)), HYPERLINK("#",""), HYPERLINK(CONCATENATE("#Metadata!", ADDRESS(INDEX($M$2:$M$1001,MATCH(ROWS($K$2:K974),$K$2:$K$1001,0),0), INDEX($R$1004:$W$1004,1,MATCH(COLUMNS($R$1006:S1006),$R$1006:$W$1006,0)))),"Fix")))</f>
        <v>0</v>
      </c>
      <c r="D974" s="3">
        <f>IF(OR(INDEX($L$2:$L$1001,MATCH(ROWS($K$2:K974),$K$2:$K$1001,0),1)&gt;=100000,INDEX($R$1005:$W$1005,1,MATCH(COLUMNS($R$1006:T1006),$R$1006:$W$1006,0))&gt;=100000), " ",IF(INDEX($R$2:$W$1001,MATCH(ROWS($K$2:K974),$K$2:$K$1001,0),MATCH(COLUMNS($R$1006:T1006),$R$1006:$W$1006,0)), HYPERLINK("#",""), HYPERLINK(CONCATENATE("#Metadata!", ADDRESS(INDEX($M$2:$M$1001,MATCH(ROWS($K$2:K974),$K$2:$K$1001,0),0), INDEX($R$1004:$W$1004,1,MATCH(COLUMNS($R$1006:T1006),$R$1006:$W$1006,0)))),"Fix")))</f>
        <v>0</v>
      </c>
      <c r="E974" s="3">
        <f>IF(OR(INDEX($L$2:$L$1001,MATCH(ROWS($K$2:K974),$K$2:$K$1001,0),1)&gt;=100000,INDEX($R$1005:$W$1005,1,MATCH(COLUMNS($R$1006:U1006),$R$1006:$W$1006,0))&gt;=100000), " ",IF(INDEX($R$2:$W$1001,MATCH(ROWS($K$2:K974),$K$2:$K$1001,0),MATCH(COLUMNS($R$1006:U1006),$R$1006:$W$1006,0)), HYPERLINK("#",""), HYPERLINK(CONCATENATE("#Metadata!", ADDRESS(INDEX($M$2:$M$1001,MATCH(ROWS($K$2:K974),$K$2:$K$1001,0),0), INDEX($R$1004:$W$1004,1,MATCH(COLUMNS($R$1006:U1006),$R$1006:$W$1006,0)))),"Fix")))</f>
        <v>0</v>
      </c>
      <c r="F974" s="3">
        <f>IF(OR(INDEX($L$2:$L$1001,MATCH(ROWS($K$2:K974),$K$2:$K$1001,0),1)&gt;=100000,INDEX($R$1005:$W$1005,1,MATCH(COLUMNS($R$1006:V1006),$R$1006:$W$1006,0))&gt;=100000), " ",IF(INDEX($R$2:$W$1001,MATCH(ROWS($K$2:K974),$K$2:$K$1001,0),MATCH(COLUMNS($R$1006:V1006),$R$1006:$W$1006,0)), HYPERLINK("#",""), HYPERLINK(CONCATENATE("#Metadata!", ADDRESS(INDEX($M$2:$M$1001,MATCH(ROWS($K$2:K974),$K$2:$K$1001,0),0), INDEX($R$1004:$W$1004,1,MATCH(COLUMNS($R$1006:V1006),$R$1006:$W$1006,0)))),"Fix")))</f>
        <v>0</v>
      </c>
      <c r="G974" s="3">
        <f>IF(OR(INDEX($L$2:$L$1001,MATCH(ROWS($K$2:K974),$K$2:$K$1001,0),1)&gt;=100000,INDEX($R$1005:$W$1005,1,MATCH(COLUMNS($R$1006:W1006),$R$1006:$W$1006,0))&gt;=100000), " ",IF(INDEX($R$2:$W$1001,MATCH(ROWS($K$2:K974),$K$2:$K$1001,0),MATCH(COLUMNS($R$1006:W1006),$R$1006:$W$1006,0)), HYPERLINK("#",""), HYPERLINK(CONCATENATE("#Metadata!", ADDRESS(INDEX($M$2:$M$1001,MATCH(ROWS($K$2:K974),$K$2:$K$1001,0),0), INDEX($R$1004:$W$1004,1,MATCH(COLUMNS($R$1006:W1006),$R$1006:$W$1006,0)))),"Fix")))</f>
        <v>0</v>
      </c>
      <c r="K974">
        <v>0</v>
      </c>
      <c r="L974">
        <v>0</v>
      </c>
      <c r="M974">
        <v>0</v>
      </c>
      <c r="N974">
        <f>IF(O974,TRUE,AND(R974:W974))</f>
        <v>0</v>
      </c>
      <c r="O974">
        <f>COUNTBLANK(Metadata!B974:G974)=COLUMNS(Metadata!B974:G974)</f>
        <v>0</v>
      </c>
      <c r="P974">
        <v>0</v>
      </c>
      <c r="R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S974">
        <f>IF(Metadata!C974="",FALSE,TRUE)</f>
        <v>0</v>
      </c>
      <c r="T974">
        <f>IF(Metadata!D974="",FALSE,TRUE)</f>
        <v>0</v>
      </c>
      <c r="U974">
        <f>IF(Metadata!E974="",FALSE,TRUE)</f>
        <v>0</v>
      </c>
      <c r="V974">
        <f>AND(IF(Metadata!F974="",FALSE,TRUE),exact(Metadata!F974,"rat gut metagenome"))</f>
        <v>0</v>
      </c>
      <c r="W974">
        <f>AND(IF(Metadata!G974="",FALSE,TRUE),exact(Metadata!G974,"1436733"))</f>
        <v>0</v>
      </c>
    </row>
    <row r="975" spans="1:23">
      <c r="A975" s="4">
        <f>IF(B975=" "," ",HYPERLINK(CONCATENATE("#metadata!",ADDRESS(INDEX($M$2:$M$1001,MATCH(ROWS($K$2:K975),$K$2:$K$1001,0),0),1)),INDEX($P$2:$P$1001,MATCH(ROWS($K$2:K975),$K$2:$K$1001,0),0)))</f>
        <v>0</v>
      </c>
      <c r="B975" s="3">
        <f>IF(OR(INDEX($L$2:$L$1001,MATCH(ROWS($K$2:K975),$K$2:$K$1001,0),1)&gt;=100000,INDEX($R$1005:$W$1005,1,MATCH(COLUMNS($R$1006:R1006),$R$1006:$W$1006,0))&gt;=100000), " ",IF(INDEX($R$2:$W$1001,MATCH(ROWS($K$2:K975),$K$2:$K$1001,0),MATCH(COLUMNS($R$1006:R1006),$R$1006:$W$1006,0)), HYPERLINK("#",""), HYPERLINK(CONCATENATE("#Metadata!", ADDRESS(INDEX($M$2:$M$1001,MATCH(ROWS($K$2:K975),$K$2:$K$1001,0),0), INDEX($R$1004:$W$1004,1,MATCH(COLUMNS($R$1006:R1006),$R$1006:$W$1006,0)))),"Fix")))</f>
        <v>0</v>
      </c>
      <c r="C975" s="3">
        <f>IF(OR(INDEX($L$2:$L$1001,MATCH(ROWS($K$2:K975),$K$2:$K$1001,0),1)&gt;=100000,INDEX($R$1005:$W$1005,1,MATCH(COLUMNS($R$1006:S1006),$R$1006:$W$1006,0))&gt;=100000), " ",IF(INDEX($R$2:$W$1001,MATCH(ROWS($K$2:K975),$K$2:$K$1001,0),MATCH(COLUMNS($R$1006:S1006),$R$1006:$W$1006,0)), HYPERLINK("#",""), HYPERLINK(CONCATENATE("#Metadata!", ADDRESS(INDEX($M$2:$M$1001,MATCH(ROWS($K$2:K975),$K$2:$K$1001,0),0), INDEX($R$1004:$W$1004,1,MATCH(COLUMNS($R$1006:S1006),$R$1006:$W$1006,0)))),"Fix")))</f>
        <v>0</v>
      </c>
      <c r="D975" s="3">
        <f>IF(OR(INDEX($L$2:$L$1001,MATCH(ROWS($K$2:K975),$K$2:$K$1001,0),1)&gt;=100000,INDEX($R$1005:$W$1005,1,MATCH(COLUMNS($R$1006:T1006),$R$1006:$W$1006,0))&gt;=100000), " ",IF(INDEX($R$2:$W$1001,MATCH(ROWS($K$2:K975),$K$2:$K$1001,0),MATCH(COLUMNS($R$1006:T1006),$R$1006:$W$1006,0)), HYPERLINK("#",""), HYPERLINK(CONCATENATE("#Metadata!", ADDRESS(INDEX($M$2:$M$1001,MATCH(ROWS($K$2:K975),$K$2:$K$1001,0),0), INDEX($R$1004:$W$1004,1,MATCH(COLUMNS($R$1006:T1006),$R$1006:$W$1006,0)))),"Fix")))</f>
        <v>0</v>
      </c>
      <c r="E975" s="3">
        <f>IF(OR(INDEX($L$2:$L$1001,MATCH(ROWS($K$2:K975),$K$2:$K$1001,0),1)&gt;=100000,INDEX($R$1005:$W$1005,1,MATCH(COLUMNS($R$1006:U1006),$R$1006:$W$1006,0))&gt;=100000), " ",IF(INDEX($R$2:$W$1001,MATCH(ROWS($K$2:K975),$K$2:$K$1001,0),MATCH(COLUMNS($R$1006:U1006),$R$1006:$W$1006,0)), HYPERLINK("#",""), HYPERLINK(CONCATENATE("#Metadata!", ADDRESS(INDEX($M$2:$M$1001,MATCH(ROWS($K$2:K975),$K$2:$K$1001,0),0), INDEX($R$1004:$W$1004,1,MATCH(COLUMNS($R$1006:U1006),$R$1006:$W$1006,0)))),"Fix")))</f>
        <v>0</v>
      </c>
      <c r="F975" s="3">
        <f>IF(OR(INDEX($L$2:$L$1001,MATCH(ROWS($K$2:K975),$K$2:$K$1001,0),1)&gt;=100000,INDEX($R$1005:$W$1005,1,MATCH(COLUMNS($R$1006:V1006),$R$1006:$W$1006,0))&gt;=100000), " ",IF(INDEX($R$2:$W$1001,MATCH(ROWS($K$2:K975),$K$2:$K$1001,0),MATCH(COLUMNS($R$1006:V1006),$R$1006:$W$1006,0)), HYPERLINK("#",""), HYPERLINK(CONCATENATE("#Metadata!", ADDRESS(INDEX($M$2:$M$1001,MATCH(ROWS($K$2:K975),$K$2:$K$1001,0),0), INDEX($R$1004:$W$1004,1,MATCH(COLUMNS($R$1006:V1006),$R$1006:$W$1006,0)))),"Fix")))</f>
        <v>0</v>
      </c>
      <c r="G975" s="3">
        <f>IF(OR(INDEX($L$2:$L$1001,MATCH(ROWS($K$2:K975),$K$2:$K$1001,0),1)&gt;=100000,INDEX($R$1005:$W$1005,1,MATCH(COLUMNS($R$1006:W1006),$R$1006:$W$1006,0))&gt;=100000), " ",IF(INDEX($R$2:$W$1001,MATCH(ROWS($K$2:K975),$K$2:$K$1001,0),MATCH(COLUMNS($R$1006:W1006),$R$1006:$W$1006,0)), HYPERLINK("#",""), HYPERLINK(CONCATENATE("#Metadata!", ADDRESS(INDEX($M$2:$M$1001,MATCH(ROWS($K$2:K975),$K$2:$K$1001,0),0), INDEX($R$1004:$W$1004,1,MATCH(COLUMNS($R$1006:W1006),$R$1006:$W$1006,0)))),"Fix")))</f>
        <v>0</v>
      </c>
      <c r="K975">
        <v>0</v>
      </c>
      <c r="L975">
        <v>0</v>
      </c>
      <c r="M975">
        <v>0</v>
      </c>
      <c r="N975">
        <f>IF(O975,TRUE,AND(R975:W975))</f>
        <v>0</v>
      </c>
      <c r="O975">
        <f>COUNTBLANK(Metadata!B975:G975)=COLUMNS(Metadata!B975:G975)</f>
        <v>0</v>
      </c>
      <c r="P975">
        <v>0</v>
      </c>
      <c r="R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S975">
        <f>IF(Metadata!C975="",FALSE,TRUE)</f>
        <v>0</v>
      </c>
      <c r="T975">
        <f>IF(Metadata!D975="",FALSE,TRUE)</f>
        <v>0</v>
      </c>
      <c r="U975">
        <f>IF(Metadata!E975="",FALSE,TRUE)</f>
        <v>0</v>
      </c>
      <c r="V975">
        <f>AND(IF(Metadata!F975="",FALSE,TRUE),exact(Metadata!F975,"rat gut metagenome"))</f>
        <v>0</v>
      </c>
      <c r="W975">
        <f>AND(IF(Metadata!G975="",FALSE,TRUE),exact(Metadata!G975,"1436733"))</f>
        <v>0</v>
      </c>
    </row>
    <row r="976" spans="1:23">
      <c r="A976" s="4">
        <f>IF(B976=" "," ",HYPERLINK(CONCATENATE("#metadata!",ADDRESS(INDEX($M$2:$M$1001,MATCH(ROWS($K$2:K976),$K$2:$K$1001,0),0),1)),INDEX($P$2:$P$1001,MATCH(ROWS($K$2:K976),$K$2:$K$1001,0),0)))</f>
        <v>0</v>
      </c>
      <c r="B976" s="3">
        <f>IF(OR(INDEX($L$2:$L$1001,MATCH(ROWS($K$2:K976),$K$2:$K$1001,0),1)&gt;=100000,INDEX($R$1005:$W$1005,1,MATCH(COLUMNS($R$1006:R1006),$R$1006:$W$1006,0))&gt;=100000), " ",IF(INDEX($R$2:$W$1001,MATCH(ROWS($K$2:K976),$K$2:$K$1001,0),MATCH(COLUMNS($R$1006:R1006),$R$1006:$W$1006,0)), HYPERLINK("#",""), HYPERLINK(CONCATENATE("#Metadata!", ADDRESS(INDEX($M$2:$M$1001,MATCH(ROWS($K$2:K976),$K$2:$K$1001,0),0), INDEX($R$1004:$W$1004,1,MATCH(COLUMNS($R$1006:R1006),$R$1006:$W$1006,0)))),"Fix")))</f>
        <v>0</v>
      </c>
      <c r="C976" s="3">
        <f>IF(OR(INDEX($L$2:$L$1001,MATCH(ROWS($K$2:K976),$K$2:$K$1001,0),1)&gt;=100000,INDEX($R$1005:$W$1005,1,MATCH(COLUMNS($R$1006:S1006),$R$1006:$W$1006,0))&gt;=100000), " ",IF(INDEX($R$2:$W$1001,MATCH(ROWS($K$2:K976),$K$2:$K$1001,0),MATCH(COLUMNS($R$1006:S1006),$R$1006:$W$1006,0)), HYPERLINK("#",""), HYPERLINK(CONCATENATE("#Metadata!", ADDRESS(INDEX($M$2:$M$1001,MATCH(ROWS($K$2:K976),$K$2:$K$1001,0),0), INDEX($R$1004:$W$1004,1,MATCH(COLUMNS($R$1006:S1006),$R$1006:$W$1006,0)))),"Fix")))</f>
        <v>0</v>
      </c>
      <c r="D976" s="3">
        <f>IF(OR(INDEX($L$2:$L$1001,MATCH(ROWS($K$2:K976),$K$2:$K$1001,0),1)&gt;=100000,INDEX($R$1005:$W$1005,1,MATCH(COLUMNS($R$1006:T1006),$R$1006:$W$1006,0))&gt;=100000), " ",IF(INDEX($R$2:$W$1001,MATCH(ROWS($K$2:K976),$K$2:$K$1001,0),MATCH(COLUMNS($R$1006:T1006),$R$1006:$W$1006,0)), HYPERLINK("#",""), HYPERLINK(CONCATENATE("#Metadata!", ADDRESS(INDEX($M$2:$M$1001,MATCH(ROWS($K$2:K976),$K$2:$K$1001,0),0), INDEX($R$1004:$W$1004,1,MATCH(COLUMNS($R$1006:T1006),$R$1006:$W$1006,0)))),"Fix")))</f>
        <v>0</v>
      </c>
      <c r="E976" s="3">
        <f>IF(OR(INDEX($L$2:$L$1001,MATCH(ROWS($K$2:K976),$K$2:$K$1001,0),1)&gt;=100000,INDEX($R$1005:$W$1005,1,MATCH(COLUMNS($R$1006:U1006),$R$1006:$W$1006,0))&gt;=100000), " ",IF(INDEX($R$2:$W$1001,MATCH(ROWS($K$2:K976),$K$2:$K$1001,0),MATCH(COLUMNS($R$1006:U1006),$R$1006:$W$1006,0)), HYPERLINK("#",""), HYPERLINK(CONCATENATE("#Metadata!", ADDRESS(INDEX($M$2:$M$1001,MATCH(ROWS($K$2:K976),$K$2:$K$1001,0),0), INDEX($R$1004:$W$1004,1,MATCH(COLUMNS($R$1006:U1006),$R$1006:$W$1006,0)))),"Fix")))</f>
        <v>0</v>
      </c>
      <c r="F976" s="3">
        <f>IF(OR(INDEX($L$2:$L$1001,MATCH(ROWS($K$2:K976),$K$2:$K$1001,0),1)&gt;=100000,INDEX($R$1005:$W$1005,1,MATCH(COLUMNS($R$1006:V1006),$R$1006:$W$1006,0))&gt;=100000), " ",IF(INDEX($R$2:$W$1001,MATCH(ROWS($K$2:K976),$K$2:$K$1001,0),MATCH(COLUMNS($R$1006:V1006),$R$1006:$W$1006,0)), HYPERLINK("#",""), HYPERLINK(CONCATENATE("#Metadata!", ADDRESS(INDEX($M$2:$M$1001,MATCH(ROWS($K$2:K976),$K$2:$K$1001,0),0), INDEX($R$1004:$W$1004,1,MATCH(COLUMNS($R$1006:V1006),$R$1006:$W$1006,0)))),"Fix")))</f>
        <v>0</v>
      </c>
      <c r="G976" s="3">
        <f>IF(OR(INDEX($L$2:$L$1001,MATCH(ROWS($K$2:K976),$K$2:$K$1001,0),1)&gt;=100000,INDEX($R$1005:$W$1005,1,MATCH(COLUMNS($R$1006:W1006),$R$1006:$W$1006,0))&gt;=100000), " ",IF(INDEX($R$2:$W$1001,MATCH(ROWS($K$2:K976),$K$2:$K$1001,0),MATCH(COLUMNS($R$1006:W1006),$R$1006:$W$1006,0)), HYPERLINK("#",""), HYPERLINK(CONCATENATE("#Metadata!", ADDRESS(INDEX($M$2:$M$1001,MATCH(ROWS($K$2:K976),$K$2:$K$1001,0),0), INDEX($R$1004:$W$1004,1,MATCH(COLUMNS($R$1006:W1006),$R$1006:$W$1006,0)))),"Fix")))</f>
        <v>0</v>
      </c>
      <c r="K976">
        <v>0</v>
      </c>
      <c r="L976">
        <v>0</v>
      </c>
      <c r="M976">
        <v>0</v>
      </c>
      <c r="N976">
        <f>IF(O976,TRUE,AND(R976:W976))</f>
        <v>0</v>
      </c>
      <c r="O976">
        <f>COUNTBLANK(Metadata!B976:G976)=COLUMNS(Metadata!B976:G976)</f>
        <v>0</v>
      </c>
      <c r="P976">
        <v>0</v>
      </c>
      <c r="R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S976">
        <f>IF(Metadata!C976="",FALSE,TRUE)</f>
        <v>0</v>
      </c>
      <c r="T976">
        <f>IF(Metadata!D976="",FALSE,TRUE)</f>
        <v>0</v>
      </c>
      <c r="U976">
        <f>IF(Metadata!E976="",FALSE,TRUE)</f>
        <v>0</v>
      </c>
      <c r="V976">
        <f>AND(IF(Metadata!F976="",FALSE,TRUE),exact(Metadata!F976,"rat gut metagenome"))</f>
        <v>0</v>
      </c>
      <c r="W976">
        <f>AND(IF(Metadata!G976="",FALSE,TRUE),exact(Metadata!G976,"1436733"))</f>
        <v>0</v>
      </c>
    </row>
    <row r="977" spans="1:23">
      <c r="A977" s="4">
        <f>IF(B977=" "," ",HYPERLINK(CONCATENATE("#metadata!",ADDRESS(INDEX($M$2:$M$1001,MATCH(ROWS($K$2:K977),$K$2:$K$1001,0),0),1)),INDEX($P$2:$P$1001,MATCH(ROWS($K$2:K977),$K$2:$K$1001,0),0)))</f>
        <v>0</v>
      </c>
      <c r="B977" s="3">
        <f>IF(OR(INDEX($L$2:$L$1001,MATCH(ROWS($K$2:K977),$K$2:$K$1001,0),1)&gt;=100000,INDEX($R$1005:$W$1005,1,MATCH(COLUMNS($R$1006:R1006),$R$1006:$W$1006,0))&gt;=100000), " ",IF(INDEX($R$2:$W$1001,MATCH(ROWS($K$2:K977),$K$2:$K$1001,0),MATCH(COLUMNS($R$1006:R1006),$R$1006:$W$1006,0)), HYPERLINK("#",""), HYPERLINK(CONCATENATE("#Metadata!", ADDRESS(INDEX($M$2:$M$1001,MATCH(ROWS($K$2:K977),$K$2:$K$1001,0),0), INDEX($R$1004:$W$1004,1,MATCH(COLUMNS($R$1006:R1006),$R$1006:$W$1006,0)))),"Fix")))</f>
        <v>0</v>
      </c>
      <c r="C977" s="3">
        <f>IF(OR(INDEX($L$2:$L$1001,MATCH(ROWS($K$2:K977),$K$2:$K$1001,0),1)&gt;=100000,INDEX($R$1005:$W$1005,1,MATCH(COLUMNS($R$1006:S1006),$R$1006:$W$1006,0))&gt;=100000), " ",IF(INDEX($R$2:$W$1001,MATCH(ROWS($K$2:K977),$K$2:$K$1001,0),MATCH(COLUMNS($R$1006:S1006),$R$1006:$W$1006,0)), HYPERLINK("#",""), HYPERLINK(CONCATENATE("#Metadata!", ADDRESS(INDEX($M$2:$M$1001,MATCH(ROWS($K$2:K977),$K$2:$K$1001,0),0), INDEX($R$1004:$W$1004,1,MATCH(COLUMNS($R$1006:S1006),$R$1006:$W$1006,0)))),"Fix")))</f>
        <v>0</v>
      </c>
      <c r="D977" s="3">
        <f>IF(OR(INDEX($L$2:$L$1001,MATCH(ROWS($K$2:K977),$K$2:$K$1001,0),1)&gt;=100000,INDEX($R$1005:$W$1005,1,MATCH(COLUMNS($R$1006:T1006),$R$1006:$W$1006,0))&gt;=100000), " ",IF(INDEX($R$2:$W$1001,MATCH(ROWS($K$2:K977),$K$2:$K$1001,0),MATCH(COLUMNS($R$1006:T1006),$R$1006:$W$1006,0)), HYPERLINK("#",""), HYPERLINK(CONCATENATE("#Metadata!", ADDRESS(INDEX($M$2:$M$1001,MATCH(ROWS($K$2:K977),$K$2:$K$1001,0),0), INDEX($R$1004:$W$1004,1,MATCH(COLUMNS($R$1006:T1006),$R$1006:$W$1006,0)))),"Fix")))</f>
        <v>0</v>
      </c>
      <c r="E977" s="3">
        <f>IF(OR(INDEX($L$2:$L$1001,MATCH(ROWS($K$2:K977),$K$2:$K$1001,0),1)&gt;=100000,INDEX($R$1005:$W$1005,1,MATCH(COLUMNS($R$1006:U1006),$R$1006:$W$1006,0))&gt;=100000), " ",IF(INDEX($R$2:$W$1001,MATCH(ROWS($K$2:K977),$K$2:$K$1001,0),MATCH(COLUMNS($R$1006:U1006),$R$1006:$W$1006,0)), HYPERLINK("#",""), HYPERLINK(CONCATENATE("#Metadata!", ADDRESS(INDEX($M$2:$M$1001,MATCH(ROWS($K$2:K977),$K$2:$K$1001,0),0), INDEX($R$1004:$W$1004,1,MATCH(COLUMNS($R$1006:U1006),$R$1006:$W$1006,0)))),"Fix")))</f>
        <v>0</v>
      </c>
      <c r="F977" s="3">
        <f>IF(OR(INDEX($L$2:$L$1001,MATCH(ROWS($K$2:K977),$K$2:$K$1001,0),1)&gt;=100000,INDEX($R$1005:$W$1005,1,MATCH(COLUMNS($R$1006:V1006),$R$1006:$W$1006,0))&gt;=100000), " ",IF(INDEX($R$2:$W$1001,MATCH(ROWS($K$2:K977),$K$2:$K$1001,0),MATCH(COLUMNS($R$1006:V1006),$R$1006:$W$1006,0)), HYPERLINK("#",""), HYPERLINK(CONCATENATE("#Metadata!", ADDRESS(INDEX($M$2:$M$1001,MATCH(ROWS($K$2:K977),$K$2:$K$1001,0),0), INDEX($R$1004:$W$1004,1,MATCH(COLUMNS($R$1006:V1006),$R$1006:$W$1006,0)))),"Fix")))</f>
        <v>0</v>
      </c>
      <c r="G977" s="3">
        <f>IF(OR(INDEX($L$2:$L$1001,MATCH(ROWS($K$2:K977),$K$2:$K$1001,0),1)&gt;=100000,INDEX($R$1005:$W$1005,1,MATCH(COLUMNS($R$1006:W1006),$R$1006:$W$1006,0))&gt;=100000), " ",IF(INDEX($R$2:$W$1001,MATCH(ROWS($K$2:K977),$K$2:$K$1001,0),MATCH(COLUMNS($R$1006:W1006),$R$1006:$W$1006,0)), HYPERLINK("#",""), HYPERLINK(CONCATENATE("#Metadata!", ADDRESS(INDEX($M$2:$M$1001,MATCH(ROWS($K$2:K977),$K$2:$K$1001,0),0), INDEX($R$1004:$W$1004,1,MATCH(COLUMNS($R$1006:W1006),$R$1006:$W$1006,0)))),"Fix")))</f>
        <v>0</v>
      </c>
      <c r="K977">
        <v>0</v>
      </c>
      <c r="L977">
        <v>0</v>
      </c>
      <c r="M977">
        <v>0</v>
      </c>
      <c r="N977">
        <f>IF(O977,TRUE,AND(R977:W977))</f>
        <v>0</v>
      </c>
      <c r="O977">
        <f>COUNTBLANK(Metadata!B977:G977)=COLUMNS(Metadata!B977:G977)</f>
        <v>0</v>
      </c>
      <c r="P977">
        <v>0</v>
      </c>
      <c r="R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S977">
        <f>IF(Metadata!C977="",FALSE,TRUE)</f>
        <v>0</v>
      </c>
      <c r="T977">
        <f>IF(Metadata!D977="",FALSE,TRUE)</f>
        <v>0</v>
      </c>
      <c r="U977">
        <f>IF(Metadata!E977="",FALSE,TRUE)</f>
        <v>0</v>
      </c>
      <c r="V977">
        <f>AND(IF(Metadata!F977="",FALSE,TRUE),exact(Metadata!F977,"rat gut metagenome"))</f>
        <v>0</v>
      </c>
      <c r="W977">
        <f>AND(IF(Metadata!G977="",FALSE,TRUE),exact(Metadata!G977,"1436733"))</f>
        <v>0</v>
      </c>
    </row>
    <row r="978" spans="1:23">
      <c r="A978" s="4">
        <f>IF(B978=" "," ",HYPERLINK(CONCATENATE("#metadata!",ADDRESS(INDEX($M$2:$M$1001,MATCH(ROWS($K$2:K978),$K$2:$K$1001,0),0),1)),INDEX($P$2:$P$1001,MATCH(ROWS($K$2:K978),$K$2:$K$1001,0),0)))</f>
        <v>0</v>
      </c>
      <c r="B978" s="3">
        <f>IF(OR(INDEX($L$2:$L$1001,MATCH(ROWS($K$2:K978),$K$2:$K$1001,0),1)&gt;=100000,INDEX($R$1005:$W$1005,1,MATCH(COLUMNS($R$1006:R1006),$R$1006:$W$1006,0))&gt;=100000), " ",IF(INDEX($R$2:$W$1001,MATCH(ROWS($K$2:K978),$K$2:$K$1001,0),MATCH(COLUMNS($R$1006:R1006),$R$1006:$W$1006,0)), HYPERLINK("#",""), HYPERLINK(CONCATENATE("#Metadata!", ADDRESS(INDEX($M$2:$M$1001,MATCH(ROWS($K$2:K978),$K$2:$K$1001,0),0), INDEX($R$1004:$W$1004,1,MATCH(COLUMNS($R$1006:R1006),$R$1006:$W$1006,0)))),"Fix")))</f>
        <v>0</v>
      </c>
      <c r="C978" s="3">
        <f>IF(OR(INDEX($L$2:$L$1001,MATCH(ROWS($K$2:K978),$K$2:$K$1001,0),1)&gt;=100000,INDEX($R$1005:$W$1005,1,MATCH(COLUMNS($R$1006:S1006),$R$1006:$W$1006,0))&gt;=100000), " ",IF(INDEX($R$2:$W$1001,MATCH(ROWS($K$2:K978),$K$2:$K$1001,0),MATCH(COLUMNS($R$1006:S1006),$R$1006:$W$1006,0)), HYPERLINK("#",""), HYPERLINK(CONCATENATE("#Metadata!", ADDRESS(INDEX($M$2:$M$1001,MATCH(ROWS($K$2:K978),$K$2:$K$1001,0),0), INDEX($R$1004:$W$1004,1,MATCH(COLUMNS($R$1006:S1006),$R$1006:$W$1006,0)))),"Fix")))</f>
        <v>0</v>
      </c>
      <c r="D978" s="3">
        <f>IF(OR(INDEX($L$2:$L$1001,MATCH(ROWS($K$2:K978),$K$2:$K$1001,0),1)&gt;=100000,INDEX($R$1005:$W$1005,1,MATCH(COLUMNS($R$1006:T1006),$R$1006:$W$1006,0))&gt;=100000), " ",IF(INDEX($R$2:$W$1001,MATCH(ROWS($K$2:K978),$K$2:$K$1001,0),MATCH(COLUMNS($R$1006:T1006),$R$1006:$W$1006,0)), HYPERLINK("#",""), HYPERLINK(CONCATENATE("#Metadata!", ADDRESS(INDEX($M$2:$M$1001,MATCH(ROWS($K$2:K978),$K$2:$K$1001,0),0), INDEX($R$1004:$W$1004,1,MATCH(COLUMNS($R$1006:T1006),$R$1006:$W$1006,0)))),"Fix")))</f>
        <v>0</v>
      </c>
      <c r="E978" s="3">
        <f>IF(OR(INDEX($L$2:$L$1001,MATCH(ROWS($K$2:K978),$K$2:$K$1001,0),1)&gt;=100000,INDEX($R$1005:$W$1005,1,MATCH(COLUMNS($R$1006:U1006),$R$1006:$W$1006,0))&gt;=100000), " ",IF(INDEX($R$2:$W$1001,MATCH(ROWS($K$2:K978),$K$2:$K$1001,0),MATCH(COLUMNS($R$1006:U1006),$R$1006:$W$1006,0)), HYPERLINK("#",""), HYPERLINK(CONCATENATE("#Metadata!", ADDRESS(INDEX($M$2:$M$1001,MATCH(ROWS($K$2:K978),$K$2:$K$1001,0),0), INDEX($R$1004:$W$1004,1,MATCH(COLUMNS($R$1006:U1006),$R$1006:$W$1006,0)))),"Fix")))</f>
        <v>0</v>
      </c>
      <c r="F978" s="3">
        <f>IF(OR(INDEX($L$2:$L$1001,MATCH(ROWS($K$2:K978),$K$2:$K$1001,0),1)&gt;=100000,INDEX($R$1005:$W$1005,1,MATCH(COLUMNS($R$1006:V1006),$R$1006:$W$1006,0))&gt;=100000), " ",IF(INDEX($R$2:$W$1001,MATCH(ROWS($K$2:K978),$K$2:$K$1001,0),MATCH(COLUMNS($R$1006:V1006),$R$1006:$W$1006,0)), HYPERLINK("#",""), HYPERLINK(CONCATENATE("#Metadata!", ADDRESS(INDEX($M$2:$M$1001,MATCH(ROWS($K$2:K978),$K$2:$K$1001,0),0), INDEX($R$1004:$W$1004,1,MATCH(COLUMNS($R$1006:V1006),$R$1006:$W$1006,0)))),"Fix")))</f>
        <v>0</v>
      </c>
      <c r="G978" s="3">
        <f>IF(OR(INDEX($L$2:$L$1001,MATCH(ROWS($K$2:K978),$K$2:$K$1001,0),1)&gt;=100000,INDEX($R$1005:$W$1005,1,MATCH(COLUMNS($R$1006:W1006),$R$1006:$W$1006,0))&gt;=100000), " ",IF(INDEX($R$2:$W$1001,MATCH(ROWS($K$2:K978),$K$2:$K$1001,0),MATCH(COLUMNS($R$1006:W1006),$R$1006:$W$1006,0)), HYPERLINK("#",""), HYPERLINK(CONCATENATE("#Metadata!", ADDRESS(INDEX($M$2:$M$1001,MATCH(ROWS($K$2:K978),$K$2:$K$1001,0),0), INDEX($R$1004:$W$1004,1,MATCH(COLUMNS($R$1006:W1006),$R$1006:$W$1006,0)))),"Fix")))</f>
        <v>0</v>
      </c>
      <c r="K978">
        <v>0</v>
      </c>
      <c r="L978">
        <v>0</v>
      </c>
      <c r="M978">
        <v>0</v>
      </c>
      <c r="N978">
        <f>IF(O978,TRUE,AND(R978:W978))</f>
        <v>0</v>
      </c>
      <c r="O978">
        <f>COUNTBLANK(Metadata!B978:G978)=COLUMNS(Metadata!B978:G978)</f>
        <v>0</v>
      </c>
      <c r="P978">
        <v>0</v>
      </c>
      <c r="R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S978">
        <f>IF(Metadata!C978="",FALSE,TRUE)</f>
        <v>0</v>
      </c>
      <c r="T978">
        <f>IF(Metadata!D978="",FALSE,TRUE)</f>
        <v>0</v>
      </c>
      <c r="U978">
        <f>IF(Metadata!E978="",FALSE,TRUE)</f>
        <v>0</v>
      </c>
      <c r="V978">
        <f>AND(IF(Metadata!F978="",FALSE,TRUE),exact(Metadata!F978,"rat gut metagenome"))</f>
        <v>0</v>
      </c>
      <c r="W978">
        <f>AND(IF(Metadata!G978="",FALSE,TRUE),exact(Metadata!G978,"1436733"))</f>
        <v>0</v>
      </c>
    </row>
    <row r="979" spans="1:23">
      <c r="A979" s="4">
        <f>IF(B979=" "," ",HYPERLINK(CONCATENATE("#metadata!",ADDRESS(INDEX($M$2:$M$1001,MATCH(ROWS($K$2:K979),$K$2:$K$1001,0),0),1)),INDEX($P$2:$P$1001,MATCH(ROWS($K$2:K979),$K$2:$K$1001,0),0)))</f>
        <v>0</v>
      </c>
      <c r="B979" s="3">
        <f>IF(OR(INDEX($L$2:$L$1001,MATCH(ROWS($K$2:K979),$K$2:$K$1001,0),1)&gt;=100000,INDEX($R$1005:$W$1005,1,MATCH(COLUMNS($R$1006:R1006),$R$1006:$W$1006,0))&gt;=100000), " ",IF(INDEX($R$2:$W$1001,MATCH(ROWS($K$2:K979),$K$2:$K$1001,0),MATCH(COLUMNS($R$1006:R1006),$R$1006:$W$1006,0)), HYPERLINK("#",""), HYPERLINK(CONCATENATE("#Metadata!", ADDRESS(INDEX($M$2:$M$1001,MATCH(ROWS($K$2:K979),$K$2:$K$1001,0),0), INDEX($R$1004:$W$1004,1,MATCH(COLUMNS($R$1006:R1006),$R$1006:$W$1006,0)))),"Fix")))</f>
        <v>0</v>
      </c>
      <c r="C979" s="3">
        <f>IF(OR(INDEX($L$2:$L$1001,MATCH(ROWS($K$2:K979),$K$2:$K$1001,0),1)&gt;=100000,INDEX($R$1005:$W$1005,1,MATCH(COLUMNS($R$1006:S1006),$R$1006:$W$1006,0))&gt;=100000), " ",IF(INDEX($R$2:$W$1001,MATCH(ROWS($K$2:K979),$K$2:$K$1001,0),MATCH(COLUMNS($R$1006:S1006),$R$1006:$W$1006,0)), HYPERLINK("#",""), HYPERLINK(CONCATENATE("#Metadata!", ADDRESS(INDEX($M$2:$M$1001,MATCH(ROWS($K$2:K979),$K$2:$K$1001,0),0), INDEX($R$1004:$W$1004,1,MATCH(COLUMNS($R$1006:S1006),$R$1006:$W$1006,0)))),"Fix")))</f>
        <v>0</v>
      </c>
      <c r="D979" s="3">
        <f>IF(OR(INDEX($L$2:$L$1001,MATCH(ROWS($K$2:K979),$K$2:$K$1001,0),1)&gt;=100000,INDEX($R$1005:$W$1005,1,MATCH(COLUMNS($R$1006:T1006),$R$1006:$W$1006,0))&gt;=100000), " ",IF(INDEX($R$2:$W$1001,MATCH(ROWS($K$2:K979),$K$2:$K$1001,0),MATCH(COLUMNS($R$1006:T1006),$R$1006:$W$1006,0)), HYPERLINK("#",""), HYPERLINK(CONCATENATE("#Metadata!", ADDRESS(INDEX($M$2:$M$1001,MATCH(ROWS($K$2:K979),$K$2:$K$1001,0),0), INDEX($R$1004:$W$1004,1,MATCH(COLUMNS($R$1006:T1006),$R$1006:$W$1006,0)))),"Fix")))</f>
        <v>0</v>
      </c>
      <c r="E979" s="3">
        <f>IF(OR(INDEX($L$2:$L$1001,MATCH(ROWS($K$2:K979),$K$2:$K$1001,0),1)&gt;=100000,INDEX($R$1005:$W$1005,1,MATCH(COLUMNS($R$1006:U1006),$R$1006:$W$1006,0))&gt;=100000), " ",IF(INDEX($R$2:$W$1001,MATCH(ROWS($K$2:K979),$K$2:$K$1001,0),MATCH(COLUMNS($R$1006:U1006),$R$1006:$W$1006,0)), HYPERLINK("#",""), HYPERLINK(CONCATENATE("#Metadata!", ADDRESS(INDEX($M$2:$M$1001,MATCH(ROWS($K$2:K979),$K$2:$K$1001,0),0), INDEX($R$1004:$W$1004,1,MATCH(COLUMNS($R$1006:U1006),$R$1006:$W$1006,0)))),"Fix")))</f>
        <v>0</v>
      </c>
      <c r="F979" s="3">
        <f>IF(OR(INDEX($L$2:$L$1001,MATCH(ROWS($K$2:K979),$K$2:$K$1001,0),1)&gt;=100000,INDEX($R$1005:$W$1005,1,MATCH(COLUMNS($R$1006:V1006),$R$1006:$W$1006,0))&gt;=100000), " ",IF(INDEX($R$2:$W$1001,MATCH(ROWS($K$2:K979),$K$2:$K$1001,0),MATCH(COLUMNS($R$1006:V1006),$R$1006:$W$1006,0)), HYPERLINK("#",""), HYPERLINK(CONCATENATE("#Metadata!", ADDRESS(INDEX($M$2:$M$1001,MATCH(ROWS($K$2:K979),$K$2:$K$1001,0),0), INDEX($R$1004:$W$1004,1,MATCH(COLUMNS($R$1006:V1006),$R$1006:$W$1006,0)))),"Fix")))</f>
        <v>0</v>
      </c>
      <c r="G979" s="3">
        <f>IF(OR(INDEX($L$2:$L$1001,MATCH(ROWS($K$2:K979),$K$2:$K$1001,0),1)&gt;=100000,INDEX($R$1005:$W$1005,1,MATCH(COLUMNS($R$1006:W1006),$R$1006:$W$1006,0))&gt;=100000), " ",IF(INDEX($R$2:$W$1001,MATCH(ROWS($K$2:K979),$K$2:$K$1001,0),MATCH(COLUMNS($R$1006:W1006),$R$1006:$W$1006,0)), HYPERLINK("#",""), HYPERLINK(CONCATENATE("#Metadata!", ADDRESS(INDEX($M$2:$M$1001,MATCH(ROWS($K$2:K979),$K$2:$K$1001,0),0), INDEX($R$1004:$W$1004,1,MATCH(COLUMNS($R$1006:W1006),$R$1006:$W$1006,0)))),"Fix")))</f>
        <v>0</v>
      </c>
      <c r="K979">
        <v>0</v>
      </c>
      <c r="L979">
        <v>0</v>
      </c>
      <c r="M979">
        <v>0</v>
      </c>
      <c r="N979">
        <f>IF(O979,TRUE,AND(R979:W979))</f>
        <v>0</v>
      </c>
      <c r="O979">
        <f>COUNTBLANK(Metadata!B979:G979)=COLUMNS(Metadata!B979:G979)</f>
        <v>0</v>
      </c>
      <c r="P979">
        <v>0</v>
      </c>
      <c r="R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S979">
        <f>IF(Metadata!C979="",FALSE,TRUE)</f>
        <v>0</v>
      </c>
      <c r="T979">
        <f>IF(Metadata!D979="",FALSE,TRUE)</f>
        <v>0</v>
      </c>
      <c r="U979">
        <f>IF(Metadata!E979="",FALSE,TRUE)</f>
        <v>0</v>
      </c>
      <c r="V979">
        <f>AND(IF(Metadata!F979="",FALSE,TRUE),exact(Metadata!F979,"rat gut metagenome"))</f>
        <v>0</v>
      </c>
      <c r="W979">
        <f>AND(IF(Metadata!G979="",FALSE,TRUE),exact(Metadata!G979,"1436733"))</f>
        <v>0</v>
      </c>
    </row>
    <row r="980" spans="1:23">
      <c r="A980" s="4">
        <f>IF(B980=" "," ",HYPERLINK(CONCATENATE("#metadata!",ADDRESS(INDEX($M$2:$M$1001,MATCH(ROWS($K$2:K980),$K$2:$K$1001,0),0),1)),INDEX($P$2:$P$1001,MATCH(ROWS($K$2:K980),$K$2:$K$1001,0),0)))</f>
        <v>0</v>
      </c>
      <c r="B980" s="3">
        <f>IF(OR(INDEX($L$2:$L$1001,MATCH(ROWS($K$2:K980),$K$2:$K$1001,0),1)&gt;=100000,INDEX($R$1005:$W$1005,1,MATCH(COLUMNS($R$1006:R1006),$R$1006:$W$1006,0))&gt;=100000), " ",IF(INDEX($R$2:$W$1001,MATCH(ROWS($K$2:K980),$K$2:$K$1001,0),MATCH(COLUMNS($R$1006:R1006),$R$1006:$W$1006,0)), HYPERLINK("#",""), HYPERLINK(CONCATENATE("#Metadata!", ADDRESS(INDEX($M$2:$M$1001,MATCH(ROWS($K$2:K980),$K$2:$K$1001,0),0), INDEX($R$1004:$W$1004,1,MATCH(COLUMNS($R$1006:R1006),$R$1006:$W$1006,0)))),"Fix")))</f>
        <v>0</v>
      </c>
      <c r="C980" s="3">
        <f>IF(OR(INDEX($L$2:$L$1001,MATCH(ROWS($K$2:K980),$K$2:$K$1001,0),1)&gt;=100000,INDEX($R$1005:$W$1005,1,MATCH(COLUMNS($R$1006:S1006),$R$1006:$W$1006,0))&gt;=100000), " ",IF(INDEX($R$2:$W$1001,MATCH(ROWS($K$2:K980),$K$2:$K$1001,0),MATCH(COLUMNS($R$1006:S1006),$R$1006:$W$1006,0)), HYPERLINK("#",""), HYPERLINK(CONCATENATE("#Metadata!", ADDRESS(INDEX($M$2:$M$1001,MATCH(ROWS($K$2:K980),$K$2:$K$1001,0),0), INDEX($R$1004:$W$1004,1,MATCH(COLUMNS($R$1006:S1006),$R$1006:$W$1006,0)))),"Fix")))</f>
        <v>0</v>
      </c>
      <c r="D980" s="3">
        <f>IF(OR(INDEX($L$2:$L$1001,MATCH(ROWS($K$2:K980),$K$2:$K$1001,0),1)&gt;=100000,INDEX($R$1005:$W$1005,1,MATCH(COLUMNS($R$1006:T1006),$R$1006:$W$1006,0))&gt;=100000), " ",IF(INDEX($R$2:$W$1001,MATCH(ROWS($K$2:K980),$K$2:$K$1001,0),MATCH(COLUMNS($R$1006:T1006),$R$1006:$W$1006,0)), HYPERLINK("#",""), HYPERLINK(CONCATENATE("#Metadata!", ADDRESS(INDEX($M$2:$M$1001,MATCH(ROWS($K$2:K980),$K$2:$K$1001,0),0), INDEX($R$1004:$W$1004,1,MATCH(COLUMNS($R$1006:T1006),$R$1006:$W$1006,0)))),"Fix")))</f>
        <v>0</v>
      </c>
      <c r="E980" s="3">
        <f>IF(OR(INDEX($L$2:$L$1001,MATCH(ROWS($K$2:K980),$K$2:$K$1001,0),1)&gt;=100000,INDEX($R$1005:$W$1005,1,MATCH(COLUMNS($R$1006:U1006),$R$1006:$W$1006,0))&gt;=100000), " ",IF(INDEX($R$2:$W$1001,MATCH(ROWS($K$2:K980),$K$2:$K$1001,0),MATCH(COLUMNS($R$1006:U1006),$R$1006:$W$1006,0)), HYPERLINK("#",""), HYPERLINK(CONCATENATE("#Metadata!", ADDRESS(INDEX($M$2:$M$1001,MATCH(ROWS($K$2:K980),$K$2:$K$1001,0),0), INDEX($R$1004:$W$1004,1,MATCH(COLUMNS($R$1006:U1006),$R$1006:$W$1006,0)))),"Fix")))</f>
        <v>0</v>
      </c>
      <c r="F980" s="3">
        <f>IF(OR(INDEX($L$2:$L$1001,MATCH(ROWS($K$2:K980),$K$2:$K$1001,0),1)&gt;=100000,INDEX($R$1005:$W$1005,1,MATCH(COLUMNS($R$1006:V1006),$R$1006:$W$1006,0))&gt;=100000), " ",IF(INDEX($R$2:$W$1001,MATCH(ROWS($K$2:K980),$K$2:$K$1001,0),MATCH(COLUMNS($R$1006:V1006),$R$1006:$W$1006,0)), HYPERLINK("#",""), HYPERLINK(CONCATENATE("#Metadata!", ADDRESS(INDEX($M$2:$M$1001,MATCH(ROWS($K$2:K980),$K$2:$K$1001,0),0), INDEX($R$1004:$W$1004,1,MATCH(COLUMNS($R$1006:V1006),$R$1006:$W$1006,0)))),"Fix")))</f>
        <v>0</v>
      </c>
      <c r="G980" s="3">
        <f>IF(OR(INDEX($L$2:$L$1001,MATCH(ROWS($K$2:K980),$K$2:$K$1001,0),1)&gt;=100000,INDEX($R$1005:$W$1005,1,MATCH(COLUMNS($R$1006:W1006),$R$1006:$W$1006,0))&gt;=100000), " ",IF(INDEX($R$2:$W$1001,MATCH(ROWS($K$2:K980),$K$2:$K$1001,0),MATCH(COLUMNS($R$1006:W1006),$R$1006:$W$1006,0)), HYPERLINK("#",""), HYPERLINK(CONCATENATE("#Metadata!", ADDRESS(INDEX($M$2:$M$1001,MATCH(ROWS($K$2:K980),$K$2:$K$1001,0),0), INDEX($R$1004:$W$1004,1,MATCH(COLUMNS($R$1006:W1006),$R$1006:$W$1006,0)))),"Fix")))</f>
        <v>0</v>
      </c>
      <c r="K980">
        <v>0</v>
      </c>
      <c r="L980">
        <v>0</v>
      </c>
      <c r="M980">
        <v>0</v>
      </c>
      <c r="N980">
        <f>IF(O980,TRUE,AND(R980:W980))</f>
        <v>0</v>
      </c>
      <c r="O980">
        <f>COUNTBLANK(Metadata!B980:G980)=COLUMNS(Metadata!B980:G980)</f>
        <v>0</v>
      </c>
      <c r="P980">
        <v>0</v>
      </c>
      <c r="R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S980">
        <f>IF(Metadata!C980="",FALSE,TRUE)</f>
        <v>0</v>
      </c>
      <c r="T980">
        <f>IF(Metadata!D980="",FALSE,TRUE)</f>
        <v>0</v>
      </c>
      <c r="U980">
        <f>IF(Metadata!E980="",FALSE,TRUE)</f>
        <v>0</v>
      </c>
      <c r="V980">
        <f>AND(IF(Metadata!F980="",FALSE,TRUE),exact(Metadata!F980,"rat gut metagenome"))</f>
        <v>0</v>
      </c>
      <c r="W980">
        <f>AND(IF(Metadata!G980="",FALSE,TRUE),exact(Metadata!G980,"1436733"))</f>
        <v>0</v>
      </c>
    </row>
    <row r="981" spans="1:23">
      <c r="A981" s="4">
        <f>IF(B981=" "," ",HYPERLINK(CONCATENATE("#metadata!",ADDRESS(INDEX($M$2:$M$1001,MATCH(ROWS($K$2:K981),$K$2:$K$1001,0),0),1)),INDEX($P$2:$P$1001,MATCH(ROWS($K$2:K981),$K$2:$K$1001,0),0)))</f>
        <v>0</v>
      </c>
      <c r="B981" s="3">
        <f>IF(OR(INDEX($L$2:$L$1001,MATCH(ROWS($K$2:K981),$K$2:$K$1001,0),1)&gt;=100000,INDEX($R$1005:$W$1005,1,MATCH(COLUMNS($R$1006:R1006),$R$1006:$W$1006,0))&gt;=100000), " ",IF(INDEX($R$2:$W$1001,MATCH(ROWS($K$2:K981),$K$2:$K$1001,0),MATCH(COLUMNS($R$1006:R1006),$R$1006:$W$1006,0)), HYPERLINK("#",""), HYPERLINK(CONCATENATE("#Metadata!", ADDRESS(INDEX($M$2:$M$1001,MATCH(ROWS($K$2:K981),$K$2:$K$1001,0),0), INDEX($R$1004:$W$1004,1,MATCH(COLUMNS($R$1006:R1006),$R$1006:$W$1006,0)))),"Fix")))</f>
        <v>0</v>
      </c>
      <c r="C981" s="3">
        <f>IF(OR(INDEX($L$2:$L$1001,MATCH(ROWS($K$2:K981),$K$2:$K$1001,0),1)&gt;=100000,INDEX($R$1005:$W$1005,1,MATCH(COLUMNS($R$1006:S1006),$R$1006:$W$1006,0))&gt;=100000), " ",IF(INDEX($R$2:$W$1001,MATCH(ROWS($K$2:K981),$K$2:$K$1001,0),MATCH(COLUMNS($R$1006:S1006),$R$1006:$W$1006,0)), HYPERLINK("#",""), HYPERLINK(CONCATENATE("#Metadata!", ADDRESS(INDEX($M$2:$M$1001,MATCH(ROWS($K$2:K981),$K$2:$K$1001,0),0), INDEX($R$1004:$W$1004,1,MATCH(COLUMNS($R$1006:S1006),$R$1006:$W$1006,0)))),"Fix")))</f>
        <v>0</v>
      </c>
      <c r="D981" s="3">
        <f>IF(OR(INDEX($L$2:$L$1001,MATCH(ROWS($K$2:K981),$K$2:$K$1001,0),1)&gt;=100000,INDEX($R$1005:$W$1005,1,MATCH(COLUMNS($R$1006:T1006),$R$1006:$W$1006,0))&gt;=100000), " ",IF(INDEX($R$2:$W$1001,MATCH(ROWS($K$2:K981),$K$2:$K$1001,0),MATCH(COLUMNS($R$1006:T1006),$R$1006:$W$1006,0)), HYPERLINK("#",""), HYPERLINK(CONCATENATE("#Metadata!", ADDRESS(INDEX($M$2:$M$1001,MATCH(ROWS($K$2:K981),$K$2:$K$1001,0),0), INDEX($R$1004:$W$1004,1,MATCH(COLUMNS($R$1006:T1006),$R$1006:$W$1006,0)))),"Fix")))</f>
        <v>0</v>
      </c>
      <c r="E981" s="3">
        <f>IF(OR(INDEX($L$2:$L$1001,MATCH(ROWS($K$2:K981),$K$2:$K$1001,0),1)&gt;=100000,INDEX($R$1005:$W$1005,1,MATCH(COLUMNS($R$1006:U1006),$R$1006:$W$1006,0))&gt;=100000), " ",IF(INDEX($R$2:$W$1001,MATCH(ROWS($K$2:K981),$K$2:$K$1001,0),MATCH(COLUMNS($R$1006:U1006),$R$1006:$W$1006,0)), HYPERLINK("#",""), HYPERLINK(CONCATENATE("#Metadata!", ADDRESS(INDEX($M$2:$M$1001,MATCH(ROWS($K$2:K981),$K$2:$K$1001,0),0), INDEX($R$1004:$W$1004,1,MATCH(COLUMNS($R$1006:U1006),$R$1006:$W$1006,0)))),"Fix")))</f>
        <v>0</v>
      </c>
      <c r="F981" s="3">
        <f>IF(OR(INDEX($L$2:$L$1001,MATCH(ROWS($K$2:K981),$K$2:$K$1001,0),1)&gt;=100000,INDEX($R$1005:$W$1005,1,MATCH(COLUMNS($R$1006:V1006),$R$1006:$W$1006,0))&gt;=100000), " ",IF(INDEX($R$2:$W$1001,MATCH(ROWS($K$2:K981),$K$2:$K$1001,0),MATCH(COLUMNS($R$1006:V1006),$R$1006:$W$1006,0)), HYPERLINK("#",""), HYPERLINK(CONCATENATE("#Metadata!", ADDRESS(INDEX($M$2:$M$1001,MATCH(ROWS($K$2:K981),$K$2:$K$1001,0),0), INDEX($R$1004:$W$1004,1,MATCH(COLUMNS($R$1006:V1006),$R$1006:$W$1006,0)))),"Fix")))</f>
        <v>0</v>
      </c>
      <c r="G981" s="3">
        <f>IF(OR(INDEX($L$2:$L$1001,MATCH(ROWS($K$2:K981),$K$2:$K$1001,0),1)&gt;=100000,INDEX($R$1005:$W$1005,1,MATCH(COLUMNS($R$1006:W1006),$R$1006:$W$1006,0))&gt;=100000), " ",IF(INDEX($R$2:$W$1001,MATCH(ROWS($K$2:K981),$K$2:$K$1001,0),MATCH(COLUMNS($R$1006:W1006),$R$1006:$W$1006,0)), HYPERLINK("#",""), HYPERLINK(CONCATENATE("#Metadata!", ADDRESS(INDEX($M$2:$M$1001,MATCH(ROWS($K$2:K981),$K$2:$K$1001,0),0), INDEX($R$1004:$W$1004,1,MATCH(COLUMNS($R$1006:W1006),$R$1006:$W$1006,0)))),"Fix")))</f>
        <v>0</v>
      </c>
      <c r="K981">
        <v>0</v>
      </c>
      <c r="L981">
        <v>0</v>
      </c>
      <c r="M981">
        <v>0</v>
      </c>
      <c r="N981">
        <f>IF(O981,TRUE,AND(R981:W981))</f>
        <v>0</v>
      </c>
      <c r="O981">
        <f>COUNTBLANK(Metadata!B981:G981)=COLUMNS(Metadata!B981:G981)</f>
        <v>0</v>
      </c>
      <c r="P981">
        <v>0</v>
      </c>
      <c r="R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S981">
        <f>IF(Metadata!C981="",FALSE,TRUE)</f>
        <v>0</v>
      </c>
      <c r="T981">
        <f>IF(Metadata!D981="",FALSE,TRUE)</f>
        <v>0</v>
      </c>
      <c r="U981">
        <f>IF(Metadata!E981="",FALSE,TRUE)</f>
        <v>0</v>
      </c>
      <c r="V981">
        <f>AND(IF(Metadata!F981="",FALSE,TRUE),exact(Metadata!F981,"rat gut metagenome"))</f>
        <v>0</v>
      </c>
      <c r="W981">
        <f>AND(IF(Metadata!G981="",FALSE,TRUE),exact(Metadata!G981,"1436733"))</f>
        <v>0</v>
      </c>
    </row>
    <row r="982" spans="1:23">
      <c r="A982" s="4">
        <f>IF(B982=" "," ",HYPERLINK(CONCATENATE("#metadata!",ADDRESS(INDEX($M$2:$M$1001,MATCH(ROWS($K$2:K982),$K$2:$K$1001,0),0),1)),INDEX($P$2:$P$1001,MATCH(ROWS($K$2:K982),$K$2:$K$1001,0),0)))</f>
        <v>0</v>
      </c>
      <c r="B982" s="3">
        <f>IF(OR(INDEX($L$2:$L$1001,MATCH(ROWS($K$2:K982),$K$2:$K$1001,0),1)&gt;=100000,INDEX($R$1005:$W$1005,1,MATCH(COLUMNS($R$1006:R1006),$R$1006:$W$1006,0))&gt;=100000), " ",IF(INDEX($R$2:$W$1001,MATCH(ROWS($K$2:K982),$K$2:$K$1001,0),MATCH(COLUMNS($R$1006:R1006),$R$1006:$W$1006,0)), HYPERLINK("#",""), HYPERLINK(CONCATENATE("#Metadata!", ADDRESS(INDEX($M$2:$M$1001,MATCH(ROWS($K$2:K982),$K$2:$K$1001,0),0), INDEX($R$1004:$W$1004,1,MATCH(COLUMNS($R$1006:R1006),$R$1006:$W$1006,0)))),"Fix")))</f>
        <v>0</v>
      </c>
      <c r="C982" s="3">
        <f>IF(OR(INDEX($L$2:$L$1001,MATCH(ROWS($K$2:K982),$K$2:$K$1001,0),1)&gt;=100000,INDEX($R$1005:$W$1005,1,MATCH(COLUMNS($R$1006:S1006),$R$1006:$W$1006,0))&gt;=100000), " ",IF(INDEX($R$2:$W$1001,MATCH(ROWS($K$2:K982),$K$2:$K$1001,0),MATCH(COLUMNS($R$1006:S1006),$R$1006:$W$1006,0)), HYPERLINK("#",""), HYPERLINK(CONCATENATE("#Metadata!", ADDRESS(INDEX($M$2:$M$1001,MATCH(ROWS($K$2:K982),$K$2:$K$1001,0),0), INDEX($R$1004:$W$1004,1,MATCH(COLUMNS($R$1006:S1006),$R$1006:$W$1006,0)))),"Fix")))</f>
        <v>0</v>
      </c>
      <c r="D982" s="3">
        <f>IF(OR(INDEX($L$2:$L$1001,MATCH(ROWS($K$2:K982),$K$2:$K$1001,0),1)&gt;=100000,INDEX($R$1005:$W$1005,1,MATCH(COLUMNS($R$1006:T1006),$R$1006:$W$1006,0))&gt;=100000), " ",IF(INDEX($R$2:$W$1001,MATCH(ROWS($K$2:K982),$K$2:$K$1001,0),MATCH(COLUMNS($R$1006:T1006),$R$1006:$W$1006,0)), HYPERLINK("#",""), HYPERLINK(CONCATENATE("#Metadata!", ADDRESS(INDEX($M$2:$M$1001,MATCH(ROWS($K$2:K982),$K$2:$K$1001,0),0), INDEX($R$1004:$W$1004,1,MATCH(COLUMNS($R$1006:T1006),$R$1006:$W$1006,0)))),"Fix")))</f>
        <v>0</v>
      </c>
      <c r="E982" s="3">
        <f>IF(OR(INDEX($L$2:$L$1001,MATCH(ROWS($K$2:K982),$K$2:$K$1001,0),1)&gt;=100000,INDEX($R$1005:$W$1005,1,MATCH(COLUMNS($R$1006:U1006),$R$1006:$W$1006,0))&gt;=100000), " ",IF(INDEX($R$2:$W$1001,MATCH(ROWS($K$2:K982),$K$2:$K$1001,0),MATCH(COLUMNS($R$1006:U1006),$R$1006:$W$1006,0)), HYPERLINK("#",""), HYPERLINK(CONCATENATE("#Metadata!", ADDRESS(INDEX($M$2:$M$1001,MATCH(ROWS($K$2:K982),$K$2:$K$1001,0),0), INDEX($R$1004:$W$1004,1,MATCH(COLUMNS($R$1006:U1006),$R$1006:$W$1006,0)))),"Fix")))</f>
        <v>0</v>
      </c>
      <c r="F982" s="3">
        <f>IF(OR(INDEX($L$2:$L$1001,MATCH(ROWS($K$2:K982),$K$2:$K$1001,0),1)&gt;=100000,INDEX($R$1005:$W$1005,1,MATCH(COLUMNS($R$1006:V1006),$R$1006:$W$1006,0))&gt;=100000), " ",IF(INDEX($R$2:$W$1001,MATCH(ROWS($K$2:K982),$K$2:$K$1001,0),MATCH(COLUMNS($R$1006:V1006),$R$1006:$W$1006,0)), HYPERLINK("#",""), HYPERLINK(CONCATENATE("#Metadata!", ADDRESS(INDEX($M$2:$M$1001,MATCH(ROWS($K$2:K982),$K$2:$K$1001,0),0), INDEX($R$1004:$W$1004,1,MATCH(COLUMNS($R$1006:V1006),$R$1006:$W$1006,0)))),"Fix")))</f>
        <v>0</v>
      </c>
      <c r="G982" s="3">
        <f>IF(OR(INDEX($L$2:$L$1001,MATCH(ROWS($K$2:K982),$K$2:$K$1001,0),1)&gt;=100000,INDEX($R$1005:$W$1005,1,MATCH(COLUMNS($R$1006:W1006),$R$1006:$W$1006,0))&gt;=100000), " ",IF(INDEX($R$2:$W$1001,MATCH(ROWS($K$2:K982),$K$2:$K$1001,0),MATCH(COLUMNS($R$1006:W1006),$R$1006:$W$1006,0)), HYPERLINK("#",""), HYPERLINK(CONCATENATE("#Metadata!", ADDRESS(INDEX($M$2:$M$1001,MATCH(ROWS($K$2:K982),$K$2:$K$1001,0),0), INDEX($R$1004:$W$1004,1,MATCH(COLUMNS($R$1006:W1006),$R$1006:$W$1006,0)))),"Fix")))</f>
        <v>0</v>
      </c>
      <c r="K982">
        <v>0</v>
      </c>
      <c r="L982">
        <v>0</v>
      </c>
      <c r="M982">
        <v>0</v>
      </c>
      <c r="N982">
        <f>IF(O982,TRUE,AND(R982:W982))</f>
        <v>0</v>
      </c>
      <c r="O982">
        <f>COUNTBLANK(Metadata!B982:G982)=COLUMNS(Metadata!B982:G982)</f>
        <v>0</v>
      </c>
      <c r="P982">
        <v>0</v>
      </c>
      <c r="R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S982">
        <f>IF(Metadata!C982="",FALSE,TRUE)</f>
        <v>0</v>
      </c>
      <c r="T982">
        <f>IF(Metadata!D982="",FALSE,TRUE)</f>
        <v>0</v>
      </c>
      <c r="U982">
        <f>IF(Metadata!E982="",FALSE,TRUE)</f>
        <v>0</v>
      </c>
      <c r="V982">
        <f>AND(IF(Metadata!F982="",FALSE,TRUE),exact(Metadata!F982,"rat gut metagenome"))</f>
        <v>0</v>
      </c>
      <c r="W982">
        <f>AND(IF(Metadata!G982="",FALSE,TRUE),exact(Metadata!G982,"1436733"))</f>
        <v>0</v>
      </c>
    </row>
    <row r="983" spans="1:23">
      <c r="A983" s="4">
        <f>IF(B983=" "," ",HYPERLINK(CONCATENATE("#metadata!",ADDRESS(INDEX($M$2:$M$1001,MATCH(ROWS($K$2:K983),$K$2:$K$1001,0),0),1)),INDEX($P$2:$P$1001,MATCH(ROWS($K$2:K983),$K$2:$K$1001,0),0)))</f>
        <v>0</v>
      </c>
      <c r="B983" s="3">
        <f>IF(OR(INDEX($L$2:$L$1001,MATCH(ROWS($K$2:K983),$K$2:$K$1001,0),1)&gt;=100000,INDEX($R$1005:$W$1005,1,MATCH(COLUMNS($R$1006:R1006),$R$1006:$W$1006,0))&gt;=100000), " ",IF(INDEX($R$2:$W$1001,MATCH(ROWS($K$2:K983),$K$2:$K$1001,0),MATCH(COLUMNS($R$1006:R1006),$R$1006:$W$1006,0)), HYPERLINK("#",""), HYPERLINK(CONCATENATE("#Metadata!", ADDRESS(INDEX($M$2:$M$1001,MATCH(ROWS($K$2:K983),$K$2:$K$1001,0),0), INDEX($R$1004:$W$1004,1,MATCH(COLUMNS($R$1006:R1006),$R$1006:$W$1006,0)))),"Fix")))</f>
        <v>0</v>
      </c>
      <c r="C983" s="3">
        <f>IF(OR(INDEX($L$2:$L$1001,MATCH(ROWS($K$2:K983),$K$2:$K$1001,0),1)&gt;=100000,INDEX($R$1005:$W$1005,1,MATCH(COLUMNS($R$1006:S1006),$R$1006:$W$1006,0))&gt;=100000), " ",IF(INDEX($R$2:$W$1001,MATCH(ROWS($K$2:K983),$K$2:$K$1001,0),MATCH(COLUMNS($R$1006:S1006),$R$1006:$W$1006,0)), HYPERLINK("#",""), HYPERLINK(CONCATENATE("#Metadata!", ADDRESS(INDEX($M$2:$M$1001,MATCH(ROWS($K$2:K983),$K$2:$K$1001,0),0), INDEX($R$1004:$W$1004,1,MATCH(COLUMNS($R$1006:S1006),$R$1006:$W$1006,0)))),"Fix")))</f>
        <v>0</v>
      </c>
      <c r="D983" s="3">
        <f>IF(OR(INDEX($L$2:$L$1001,MATCH(ROWS($K$2:K983),$K$2:$K$1001,0),1)&gt;=100000,INDEX($R$1005:$W$1005,1,MATCH(COLUMNS($R$1006:T1006),$R$1006:$W$1006,0))&gt;=100000), " ",IF(INDEX($R$2:$W$1001,MATCH(ROWS($K$2:K983),$K$2:$K$1001,0),MATCH(COLUMNS($R$1006:T1006),$R$1006:$W$1006,0)), HYPERLINK("#",""), HYPERLINK(CONCATENATE("#Metadata!", ADDRESS(INDEX($M$2:$M$1001,MATCH(ROWS($K$2:K983),$K$2:$K$1001,0),0), INDEX($R$1004:$W$1004,1,MATCH(COLUMNS($R$1006:T1006),$R$1006:$W$1006,0)))),"Fix")))</f>
        <v>0</v>
      </c>
      <c r="E983" s="3">
        <f>IF(OR(INDEX($L$2:$L$1001,MATCH(ROWS($K$2:K983),$K$2:$K$1001,0),1)&gt;=100000,INDEX($R$1005:$W$1005,1,MATCH(COLUMNS($R$1006:U1006),$R$1006:$W$1006,0))&gt;=100000), " ",IF(INDEX($R$2:$W$1001,MATCH(ROWS($K$2:K983),$K$2:$K$1001,0),MATCH(COLUMNS($R$1006:U1006),$R$1006:$W$1006,0)), HYPERLINK("#",""), HYPERLINK(CONCATENATE("#Metadata!", ADDRESS(INDEX($M$2:$M$1001,MATCH(ROWS($K$2:K983),$K$2:$K$1001,0),0), INDEX($R$1004:$W$1004,1,MATCH(COLUMNS($R$1006:U1006),$R$1006:$W$1006,0)))),"Fix")))</f>
        <v>0</v>
      </c>
      <c r="F983" s="3">
        <f>IF(OR(INDEX($L$2:$L$1001,MATCH(ROWS($K$2:K983),$K$2:$K$1001,0),1)&gt;=100000,INDEX($R$1005:$W$1005,1,MATCH(COLUMNS($R$1006:V1006),$R$1006:$W$1006,0))&gt;=100000), " ",IF(INDEX($R$2:$W$1001,MATCH(ROWS($K$2:K983),$K$2:$K$1001,0),MATCH(COLUMNS($R$1006:V1006),$R$1006:$W$1006,0)), HYPERLINK("#",""), HYPERLINK(CONCATENATE("#Metadata!", ADDRESS(INDEX($M$2:$M$1001,MATCH(ROWS($K$2:K983),$K$2:$K$1001,0),0), INDEX($R$1004:$W$1004,1,MATCH(COLUMNS($R$1006:V1006),$R$1006:$W$1006,0)))),"Fix")))</f>
        <v>0</v>
      </c>
      <c r="G983" s="3">
        <f>IF(OR(INDEX($L$2:$L$1001,MATCH(ROWS($K$2:K983),$K$2:$K$1001,0),1)&gt;=100000,INDEX($R$1005:$W$1005,1,MATCH(COLUMNS($R$1006:W1006),$R$1006:$W$1006,0))&gt;=100000), " ",IF(INDEX($R$2:$W$1001,MATCH(ROWS($K$2:K983),$K$2:$K$1001,0),MATCH(COLUMNS($R$1006:W1006),$R$1006:$W$1006,0)), HYPERLINK("#",""), HYPERLINK(CONCATENATE("#Metadata!", ADDRESS(INDEX($M$2:$M$1001,MATCH(ROWS($K$2:K983),$K$2:$K$1001,0),0), INDEX($R$1004:$W$1004,1,MATCH(COLUMNS($R$1006:W1006),$R$1006:$W$1006,0)))),"Fix")))</f>
        <v>0</v>
      </c>
      <c r="K983">
        <v>0</v>
      </c>
      <c r="L983">
        <v>0</v>
      </c>
      <c r="M983">
        <v>0</v>
      </c>
      <c r="N983">
        <f>IF(O983,TRUE,AND(R983:W983))</f>
        <v>0</v>
      </c>
      <c r="O983">
        <f>COUNTBLANK(Metadata!B983:G983)=COLUMNS(Metadata!B983:G983)</f>
        <v>0</v>
      </c>
      <c r="P983">
        <v>0</v>
      </c>
      <c r="R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S983">
        <f>IF(Metadata!C983="",FALSE,TRUE)</f>
        <v>0</v>
      </c>
      <c r="T983">
        <f>IF(Metadata!D983="",FALSE,TRUE)</f>
        <v>0</v>
      </c>
      <c r="U983">
        <f>IF(Metadata!E983="",FALSE,TRUE)</f>
        <v>0</v>
      </c>
      <c r="V983">
        <f>AND(IF(Metadata!F983="",FALSE,TRUE),exact(Metadata!F983,"rat gut metagenome"))</f>
        <v>0</v>
      </c>
      <c r="W983">
        <f>AND(IF(Metadata!G983="",FALSE,TRUE),exact(Metadata!G983,"1436733"))</f>
        <v>0</v>
      </c>
    </row>
    <row r="984" spans="1:23">
      <c r="A984" s="4">
        <f>IF(B984=" "," ",HYPERLINK(CONCATENATE("#metadata!",ADDRESS(INDEX($M$2:$M$1001,MATCH(ROWS($K$2:K984),$K$2:$K$1001,0),0),1)),INDEX($P$2:$P$1001,MATCH(ROWS($K$2:K984),$K$2:$K$1001,0),0)))</f>
        <v>0</v>
      </c>
      <c r="B984" s="3">
        <f>IF(OR(INDEX($L$2:$L$1001,MATCH(ROWS($K$2:K984),$K$2:$K$1001,0),1)&gt;=100000,INDEX($R$1005:$W$1005,1,MATCH(COLUMNS($R$1006:R1006),$R$1006:$W$1006,0))&gt;=100000), " ",IF(INDEX($R$2:$W$1001,MATCH(ROWS($K$2:K984),$K$2:$K$1001,0),MATCH(COLUMNS($R$1006:R1006),$R$1006:$W$1006,0)), HYPERLINK("#",""), HYPERLINK(CONCATENATE("#Metadata!", ADDRESS(INDEX($M$2:$M$1001,MATCH(ROWS($K$2:K984),$K$2:$K$1001,0),0), INDEX($R$1004:$W$1004,1,MATCH(COLUMNS($R$1006:R1006),$R$1006:$W$1006,0)))),"Fix")))</f>
        <v>0</v>
      </c>
      <c r="C984" s="3">
        <f>IF(OR(INDEX($L$2:$L$1001,MATCH(ROWS($K$2:K984),$K$2:$K$1001,0),1)&gt;=100000,INDEX($R$1005:$W$1005,1,MATCH(COLUMNS($R$1006:S1006),$R$1006:$W$1006,0))&gt;=100000), " ",IF(INDEX($R$2:$W$1001,MATCH(ROWS($K$2:K984),$K$2:$K$1001,0),MATCH(COLUMNS($R$1006:S1006),$R$1006:$W$1006,0)), HYPERLINK("#",""), HYPERLINK(CONCATENATE("#Metadata!", ADDRESS(INDEX($M$2:$M$1001,MATCH(ROWS($K$2:K984),$K$2:$K$1001,0),0), INDEX($R$1004:$W$1004,1,MATCH(COLUMNS($R$1006:S1006),$R$1006:$W$1006,0)))),"Fix")))</f>
        <v>0</v>
      </c>
      <c r="D984" s="3">
        <f>IF(OR(INDEX($L$2:$L$1001,MATCH(ROWS($K$2:K984),$K$2:$K$1001,0),1)&gt;=100000,INDEX($R$1005:$W$1005,1,MATCH(COLUMNS($R$1006:T1006),$R$1006:$W$1006,0))&gt;=100000), " ",IF(INDEX($R$2:$W$1001,MATCH(ROWS($K$2:K984),$K$2:$K$1001,0),MATCH(COLUMNS($R$1006:T1006),$R$1006:$W$1006,0)), HYPERLINK("#",""), HYPERLINK(CONCATENATE("#Metadata!", ADDRESS(INDEX($M$2:$M$1001,MATCH(ROWS($K$2:K984),$K$2:$K$1001,0),0), INDEX($R$1004:$W$1004,1,MATCH(COLUMNS($R$1006:T1006),$R$1006:$W$1006,0)))),"Fix")))</f>
        <v>0</v>
      </c>
      <c r="E984" s="3">
        <f>IF(OR(INDEX($L$2:$L$1001,MATCH(ROWS($K$2:K984),$K$2:$K$1001,0),1)&gt;=100000,INDEX($R$1005:$W$1005,1,MATCH(COLUMNS($R$1006:U1006),$R$1006:$W$1006,0))&gt;=100000), " ",IF(INDEX($R$2:$W$1001,MATCH(ROWS($K$2:K984),$K$2:$K$1001,0),MATCH(COLUMNS($R$1006:U1006),$R$1006:$W$1006,0)), HYPERLINK("#",""), HYPERLINK(CONCATENATE("#Metadata!", ADDRESS(INDEX($M$2:$M$1001,MATCH(ROWS($K$2:K984),$K$2:$K$1001,0),0), INDEX($R$1004:$W$1004,1,MATCH(COLUMNS($R$1006:U1006),$R$1006:$W$1006,0)))),"Fix")))</f>
        <v>0</v>
      </c>
      <c r="F984" s="3">
        <f>IF(OR(INDEX($L$2:$L$1001,MATCH(ROWS($K$2:K984),$K$2:$K$1001,0),1)&gt;=100000,INDEX($R$1005:$W$1005,1,MATCH(COLUMNS($R$1006:V1006),$R$1006:$W$1006,0))&gt;=100000), " ",IF(INDEX($R$2:$W$1001,MATCH(ROWS($K$2:K984),$K$2:$K$1001,0),MATCH(COLUMNS($R$1006:V1006),$R$1006:$W$1006,0)), HYPERLINK("#",""), HYPERLINK(CONCATENATE("#Metadata!", ADDRESS(INDEX($M$2:$M$1001,MATCH(ROWS($K$2:K984),$K$2:$K$1001,0),0), INDEX($R$1004:$W$1004,1,MATCH(COLUMNS($R$1006:V1006),$R$1006:$W$1006,0)))),"Fix")))</f>
        <v>0</v>
      </c>
      <c r="G984" s="3">
        <f>IF(OR(INDEX($L$2:$L$1001,MATCH(ROWS($K$2:K984),$K$2:$K$1001,0),1)&gt;=100000,INDEX($R$1005:$W$1005,1,MATCH(COLUMNS($R$1006:W1006),$R$1006:$W$1006,0))&gt;=100000), " ",IF(INDEX($R$2:$W$1001,MATCH(ROWS($K$2:K984),$K$2:$K$1001,0),MATCH(COLUMNS($R$1006:W1006),$R$1006:$W$1006,0)), HYPERLINK("#",""), HYPERLINK(CONCATENATE("#Metadata!", ADDRESS(INDEX($M$2:$M$1001,MATCH(ROWS($K$2:K984),$K$2:$K$1001,0),0), INDEX($R$1004:$W$1004,1,MATCH(COLUMNS($R$1006:W1006),$R$1006:$W$1006,0)))),"Fix")))</f>
        <v>0</v>
      </c>
      <c r="K984">
        <v>0</v>
      </c>
      <c r="L984">
        <v>0</v>
      </c>
      <c r="M984">
        <v>0</v>
      </c>
      <c r="N984">
        <f>IF(O984,TRUE,AND(R984:W984))</f>
        <v>0</v>
      </c>
      <c r="O984">
        <f>COUNTBLANK(Metadata!B984:G984)=COLUMNS(Metadata!B984:G984)</f>
        <v>0</v>
      </c>
      <c r="P984">
        <v>0</v>
      </c>
      <c r="R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S984">
        <f>IF(Metadata!C984="",FALSE,TRUE)</f>
        <v>0</v>
      </c>
      <c r="T984">
        <f>IF(Metadata!D984="",FALSE,TRUE)</f>
        <v>0</v>
      </c>
      <c r="U984">
        <f>IF(Metadata!E984="",FALSE,TRUE)</f>
        <v>0</v>
      </c>
      <c r="V984">
        <f>AND(IF(Metadata!F984="",FALSE,TRUE),exact(Metadata!F984,"rat gut metagenome"))</f>
        <v>0</v>
      </c>
      <c r="W984">
        <f>AND(IF(Metadata!G984="",FALSE,TRUE),exact(Metadata!G984,"1436733"))</f>
        <v>0</v>
      </c>
    </row>
    <row r="985" spans="1:23">
      <c r="A985" s="4">
        <f>IF(B985=" "," ",HYPERLINK(CONCATENATE("#metadata!",ADDRESS(INDEX($M$2:$M$1001,MATCH(ROWS($K$2:K985),$K$2:$K$1001,0),0),1)),INDEX($P$2:$P$1001,MATCH(ROWS($K$2:K985),$K$2:$K$1001,0),0)))</f>
        <v>0</v>
      </c>
      <c r="B985" s="3">
        <f>IF(OR(INDEX($L$2:$L$1001,MATCH(ROWS($K$2:K985),$K$2:$K$1001,0),1)&gt;=100000,INDEX($R$1005:$W$1005,1,MATCH(COLUMNS($R$1006:R1006),$R$1006:$W$1006,0))&gt;=100000), " ",IF(INDEX($R$2:$W$1001,MATCH(ROWS($K$2:K985),$K$2:$K$1001,0),MATCH(COLUMNS($R$1006:R1006),$R$1006:$W$1006,0)), HYPERLINK("#",""), HYPERLINK(CONCATENATE("#Metadata!", ADDRESS(INDEX($M$2:$M$1001,MATCH(ROWS($K$2:K985),$K$2:$K$1001,0),0), INDEX($R$1004:$W$1004,1,MATCH(COLUMNS($R$1006:R1006),$R$1006:$W$1006,0)))),"Fix")))</f>
        <v>0</v>
      </c>
      <c r="C985" s="3">
        <f>IF(OR(INDEX($L$2:$L$1001,MATCH(ROWS($K$2:K985),$K$2:$K$1001,0),1)&gt;=100000,INDEX($R$1005:$W$1005,1,MATCH(COLUMNS($R$1006:S1006),$R$1006:$W$1006,0))&gt;=100000), " ",IF(INDEX($R$2:$W$1001,MATCH(ROWS($K$2:K985),$K$2:$K$1001,0),MATCH(COLUMNS($R$1006:S1006),$R$1006:$W$1006,0)), HYPERLINK("#",""), HYPERLINK(CONCATENATE("#Metadata!", ADDRESS(INDEX($M$2:$M$1001,MATCH(ROWS($K$2:K985),$K$2:$K$1001,0),0), INDEX($R$1004:$W$1004,1,MATCH(COLUMNS($R$1006:S1006),$R$1006:$W$1006,0)))),"Fix")))</f>
        <v>0</v>
      </c>
      <c r="D985" s="3">
        <f>IF(OR(INDEX($L$2:$L$1001,MATCH(ROWS($K$2:K985),$K$2:$K$1001,0),1)&gt;=100000,INDEX($R$1005:$W$1005,1,MATCH(COLUMNS($R$1006:T1006),$R$1006:$W$1006,0))&gt;=100000), " ",IF(INDEX($R$2:$W$1001,MATCH(ROWS($K$2:K985),$K$2:$K$1001,0),MATCH(COLUMNS($R$1006:T1006),$R$1006:$W$1006,0)), HYPERLINK("#",""), HYPERLINK(CONCATENATE("#Metadata!", ADDRESS(INDEX($M$2:$M$1001,MATCH(ROWS($K$2:K985),$K$2:$K$1001,0),0), INDEX($R$1004:$W$1004,1,MATCH(COLUMNS($R$1006:T1006),$R$1006:$W$1006,0)))),"Fix")))</f>
        <v>0</v>
      </c>
      <c r="E985" s="3">
        <f>IF(OR(INDEX($L$2:$L$1001,MATCH(ROWS($K$2:K985),$K$2:$K$1001,0),1)&gt;=100000,INDEX($R$1005:$W$1005,1,MATCH(COLUMNS($R$1006:U1006),$R$1006:$W$1006,0))&gt;=100000), " ",IF(INDEX($R$2:$W$1001,MATCH(ROWS($K$2:K985),$K$2:$K$1001,0),MATCH(COLUMNS($R$1006:U1006),$R$1006:$W$1006,0)), HYPERLINK("#",""), HYPERLINK(CONCATENATE("#Metadata!", ADDRESS(INDEX($M$2:$M$1001,MATCH(ROWS($K$2:K985),$K$2:$K$1001,0),0), INDEX($R$1004:$W$1004,1,MATCH(COLUMNS($R$1006:U1006),$R$1006:$W$1006,0)))),"Fix")))</f>
        <v>0</v>
      </c>
      <c r="F985" s="3">
        <f>IF(OR(INDEX($L$2:$L$1001,MATCH(ROWS($K$2:K985),$K$2:$K$1001,0),1)&gt;=100000,INDEX($R$1005:$W$1005,1,MATCH(COLUMNS($R$1006:V1006),$R$1006:$W$1006,0))&gt;=100000), " ",IF(INDEX($R$2:$W$1001,MATCH(ROWS($K$2:K985),$K$2:$K$1001,0),MATCH(COLUMNS($R$1006:V1006),$R$1006:$W$1006,0)), HYPERLINK("#",""), HYPERLINK(CONCATENATE("#Metadata!", ADDRESS(INDEX($M$2:$M$1001,MATCH(ROWS($K$2:K985),$K$2:$K$1001,0),0), INDEX($R$1004:$W$1004,1,MATCH(COLUMNS($R$1006:V1006),$R$1006:$W$1006,0)))),"Fix")))</f>
        <v>0</v>
      </c>
      <c r="G985" s="3">
        <f>IF(OR(INDEX($L$2:$L$1001,MATCH(ROWS($K$2:K985),$K$2:$K$1001,0),1)&gt;=100000,INDEX($R$1005:$W$1005,1,MATCH(COLUMNS($R$1006:W1006),$R$1006:$W$1006,0))&gt;=100000), " ",IF(INDEX($R$2:$W$1001,MATCH(ROWS($K$2:K985),$K$2:$K$1001,0),MATCH(COLUMNS($R$1006:W1006),$R$1006:$W$1006,0)), HYPERLINK("#",""), HYPERLINK(CONCATENATE("#Metadata!", ADDRESS(INDEX($M$2:$M$1001,MATCH(ROWS($K$2:K985),$K$2:$K$1001,0),0), INDEX($R$1004:$W$1004,1,MATCH(COLUMNS($R$1006:W1006),$R$1006:$W$1006,0)))),"Fix")))</f>
        <v>0</v>
      </c>
      <c r="K985">
        <v>0</v>
      </c>
      <c r="L985">
        <v>0</v>
      </c>
      <c r="M985">
        <v>0</v>
      </c>
      <c r="N985">
        <f>IF(O985,TRUE,AND(R985:W985))</f>
        <v>0</v>
      </c>
      <c r="O985">
        <f>COUNTBLANK(Metadata!B985:G985)=COLUMNS(Metadata!B985:G985)</f>
        <v>0</v>
      </c>
      <c r="P985">
        <v>0</v>
      </c>
      <c r="R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S985">
        <f>IF(Metadata!C985="",FALSE,TRUE)</f>
        <v>0</v>
      </c>
      <c r="T985">
        <f>IF(Metadata!D985="",FALSE,TRUE)</f>
        <v>0</v>
      </c>
      <c r="U985">
        <f>IF(Metadata!E985="",FALSE,TRUE)</f>
        <v>0</v>
      </c>
      <c r="V985">
        <f>AND(IF(Metadata!F985="",FALSE,TRUE),exact(Metadata!F985,"rat gut metagenome"))</f>
        <v>0</v>
      </c>
      <c r="W985">
        <f>AND(IF(Metadata!G985="",FALSE,TRUE),exact(Metadata!G985,"1436733"))</f>
        <v>0</v>
      </c>
    </row>
    <row r="986" spans="1:23">
      <c r="A986" s="4">
        <f>IF(B986=" "," ",HYPERLINK(CONCATENATE("#metadata!",ADDRESS(INDEX($M$2:$M$1001,MATCH(ROWS($K$2:K986),$K$2:$K$1001,0),0),1)),INDEX($P$2:$P$1001,MATCH(ROWS($K$2:K986),$K$2:$K$1001,0),0)))</f>
        <v>0</v>
      </c>
      <c r="B986" s="3">
        <f>IF(OR(INDEX($L$2:$L$1001,MATCH(ROWS($K$2:K986),$K$2:$K$1001,0),1)&gt;=100000,INDEX($R$1005:$W$1005,1,MATCH(COLUMNS($R$1006:R1006),$R$1006:$W$1006,0))&gt;=100000), " ",IF(INDEX($R$2:$W$1001,MATCH(ROWS($K$2:K986),$K$2:$K$1001,0),MATCH(COLUMNS($R$1006:R1006),$R$1006:$W$1006,0)), HYPERLINK("#",""), HYPERLINK(CONCATENATE("#Metadata!", ADDRESS(INDEX($M$2:$M$1001,MATCH(ROWS($K$2:K986),$K$2:$K$1001,0),0), INDEX($R$1004:$W$1004,1,MATCH(COLUMNS($R$1006:R1006),$R$1006:$W$1006,0)))),"Fix")))</f>
        <v>0</v>
      </c>
      <c r="C986" s="3">
        <f>IF(OR(INDEX($L$2:$L$1001,MATCH(ROWS($K$2:K986),$K$2:$K$1001,0),1)&gt;=100000,INDEX($R$1005:$W$1005,1,MATCH(COLUMNS($R$1006:S1006),$R$1006:$W$1006,0))&gt;=100000), " ",IF(INDEX($R$2:$W$1001,MATCH(ROWS($K$2:K986),$K$2:$K$1001,0),MATCH(COLUMNS($R$1006:S1006),$R$1006:$W$1006,0)), HYPERLINK("#",""), HYPERLINK(CONCATENATE("#Metadata!", ADDRESS(INDEX($M$2:$M$1001,MATCH(ROWS($K$2:K986),$K$2:$K$1001,0),0), INDEX($R$1004:$W$1004,1,MATCH(COLUMNS($R$1006:S1006),$R$1006:$W$1006,0)))),"Fix")))</f>
        <v>0</v>
      </c>
      <c r="D986" s="3">
        <f>IF(OR(INDEX($L$2:$L$1001,MATCH(ROWS($K$2:K986),$K$2:$K$1001,0),1)&gt;=100000,INDEX($R$1005:$W$1005,1,MATCH(COLUMNS($R$1006:T1006),$R$1006:$W$1006,0))&gt;=100000), " ",IF(INDEX($R$2:$W$1001,MATCH(ROWS($K$2:K986),$K$2:$K$1001,0),MATCH(COLUMNS($R$1006:T1006),$R$1006:$W$1006,0)), HYPERLINK("#",""), HYPERLINK(CONCATENATE("#Metadata!", ADDRESS(INDEX($M$2:$M$1001,MATCH(ROWS($K$2:K986),$K$2:$K$1001,0),0), INDEX($R$1004:$W$1004,1,MATCH(COLUMNS($R$1006:T1006),$R$1006:$W$1006,0)))),"Fix")))</f>
        <v>0</v>
      </c>
      <c r="E986" s="3">
        <f>IF(OR(INDEX($L$2:$L$1001,MATCH(ROWS($K$2:K986),$K$2:$K$1001,0),1)&gt;=100000,INDEX($R$1005:$W$1005,1,MATCH(COLUMNS($R$1006:U1006),$R$1006:$W$1006,0))&gt;=100000), " ",IF(INDEX($R$2:$W$1001,MATCH(ROWS($K$2:K986),$K$2:$K$1001,0),MATCH(COLUMNS($R$1006:U1006),$R$1006:$W$1006,0)), HYPERLINK("#",""), HYPERLINK(CONCATENATE("#Metadata!", ADDRESS(INDEX($M$2:$M$1001,MATCH(ROWS($K$2:K986),$K$2:$K$1001,0),0), INDEX($R$1004:$W$1004,1,MATCH(COLUMNS($R$1006:U1006),$R$1006:$W$1006,0)))),"Fix")))</f>
        <v>0</v>
      </c>
      <c r="F986" s="3">
        <f>IF(OR(INDEX($L$2:$L$1001,MATCH(ROWS($K$2:K986),$K$2:$K$1001,0),1)&gt;=100000,INDEX($R$1005:$W$1005,1,MATCH(COLUMNS($R$1006:V1006),$R$1006:$W$1006,0))&gt;=100000), " ",IF(INDEX($R$2:$W$1001,MATCH(ROWS($K$2:K986),$K$2:$K$1001,0),MATCH(COLUMNS($R$1006:V1006),$R$1006:$W$1006,0)), HYPERLINK("#",""), HYPERLINK(CONCATENATE("#Metadata!", ADDRESS(INDEX($M$2:$M$1001,MATCH(ROWS($K$2:K986),$K$2:$K$1001,0),0), INDEX($R$1004:$W$1004,1,MATCH(COLUMNS($R$1006:V1006),$R$1006:$W$1006,0)))),"Fix")))</f>
        <v>0</v>
      </c>
      <c r="G986" s="3">
        <f>IF(OR(INDEX($L$2:$L$1001,MATCH(ROWS($K$2:K986),$K$2:$K$1001,0),1)&gt;=100000,INDEX($R$1005:$W$1005,1,MATCH(COLUMNS($R$1006:W1006),$R$1006:$W$1006,0))&gt;=100000), " ",IF(INDEX($R$2:$W$1001,MATCH(ROWS($K$2:K986),$K$2:$K$1001,0),MATCH(COLUMNS($R$1006:W1006),$R$1006:$W$1006,0)), HYPERLINK("#",""), HYPERLINK(CONCATENATE("#Metadata!", ADDRESS(INDEX($M$2:$M$1001,MATCH(ROWS($K$2:K986),$K$2:$K$1001,0),0), INDEX($R$1004:$W$1004,1,MATCH(COLUMNS($R$1006:W1006),$R$1006:$W$1006,0)))),"Fix")))</f>
        <v>0</v>
      </c>
      <c r="K986">
        <v>0</v>
      </c>
      <c r="L986">
        <v>0</v>
      </c>
      <c r="M986">
        <v>0</v>
      </c>
      <c r="N986">
        <f>IF(O986,TRUE,AND(R986:W986))</f>
        <v>0</v>
      </c>
      <c r="O986">
        <f>COUNTBLANK(Metadata!B986:G986)=COLUMNS(Metadata!B986:G986)</f>
        <v>0</v>
      </c>
      <c r="P986">
        <v>0</v>
      </c>
      <c r="R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S986">
        <f>IF(Metadata!C986="",FALSE,TRUE)</f>
        <v>0</v>
      </c>
      <c r="T986">
        <f>IF(Metadata!D986="",FALSE,TRUE)</f>
        <v>0</v>
      </c>
      <c r="U986">
        <f>IF(Metadata!E986="",FALSE,TRUE)</f>
        <v>0</v>
      </c>
      <c r="V986">
        <f>AND(IF(Metadata!F986="",FALSE,TRUE),exact(Metadata!F986,"rat gut metagenome"))</f>
        <v>0</v>
      </c>
      <c r="W986">
        <f>AND(IF(Metadata!G986="",FALSE,TRUE),exact(Metadata!G986,"1436733"))</f>
        <v>0</v>
      </c>
    </row>
    <row r="987" spans="1:23">
      <c r="A987" s="4">
        <f>IF(B987=" "," ",HYPERLINK(CONCATENATE("#metadata!",ADDRESS(INDEX($M$2:$M$1001,MATCH(ROWS($K$2:K987),$K$2:$K$1001,0),0),1)),INDEX($P$2:$P$1001,MATCH(ROWS($K$2:K987),$K$2:$K$1001,0),0)))</f>
        <v>0</v>
      </c>
      <c r="B987" s="3">
        <f>IF(OR(INDEX($L$2:$L$1001,MATCH(ROWS($K$2:K987),$K$2:$K$1001,0),1)&gt;=100000,INDEX($R$1005:$W$1005,1,MATCH(COLUMNS($R$1006:R1006),$R$1006:$W$1006,0))&gt;=100000), " ",IF(INDEX($R$2:$W$1001,MATCH(ROWS($K$2:K987),$K$2:$K$1001,0),MATCH(COLUMNS($R$1006:R1006),$R$1006:$W$1006,0)), HYPERLINK("#",""), HYPERLINK(CONCATENATE("#Metadata!", ADDRESS(INDEX($M$2:$M$1001,MATCH(ROWS($K$2:K987),$K$2:$K$1001,0),0), INDEX($R$1004:$W$1004,1,MATCH(COLUMNS($R$1006:R1006),$R$1006:$W$1006,0)))),"Fix")))</f>
        <v>0</v>
      </c>
      <c r="C987" s="3">
        <f>IF(OR(INDEX($L$2:$L$1001,MATCH(ROWS($K$2:K987),$K$2:$K$1001,0),1)&gt;=100000,INDEX($R$1005:$W$1005,1,MATCH(COLUMNS($R$1006:S1006),$R$1006:$W$1006,0))&gt;=100000), " ",IF(INDEX($R$2:$W$1001,MATCH(ROWS($K$2:K987),$K$2:$K$1001,0),MATCH(COLUMNS($R$1006:S1006),$R$1006:$W$1006,0)), HYPERLINK("#",""), HYPERLINK(CONCATENATE("#Metadata!", ADDRESS(INDEX($M$2:$M$1001,MATCH(ROWS($K$2:K987),$K$2:$K$1001,0),0), INDEX($R$1004:$W$1004,1,MATCH(COLUMNS($R$1006:S1006),$R$1006:$W$1006,0)))),"Fix")))</f>
        <v>0</v>
      </c>
      <c r="D987" s="3">
        <f>IF(OR(INDEX($L$2:$L$1001,MATCH(ROWS($K$2:K987),$K$2:$K$1001,0),1)&gt;=100000,INDEX($R$1005:$W$1005,1,MATCH(COLUMNS($R$1006:T1006),$R$1006:$W$1006,0))&gt;=100000), " ",IF(INDEX($R$2:$W$1001,MATCH(ROWS($K$2:K987),$K$2:$K$1001,0),MATCH(COLUMNS($R$1006:T1006),$R$1006:$W$1006,0)), HYPERLINK("#",""), HYPERLINK(CONCATENATE("#Metadata!", ADDRESS(INDEX($M$2:$M$1001,MATCH(ROWS($K$2:K987),$K$2:$K$1001,0),0), INDEX($R$1004:$W$1004,1,MATCH(COLUMNS($R$1006:T1006),$R$1006:$W$1006,0)))),"Fix")))</f>
        <v>0</v>
      </c>
      <c r="E987" s="3">
        <f>IF(OR(INDEX($L$2:$L$1001,MATCH(ROWS($K$2:K987),$K$2:$K$1001,0),1)&gt;=100000,INDEX($R$1005:$W$1005,1,MATCH(COLUMNS($R$1006:U1006),$R$1006:$W$1006,0))&gt;=100000), " ",IF(INDEX($R$2:$W$1001,MATCH(ROWS($K$2:K987),$K$2:$K$1001,0),MATCH(COLUMNS($R$1006:U1006),$R$1006:$W$1006,0)), HYPERLINK("#",""), HYPERLINK(CONCATENATE("#Metadata!", ADDRESS(INDEX($M$2:$M$1001,MATCH(ROWS($K$2:K987),$K$2:$K$1001,0),0), INDEX($R$1004:$W$1004,1,MATCH(COLUMNS($R$1006:U1006),$R$1006:$W$1006,0)))),"Fix")))</f>
        <v>0</v>
      </c>
      <c r="F987" s="3">
        <f>IF(OR(INDEX($L$2:$L$1001,MATCH(ROWS($K$2:K987),$K$2:$K$1001,0),1)&gt;=100000,INDEX($R$1005:$W$1005,1,MATCH(COLUMNS($R$1006:V1006),$R$1006:$W$1006,0))&gt;=100000), " ",IF(INDEX($R$2:$W$1001,MATCH(ROWS($K$2:K987),$K$2:$K$1001,0),MATCH(COLUMNS($R$1006:V1006),$R$1006:$W$1006,0)), HYPERLINK("#",""), HYPERLINK(CONCATENATE("#Metadata!", ADDRESS(INDEX($M$2:$M$1001,MATCH(ROWS($K$2:K987),$K$2:$K$1001,0),0), INDEX($R$1004:$W$1004,1,MATCH(COLUMNS($R$1006:V1006),$R$1006:$W$1006,0)))),"Fix")))</f>
        <v>0</v>
      </c>
      <c r="G987" s="3">
        <f>IF(OR(INDEX($L$2:$L$1001,MATCH(ROWS($K$2:K987),$K$2:$K$1001,0),1)&gt;=100000,INDEX($R$1005:$W$1005,1,MATCH(COLUMNS($R$1006:W1006),$R$1006:$W$1006,0))&gt;=100000), " ",IF(INDEX($R$2:$W$1001,MATCH(ROWS($K$2:K987),$K$2:$K$1001,0),MATCH(COLUMNS($R$1006:W1006),$R$1006:$W$1006,0)), HYPERLINK("#",""), HYPERLINK(CONCATENATE("#Metadata!", ADDRESS(INDEX($M$2:$M$1001,MATCH(ROWS($K$2:K987),$K$2:$K$1001,0),0), INDEX($R$1004:$W$1004,1,MATCH(COLUMNS($R$1006:W1006),$R$1006:$W$1006,0)))),"Fix")))</f>
        <v>0</v>
      </c>
      <c r="K987">
        <v>0</v>
      </c>
      <c r="L987">
        <v>0</v>
      </c>
      <c r="M987">
        <v>0</v>
      </c>
      <c r="N987">
        <f>IF(O987,TRUE,AND(R987:W987))</f>
        <v>0</v>
      </c>
      <c r="O987">
        <f>COUNTBLANK(Metadata!B987:G987)=COLUMNS(Metadata!B987:G987)</f>
        <v>0</v>
      </c>
      <c r="P987">
        <v>0</v>
      </c>
      <c r="R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S987">
        <f>IF(Metadata!C987="",FALSE,TRUE)</f>
        <v>0</v>
      </c>
      <c r="T987">
        <f>IF(Metadata!D987="",FALSE,TRUE)</f>
        <v>0</v>
      </c>
      <c r="U987">
        <f>IF(Metadata!E987="",FALSE,TRUE)</f>
        <v>0</v>
      </c>
      <c r="V987">
        <f>AND(IF(Metadata!F987="",FALSE,TRUE),exact(Metadata!F987,"rat gut metagenome"))</f>
        <v>0</v>
      </c>
      <c r="W987">
        <f>AND(IF(Metadata!G987="",FALSE,TRUE),exact(Metadata!G987,"1436733"))</f>
        <v>0</v>
      </c>
    </row>
    <row r="988" spans="1:23">
      <c r="A988" s="4">
        <f>IF(B988=" "," ",HYPERLINK(CONCATENATE("#metadata!",ADDRESS(INDEX($M$2:$M$1001,MATCH(ROWS($K$2:K988),$K$2:$K$1001,0),0),1)),INDEX($P$2:$P$1001,MATCH(ROWS($K$2:K988),$K$2:$K$1001,0),0)))</f>
        <v>0</v>
      </c>
      <c r="B988" s="3">
        <f>IF(OR(INDEX($L$2:$L$1001,MATCH(ROWS($K$2:K988),$K$2:$K$1001,0),1)&gt;=100000,INDEX($R$1005:$W$1005,1,MATCH(COLUMNS($R$1006:R1006),$R$1006:$W$1006,0))&gt;=100000), " ",IF(INDEX($R$2:$W$1001,MATCH(ROWS($K$2:K988),$K$2:$K$1001,0),MATCH(COLUMNS($R$1006:R1006),$R$1006:$W$1006,0)), HYPERLINK("#",""), HYPERLINK(CONCATENATE("#Metadata!", ADDRESS(INDEX($M$2:$M$1001,MATCH(ROWS($K$2:K988),$K$2:$K$1001,0),0), INDEX($R$1004:$W$1004,1,MATCH(COLUMNS($R$1006:R1006),$R$1006:$W$1006,0)))),"Fix")))</f>
        <v>0</v>
      </c>
      <c r="C988" s="3">
        <f>IF(OR(INDEX($L$2:$L$1001,MATCH(ROWS($K$2:K988),$K$2:$K$1001,0),1)&gt;=100000,INDEX($R$1005:$W$1005,1,MATCH(COLUMNS($R$1006:S1006),$R$1006:$W$1006,0))&gt;=100000), " ",IF(INDEX($R$2:$W$1001,MATCH(ROWS($K$2:K988),$K$2:$K$1001,0),MATCH(COLUMNS($R$1006:S1006),$R$1006:$W$1006,0)), HYPERLINK("#",""), HYPERLINK(CONCATENATE("#Metadata!", ADDRESS(INDEX($M$2:$M$1001,MATCH(ROWS($K$2:K988),$K$2:$K$1001,0),0), INDEX($R$1004:$W$1004,1,MATCH(COLUMNS($R$1006:S1006),$R$1006:$W$1006,0)))),"Fix")))</f>
        <v>0</v>
      </c>
      <c r="D988" s="3">
        <f>IF(OR(INDEX($L$2:$L$1001,MATCH(ROWS($K$2:K988),$K$2:$K$1001,0),1)&gt;=100000,INDEX($R$1005:$W$1005,1,MATCH(COLUMNS($R$1006:T1006),$R$1006:$W$1006,0))&gt;=100000), " ",IF(INDEX($R$2:$W$1001,MATCH(ROWS($K$2:K988),$K$2:$K$1001,0),MATCH(COLUMNS($R$1006:T1006),$R$1006:$W$1006,0)), HYPERLINK("#",""), HYPERLINK(CONCATENATE("#Metadata!", ADDRESS(INDEX($M$2:$M$1001,MATCH(ROWS($K$2:K988),$K$2:$K$1001,0),0), INDEX($R$1004:$W$1004,1,MATCH(COLUMNS($R$1006:T1006),$R$1006:$W$1006,0)))),"Fix")))</f>
        <v>0</v>
      </c>
      <c r="E988" s="3">
        <f>IF(OR(INDEX($L$2:$L$1001,MATCH(ROWS($K$2:K988),$K$2:$K$1001,0),1)&gt;=100000,INDEX($R$1005:$W$1005,1,MATCH(COLUMNS($R$1006:U1006),$R$1006:$W$1006,0))&gt;=100000), " ",IF(INDEX($R$2:$W$1001,MATCH(ROWS($K$2:K988),$K$2:$K$1001,0),MATCH(COLUMNS($R$1006:U1006),$R$1006:$W$1006,0)), HYPERLINK("#",""), HYPERLINK(CONCATENATE("#Metadata!", ADDRESS(INDEX($M$2:$M$1001,MATCH(ROWS($K$2:K988),$K$2:$K$1001,0),0), INDEX($R$1004:$W$1004,1,MATCH(COLUMNS($R$1006:U1006),$R$1006:$W$1006,0)))),"Fix")))</f>
        <v>0</v>
      </c>
      <c r="F988" s="3">
        <f>IF(OR(INDEX($L$2:$L$1001,MATCH(ROWS($K$2:K988),$K$2:$K$1001,0),1)&gt;=100000,INDEX($R$1005:$W$1005,1,MATCH(COLUMNS($R$1006:V1006),$R$1006:$W$1006,0))&gt;=100000), " ",IF(INDEX($R$2:$W$1001,MATCH(ROWS($K$2:K988),$K$2:$K$1001,0),MATCH(COLUMNS($R$1006:V1006),$R$1006:$W$1006,0)), HYPERLINK("#",""), HYPERLINK(CONCATENATE("#Metadata!", ADDRESS(INDEX($M$2:$M$1001,MATCH(ROWS($K$2:K988),$K$2:$K$1001,0),0), INDEX($R$1004:$W$1004,1,MATCH(COLUMNS($R$1006:V1006),$R$1006:$W$1006,0)))),"Fix")))</f>
        <v>0</v>
      </c>
      <c r="G988" s="3">
        <f>IF(OR(INDEX($L$2:$L$1001,MATCH(ROWS($K$2:K988),$K$2:$K$1001,0),1)&gt;=100000,INDEX($R$1005:$W$1005,1,MATCH(COLUMNS($R$1006:W1006),$R$1006:$W$1006,0))&gt;=100000), " ",IF(INDEX($R$2:$W$1001,MATCH(ROWS($K$2:K988),$K$2:$K$1001,0),MATCH(COLUMNS($R$1006:W1006),$R$1006:$W$1006,0)), HYPERLINK("#",""), HYPERLINK(CONCATENATE("#Metadata!", ADDRESS(INDEX($M$2:$M$1001,MATCH(ROWS($K$2:K988),$K$2:$K$1001,0),0), INDEX($R$1004:$W$1004,1,MATCH(COLUMNS($R$1006:W1006),$R$1006:$W$1006,0)))),"Fix")))</f>
        <v>0</v>
      </c>
      <c r="K988">
        <v>0</v>
      </c>
      <c r="L988">
        <v>0</v>
      </c>
      <c r="M988">
        <v>0</v>
      </c>
      <c r="N988">
        <f>IF(O988,TRUE,AND(R988:W988))</f>
        <v>0</v>
      </c>
      <c r="O988">
        <f>COUNTBLANK(Metadata!B988:G988)=COLUMNS(Metadata!B988:G988)</f>
        <v>0</v>
      </c>
      <c r="P988">
        <v>0</v>
      </c>
      <c r="R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S988">
        <f>IF(Metadata!C988="",FALSE,TRUE)</f>
        <v>0</v>
      </c>
      <c r="T988">
        <f>IF(Metadata!D988="",FALSE,TRUE)</f>
        <v>0</v>
      </c>
      <c r="U988">
        <f>IF(Metadata!E988="",FALSE,TRUE)</f>
        <v>0</v>
      </c>
      <c r="V988">
        <f>AND(IF(Metadata!F988="",FALSE,TRUE),exact(Metadata!F988,"rat gut metagenome"))</f>
        <v>0</v>
      </c>
      <c r="W988">
        <f>AND(IF(Metadata!G988="",FALSE,TRUE),exact(Metadata!G988,"1436733"))</f>
        <v>0</v>
      </c>
    </row>
    <row r="989" spans="1:23">
      <c r="A989" s="4">
        <f>IF(B989=" "," ",HYPERLINK(CONCATENATE("#metadata!",ADDRESS(INDEX($M$2:$M$1001,MATCH(ROWS($K$2:K989),$K$2:$K$1001,0),0),1)),INDEX($P$2:$P$1001,MATCH(ROWS($K$2:K989),$K$2:$K$1001,0),0)))</f>
        <v>0</v>
      </c>
      <c r="B989" s="3">
        <f>IF(OR(INDEX($L$2:$L$1001,MATCH(ROWS($K$2:K989),$K$2:$K$1001,0),1)&gt;=100000,INDEX($R$1005:$W$1005,1,MATCH(COLUMNS($R$1006:R1006),$R$1006:$W$1006,0))&gt;=100000), " ",IF(INDEX($R$2:$W$1001,MATCH(ROWS($K$2:K989),$K$2:$K$1001,0),MATCH(COLUMNS($R$1006:R1006),$R$1006:$W$1006,0)), HYPERLINK("#",""), HYPERLINK(CONCATENATE("#Metadata!", ADDRESS(INDEX($M$2:$M$1001,MATCH(ROWS($K$2:K989),$K$2:$K$1001,0),0), INDEX($R$1004:$W$1004,1,MATCH(COLUMNS($R$1006:R1006),$R$1006:$W$1006,0)))),"Fix")))</f>
        <v>0</v>
      </c>
      <c r="C989" s="3">
        <f>IF(OR(INDEX($L$2:$L$1001,MATCH(ROWS($K$2:K989),$K$2:$K$1001,0),1)&gt;=100000,INDEX($R$1005:$W$1005,1,MATCH(COLUMNS($R$1006:S1006),$R$1006:$W$1006,0))&gt;=100000), " ",IF(INDEX($R$2:$W$1001,MATCH(ROWS($K$2:K989),$K$2:$K$1001,0),MATCH(COLUMNS($R$1006:S1006),$R$1006:$W$1006,0)), HYPERLINK("#",""), HYPERLINK(CONCATENATE("#Metadata!", ADDRESS(INDEX($M$2:$M$1001,MATCH(ROWS($K$2:K989),$K$2:$K$1001,0),0), INDEX($R$1004:$W$1004,1,MATCH(COLUMNS($R$1006:S1006),$R$1006:$W$1006,0)))),"Fix")))</f>
        <v>0</v>
      </c>
      <c r="D989" s="3">
        <f>IF(OR(INDEX($L$2:$L$1001,MATCH(ROWS($K$2:K989),$K$2:$K$1001,0),1)&gt;=100000,INDEX($R$1005:$W$1005,1,MATCH(COLUMNS($R$1006:T1006),$R$1006:$W$1006,0))&gt;=100000), " ",IF(INDEX($R$2:$W$1001,MATCH(ROWS($K$2:K989),$K$2:$K$1001,0),MATCH(COLUMNS($R$1006:T1006),$R$1006:$W$1006,0)), HYPERLINK("#",""), HYPERLINK(CONCATENATE("#Metadata!", ADDRESS(INDEX($M$2:$M$1001,MATCH(ROWS($K$2:K989),$K$2:$K$1001,0),0), INDEX($R$1004:$W$1004,1,MATCH(COLUMNS($R$1006:T1006),$R$1006:$W$1006,0)))),"Fix")))</f>
        <v>0</v>
      </c>
      <c r="E989" s="3">
        <f>IF(OR(INDEX($L$2:$L$1001,MATCH(ROWS($K$2:K989),$K$2:$K$1001,0),1)&gt;=100000,INDEX($R$1005:$W$1005,1,MATCH(COLUMNS($R$1006:U1006),$R$1006:$W$1006,0))&gt;=100000), " ",IF(INDEX($R$2:$W$1001,MATCH(ROWS($K$2:K989),$K$2:$K$1001,0),MATCH(COLUMNS($R$1006:U1006),$R$1006:$W$1006,0)), HYPERLINK("#",""), HYPERLINK(CONCATENATE("#Metadata!", ADDRESS(INDEX($M$2:$M$1001,MATCH(ROWS($K$2:K989),$K$2:$K$1001,0),0), INDEX($R$1004:$W$1004,1,MATCH(COLUMNS($R$1006:U1006),$R$1006:$W$1006,0)))),"Fix")))</f>
        <v>0</v>
      </c>
      <c r="F989" s="3">
        <f>IF(OR(INDEX($L$2:$L$1001,MATCH(ROWS($K$2:K989),$K$2:$K$1001,0),1)&gt;=100000,INDEX($R$1005:$W$1005,1,MATCH(COLUMNS($R$1006:V1006),$R$1006:$W$1006,0))&gt;=100000), " ",IF(INDEX($R$2:$W$1001,MATCH(ROWS($K$2:K989),$K$2:$K$1001,0),MATCH(COLUMNS($R$1006:V1006),$R$1006:$W$1006,0)), HYPERLINK("#",""), HYPERLINK(CONCATENATE("#Metadata!", ADDRESS(INDEX($M$2:$M$1001,MATCH(ROWS($K$2:K989),$K$2:$K$1001,0),0), INDEX($R$1004:$W$1004,1,MATCH(COLUMNS($R$1006:V1006),$R$1006:$W$1006,0)))),"Fix")))</f>
        <v>0</v>
      </c>
      <c r="G989" s="3">
        <f>IF(OR(INDEX($L$2:$L$1001,MATCH(ROWS($K$2:K989),$K$2:$K$1001,0),1)&gt;=100000,INDEX($R$1005:$W$1005,1,MATCH(COLUMNS($R$1006:W1006),$R$1006:$W$1006,0))&gt;=100000), " ",IF(INDEX($R$2:$W$1001,MATCH(ROWS($K$2:K989),$K$2:$K$1001,0),MATCH(COLUMNS($R$1006:W1006),$R$1006:$W$1006,0)), HYPERLINK("#",""), HYPERLINK(CONCATENATE("#Metadata!", ADDRESS(INDEX($M$2:$M$1001,MATCH(ROWS($K$2:K989),$K$2:$K$1001,0),0), INDEX($R$1004:$W$1004,1,MATCH(COLUMNS($R$1006:W1006),$R$1006:$W$1006,0)))),"Fix")))</f>
        <v>0</v>
      </c>
      <c r="K989">
        <v>0</v>
      </c>
      <c r="L989">
        <v>0</v>
      </c>
      <c r="M989">
        <v>0</v>
      </c>
      <c r="N989">
        <f>IF(O989,TRUE,AND(R989:W989))</f>
        <v>0</v>
      </c>
      <c r="O989">
        <f>COUNTBLANK(Metadata!B989:G989)=COLUMNS(Metadata!B989:G989)</f>
        <v>0</v>
      </c>
      <c r="P989">
        <v>0</v>
      </c>
      <c r="R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S989">
        <f>IF(Metadata!C989="",FALSE,TRUE)</f>
        <v>0</v>
      </c>
      <c r="T989">
        <f>IF(Metadata!D989="",FALSE,TRUE)</f>
        <v>0</v>
      </c>
      <c r="U989">
        <f>IF(Metadata!E989="",FALSE,TRUE)</f>
        <v>0</v>
      </c>
      <c r="V989">
        <f>AND(IF(Metadata!F989="",FALSE,TRUE),exact(Metadata!F989,"rat gut metagenome"))</f>
        <v>0</v>
      </c>
      <c r="W989">
        <f>AND(IF(Metadata!G989="",FALSE,TRUE),exact(Metadata!G989,"1436733"))</f>
        <v>0</v>
      </c>
    </row>
    <row r="990" spans="1:23">
      <c r="A990" s="4">
        <f>IF(B990=" "," ",HYPERLINK(CONCATENATE("#metadata!",ADDRESS(INDEX($M$2:$M$1001,MATCH(ROWS($K$2:K990),$K$2:$K$1001,0),0),1)),INDEX($P$2:$P$1001,MATCH(ROWS($K$2:K990),$K$2:$K$1001,0),0)))</f>
        <v>0</v>
      </c>
      <c r="B990" s="3">
        <f>IF(OR(INDEX($L$2:$L$1001,MATCH(ROWS($K$2:K990),$K$2:$K$1001,0),1)&gt;=100000,INDEX($R$1005:$W$1005,1,MATCH(COLUMNS($R$1006:R1006),$R$1006:$W$1006,0))&gt;=100000), " ",IF(INDEX($R$2:$W$1001,MATCH(ROWS($K$2:K990),$K$2:$K$1001,0),MATCH(COLUMNS($R$1006:R1006),$R$1006:$W$1006,0)), HYPERLINK("#",""), HYPERLINK(CONCATENATE("#Metadata!", ADDRESS(INDEX($M$2:$M$1001,MATCH(ROWS($K$2:K990),$K$2:$K$1001,0),0), INDEX($R$1004:$W$1004,1,MATCH(COLUMNS($R$1006:R1006),$R$1006:$W$1006,0)))),"Fix")))</f>
        <v>0</v>
      </c>
      <c r="C990" s="3">
        <f>IF(OR(INDEX($L$2:$L$1001,MATCH(ROWS($K$2:K990),$K$2:$K$1001,0),1)&gt;=100000,INDEX($R$1005:$W$1005,1,MATCH(COLUMNS($R$1006:S1006),$R$1006:$W$1006,0))&gt;=100000), " ",IF(INDEX($R$2:$W$1001,MATCH(ROWS($K$2:K990),$K$2:$K$1001,0),MATCH(COLUMNS($R$1006:S1006),$R$1006:$W$1006,0)), HYPERLINK("#",""), HYPERLINK(CONCATENATE("#Metadata!", ADDRESS(INDEX($M$2:$M$1001,MATCH(ROWS($K$2:K990),$K$2:$K$1001,0),0), INDEX($R$1004:$W$1004,1,MATCH(COLUMNS($R$1006:S1006),$R$1006:$W$1006,0)))),"Fix")))</f>
        <v>0</v>
      </c>
      <c r="D990" s="3">
        <f>IF(OR(INDEX($L$2:$L$1001,MATCH(ROWS($K$2:K990),$K$2:$K$1001,0),1)&gt;=100000,INDEX($R$1005:$W$1005,1,MATCH(COLUMNS($R$1006:T1006),$R$1006:$W$1006,0))&gt;=100000), " ",IF(INDEX($R$2:$W$1001,MATCH(ROWS($K$2:K990),$K$2:$K$1001,0),MATCH(COLUMNS($R$1006:T1006),$R$1006:$W$1006,0)), HYPERLINK("#",""), HYPERLINK(CONCATENATE("#Metadata!", ADDRESS(INDEX($M$2:$M$1001,MATCH(ROWS($K$2:K990),$K$2:$K$1001,0),0), INDEX($R$1004:$W$1004,1,MATCH(COLUMNS($R$1006:T1006),$R$1006:$W$1006,0)))),"Fix")))</f>
        <v>0</v>
      </c>
      <c r="E990" s="3">
        <f>IF(OR(INDEX($L$2:$L$1001,MATCH(ROWS($K$2:K990),$K$2:$K$1001,0),1)&gt;=100000,INDEX($R$1005:$W$1005,1,MATCH(COLUMNS($R$1006:U1006),$R$1006:$W$1006,0))&gt;=100000), " ",IF(INDEX($R$2:$W$1001,MATCH(ROWS($K$2:K990),$K$2:$K$1001,0),MATCH(COLUMNS($R$1006:U1006),$R$1006:$W$1006,0)), HYPERLINK("#",""), HYPERLINK(CONCATENATE("#Metadata!", ADDRESS(INDEX($M$2:$M$1001,MATCH(ROWS($K$2:K990),$K$2:$K$1001,0),0), INDEX($R$1004:$W$1004,1,MATCH(COLUMNS($R$1006:U1006),$R$1006:$W$1006,0)))),"Fix")))</f>
        <v>0</v>
      </c>
      <c r="F990" s="3">
        <f>IF(OR(INDEX($L$2:$L$1001,MATCH(ROWS($K$2:K990),$K$2:$K$1001,0),1)&gt;=100000,INDEX($R$1005:$W$1005,1,MATCH(COLUMNS($R$1006:V1006),$R$1006:$W$1006,0))&gt;=100000), " ",IF(INDEX($R$2:$W$1001,MATCH(ROWS($K$2:K990),$K$2:$K$1001,0),MATCH(COLUMNS($R$1006:V1006),$R$1006:$W$1006,0)), HYPERLINK("#",""), HYPERLINK(CONCATENATE("#Metadata!", ADDRESS(INDEX($M$2:$M$1001,MATCH(ROWS($K$2:K990),$K$2:$K$1001,0),0), INDEX($R$1004:$W$1004,1,MATCH(COLUMNS($R$1006:V1006),$R$1006:$W$1006,0)))),"Fix")))</f>
        <v>0</v>
      </c>
      <c r="G990" s="3">
        <f>IF(OR(INDEX($L$2:$L$1001,MATCH(ROWS($K$2:K990),$K$2:$K$1001,0),1)&gt;=100000,INDEX($R$1005:$W$1005,1,MATCH(COLUMNS($R$1006:W1006),$R$1006:$W$1006,0))&gt;=100000), " ",IF(INDEX($R$2:$W$1001,MATCH(ROWS($K$2:K990),$K$2:$K$1001,0),MATCH(COLUMNS($R$1006:W1006),$R$1006:$W$1006,0)), HYPERLINK("#",""), HYPERLINK(CONCATENATE("#Metadata!", ADDRESS(INDEX($M$2:$M$1001,MATCH(ROWS($K$2:K990),$K$2:$K$1001,0),0), INDEX($R$1004:$W$1004,1,MATCH(COLUMNS($R$1006:W1006),$R$1006:$W$1006,0)))),"Fix")))</f>
        <v>0</v>
      </c>
      <c r="K990">
        <v>0</v>
      </c>
      <c r="L990">
        <v>0</v>
      </c>
      <c r="M990">
        <v>0</v>
      </c>
      <c r="N990">
        <f>IF(O990,TRUE,AND(R990:W990))</f>
        <v>0</v>
      </c>
      <c r="O990">
        <f>COUNTBLANK(Metadata!B990:G990)=COLUMNS(Metadata!B990:G990)</f>
        <v>0</v>
      </c>
      <c r="P990">
        <v>0</v>
      </c>
      <c r="R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S990">
        <f>IF(Metadata!C990="",FALSE,TRUE)</f>
        <v>0</v>
      </c>
      <c r="T990">
        <f>IF(Metadata!D990="",FALSE,TRUE)</f>
        <v>0</v>
      </c>
      <c r="U990">
        <f>IF(Metadata!E990="",FALSE,TRUE)</f>
        <v>0</v>
      </c>
      <c r="V990">
        <f>AND(IF(Metadata!F990="",FALSE,TRUE),exact(Metadata!F990,"rat gut metagenome"))</f>
        <v>0</v>
      </c>
      <c r="W990">
        <f>AND(IF(Metadata!G990="",FALSE,TRUE),exact(Metadata!G990,"1436733"))</f>
        <v>0</v>
      </c>
    </row>
    <row r="991" spans="1:23">
      <c r="A991" s="4">
        <f>IF(B991=" "," ",HYPERLINK(CONCATENATE("#metadata!",ADDRESS(INDEX($M$2:$M$1001,MATCH(ROWS($K$2:K991),$K$2:$K$1001,0),0),1)),INDEX($P$2:$P$1001,MATCH(ROWS($K$2:K991),$K$2:$K$1001,0),0)))</f>
        <v>0</v>
      </c>
      <c r="B991" s="3">
        <f>IF(OR(INDEX($L$2:$L$1001,MATCH(ROWS($K$2:K991),$K$2:$K$1001,0),1)&gt;=100000,INDEX($R$1005:$W$1005,1,MATCH(COLUMNS($R$1006:R1006),$R$1006:$W$1006,0))&gt;=100000), " ",IF(INDEX($R$2:$W$1001,MATCH(ROWS($K$2:K991),$K$2:$K$1001,0),MATCH(COLUMNS($R$1006:R1006),$R$1006:$W$1006,0)), HYPERLINK("#",""), HYPERLINK(CONCATENATE("#Metadata!", ADDRESS(INDEX($M$2:$M$1001,MATCH(ROWS($K$2:K991),$K$2:$K$1001,0),0), INDEX($R$1004:$W$1004,1,MATCH(COLUMNS($R$1006:R1006),$R$1006:$W$1006,0)))),"Fix")))</f>
        <v>0</v>
      </c>
      <c r="C991" s="3">
        <f>IF(OR(INDEX($L$2:$L$1001,MATCH(ROWS($K$2:K991),$K$2:$K$1001,0),1)&gt;=100000,INDEX($R$1005:$W$1005,1,MATCH(COLUMNS($R$1006:S1006),$R$1006:$W$1006,0))&gt;=100000), " ",IF(INDEX($R$2:$W$1001,MATCH(ROWS($K$2:K991),$K$2:$K$1001,0),MATCH(COLUMNS($R$1006:S1006),$R$1006:$W$1006,0)), HYPERLINK("#",""), HYPERLINK(CONCATENATE("#Metadata!", ADDRESS(INDEX($M$2:$M$1001,MATCH(ROWS($K$2:K991),$K$2:$K$1001,0),0), INDEX($R$1004:$W$1004,1,MATCH(COLUMNS($R$1006:S1006),$R$1006:$W$1006,0)))),"Fix")))</f>
        <v>0</v>
      </c>
      <c r="D991" s="3">
        <f>IF(OR(INDEX($L$2:$L$1001,MATCH(ROWS($K$2:K991),$K$2:$K$1001,0),1)&gt;=100000,INDEX($R$1005:$W$1005,1,MATCH(COLUMNS($R$1006:T1006),$R$1006:$W$1006,0))&gt;=100000), " ",IF(INDEX($R$2:$W$1001,MATCH(ROWS($K$2:K991),$K$2:$K$1001,0),MATCH(COLUMNS($R$1006:T1006),$R$1006:$W$1006,0)), HYPERLINK("#",""), HYPERLINK(CONCATENATE("#Metadata!", ADDRESS(INDEX($M$2:$M$1001,MATCH(ROWS($K$2:K991),$K$2:$K$1001,0),0), INDEX($R$1004:$W$1004,1,MATCH(COLUMNS($R$1006:T1006),$R$1006:$W$1006,0)))),"Fix")))</f>
        <v>0</v>
      </c>
      <c r="E991" s="3">
        <f>IF(OR(INDEX($L$2:$L$1001,MATCH(ROWS($K$2:K991),$K$2:$K$1001,0),1)&gt;=100000,INDEX($R$1005:$W$1005,1,MATCH(COLUMNS($R$1006:U1006),$R$1006:$W$1006,0))&gt;=100000), " ",IF(INDEX($R$2:$W$1001,MATCH(ROWS($K$2:K991),$K$2:$K$1001,0),MATCH(COLUMNS($R$1006:U1006),$R$1006:$W$1006,0)), HYPERLINK("#",""), HYPERLINK(CONCATENATE("#Metadata!", ADDRESS(INDEX($M$2:$M$1001,MATCH(ROWS($K$2:K991),$K$2:$K$1001,0),0), INDEX($R$1004:$W$1004,1,MATCH(COLUMNS($R$1006:U1006),$R$1006:$W$1006,0)))),"Fix")))</f>
        <v>0</v>
      </c>
      <c r="F991" s="3">
        <f>IF(OR(INDEX($L$2:$L$1001,MATCH(ROWS($K$2:K991),$K$2:$K$1001,0),1)&gt;=100000,INDEX($R$1005:$W$1005,1,MATCH(COLUMNS($R$1006:V1006),$R$1006:$W$1006,0))&gt;=100000), " ",IF(INDEX($R$2:$W$1001,MATCH(ROWS($K$2:K991),$K$2:$K$1001,0),MATCH(COLUMNS($R$1006:V1006),$R$1006:$W$1006,0)), HYPERLINK("#",""), HYPERLINK(CONCATENATE("#Metadata!", ADDRESS(INDEX($M$2:$M$1001,MATCH(ROWS($K$2:K991),$K$2:$K$1001,0),0), INDEX($R$1004:$W$1004,1,MATCH(COLUMNS($R$1006:V1006),$R$1006:$W$1006,0)))),"Fix")))</f>
        <v>0</v>
      </c>
      <c r="G991" s="3">
        <f>IF(OR(INDEX($L$2:$L$1001,MATCH(ROWS($K$2:K991),$K$2:$K$1001,0),1)&gt;=100000,INDEX($R$1005:$W$1005,1,MATCH(COLUMNS($R$1006:W1006),$R$1006:$W$1006,0))&gt;=100000), " ",IF(INDEX($R$2:$W$1001,MATCH(ROWS($K$2:K991),$K$2:$K$1001,0),MATCH(COLUMNS($R$1006:W1006),$R$1006:$W$1006,0)), HYPERLINK("#",""), HYPERLINK(CONCATENATE("#Metadata!", ADDRESS(INDEX($M$2:$M$1001,MATCH(ROWS($K$2:K991),$K$2:$K$1001,0),0), INDEX($R$1004:$W$1004,1,MATCH(COLUMNS($R$1006:W1006),$R$1006:$W$1006,0)))),"Fix")))</f>
        <v>0</v>
      </c>
      <c r="K991">
        <v>0</v>
      </c>
      <c r="L991">
        <v>0</v>
      </c>
      <c r="M991">
        <v>0</v>
      </c>
      <c r="N991">
        <f>IF(O991,TRUE,AND(R991:W991))</f>
        <v>0</v>
      </c>
      <c r="O991">
        <f>COUNTBLANK(Metadata!B991:G991)=COLUMNS(Metadata!B991:G991)</f>
        <v>0</v>
      </c>
      <c r="P991">
        <v>0</v>
      </c>
      <c r="R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S991">
        <f>IF(Metadata!C991="",FALSE,TRUE)</f>
        <v>0</v>
      </c>
      <c r="T991">
        <f>IF(Metadata!D991="",FALSE,TRUE)</f>
        <v>0</v>
      </c>
      <c r="U991">
        <f>IF(Metadata!E991="",FALSE,TRUE)</f>
        <v>0</v>
      </c>
      <c r="V991">
        <f>AND(IF(Metadata!F991="",FALSE,TRUE),exact(Metadata!F991,"rat gut metagenome"))</f>
        <v>0</v>
      </c>
      <c r="W991">
        <f>AND(IF(Metadata!G991="",FALSE,TRUE),exact(Metadata!G991,"1436733"))</f>
        <v>0</v>
      </c>
    </row>
    <row r="992" spans="1:23">
      <c r="A992" s="4">
        <f>IF(B992=" "," ",HYPERLINK(CONCATENATE("#metadata!",ADDRESS(INDEX($M$2:$M$1001,MATCH(ROWS($K$2:K992),$K$2:$K$1001,0),0),1)),INDEX($P$2:$P$1001,MATCH(ROWS($K$2:K992),$K$2:$K$1001,0),0)))</f>
        <v>0</v>
      </c>
      <c r="B992" s="3">
        <f>IF(OR(INDEX($L$2:$L$1001,MATCH(ROWS($K$2:K992),$K$2:$K$1001,0),1)&gt;=100000,INDEX($R$1005:$W$1005,1,MATCH(COLUMNS($R$1006:R1006),$R$1006:$W$1006,0))&gt;=100000), " ",IF(INDEX($R$2:$W$1001,MATCH(ROWS($K$2:K992),$K$2:$K$1001,0),MATCH(COLUMNS($R$1006:R1006),$R$1006:$W$1006,0)), HYPERLINK("#",""), HYPERLINK(CONCATENATE("#Metadata!", ADDRESS(INDEX($M$2:$M$1001,MATCH(ROWS($K$2:K992),$K$2:$K$1001,0),0), INDEX($R$1004:$W$1004,1,MATCH(COLUMNS($R$1006:R1006),$R$1006:$W$1006,0)))),"Fix")))</f>
        <v>0</v>
      </c>
      <c r="C992" s="3">
        <f>IF(OR(INDEX($L$2:$L$1001,MATCH(ROWS($K$2:K992),$K$2:$K$1001,0),1)&gt;=100000,INDEX($R$1005:$W$1005,1,MATCH(COLUMNS($R$1006:S1006),$R$1006:$W$1006,0))&gt;=100000), " ",IF(INDEX($R$2:$W$1001,MATCH(ROWS($K$2:K992),$K$2:$K$1001,0),MATCH(COLUMNS($R$1006:S1006),$R$1006:$W$1006,0)), HYPERLINK("#",""), HYPERLINK(CONCATENATE("#Metadata!", ADDRESS(INDEX($M$2:$M$1001,MATCH(ROWS($K$2:K992),$K$2:$K$1001,0),0), INDEX($R$1004:$W$1004,1,MATCH(COLUMNS($R$1006:S1006),$R$1006:$W$1006,0)))),"Fix")))</f>
        <v>0</v>
      </c>
      <c r="D992" s="3">
        <f>IF(OR(INDEX($L$2:$L$1001,MATCH(ROWS($K$2:K992),$K$2:$K$1001,0),1)&gt;=100000,INDEX($R$1005:$W$1005,1,MATCH(COLUMNS($R$1006:T1006),$R$1006:$W$1006,0))&gt;=100000), " ",IF(INDEX($R$2:$W$1001,MATCH(ROWS($K$2:K992),$K$2:$K$1001,0),MATCH(COLUMNS($R$1006:T1006),$R$1006:$W$1006,0)), HYPERLINK("#",""), HYPERLINK(CONCATENATE("#Metadata!", ADDRESS(INDEX($M$2:$M$1001,MATCH(ROWS($K$2:K992),$K$2:$K$1001,0),0), INDEX($R$1004:$W$1004,1,MATCH(COLUMNS($R$1006:T1006),$R$1006:$W$1006,0)))),"Fix")))</f>
        <v>0</v>
      </c>
      <c r="E992" s="3">
        <f>IF(OR(INDEX($L$2:$L$1001,MATCH(ROWS($K$2:K992),$K$2:$K$1001,0),1)&gt;=100000,INDEX($R$1005:$W$1005,1,MATCH(COLUMNS($R$1006:U1006),$R$1006:$W$1006,0))&gt;=100000), " ",IF(INDEX($R$2:$W$1001,MATCH(ROWS($K$2:K992),$K$2:$K$1001,0),MATCH(COLUMNS($R$1006:U1006),$R$1006:$W$1006,0)), HYPERLINK("#",""), HYPERLINK(CONCATENATE("#Metadata!", ADDRESS(INDEX($M$2:$M$1001,MATCH(ROWS($K$2:K992),$K$2:$K$1001,0),0), INDEX($R$1004:$W$1004,1,MATCH(COLUMNS($R$1006:U1006),$R$1006:$W$1006,0)))),"Fix")))</f>
        <v>0</v>
      </c>
      <c r="F992" s="3">
        <f>IF(OR(INDEX($L$2:$L$1001,MATCH(ROWS($K$2:K992),$K$2:$K$1001,0),1)&gt;=100000,INDEX($R$1005:$W$1005,1,MATCH(COLUMNS($R$1006:V1006),$R$1006:$W$1006,0))&gt;=100000), " ",IF(INDEX($R$2:$W$1001,MATCH(ROWS($K$2:K992),$K$2:$K$1001,0),MATCH(COLUMNS($R$1006:V1006),$R$1006:$W$1006,0)), HYPERLINK("#",""), HYPERLINK(CONCATENATE("#Metadata!", ADDRESS(INDEX($M$2:$M$1001,MATCH(ROWS($K$2:K992),$K$2:$K$1001,0),0), INDEX($R$1004:$W$1004,1,MATCH(COLUMNS($R$1006:V1006),$R$1006:$W$1006,0)))),"Fix")))</f>
        <v>0</v>
      </c>
      <c r="G992" s="3">
        <f>IF(OR(INDEX($L$2:$L$1001,MATCH(ROWS($K$2:K992),$K$2:$K$1001,0),1)&gt;=100000,INDEX($R$1005:$W$1005,1,MATCH(COLUMNS($R$1006:W1006),$R$1006:$W$1006,0))&gt;=100000), " ",IF(INDEX($R$2:$W$1001,MATCH(ROWS($K$2:K992),$K$2:$K$1001,0),MATCH(COLUMNS($R$1006:W1006),$R$1006:$W$1006,0)), HYPERLINK("#",""), HYPERLINK(CONCATENATE("#Metadata!", ADDRESS(INDEX($M$2:$M$1001,MATCH(ROWS($K$2:K992),$K$2:$K$1001,0),0), INDEX($R$1004:$W$1004,1,MATCH(COLUMNS($R$1006:W1006),$R$1006:$W$1006,0)))),"Fix")))</f>
        <v>0</v>
      </c>
      <c r="K992">
        <v>0</v>
      </c>
      <c r="L992">
        <v>0</v>
      </c>
      <c r="M992">
        <v>0</v>
      </c>
      <c r="N992">
        <f>IF(O992,TRUE,AND(R992:W992))</f>
        <v>0</v>
      </c>
      <c r="O992">
        <f>COUNTBLANK(Metadata!B992:G992)=COLUMNS(Metadata!B992:G992)</f>
        <v>0</v>
      </c>
      <c r="P992">
        <v>0</v>
      </c>
      <c r="R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S992">
        <f>IF(Metadata!C992="",FALSE,TRUE)</f>
        <v>0</v>
      </c>
      <c r="T992">
        <f>IF(Metadata!D992="",FALSE,TRUE)</f>
        <v>0</v>
      </c>
      <c r="U992">
        <f>IF(Metadata!E992="",FALSE,TRUE)</f>
        <v>0</v>
      </c>
      <c r="V992">
        <f>AND(IF(Metadata!F992="",FALSE,TRUE),exact(Metadata!F992,"rat gut metagenome"))</f>
        <v>0</v>
      </c>
      <c r="W992">
        <f>AND(IF(Metadata!G992="",FALSE,TRUE),exact(Metadata!G992,"1436733"))</f>
        <v>0</v>
      </c>
    </row>
    <row r="993" spans="1:23">
      <c r="A993" s="4">
        <f>IF(B993=" "," ",HYPERLINK(CONCATENATE("#metadata!",ADDRESS(INDEX($M$2:$M$1001,MATCH(ROWS($K$2:K993),$K$2:$K$1001,0),0),1)),INDEX($P$2:$P$1001,MATCH(ROWS($K$2:K993),$K$2:$K$1001,0),0)))</f>
        <v>0</v>
      </c>
      <c r="B993" s="3">
        <f>IF(OR(INDEX($L$2:$L$1001,MATCH(ROWS($K$2:K993),$K$2:$K$1001,0),1)&gt;=100000,INDEX($R$1005:$W$1005,1,MATCH(COLUMNS($R$1006:R1006),$R$1006:$W$1006,0))&gt;=100000), " ",IF(INDEX($R$2:$W$1001,MATCH(ROWS($K$2:K993),$K$2:$K$1001,0),MATCH(COLUMNS($R$1006:R1006),$R$1006:$W$1006,0)), HYPERLINK("#",""), HYPERLINK(CONCATENATE("#Metadata!", ADDRESS(INDEX($M$2:$M$1001,MATCH(ROWS($K$2:K993),$K$2:$K$1001,0),0), INDEX($R$1004:$W$1004,1,MATCH(COLUMNS($R$1006:R1006),$R$1006:$W$1006,0)))),"Fix")))</f>
        <v>0</v>
      </c>
      <c r="C993" s="3">
        <f>IF(OR(INDEX($L$2:$L$1001,MATCH(ROWS($K$2:K993),$K$2:$K$1001,0),1)&gt;=100000,INDEX($R$1005:$W$1005,1,MATCH(COLUMNS($R$1006:S1006),$R$1006:$W$1006,0))&gt;=100000), " ",IF(INDEX($R$2:$W$1001,MATCH(ROWS($K$2:K993),$K$2:$K$1001,0),MATCH(COLUMNS($R$1006:S1006),$R$1006:$W$1006,0)), HYPERLINK("#",""), HYPERLINK(CONCATENATE("#Metadata!", ADDRESS(INDEX($M$2:$M$1001,MATCH(ROWS($K$2:K993),$K$2:$K$1001,0),0), INDEX($R$1004:$W$1004,1,MATCH(COLUMNS($R$1006:S1006),$R$1006:$W$1006,0)))),"Fix")))</f>
        <v>0</v>
      </c>
      <c r="D993" s="3">
        <f>IF(OR(INDEX($L$2:$L$1001,MATCH(ROWS($K$2:K993),$K$2:$K$1001,0),1)&gt;=100000,INDEX($R$1005:$W$1005,1,MATCH(COLUMNS($R$1006:T1006),$R$1006:$W$1006,0))&gt;=100000), " ",IF(INDEX($R$2:$W$1001,MATCH(ROWS($K$2:K993),$K$2:$K$1001,0),MATCH(COLUMNS($R$1006:T1006),$R$1006:$W$1006,0)), HYPERLINK("#",""), HYPERLINK(CONCATENATE("#Metadata!", ADDRESS(INDEX($M$2:$M$1001,MATCH(ROWS($K$2:K993),$K$2:$K$1001,0),0), INDEX($R$1004:$W$1004,1,MATCH(COLUMNS($R$1006:T1006),$R$1006:$W$1006,0)))),"Fix")))</f>
        <v>0</v>
      </c>
      <c r="E993" s="3">
        <f>IF(OR(INDEX($L$2:$L$1001,MATCH(ROWS($K$2:K993),$K$2:$K$1001,0),1)&gt;=100000,INDEX($R$1005:$W$1005,1,MATCH(COLUMNS($R$1006:U1006),$R$1006:$W$1006,0))&gt;=100000), " ",IF(INDEX($R$2:$W$1001,MATCH(ROWS($K$2:K993),$K$2:$K$1001,0),MATCH(COLUMNS($R$1006:U1006),$R$1006:$W$1006,0)), HYPERLINK("#",""), HYPERLINK(CONCATENATE("#Metadata!", ADDRESS(INDEX($M$2:$M$1001,MATCH(ROWS($K$2:K993),$K$2:$K$1001,0),0), INDEX($R$1004:$W$1004,1,MATCH(COLUMNS($R$1006:U1006),$R$1006:$W$1006,0)))),"Fix")))</f>
        <v>0</v>
      </c>
      <c r="F993" s="3">
        <f>IF(OR(INDEX($L$2:$L$1001,MATCH(ROWS($K$2:K993),$K$2:$K$1001,0),1)&gt;=100000,INDEX($R$1005:$W$1005,1,MATCH(COLUMNS($R$1006:V1006),$R$1006:$W$1006,0))&gt;=100000), " ",IF(INDEX($R$2:$W$1001,MATCH(ROWS($K$2:K993),$K$2:$K$1001,0),MATCH(COLUMNS($R$1006:V1006),$R$1006:$W$1006,0)), HYPERLINK("#",""), HYPERLINK(CONCATENATE("#Metadata!", ADDRESS(INDEX($M$2:$M$1001,MATCH(ROWS($K$2:K993),$K$2:$K$1001,0),0), INDEX($R$1004:$W$1004,1,MATCH(COLUMNS($R$1006:V1006),$R$1006:$W$1006,0)))),"Fix")))</f>
        <v>0</v>
      </c>
      <c r="G993" s="3">
        <f>IF(OR(INDEX($L$2:$L$1001,MATCH(ROWS($K$2:K993),$K$2:$K$1001,0),1)&gt;=100000,INDEX($R$1005:$W$1005,1,MATCH(COLUMNS($R$1006:W1006),$R$1006:$W$1006,0))&gt;=100000), " ",IF(INDEX($R$2:$W$1001,MATCH(ROWS($K$2:K993),$K$2:$K$1001,0),MATCH(COLUMNS($R$1006:W1006),$R$1006:$W$1006,0)), HYPERLINK("#",""), HYPERLINK(CONCATENATE("#Metadata!", ADDRESS(INDEX($M$2:$M$1001,MATCH(ROWS($K$2:K993),$K$2:$K$1001,0),0), INDEX($R$1004:$W$1004,1,MATCH(COLUMNS($R$1006:W1006),$R$1006:$W$1006,0)))),"Fix")))</f>
        <v>0</v>
      </c>
      <c r="K993">
        <v>0</v>
      </c>
      <c r="L993">
        <v>0</v>
      </c>
      <c r="M993">
        <v>0</v>
      </c>
      <c r="N993">
        <f>IF(O993,TRUE,AND(R993:W993))</f>
        <v>0</v>
      </c>
      <c r="O993">
        <f>COUNTBLANK(Metadata!B993:G993)=COLUMNS(Metadata!B993:G993)</f>
        <v>0</v>
      </c>
      <c r="P993">
        <v>0</v>
      </c>
      <c r="R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S993">
        <f>IF(Metadata!C993="",FALSE,TRUE)</f>
        <v>0</v>
      </c>
      <c r="T993">
        <f>IF(Metadata!D993="",FALSE,TRUE)</f>
        <v>0</v>
      </c>
      <c r="U993">
        <f>IF(Metadata!E993="",FALSE,TRUE)</f>
        <v>0</v>
      </c>
      <c r="V993">
        <f>AND(IF(Metadata!F993="",FALSE,TRUE),exact(Metadata!F993,"rat gut metagenome"))</f>
        <v>0</v>
      </c>
      <c r="W993">
        <f>AND(IF(Metadata!G993="",FALSE,TRUE),exact(Metadata!G993,"1436733"))</f>
        <v>0</v>
      </c>
    </row>
    <row r="994" spans="1:23">
      <c r="A994" s="4">
        <f>IF(B994=" "," ",HYPERLINK(CONCATENATE("#metadata!",ADDRESS(INDEX($M$2:$M$1001,MATCH(ROWS($K$2:K994),$K$2:$K$1001,0),0),1)),INDEX($P$2:$P$1001,MATCH(ROWS($K$2:K994),$K$2:$K$1001,0),0)))</f>
        <v>0</v>
      </c>
      <c r="B994" s="3">
        <f>IF(OR(INDEX($L$2:$L$1001,MATCH(ROWS($K$2:K994),$K$2:$K$1001,0),1)&gt;=100000,INDEX($R$1005:$W$1005,1,MATCH(COLUMNS($R$1006:R1006),$R$1006:$W$1006,0))&gt;=100000), " ",IF(INDEX($R$2:$W$1001,MATCH(ROWS($K$2:K994),$K$2:$K$1001,0),MATCH(COLUMNS($R$1006:R1006),$R$1006:$W$1006,0)), HYPERLINK("#",""), HYPERLINK(CONCATENATE("#Metadata!", ADDRESS(INDEX($M$2:$M$1001,MATCH(ROWS($K$2:K994),$K$2:$K$1001,0),0), INDEX($R$1004:$W$1004,1,MATCH(COLUMNS($R$1006:R1006),$R$1006:$W$1006,0)))),"Fix")))</f>
        <v>0</v>
      </c>
      <c r="C994" s="3">
        <f>IF(OR(INDEX($L$2:$L$1001,MATCH(ROWS($K$2:K994),$K$2:$K$1001,0),1)&gt;=100000,INDEX($R$1005:$W$1005,1,MATCH(COLUMNS($R$1006:S1006),$R$1006:$W$1006,0))&gt;=100000), " ",IF(INDEX($R$2:$W$1001,MATCH(ROWS($K$2:K994),$K$2:$K$1001,0),MATCH(COLUMNS($R$1006:S1006),$R$1006:$W$1006,0)), HYPERLINK("#",""), HYPERLINK(CONCATENATE("#Metadata!", ADDRESS(INDEX($M$2:$M$1001,MATCH(ROWS($K$2:K994),$K$2:$K$1001,0),0), INDEX($R$1004:$W$1004,1,MATCH(COLUMNS($R$1006:S1006),$R$1006:$W$1006,0)))),"Fix")))</f>
        <v>0</v>
      </c>
      <c r="D994" s="3">
        <f>IF(OR(INDEX($L$2:$L$1001,MATCH(ROWS($K$2:K994),$K$2:$K$1001,0),1)&gt;=100000,INDEX($R$1005:$W$1005,1,MATCH(COLUMNS($R$1006:T1006),$R$1006:$W$1006,0))&gt;=100000), " ",IF(INDEX($R$2:$W$1001,MATCH(ROWS($K$2:K994),$K$2:$K$1001,0),MATCH(COLUMNS($R$1006:T1006),$R$1006:$W$1006,0)), HYPERLINK("#",""), HYPERLINK(CONCATENATE("#Metadata!", ADDRESS(INDEX($M$2:$M$1001,MATCH(ROWS($K$2:K994),$K$2:$K$1001,0),0), INDEX($R$1004:$W$1004,1,MATCH(COLUMNS($R$1006:T1006),$R$1006:$W$1006,0)))),"Fix")))</f>
        <v>0</v>
      </c>
      <c r="E994" s="3">
        <f>IF(OR(INDEX($L$2:$L$1001,MATCH(ROWS($K$2:K994),$K$2:$K$1001,0),1)&gt;=100000,INDEX($R$1005:$W$1005,1,MATCH(COLUMNS($R$1006:U1006),$R$1006:$W$1006,0))&gt;=100000), " ",IF(INDEX($R$2:$W$1001,MATCH(ROWS($K$2:K994),$K$2:$K$1001,0),MATCH(COLUMNS($R$1006:U1006),$R$1006:$W$1006,0)), HYPERLINK("#",""), HYPERLINK(CONCATENATE("#Metadata!", ADDRESS(INDEX($M$2:$M$1001,MATCH(ROWS($K$2:K994),$K$2:$K$1001,0),0), INDEX($R$1004:$W$1004,1,MATCH(COLUMNS($R$1006:U1006),$R$1006:$W$1006,0)))),"Fix")))</f>
        <v>0</v>
      </c>
      <c r="F994" s="3">
        <f>IF(OR(INDEX($L$2:$L$1001,MATCH(ROWS($K$2:K994),$K$2:$K$1001,0),1)&gt;=100000,INDEX($R$1005:$W$1005,1,MATCH(COLUMNS($R$1006:V1006),$R$1006:$W$1006,0))&gt;=100000), " ",IF(INDEX($R$2:$W$1001,MATCH(ROWS($K$2:K994),$K$2:$K$1001,0),MATCH(COLUMNS($R$1006:V1006),$R$1006:$W$1006,0)), HYPERLINK("#",""), HYPERLINK(CONCATENATE("#Metadata!", ADDRESS(INDEX($M$2:$M$1001,MATCH(ROWS($K$2:K994),$K$2:$K$1001,0),0), INDEX($R$1004:$W$1004,1,MATCH(COLUMNS($R$1006:V1006),$R$1006:$W$1006,0)))),"Fix")))</f>
        <v>0</v>
      </c>
      <c r="G994" s="3">
        <f>IF(OR(INDEX($L$2:$L$1001,MATCH(ROWS($K$2:K994),$K$2:$K$1001,0),1)&gt;=100000,INDEX($R$1005:$W$1005,1,MATCH(COLUMNS($R$1006:W1006),$R$1006:$W$1006,0))&gt;=100000), " ",IF(INDEX($R$2:$W$1001,MATCH(ROWS($K$2:K994),$K$2:$K$1001,0),MATCH(COLUMNS($R$1006:W1006),$R$1006:$W$1006,0)), HYPERLINK("#",""), HYPERLINK(CONCATENATE("#Metadata!", ADDRESS(INDEX($M$2:$M$1001,MATCH(ROWS($K$2:K994),$K$2:$K$1001,0),0), INDEX($R$1004:$W$1004,1,MATCH(COLUMNS($R$1006:W1006),$R$1006:$W$1006,0)))),"Fix")))</f>
        <v>0</v>
      </c>
      <c r="K994">
        <v>0</v>
      </c>
      <c r="L994">
        <v>0</v>
      </c>
      <c r="M994">
        <v>0</v>
      </c>
      <c r="N994">
        <f>IF(O994,TRUE,AND(R994:W994))</f>
        <v>0</v>
      </c>
      <c r="O994">
        <f>COUNTBLANK(Metadata!B994:G994)=COLUMNS(Metadata!B994:G994)</f>
        <v>0</v>
      </c>
      <c r="P994">
        <v>0</v>
      </c>
      <c r="R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S994">
        <f>IF(Metadata!C994="",FALSE,TRUE)</f>
        <v>0</v>
      </c>
      <c r="T994">
        <f>IF(Metadata!D994="",FALSE,TRUE)</f>
        <v>0</v>
      </c>
      <c r="U994">
        <f>IF(Metadata!E994="",FALSE,TRUE)</f>
        <v>0</v>
      </c>
      <c r="V994">
        <f>AND(IF(Metadata!F994="",FALSE,TRUE),exact(Metadata!F994,"rat gut metagenome"))</f>
        <v>0</v>
      </c>
      <c r="W994">
        <f>AND(IF(Metadata!G994="",FALSE,TRUE),exact(Metadata!G994,"1436733"))</f>
        <v>0</v>
      </c>
    </row>
    <row r="995" spans="1:23">
      <c r="A995" s="4">
        <f>IF(B995=" "," ",HYPERLINK(CONCATENATE("#metadata!",ADDRESS(INDEX($M$2:$M$1001,MATCH(ROWS($K$2:K995),$K$2:$K$1001,0),0),1)),INDEX($P$2:$P$1001,MATCH(ROWS($K$2:K995),$K$2:$K$1001,0),0)))</f>
        <v>0</v>
      </c>
      <c r="B995" s="3">
        <f>IF(OR(INDEX($L$2:$L$1001,MATCH(ROWS($K$2:K995),$K$2:$K$1001,0),1)&gt;=100000,INDEX($R$1005:$W$1005,1,MATCH(COLUMNS($R$1006:R1006),$R$1006:$W$1006,0))&gt;=100000), " ",IF(INDEX($R$2:$W$1001,MATCH(ROWS($K$2:K995),$K$2:$K$1001,0),MATCH(COLUMNS($R$1006:R1006),$R$1006:$W$1006,0)), HYPERLINK("#",""), HYPERLINK(CONCATENATE("#Metadata!", ADDRESS(INDEX($M$2:$M$1001,MATCH(ROWS($K$2:K995),$K$2:$K$1001,0),0), INDEX($R$1004:$W$1004,1,MATCH(COLUMNS($R$1006:R1006),$R$1006:$W$1006,0)))),"Fix")))</f>
        <v>0</v>
      </c>
      <c r="C995" s="3">
        <f>IF(OR(INDEX($L$2:$L$1001,MATCH(ROWS($K$2:K995),$K$2:$K$1001,0),1)&gt;=100000,INDEX($R$1005:$W$1005,1,MATCH(COLUMNS($R$1006:S1006),$R$1006:$W$1006,0))&gt;=100000), " ",IF(INDEX($R$2:$W$1001,MATCH(ROWS($K$2:K995),$K$2:$K$1001,0),MATCH(COLUMNS($R$1006:S1006),$R$1006:$W$1006,0)), HYPERLINK("#",""), HYPERLINK(CONCATENATE("#Metadata!", ADDRESS(INDEX($M$2:$M$1001,MATCH(ROWS($K$2:K995),$K$2:$K$1001,0),0), INDEX($R$1004:$W$1004,1,MATCH(COLUMNS($R$1006:S1006),$R$1006:$W$1006,0)))),"Fix")))</f>
        <v>0</v>
      </c>
      <c r="D995" s="3">
        <f>IF(OR(INDEX($L$2:$L$1001,MATCH(ROWS($K$2:K995),$K$2:$K$1001,0),1)&gt;=100000,INDEX($R$1005:$W$1005,1,MATCH(COLUMNS($R$1006:T1006),$R$1006:$W$1006,0))&gt;=100000), " ",IF(INDEX($R$2:$W$1001,MATCH(ROWS($K$2:K995),$K$2:$K$1001,0),MATCH(COLUMNS($R$1006:T1006),$R$1006:$W$1006,0)), HYPERLINK("#",""), HYPERLINK(CONCATENATE("#Metadata!", ADDRESS(INDEX($M$2:$M$1001,MATCH(ROWS($K$2:K995),$K$2:$K$1001,0),0), INDEX($R$1004:$W$1004,1,MATCH(COLUMNS($R$1006:T1006),$R$1006:$W$1006,0)))),"Fix")))</f>
        <v>0</v>
      </c>
      <c r="E995" s="3">
        <f>IF(OR(INDEX($L$2:$L$1001,MATCH(ROWS($K$2:K995),$K$2:$K$1001,0),1)&gt;=100000,INDEX($R$1005:$W$1005,1,MATCH(COLUMNS($R$1006:U1006),$R$1006:$W$1006,0))&gt;=100000), " ",IF(INDEX($R$2:$W$1001,MATCH(ROWS($K$2:K995),$K$2:$K$1001,0),MATCH(COLUMNS($R$1006:U1006),$R$1006:$W$1006,0)), HYPERLINK("#",""), HYPERLINK(CONCATENATE("#Metadata!", ADDRESS(INDEX($M$2:$M$1001,MATCH(ROWS($K$2:K995),$K$2:$K$1001,0),0), INDEX($R$1004:$W$1004,1,MATCH(COLUMNS($R$1006:U1006),$R$1006:$W$1006,0)))),"Fix")))</f>
        <v>0</v>
      </c>
      <c r="F995" s="3">
        <f>IF(OR(INDEX($L$2:$L$1001,MATCH(ROWS($K$2:K995),$K$2:$K$1001,0),1)&gt;=100000,INDEX($R$1005:$W$1005,1,MATCH(COLUMNS($R$1006:V1006),$R$1006:$W$1006,0))&gt;=100000), " ",IF(INDEX($R$2:$W$1001,MATCH(ROWS($K$2:K995),$K$2:$K$1001,0),MATCH(COLUMNS($R$1006:V1006),$R$1006:$W$1006,0)), HYPERLINK("#",""), HYPERLINK(CONCATENATE("#Metadata!", ADDRESS(INDEX($M$2:$M$1001,MATCH(ROWS($K$2:K995),$K$2:$K$1001,0),0), INDEX($R$1004:$W$1004,1,MATCH(COLUMNS($R$1006:V1006),$R$1006:$W$1006,0)))),"Fix")))</f>
        <v>0</v>
      </c>
      <c r="G995" s="3">
        <f>IF(OR(INDEX($L$2:$L$1001,MATCH(ROWS($K$2:K995),$K$2:$K$1001,0),1)&gt;=100000,INDEX($R$1005:$W$1005,1,MATCH(COLUMNS($R$1006:W1006),$R$1006:$W$1006,0))&gt;=100000), " ",IF(INDEX($R$2:$W$1001,MATCH(ROWS($K$2:K995),$K$2:$K$1001,0),MATCH(COLUMNS($R$1006:W1006),$R$1006:$W$1006,0)), HYPERLINK("#",""), HYPERLINK(CONCATENATE("#Metadata!", ADDRESS(INDEX($M$2:$M$1001,MATCH(ROWS($K$2:K995),$K$2:$K$1001,0),0), INDEX($R$1004:$W$1004,1,MATCH(COLUMNS($R$1006:W1006),$R$1006:$W$1006,0)))),"Fix")))</f>
        <v>0</v>
      </c>
      <c r="K995">
        <v>0</v>
      </c>
      <c r="L995">
        <v>0</v>
      </c>
      <c r="M995">
        <v>0</v>
      </c>
      <c r="N995">
        <f>IF(O995,TRUE,AND(R995:W995))</f>
        <v>0</v>
      </c>
      <c r="O995">
        <f>COUNTBLANK(Metadata!B995:G995)=COLUMNS(Metadata!B995:G995)</f>
        <v>0</v>
      </c>
      <c r="P995">
        <v>0</v>
      </c>
      <c r="R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S995">
        <f>IF(Metadata!C995="",FALSE,TRUE)</f>
        <v>0</v>
      </c>
      <c r="T995">
        <f>IF(Metadata!D995="",FALSE,TRUE)</f>
        <v>0</v>
      </c>
      <c r="U995">
        <f>IF(Metadata!E995="",FALSE,TRUE)</f>
        <v>0</v>
      </c>
      <c r="V995">
        <f>AND(IF(Metadata!F995="",FALSE,TRUE),exact(Metadata!F995,"rat gut metagenome"))</f>
        <v>0</v>
      </c>
      <c r="W995">
        <f>AND(IF(Metadata!G995="",FALSE,TRUE),exact(Metadata!G995,"1436733"))</f>
        <v>0</v>
      </c>
    </row>
    <row r="996" spans="1:23">
      <c r="A996" s="4">
        <f>IF(B996=" "," ",HYPERLINK(CONCATENATE("#metadata!",ADDRESS(INDEX($M$2:$M$1001,MATCH(ROWS($K$2:K996),$K$2:$K$1001,0),0),1)),INDEX($P$2:$P$1001,MATCH(ROWS($K$2:K996),$K$2:$K$1001,0),0)))</f>
        <v>0</v>
      </c>
      <c r="B996" s="3">
        <f>IF(OR(INDEX($L$2:$L$1001,MATCH(ROWS($K$2:K996),$K$2:$K$1001,0),1)&gt;=100000,INDEX($R$1005:$W$1005,1,MATCH(COLUMNS($R$1006:R1006),$R$1006:$W$1006,0))&gt;=100000), " ",IF(INDEX($R$2:$W$1001,MATCH(ROWS($K$2:K996),$K$2:$K$1001,0),MATCH(COLUMNS($R$1006:R1006),$R$1006:$W$1006,0)), HYPERLINK("#",""), HYPERLINK(CONCATENATE("#Metadata!", ADDRESS(INDEX($M$2:$M$1001,MATCH(ROWS($K$2:K996),$K$2:$K$1001,0),0), INDEX($R$1004:$W$1004,1,MATCH(COLUMNS($R$1006:R1006),$R$1006:$W$1006,0)))),"Fix")))</f>
        <v>0</v>
      </c>
      <c r="C996" s="3">
        <f>IF(OR(INDEX($L$2:$L$1001,MATCH(ROWS($K$2:K996),$K$2:$K$1001,0),1)&gt;=100000,INDEX($R$1005:$W$1005,1,MATCH(COLUMNS($R$1006:S1006),$R$1006:$W$1006,0))&gt;=100000), " ",IF(INDEX($R$2:$W$1001,MATCH(ROWS($K$2:K996),$K$2:$K$1001,0),MATCH(COLUMNS($R$1006:S1006),$R$1006:$W$1006,0)), HYPERLINK("#",""), HYPERLINK(CONCATENATE("#Metadata!", ADDRESS(INDEX($M$2:$M$1001,MATCH(ROWS($K$2:K996),$K$2:$K$1001,0),0), INDEX($R$1004:$W$1004,1,MATCH(COLUMNS($R$1006:S1006),$R$1006:$W$1006,0)))),"Fix")))</f>
        <v>0</v>
      </c>
      <c r="D996" s="3">
        <f>IF(OR(INDEX($L$2:$L$1001,MATCH(ROWS($K$2:K996),$K$2:$K$1001,0),1)&gt;=100000,INDEX($R$1005:$W$1005,1,MATCH(COLUMNS($R$1006:T1006),$R$1006:$W$1006,0))&gt;=100000), " ",IF(INDEX($R$2:$W$1001,MATCH(ROWS($K$2:K996),$K$2:$K$1001,0),MATCH(COLUMNS($R$1006:T1006),$R$1006:$W$1006,0)), HYPERLINK("#",""), HYPERLINK(CONCATENATE("#Metadata!", ADDRESS(INDEX($M$2:$M$1001,MATCH(ROWS($K$2:K996),$K$2:$K$1001,0),0), INDEX($R$1004:$W$1004,1,MATCH(COLUMNS($R$1006:T1006),$R$1006:$W$1006,0)))),"Fix")))</f>
        <v>0</v>
      </c>
      <c r="E996" s="3">
        <f>IF(OR(INDEX($L$2:$L$1001,MATCH(ROWS($K$2:K996),$K$2:$K$1001,0),1)&gt;=100000,INDEX($R$1005:$W$1005,1,MATCH(COLUMNS($R$1006:U1006),$R$1006:$W$1006,0))&gt;=100000), " ",IF(INDEX($R$2:$W$1001,MATCH(ROWS($K$2:K996),$K$2:$K$1001,0),MATCH(COLUMNS($R$1006:U1006),$R$1006:$W$1006,0)), HYPERLINK("#",""), HYPERLINK(CONCATENATE("#Metadata!", ADDRESS(INDEX($M$2:$M$1001,MATCH(ROWS($K$2:K996),$K$2:$K$1001,0),0), INDEX($R$1004:$W$1004,1,MATCH(COLUMNS($R$1006:U1006),$R$1006:$W$1006,0)))),"Fix")))</f>
        <v>0</v>
      </c>
      <c r="F996" s="3">
        <f>IF(OR(INDEX($L$2:$L$1001,MATCH(ROWS($K$2:K996),$K$2:$K$1001,0),1)&gt;=100000,INDEX($R$1005:$W$1005,1,MATCH(COLUMNS($R$1006:V1006),$R$1006:$W$1006,0))&gt;=100000), " ",IF(INDEX($R$2:$W$1001,MATCH(ROWS($K$2:K996),$K$2:$K$1001,0),MATCH(COLUMNS($R$1006:V1006),$R$1006:$W$1006,0)), HYPERLINK("#",""), HYPERLINK(CONCATENATE("#Metadata!", ADDRESS(INDEX($M$2:$M$1001,MATCH(ROWS($K$2:K996),$K$2:$K$1001,0),0), INDEX($R$1004:$W$1004,1,MATCH(COLUMNS($R$1006:V1006),$R$1006:$W$1006,0)))),"Fix")))</f>
        <v>0</v>
      </c>
      <c r="G996" s="3">
        <f>IF(OR(INDEX($L$2:$L$1001,MATCH(ROWS($K$2:K996),$K$2:$K$1001,0),1)&gt;=100000,INDEX($R$1005:$W$1005,1,MATCH(COLUMNS($R$1006:W1006),$R$1006:$W$1006,0))&gt;=100000), " ",IF(INDEX($R$2:$W$1001,MATCH(ROWS($K$2:K996),$K$2:$K$1001,0),MATCH(COLUMNS($R$1006:W1006),$R$1006:$W$1006,0)), HYPERLINK("#",""), HYPERLINK(CONCATENATE("#Metadata!", ADDRESS(INDEX($M$2:$M$1001,MATCH(ROWS($K$2:K996),$K$2:$K$1001,0),0), INDEX($R$1004:$W$1004,1,MATCH(COLUMNS($R$1006:W1006),$R$1006:$W$1006,0)))),"Fix")))</f>
        <v>0</v>
      </c>
      <c r="K996">
        <v>0</v>
      </c>
      <c r="L996">
        <v>0</v>
      </c>
      <c r="M996">
        <v>0</v>
      </c>
      <c r="N996">
        <f>IF(O996,TRUE,AND(R996:W996))</f>
        <v>0</v>
      </c>
      <c r="O996">
        <f>COUNTBLANK(Metadata!B996:G996)=COLUMNS(Metadata!B996:G996)</f>
        <v>0</v>
      </c>
      <c r="P996">
        <v>0</v>
      </c>
      <c r="R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S996">
        <f>IF(Metadata!C996="",FALSE,TRUE)</f>
        <v>0</v>
      </c>
      <c r="T996">
        <f>IF(Metadata!D996="",FALSE,TRUE)</f>
        <v>0</v>
      </c>
      <c r="U996">
        <f>IF(Metadata!E996="",FALSE,TRUE)</f>
        <v>0</v>
      </c>
      <c r="V996">
        <f>AND(IF(Metadata!F996="",FALSE,TRUE),exact(Metadata!F996,"rat gut metagenome"))</f>
        <v>0</v>
      </c>
      <c r="W996">
        <f>AND(IF(Metadata!G996="",FALSE,TRUE),exact(Metadata!G996,"1436733"))</f>
        <v>0</v>
      </c>
    </row>
    <row r="997" spans="1:23">
      <c r="A997" s="4">
        <f>IF(B997=" "," ",HYPERLINK(CONCATENATE("#metadata!",ADDRESS(INDEX($M$2:$M$1001,MATCH(ROWS($K$2:K997),$K$2:$K$1001,0),0),1)),INDEX($P$2:$P$1001,MATCH(ROWS($K$2:K997),$K$2:$K$1001,0),0)))</f>
        <v>0</v>
      </c>
      <c r="B997" s="3">
        <f>IF(OR(INDEX($L$2:$L$1001,MATCH(ROWS($K$2:K997),$K$2:$K$1001,0),1)&gt;=100000,INDEX($R$1005:$W$1005,1,MATCH(COLUMNS($R$1006:R1006),$R$1006:$W$1006,0))&gt;=100000), " ",IF(INDEX($R$2:$W$1001,MATCH(ROWS($K$2:K997),$K$2:$K$1001,0),MATCH(COLUMNS($R$1006:R1006),$R$1006:$W$1006,0)), HYPERLINK("#",""), HYPERLINK(CONCATENATE("#Metadata!", ADDRESS(INDEX($M$2:$M$1001,MATCH(ROWS($K$2:K997),$K$2:$K$1001,0),0), INDEX($R$1004:$W$1004,1,MATCH(COLUMNS($R$1006:R1006),$R$1006:$W$1006,0)))),"Fix")))</f>
        <v>0</v>
      </c>
      <c r="C997" s="3">
        <f>IF(OR(INDEX($L$2:$L$1001,MATCH(ROWS($K$2:K997),$K$2:$K$1001,0),1)&gt;=100000,INDEX($R$1005:$W$1005,1,MATCH(COLUMNS($R$1006:S1006),$R$1006:$W$1006,0))&gt;=100000), " ",IF(INDEX($R$2:$W$1001,MATCH(ROWS($K$2:K997),$K$2:$K$1001,0),MATCH(COLUMNS($R$1006:S1006),$R$1006:$W$1006,0)), HYPERLINK("#",""), HYPERLINK(CONCATENATE("#Metadata!", ADDRESS(INDEX($M$2:$M$1001,MATCH(ROWS($K$2:K997),$K$2:$K$1001,0),0), INDEX($R$1004:$W$1004,1,MATCH(COLUMNS($R$1006:S1006),$R$1006:$W$1006,0)))),"Fix")))</f>
        <v>0</v>
      </c>
      <c r="D997" s="3">
        <f>IF(OR(INDEX($L$2:$L$1001,MATCH(ROWS($K$2:K997),$K$2:$K$1001,0),1)&gt;=100000,INDEX($R$1005:$W$1005,1,MATCH(COLUMNS($R$1006:T1006),$R$1006:$W$1006,0))&gt;=100000), " ",IF(INDEX($R$2:$W$1001,MATCH(ROWS($K$2:K997),$K$2:$K$1001,0),MATCH(COLUMNS($R$1006:T1006),$R$1006:$W$1006,0)), HYPERLINK("#",""), HYPERLINK(CONCATENATE("#Metadata!", ADDRESS(INDEX($M$2:$M$1001,MATCH(ROWS($K$2:K997),$K$2:$K$1001,0),0), INDEX($R$1004:$W$1004,1,MATCH(COLUMNS($R$1006:T1006),$R$1006:$W$1006,0)))),"Fix")))</f>
        <v>0</v>
      </c>
      <c r="E997" s="3">
        <f>IF(OR(INDEX($L$2:$L$1001,MATCH(ROWS($K$2:K997),$K$2:$K$1001,0),1)&gt;=100000,INDEX($R$1005:$W$1005,1,MATCH(COLUMNS($R$1006:U1006),$R$1006:$W$1006,0))&gt;=100000), " ",IF(INDEX($R$2:$W$1001,MATCH(ROWS($K$2:K997),$K$2:$K$1001,0),MATCH(COLUMNS($R$1006:U1006),$R$1006:$W$1006,0)), HYPERLINK("#",""), HYPERLINK(CONCATENATE("#Metadata!", ADDRESS(INDEX($M$2:$M$1001,MATCH(ROWS($K$2:K997),$K$2:$K$1001,0),0), INDEX($R$1004:$W$1004,1,MATCH(COLUMNS($R$1006:U1006),$R$1006:$W$1006,0)))),"Fix")))</f>
        <v>0</v>
      </c>
      <c r="F997" s="3">
        <f>IF(OR(INDEX($L$2:$L$1001,MATCH(ROWS($K$2:K997),$K$2:$K$1001,0),1)&gt;=100000,INDEX($R$1005:$W$1005,1,MATCH(COLUMNS($R$1006:V1006),$R$1006:$W$1006,0))&gt;=100000), " ",IF(INDEX($R$2:$W$1001,MATCH(ROWS($K$2:K997),$K$2:$K$1001,0),MATCH(COLUMNS($R$1006:V1006),$R$1006:$W$1006,0)), HYPERLINK("#",""), HYPERLINK(CONCATENATE("#Metadata!", ADDRESS(INDEX($M$2:$M$1001,MATCH(ROWS($K$2:K997),$K$2:$K$1001,0),0), INDEX($R$1004:$W$1004,1,MATCH(COLUMNS($R$1006:V1006),$R$1006:$W$1006,0)))),"Fix")))</f>
        <v>0</v>
      </c>
      <c r="G997" s="3">
        <f>IF(OR(INDEX($L$2:$L$1001,MATCH(ROWS($K$2:K997),$K$2:$K$1001,0),1)&gt;=100000,INDEX($R$1005:$W$1005,1,MATCH(COLUMNS($R$1006:W1006),$R$1006:$W$1006,0))&gt;=100000), " ",IF(INDEX($R$2:$W$1001,MATCH(ROWS($K$2:K997),$K$2:$K$1001,0),MATCH(COLUMNS($R$1006:W1006),$R$1006:$W$1006,0)), HYPERLINK("#",""), HYPERLINK(CONCATENATE("#Metadata!", ADDRESS(INDEX($M$2:$M$1001,MATCH(ROWS($K$2:K997),$K$2:$K$1001,0),0), INDEX($R$1004:$W$1004,1,MATCH(COLUMNS($R$1006:W1006),$R$1006:$W$1006,0)))),"Fix")))</f>
        <v>0</v>
      </c>
      <c r="K997">
        <v>0</v>
      </c>
      <c r="L997">
        <v>0</v>
      </c>
      <c r="M997">
        <v>0</v>
      </c>
      <c r="N997">
        <f>IF(O997,TRUE,AND(R997:W997))</f>
        <v>0</v>
      </c>
      <c r="O997">
        <f>COUNTBLANK(Metadata!B997:G997)=COLUMNS(Metadata!B997:G997)</f>
        <v>0</v>
      </c>
      <c r="P997">
        <v>0</v>
      </c>
      <c r="R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S997">
        <f>IF(Metadata!C997="",FALSE,TRUE)</f>
        <v>0</v>
      </c>
      <c r="T997">
        <f>IF(Metadata!D997="",FALSE,TRUE)</f>
        <v>0</v>
      </c>
      <c r="U997">
        <f>IF(Metadata!E997="",FALSE,TRUE)</f>
        <v>0</v>
      </c>
      <c r="V997">
        <f>AND(IF(Metadata!F997="",FALSE,TRUE),exact(Metadata!F997,"rat gut metagenome"))</f>
        <v>0</v>
      </c>
      <c r="W997">
        <f>AND(IF(Metadata!G997="",FALSE,TRUE),exact(Metadata!G997,"1436733"))</f>
        <v>0</v>
      </c>
    </row>
    <row r="998" spans="1:23">
      <c r="A998" s="4">
        <f>IF(B998=" "," ",HYPERLINK(CONCATENATE("#metadata!",ADDRESS(INDEX($M$2:$M$1001,MATCH(ROWS($K$2:K998),$K$2:$K$1001,0),0),1)),INDEX($P$2:$P$1001,MATCH(ROWS($K$2:K998),$K$2:$K$1001,0),0)))</f>
        <v>0</v>
      </c>
      <c r="B998" s="3">
        <f>IF(OR(INDEX($L$2:$L$1001,MATCH(ROWS($K$2:K998),$K$2:$K$1001,0),1)&gt;=100000,INDEX($R$1005:$W$1005,1,MATCH(COLUMNS($R$1006:R1006),$R$1006:$W$1006,0))&gt;=100000), " ",IF(INDEX($R$2:$W$1001,MATCH(ROWS($K$2:K998),$K$2:$K$1001,0),MATCH(COLUMNS($R$1006:R1006),$R$1006:$W$1006,0)), HYPERLINK("#",""), HYPERLINK(CONCATENATE("#Metadata!", ADDRESS(INDEX($M$2:$M$1001,MATCH(ROWS($K$2:K998),$K$2:$K$1001,0),0), INDEX($R$1004:$W$1004,1,MATCH(COLUMNS($R$1006:R1006),$R$1006:$W$1006,0)))),"Fix")))</f>
        <v>0</v>
      </c>
      <c r="C998" s="3">
        <f>IF(OR(INDEX($L$2:$L$1001,MATCH(ROWS($K$2:K998),$K$2:$K$1001,0),1)&gt;=100000,INDEX($R$1005:$W$1005,1,MATCH(COLUMNS($R$1006:S1006),$R$1006:$W$1006,0))&gt;=100000), " ",IF(INDEX($R$2:$W$1001,MATCH(ROWS($K$2:K998),$K$2:$K$1001,0),MATCH(COLUMNS($R$1006:S1006),$R$1006:$W$1006,0)), HYPERLINK("#",""), HYPERLINK(CONCATENATE("#Metadata!", ADDRESS(INDEX($M$2:$M$1001,MATCH(ROWS($K$2:K998),$K$2:$K$1001,0),0), INDEX($R$1004:$W$1004,1,MATCH(COLUMNS($R$1006:S1006),$R$1006:$W$1006,0)))),"Fix")))</f>
        <v>0</v>
      </c>
      <c r="D998" s="3">
        <f>IF(OR(INDEX($L$2:$L$1001,MATCH(ROWS($K$2:K998),$K$2:$K$1001,0),1)&gt;=100000,INDEX($R$1005:$W$1005,1,MATCH(COLUMNS($R$1006:T1006),$R$1006:$W$1006,0))&gt;=100000), " ",IF(INDEX($R$2:$W$1001,MATCH(ROWS($K$2:K998),$K$2:$K$1001,0),MATCH(COLUMNS($R$1006:T1006),$R$1006:$W$1006,0)), HYPERLINK("#",""), HYPERLINK(CONCATENATE("#Metadata!", ADDRESS(INDEX($M$2:$M$1001,MATCH(ROWS($K$2:K998),$K$2:$K$1001,0),0), INDEX($R$1004:$W$1004,1,MATCH(COLUMNS($R$1006:T1006),$R$1006:$W$1006,0)))),"Fix")))</f>
        <v>0</v>
      </c>
      <c r="E998" s="3">
        <f>IF(OR(INDEX($L$2:$L$1001,MATCH(ROWS($K$2:K998),$K$2:$K$1001,0),1)&gt;=100000,INDEX($R$1005:$W$1005,1,MATCH(COLUMNS($R$1006:U1006),$R$1006:$W$1006,0))&gt;=100000), " ",IF(INDEX($R$2:$W$1001,MATCH(ROWS($K$2:K998),$K$2:$K$1001,0),MATCH(COLUMNS($R$1006:U1006),$R$1006:$W$1006,0)), HYPERLINK("#",""), HYPERLINK(CONCATENATE("#Metadata!", ADDRESS(INDEX($M$2:$M$1001,MATCH(ROWS($K$2:K998),$K$2:$K$1001,0),0), INDEX($R$1004:$W$1004,1,MATCH(COLUMNS($R$1006:U1006),$R$1006:$W$1006,0)))),"Fix")))</f>
        <v>0</v>
      </c>
      <c r="F998" s="3">
        <f>IF(OR(INDEX($L$2:$L$1001,MATCH(ROWS($K$2:K998),$K$2:$K$1001,0),1)&gt;=100000,INDEX($R$1005:$W$1005,1,MATCH(COLUMNS($R$1006:V1006),$R$1006:$W$1006,0))&gt;=100000), " ",IF(INDEX($R$2:$W$1001,MATCH(ROWS($K$2:K998),$K$2:$K$1001,0),MATCH(COLUMNS($R$1006:V1006),$R$1006:$W$1006,0)), HYPERLINK("#",""), HYPERLINK(CONCATENATE("#Metadata!", ADDRESS(INDEX($M$2:$M$1001,MATCH(ROWS($K$2:K998),$K$2:$K$1001,0),0), INDEX($R$1004:$W$1004,1,MATCH(COLUMNS($R$1006:V1006),$R$1006:$W$1006,0)))),"Fix")))</f>
        <v>0</v>
      </c>
      <c r="G998" s="3">
        <f>IF(OR(INDEX($L$2:$L$1001,MATCH(ROWS($K$2:K998),$K$2:$K$1001,0),1)&gt;=100000,INDEX($R$1005:$W$1005,1,MATCH(COLUMNS($R$1006:W1006),$R$1006:$W$1006,0))&gt;=100000), " ",IF(INDEX($R$2:$W$1001,MATCH(ROWS($K$2:K998),$K$2:$K$1001,0),MATCH(COLUMNS($R$1006:W1006),$R$1006:$W$1006,0)), HYPERLINK("#",""), HYPERLINK(CONCATENATE("#Metadata!", ADDRESS(INDEX($M$2:$M$1001,MATCH(ROWS($K$2:K998),$K$2:$K$1001,0),0), INDEX($R$1004:$W$1004,1,MATCH(COLUMNS($R$1006:W1006),$R$1006:$W$1006,0)))),"Fix")))</f>
        <v>0</v>
      </c>
      <c r="K998">
        <v>0</v>
      </c>
      <c r="L998">
        <v>0</v>
      </c>
      <c r="M998">
        <v>0</v>
      </c>
      <c r="N998">
        <f>IF(O998,TRUE,AND(R998:W998))</f>
        <v>0</v>
      </c>
      <c r="O998">
        <f>COUNTBLANK(Metadata!B998:G998)=COLUMNS(Metadata!B998:G998)</f>
        <v>0</v>
      </c>
      <c r="P998">
        <v>0</v>
      </c>
      <c r="R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S998">
        <f>IF(Metadata!C998="",FALSE,TRUE)</f>
        <v>0</v>
      </c>
      <c r="T998">
        <f>IF(Metadata!D998="",FALSE,TRUE)</f>
        <v>0</v>
      </c>
      <c r="U998">
        <f>IF(Metadata!E998="",FALSE,TRUE)</f>
        <v>0</v>
      </c>
      <c r="V998">
        <f>AND(IF(Metadata!F998="",FALSE,TRUE),exact(Metadata!F998,"rat gut metagenome"))</f>
        <v>0</v>
      </c>
      <c r="W998">
        <f>AND(IF(Metadata!G998="",FALSE,TRUE),exact(Metadata!G998,"1436733"))</f>
        <v>0</v>
      </c>
    </row>
    <row r="999" spans="1:23">
      <c r="A999" s="4">
        <f>IF(B999=" "," ",HYPERLINK(CONCATENATE("#metadata!",ADDRESS(INDEX($M$2:$M$1001,MATCH(ROWS($K$2:K999),$K$2:$K$1001,0),0),1)),INDEX($P$2:$P$1001,MATCH(ROWS($K$2:K999),$K$2:$K$1001,0),0)))</f>
        <v>0</v>
      </c>
      <c r="B999" s="3">
        <f>IF(OR(INDEX($L$2:$L$1001,MATCH(ROWS($K$2:K999),$K$2:$K$1001,0),1)&gt;=100000,INDEX($R$1005:$W$1005,1,MATCH(COLUMNS($R$1006:R1006),$R$1006:$W$1006,0))&gt;=100000), " ",IF(INDEX($R$2:$W$1001,MATCH(ROWS($K$2:K999),$K$2:$K$1001,0),MATCH(COLUMNS($R$1006:R1006),$R$1006:$W$1006,0)), HYPERLINK("#",""), HYPERLINK(CONCATENATE("#Metadata!", ADDRESS(INDEX($M$2:$M$1001,MATCH(ROWS($K$2:K999),$K$2:$K$1001,0),0), INDEX($R$1004:$W$1004,1,MATCH(COLUMNS($R$1006:R1006),$R$1006:$W$1006,0)))),"Fix")))</f>
        <v>0</v>
      </c>
      <c r="C999" s="3">
        <f>IF(OR(INDEX($L$2:$L$1001,MATCH(ROWS($K$2:K999),$K$2:$K$1001,0),1)&gt;=100000,INDEX($R$1005:$W$1005,1,MATCH(COLUMNS($R$1006:S1006),$R$1006:$W$1006,0))&gt;=100000), " ",IF(INDEX($R$2:$W$1001,MATCH(ROWS($K$2:K999),$K$2:$K$1001,0),MATCH(COLUMNS($R$1006:S1006),$R$1006:$W$1006,0)), HYPERLINK("#",""), HYPERLINK(CONCATENATE("#Metadata!", ADDRESS(INDEX($M$2:$M$1001,MATCH(ROWS($K$2:K999),$K$2:$K$1001,0),0), INDEX($R$1004:$W$1004,1,MATCH(COLUMNS($R$1006:S1006),$R$1006:$W$1006,0)))),"Fix")))</f>
        <v>0</v>
      </c>
      <c r="D999" s="3">
        <f>IF(OR(INDEX($L$2:$L$1001,MATCH(ROWS($K$2:K999),$K$2:$K$1001,0),1)&gt;=100000,INDEX($R$1005:$W$1005,1,MATCH(COLUMNS($R$1006:T1006),$R$1006:$W$1006,0))&gt;=100000), " ",IF(INDEX($R$2:$W$1001,MATCH(ROWS($K$2:K999),$K$2:$K$1001,0),MATCH(COLUMNS($R$1006:T1006),$R$1006:$W$1006,0)), HYPERLINK("#",""), HYPERLINK(CONCATENATE("#Metadata!", ADDRESS(INDEX($M$2:$M$1001,MATCH(ROWS($K$2:K999),$K$2:$K$1001,0),0), INDEX($R$1004:$W$1004,1,MATCH(COLUMNS($R$1006:T1006),$R$1006:$W$1006,0)))),"Fix")))</f>
        <v>0</v>
      </c>
      <c r="E999" s="3">
        <f>IF(OR(INDEX($L$2:$L$1001,MATCH(ROWS($K$2:K999),$K$2:$K$1001,0),1)&gt;=100000,INDEX($R$1005:$W$1005,1,MATCH(COLUMNS($R$1006:U1006),$R$1006:$W$1006,0))&gt;=100000), " ",IF(INDEX($R$2:$W$1001,MATCH(ROWS($K$2:K999),$K$2:$K$1001,0),MATCH(COLUMNS($R$1006:U1006),$R$1006:$W$1006,0)), HYPERLINK("#",""), HYPERLINK(CONCATENATE("#Metadata!", ADDRESS(INDEX($M$2:$M$1001,MATCH(ROWS($K$2:K999),$K$2:$K$1001,0),0), INDEX($R$1004:$W$1004,1,MATCH(COLUMNS($R$1006:U1006),$R$1006:$W$1006,0)))),"Fix")))</f>
        <v>0</v>
      </c>
      <c r="F999" s="3">
        <f>IF(OR(INDEX($L$2:$L$1001,MATCH(ROWS($K$2:K999),$K$2:$K$1001,0),1)&gt;=100000,INDEX($R$1005:$W$1005,1,MATCH(COLUMNS($R$1006:V1006),$R$1006:$W$1006,0))&gt;=100000), " ",IF(INDEX($R$2:$W$1001,MATCH(ROWS($K$2:K999),$K$2:$K$1001,0),MATCH(COLUMNS($R$1006:V1006),$R$1006:$W$1006,0)), HYPERLINK("#",""), HYPERLINK(CONCATENATE("#Metadata!", ADDRESS(INDEX($M$2:$M$1001,MATCH(ROWS($K$2:K999),$K$2:$K$1001,0),0), INDEX($R$1004:$W$1004,1,MATCH(COLUMNS($R$1006:V1006),$R$1006:$W$1006,0)))),"Fix")))</f>
        <v>0</v>
      </c>
      <c r="G999" s="3">
        <f>IF(OR(INDEX($L$2:$L$1001,MATCH(ROWS($K$2:K999),$K$2:$K$1001,0),1)&gt;=100000,INDEX($R$1005:$W$1005,1,MATCH(COLUMNS($R$1006:W1006),$R$1006:$W$1006,0))&gt;=100000), " ",IF(INDEX($R$2:$W$1001,MATCH(ROWS($K$2:K999),$K$2:$K$1001,0),MATCH(COLUMNS($R$1006:W1006),$R$1006:$W$1006,0)), HYPERLINK("#",""), HYPERLINK(CONCATENATE("#Metadata!", ADDRESS(INDEX($M$2:$M$1001,MATCH(ROWS($K$2:K999),$K$2:$K$1001,0),0), INDEX($R$1004:$W$1004,1,MATCH(COLUMNS($R$1006:W1006),$R$1006:$W$1006,0)))),"Fix")))</f>
        <v>0</v>
      </c>
      <c r="K999">
        <v>0</v>
      </c>
      <c r="L999">
        <v>0</v>
      </c>
      <c r="M999">
        <v>0</v>
      </c>
      <c r="N999">
        <f>IF(O999,TRUE,AND(R999:W999))</f>
        <v>0</v>
      </c>
      <c r="O999">
        <f>COUNTBLANK(Metadata!B999:G999)=COLUMNS(Metadata!B999:G999)</f>
        <v>0</v>
      </c>
      <c r="P999">
        <v>0</v>
      </c>
      <c r="R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S999">
        <f>IF(Metadata!C999="",FALSE,TRUE)</f>
        <v>0</v>
      </c>
      <c r="T999">
        <f>IF(Metadata!D999="",FALSE,TRUE)</f>
        <v>0</v>
      </c>
      <c r="U999">
        <f>IF(Metadata!E999="",FALSE,TRUE)</f>
        <v>0</v>
      </c>
      <c r="V999">
        <f>AND(IF(Metadata!F999="",FALSE,TRUE),exact(Metadata!F999,"rat gut metagenome"))</f>
        <v>0</v>
      </c>
      <c r="W999">
        <f>AND(IF(Metadata!G999="",FALSE,TRUE),exact(Metadata!G999,"1436733"))</f>
        <v>0</v>
      </c>
    </row>
    <row r="1000" spans="1:23">
      <c r="A1000" s="4">
        <f>IF(B1000=" "," ",HYPERLINK(CONCATENATE("#metadata!",ADDRESS(INDEX($M$2:$M$1001,MATCH(ROWS($K$2:K1000),$K$2:$K$1001,0),0),1)),INDEX($P$2:$P$1001,MATCH(ROWS($K$2:K1000),$K$2:$K$1001,0),0)))</f>
        <v>0</v>
      </c>
      <c r="B1000" s="3">
        <f>IF(OR(INDEX($L$2:$L$1001,MATCH(ROWS($K$2:K1000),$K$2:$K$1001,0),1)&gt;=100000,INDEX($R$1005:$W$1005,1,MATCH(COLUMNS($R$1006:R1006),$R$1006:$W$1006,0))&gt;=100000), " ",IF(INDEX($R$2:$W$1001,MATCH(ROWS($K$2:K1000),$K$2:$K$1001,0),MATCH(COLUMNS($R$1006:R1006),$R$1006:$W$1006,0)), HYPERLINK("#",""), HYPERLINK(CONCATENATE("#Metadata!", ADDRESS(INDEX($M$2:$M$1001,MATCH(ROWS($K$2:K1000),$K$2:$K$1001,0),0), INDEX($R$1004:$W$1004,1,MATCH(COLUMNS($R$1006:R1006),$R$1006:$W$1006,0)))),"Fix")))</f>
        <v>0</v>
      </c>
      <c r="C1000" s="3">
        <f>IF(OR(INDEX($L$2:$L$1001,MATCH(ROWS($K$2:K1000),$K$2:$K$1001,0),1)&gt;=100000,INDEX($R$1005:$W$1005,1,MATCH(COLUMNS($R$1006:S1006),$R$1006:$W$1006,0))&gt;=100000), " ",IF(INDEX($R$2:$W$1001,MATCH(ROWS($K$2:K1000),$K$2:$K$1001,0),MATCH(COLUMNS($R$1006:S1006),$R$1006:$W$1006,0)), HYPERLINK("#",""), HYPERLINK(CONCATENATE("#Metadata!", ADDRESS(INDEX($M$2:$M$1001,MATCH(ROWS($K$2:K1000),$K$2:$K$1001,0),0), INDEX($R$1004:$W$1004,1,MATCH(COLUMNS($R$1006:S1006),$R$1006:$W$1006,0)))),"Fix")))</f>
        <v>0</v>
      </c>
      <c r="D1000" s="3">
        <f>IF(OR(INDEX($L$2:$L$1001,MATCH(ROWS($K$2:K1000),$K$2:$K$1001,0),1)&gt;=100000,INDEX($R$1005:$W$1005,1,MATCH(COLUMNS($R$1006:T1006),$R$1006:$W$1006,0))&gt;=100000), " ",IF(INDEX($R$2:$W$1001,MATCH(ROWS($K$2:K1000),$K$2:$K$1001,0),MATCH(COLUMNS($R$1006:T1006),$R$1006:$W$1006,0)), HYPERLINK("#",""), HYPERLINK(CONCATENATE("#Metadata!", ADDRESS(INDEX($M$2:$M$1001,MATCH(ROWS($K$2:K1000),$K$2:$K$1001,0),0), INDEX($R$1004:$W$1004,1,MATCH(COLUMNS($R$1006:T1006),$R$1006:$W$1006,0)))),"Fix")))</f>
        <v>0</v>
      </c>
      <c r="E1000" s="3">
        <f>IF(OR(INDEX($L$2:$L$1001,MATCH(ROWS($K$2:K1000),$K$2:$K$1001,0),1)&gt;=100000,INDEX($R$1005:$W$1005,1,MATCH(COLUMNS($R$1006:U1006),$R$1006:$W$1006,0))&gt;=100000), " ",IF(INDEX($R$2:$W$1001,MATCH(ROWS($K$2:K1000),$K$2:$K$1001,0),MATCH(COLUMNS($R$1006:U1006),$R$1006:$W$1006,0)), HYPERLINK("#",""), HYPERLINK(CONCATENATE("#Metadata!", ADDRESS(INDEX($M$2:$M$1001,MATCH(ROWS($K$2:K1000),$K$2:$K$1001,0),0), INDEX($R$1004:$W$1004,1,MATCH(COLUMNS($R$1006:U1006),$R$1006:$W$1006,0)))),"Fix")))</f>
        <v>0</v>
      </c>
      <c r="F1000" s="3">
        <f>IF(OR(INDEX($L$2:$L$1001,MATCH(ROWS($K$2:K1000),$K$2:$K$1001,0),1)&gt;=100000,INDEX($R$1005:$W$1005,1,MATCH(COLUMNS($R$1006:V1006),$R$1006:$W$1006,0))&gt;=100000), " ",IF(INDEX($R$2:$W$1001,MATCH(ROWS($K$2:K1000),$K$2:$K$1001,0),MATCH(COLUMNS($R$1006:V1006),$R$1006:$W$1006,0)), HYPERLINK("#",""), HYPERLINK(CONCATENATE("#Metadata!", ADDRESS(INDEX($M$2:$M$1001,MATCH(ROWS($K$2:K1000),$K$2:$K$1001,0),0), INDEX($R$1004:$W$1004,1,MATCH(COLUMNS($R$1006:V1006),$R$1006:$W$1006,0)))),"Fix")))</f>
        <v>0</v>
      </c>
      <c r="G1000" s="3">
        <f>IF(OR(INDEX($L$2:$L$1001,MATCH(ROWS($K$2:K1000),$K$2:$K$1001,0),1)&gt;=100000,INDEX($R$1005:$W$1005,1,MATCH(COLUMNS($R$1006:W1006),$R$1006:$W$1006,0))&gt;=100000), " ",IF(INDEX($R$2:$W$1001,MATCH(ROWS($K$2:K1000),$K$2:$K$1001,0),MATCH(COLUMNS($R$1006:W1006),$R$1006:$W$1006,0)), HYPERLINK("#",""), HYPERLINK(CONCATENATE("#Metadata!", ADDRESS(INDEX($M$2:$M$1001,MATCH(ROWS($K$2:K1000),$K$2:$K$1001,0),0), INDEX($R$1004:$W$1004,1,MATCH(COLUMNS($R$1006:W1006),$R$1006:$W$1006,0)))),"Fix")))</f>
        <v>0</v>
      </c>
      <c r="K1000">
        <v>0</v>
      </c>
      <c r="L1000">
        <v>0</v>
      </c>
      <c r="M1000">
        <v>0</v>
      </c>
      <c r="N1000">
        <f>IF(O1000,TRUE,AND(R1000:W1000))</f>
        <v>0</v>
      </c>
      <c r="O1000">
        <f>COUNTBLANK(Metadata!B1000:G1000)=COLUMNS(Metadata!B1000:G1000)</f>
        <v>0</v>
      </c>
      <c r="P1000">
        <v>0</v>
      </c>
      <c r="R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S1000">
        <f>IF(Metadata!C1000="",FALSE,TRUE)</f>
        <v>0</v>
      </c>
      <c r="T1000">
        <f>IF(Metadata!D1000="",FALSE,TRUE)</f>
        <v>0</v>
      </c>
      <c r="U1000">
        <f>IF(Metadata!E1000="",FALSE,TRUE)</f>
        <v>0</v>
      </c>
      <c r="V1000">
        <f>AND(IF(Metadata!F1000="",FALSE,TRUE),exact(Metadata!F1000,"rat gut metagenome"))</f>
        <v>0</v>
      </c>
      <c r="W1000">
        <f>AND(IF(Metadata!G1000="",FALSE,TRUE),exact(Metadata!G1000,"1436733"))</f>
        <v>0</v>
      </c>
    </row>
    <row r="1001" spans="1:23">
      <c r="A1001" s="4">
        <f>IF(B1001=" "," ",HYPERLINK(CONCATENATE("#metadata!",ADDRESS(INDEX($M$2:$M$1001,MATCH(ROWS($K$2:K1001),$K$2:$K$1001,0),0),1)),INDEX($P$2:$P$1001,MATCH(ROWS($K$2:K1001),$K$2:$K$1001,0),0)))</f>
        <v>0</v>
      </c>
      <c r="B1001" s="3">
        <f>IF(OR(INDEX($L$2:$L$1001,MATCH(ROWS($K$2:K1001),$K$2:$K$1001,0),1)&gt;=100000,INDEX($R$1005:$W$1005,1,MATCH(COLUMNS($R$1006:R1006),$R$1006:$W$1006,0))&gt;=100000), " ",IF(INDEX($R$2:$W$1001,MATCH(ROWS($K$2:K1001),$K$2:$K$1001,0),MATCH(COLUMNS($R$1006:R1006),$R$1006:$W$1006,0)), HYPERLINK("#",""), HYPERLINK(CONCATENATE("#Metadata!", ADDRESS(INDEX($M$2:$M$1001,MATCH(ROWS($K$2:K1001),$K$2:$K$1001,0),0), INDEX($R$1004:$W$1004,1,MATCH(COLUMNS($R$1006:R1006),$R$1006:$W$1006,0)))),"Fix")))</f>
        <v>0</v>
      </c>
      <c r="C1001" s="3">
        <f>IF(OR(INDEX($L$2:$L$1001,MATCH(ROWS($K$2:K1001),$K$2:$K$1001,0),1)&gt;=100000,INDEX($R$1005:$W$1005,1,MATCH(COLUMNS($R$1006:S1006),$R$1006:$W$1006,0))&gt;=100000), " ",IF(INDEX($R$2:$W$1001,MATCH(ROWS($K$2:K1001),$K$2:$K$1001,0),MATCH(COLUMNS($R$1006:S1006),$R$1006:$W$1006,0)), HYPERLINK("#",""), HYPERLINK(CONCATENATE("#Metadata!", ADDRESS(INDEX($M$2:$M$1001,MATCH(ROWS($K$2:K1001),$K$2:$K$1001,0),0), INDEX($R$1004:$W$1004,1,MATCH(COLUMNS($R$1006:S1006),$R$1006:$W$1006,0)))),"Fix")))</f>
        <v>0</v>
      </c>
      <c r="D1001" s="3">
        <f>IF(OR(INDEX($L$2:$L$1001,MATCH(ROWS($K$2:K1001),$K$2:$K$1001,0),1)&gt;=100000,INDEX($R$1005:$W$1005,1,MATCH(COLUMNS($R$1006:T1006),$R$1006:$W$1006,0))&gt;=100000), " ",IF(INDEX($R$2:$W$1001,MATCH(ROWS($K$2:K1001),$K$2:$K$1001,0),MATCH(COLUMNS($R$1006:T1006),$R$1006:$W$1006,0)), HYPERLINK("#",""), HYPERLINK(CONCATENATE("#Metadata!", ADDRESS(INDEX($M$2:$M$1001,MATCH(ROWS($K$2:K1001),$K$2:$K$1001,0),0), INDEX($R$1004:$W$1004,1,MATCH(COLUMNS($R$1006:T1006),$R$1006:$W$1006,0)))),"Fix")))</f>
        <v>0</v>
      </c>
      <c r="E1001" s="3">
        <f>IF(OR(INDEX($L$2:$L$1001,MATCH(ROWS($K$2:K1001),$K$2:$K$1001,0),1)&gt;=100000,INDEX($R$1005:$W$1005,1,MATCH(COLUMNS($R$1006:U1006),$R$1006:$W$1006,0))&gt;=100000), " ",IF(INDEX($R$2:$W$1001,MATCH(ROWS($K$2:K1001),$K$2:$K$1001,0),MATCH(COLUMNS($R$1006:U1006),$R$1006:$W$1006,0)), HYPERLINK("#",""), HYPERLINK(CONCATENATE("#Metadata!", ADDRESS(INDEX($M$2:$M$1001,MATCH(ROWS($K$2:K1001),$K$2:$K$1001,0),0), INDEX($R$1004:$W$1004,1,MATCH(COLUMNS($R$1006:U1006),$R$1006:$W$1006,0)))),"Fix")))</f>
        <v>0</v>
      </c>
      <c r="F1001" s="3">
        <f>IF(OR(INDEX($L$2:$L$1001,MATCH(ROWS($K$2:K1001),$K$2:$K$1001,0),1)&gt;=100000,INDEX($R$1005:$W$1005,1,MATCH(COLUMNS($R$1006:V1006),$R$1006:$W$1006,0))&gt;=100000), " ",IF(INDEX($R$2:$W$1001,MATCH(ROWS($K$2:K1001),$K$2:$K$1001,0),MATCH(COLUMNS($R$1006:V1006),$R$1006:$W$1006,0)), HYPERLINK("#",""), HYPERLINK(CONCATENATE("#Metadata!", ADDRESS(INDEX($M$2:$M$1001,MATCH(ROWS($K$2:K1001),$K$2:$K$1001,0),0), INDEX($R$1004:$W$1004,1,MATCH(COLUMNS($R$1006:V1006),$R$1006:$W$1006,0)))),"Fix")))</f>
        <v>0</v>
      </c>
      <c r="G1001" s="3">
        <f>IF(OR(INDEX($L$2:$L$1001,MATCH(ROWS($K$2:K1001),$K$2:$K$1001,0),1)&gt;=100000,INDEX($R$1005:$W$1005,1,MATCH(COLUMNS($R$1006:W1006),$R$1006:$W$1006,0))&gt;=100000), " ",IF(INDEX($R$2:$W$1001,MATCH(ROWS($K$2:K1001),$K$2:$K$1001,0),MATCH(COLUMNS($R$1006:W1006),$R$1006:$W$1006,0)), HYPERLINK("#",""), HYPERLINK(CONCATENATE("#Metadata!", ADDRESS(INDEX($M$2:$M$1001,MATCH(ROWS($K$2:K1001),$K$2:$K$1001,0),0), INDEX($R$1004:$W$1004,1,MATCH(COLUMNS($R$1006:W1006),$R$1006:$W$1006,0)))),"Fix")))</f>
        <v>0</v>
      </c>
      <c r="K1001">
        <v>0</v>
      </c>
      <c r="L1001">
        <v>0</v>
      </c>
      <c r="M1001">
        <v>0</v>
      </c>
      <c r="N1001">
        <f>IF(O1001,TRUE,AND(R1001:W1001))</f>
        <v>0</v>
      </c>
      <c r="O1001">
        <f>COUNTBLANK(Metadata!B1001:G1001)=COLUMNS(Metadata!B1001:G1001)</f>
        <v>0</v>
      </c>
      <c r="P1001">
        <v>0</v>
      </c>
      <c r="R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S1001">
        <f>IF(Metadata!C1001="",FALSE,TRUE)</f>
        <v>0</v>
      </c>
      <c r="T1001">
        <f>IF(Metadata!D1001="",FALSE,TRUE)</f>
        <v>0</v>
      </c>
      <c r="U1001">
        <f>IF(Metadata!E1001="",FALSE,TRUE)</f>
        <v>0</v>
      </c>
      <c r="V1001">
        <f>AND(IF(Metadata!F1001="",FALSE,TRUE),exact(Metadata!F1001,"rat gut metagenome"))</f>
        <v>0</v>
      </c>
      <c r="W1001">
        <f>AND(IF(Metadata!G1001="",FALSE,TRUE),exact(Metadata!G1001,"1436733"))</f>
        <v>0</v>
      </c>
    </row>
    <row r="1003" spans="1:23">
      <c r="Q1003" s="2" t="s">
        <v>13</v>
      </c>
      <c r="R1003">
        <f t="array" ref="R1003">AND(IF($O2:$O1001,TRUE,R2:R1001))</f>
        <v>0</v>
      </c>
      <c r="S1003">
        <f t="array" ref="S1003">AND(IF($O2:$O1001,TRUE,S2:S1001))</f>
        <v>0</v>
      </c>
      <c r="T1003">
        <f t="array" ref="T1003">AND(IF($O2:$O1001,TRUE,T2:T1001))</f>
        <v>0</v>
      </c>
      <c r="U1003">
        <f t="array" ref="U1003">AND(IF($O2:$O1001,TRUE,U2:U1001))</f>
        <v>0</v>
      </c>
      <c r="V1003">
        <f t="array" ref="V1003">AND(IF($O2:$O1001,TRUE,V2:V1001))</f>
        <v>0</v>
      </c>
      <c r="W1003">
        <f t="array" ref="W1003">AND(IF($O2:$O1001,TRUE,W2:W1001))</f>
        <v>0</v>
      </c>
    </row>
    <row r="1004" spans="1:23">
      <c r="Q1004" s="2" t="s">
        <v>14</v>
      </c>
      <c r="R1004">
        <f t="array" ref="R1004:W1004">COLUMN(Metadata!B1004:G1004)</f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Q1005" s="2" t="s">
        <v>15</v>
      </c>
      <c r="R1005">
        <f t="array" ref="R1005:W1005">INT(R1003:W1003)*100000+$R$1004:$W$1004</f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Q1006" s="2" t="s">
        <v>16</v>
      </c>
      <c r="R1006">
        <f t="array" ref="R1006:W1006">COUNTIF($R1005:$W1005,"&lt;="&amp;R$1005:W1005)</f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</sheetData>
  <sheetProtection password="EE32" sheet="1" objects="1" scenarios="1"/>
  <conditionalFormatting sqref="B2:G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17</v>
      </c>
      <c r="B1" s="2" t="s">
        <v>18</v>
      </c>
    </row>
    <row r="2" spans="1:2">
      <c r="A2" s="2" t="s">
        <v>1</v>
      </c>
      <c r="B2" t="s">
        <v>19</v>
      </c>
    </row>
    <row r="3" spans="1:2">
      <c r="A3" s="2" t="s">
        <v>3</v>
      </c>
      <c r="B3" t="s">
        <v>20</v>
      </c>
    </row>
    <row r="4" spans="1:2">
      <c r="A4" s="2" t="s">
        <v>4</v>
      </c>
      <c r="B4" t="s">
        <v>21</v>
      </c>
    </row>
    <row r="5" spans="1:2">
      <c r="A5" s="2" t="s">
        <v>5</v>
      </c>
      <c r="B5" t="s">
        <v>22</v>
      </c>
    </row>
    <row r="6" spans="1:2">
      <c r="A6" s="2" t="s">
        <v>6</v>
      </c>
      <c r="B6" t="s">
        <v>23</v>
      </c>
    </row>
    <row r="7" spans="1:2">
      <c r="A7" s="2" t="s">
        <v>7</v>
      </c>
      <c r="B7" t="s">
        <v>24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25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26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27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2018-08-24T16:36:21Z</dcterms:created>
  <dcterms:modified xsi:type="dcterms:W3CDTF">2018-08-24T16:36:21Z</dcterms:modified>
</cp:coreProperties>
</file>