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gvaps1\USR6\CHGE\desktop\"/>
    </mc:Choice>
  </mc:AlternateContent>
  <xr:revisionPtr revIDLastSave="0" documentId="13_ncr:1_{DC19B64E-0328-40C3-9B43-B7BCD40E836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29" i="2" l="1"/>
  <c r="D57" i="2"/>
  <c r="O35" i="2"/>
  <c r="C57" i="2"/>
  <c r="D97" i="2"/>
  <c r="O141" i="2"/>
  <c r="C90" i="2"/>
  <c r="C83" i="2"/>
  <c r="D129" i="2"/>
  <c r="O83" i="2"/>
  <c r="C97" i="2"/>
  <c r="O110" i="2"/>
  <c r="D100" i="2"/>
  <c r="D141" i="2"/>
  <c r="D87" i="2"/>
  <c r="O90" i="2"/>
  <c r="C110" i="2"/>
  <c r="O87" i="2"/>
  <c r="O100" i="2"/>
  <c r="D110" i="2"/>
  <c r="D90" i="2"/>
  <c r="D35" i="2"/>
  <c r="C100" i="2"/>
  <c r="O97" i="2"/>
  <c r="O57" i="2"/>
  <c r="C141" i="2"/>
  <c r="C87" i="2"/>
  <c r="C35" i="2"/>
  <c r="O129" i="2"/>
  <c r="D83" i="2"/>
  <c r="C67" i="2"/>
  <c r="D73" i="2"/>
  <c r="D152" i="2"/>
  <c r="D63" i="2"/>
  <c r="C73" i="2"/>
  <c r="O151" i="2"/>
  <c r="C63" i="2"/>
  <c r="C70" i="2"/>
  <c r="D107" i="2"/>
  <c r="D70" i="2"/>
  <c r="C151" i="2"/>
  <c r="O70" i="2"/>
  <c r="D151" i="2"/>
  <c r="O80" i="2"/>
  <c r="D121" i="2"/>
  <c r="O152" i="2"/>
  <c r="O121" i="2"/>
  <c r="C152" i="2"/>
  <c r="O107" i="2"/>
  <c r="D67" i="2"/>
  <c r="C107" i="2"/>
  <c r="C81" i="2"/>
  <c r="D80" i="2"/>
  <c r="C121" i="2"/>
  <c r="C80" i="2"/>
  <c r="O63" i="2"/>
  <c r="O67" i="2"/>
  <c r="D81" i="2"/>
  <c r="O73" i="2"/>
  <c r="O81" i="2"/>
  <c r="D60" i="2"/>
  <c r="D69" i="2"/>
  <c r="O39" i="2"/>
  <c r="D103" i="2"/>
  <c r="O69" i="2"/>
  <c r="O49" i="2"/>
  <c r="D89" i="2"/>
  <c r="D39" i="2"/>
  <c r="C49" i="2"/>
  <c r="C45" i="2"/>
  <c r="O89" i="2"/>
  <c r="O60" i="2"/>
  <c r="C93" i="2"/>
  <c r="O37" i="2"/>
  <c r="D37" i="2"/>
  <c r="C103" i="2"/>
  <c r="O53" i="2"/>
  <c r="D45" i="2"/>
  <c r="D53" i="2"/>
  <c r="D93" i="2"/>
  <c r="O103" i="2"/>
  <c r="O93" i="2"/>
  <c r="O45" i="2"/>
  <c r="C39" i="2"/>
  <c r="D49" i="2"/>
  <c r="C60" i="2"/>
  <c r="C89" i="2"/>
  <c r="C37" i="2"/>
  <c r="C53" i="2"/>
  <c r="C69" i="2"/>
  <c r="D99" i="2"/>
  <c r="D71" i="2"/>
  <c r="O123" i="2"/>
  <c r="O132" i="2"/>
  <c r="D77" i="2"/>
  <c r="C132" i="2"/>
  <c r="O77" i="2"/>
  <c r="C71" i="2"/>
  <c r="C28" i="2"/>
  <c r="C149" i="2"/>
  <c r="O111" i="2"/>
  <c r="O99" i="2"/>
  <c r="C143" i="2"/>
  <c r="D28" i="2"/>
  <c r="D149" i="2"/>
  <c r="O143" i="2"/>
  <c r="D48" i="2"/>
  <c r="C133" i="2"/>
  <c r="C48" i="2"/>
  <c r="D111" i="2"/>
  <c r="D133" i="2"/>
  <c r="D123" i="2"/>
  <c r="C99" i="2"/>
  <c r="O48" i="2"/>
  <c r="O71" i="2"/>
  <c r="C111" i="2"/>
  <c r="O133" i="2"/>
  <c r="O28" i="2"/>
  <c r="O149" i="2"/>
  <c r="C77" i="2"/>
  <c r="C123" i="2"/>
  <c r="D132" i="2"/>
  <c r="D143" i="2"/>
  <c r="D118" i="2"/>
  <c r="D91" i="2"/>
  <c r="O142" i="2"/>
  <c r="C119" i="2"/>
  <c r="C79" i="2"/>
  <c r="D61" i="2"/>
  <c r="D59" i="2"/>
  <c r="C91" i="2"/>
  <c r="O61" i="2"/>
  <c r="C145" i="2"/>
  <c r="C59" i="2"/>
  <c r="O113" i="2"/>
  <c r="O139" i="2"/>
  <c r="O118" i="2"/>
  <c r="D113" i="2"/>
  <c r="O79" i="2"/>
  <c r="C139" i="2"/>
  <c r="D119" i="2"/>
  <c r="C142" i="2"/>
  <c r="D142" i="2"/>
  <c r="O91" i="2"/>
  <c r="D139" i="2"/>
  <c r="C61" i="2"/>
  <c r="O145" i="2"/>
  <c r="C113" i="2"/>
  <c r="D145" i="2"/>
  <c r="O59" i="2"/>
  <c r="C118" i="2"/>
  <c r="D79" i="2"/>
  <c r="O119" i="2"/>
  <c r="C109" i="2"/>
  <c r="D131" i="2"/>
  <c r="D125" i="2"/>
  <c r="C128" i="2"/>
  <c r="O38" i="2"/>
  <c r="O101" i="2"/>
  <c r="D50" i="2"/>
  <c r="C41" i="2"/>
  <c r="O125" i="2"/>
  <c r="O122" i="2"/>
  <c r="O41" i="2"/>
  <c r="C131" i="2"/>
  <c r="D122" i="2"/>
  <c r="C50" i="2"/>
  <c r="D109" i="2"/>
  <c r="O128" i="2"/>
  <c r="D101" i="2"/>
  <c r="C38" i="2"/>
  <c r="O131" i="2"/>
  <c r="D128" i="2"/>
  <c r="C101" i="2"/>
  <c r="C125" i="2"/>
  <c r="D47" i="2"/>
  <c r="O47" i="2"/>
  <c r="D41" i="2"/>
  <c r="O109" i="2"/>
  <c r="C122" i="2"/>
  <c r="O50" i="2"/>
  <c r="C47" i="2"/>
  <c r="D38" i="2"/>
  <c r="C135" i="2"/>
  <c r="C51" i="2"/>
  <c r="O135" i="2"/>
  <c r="O51" i="2"/>
  <c r="D135" i="2"/>
  <c r="D51" i="2"/>
  <c r="I149" i="2"/>
  <c r="H131" i="2"/>
  <c r="P111" i="2"/>
  <c r="I93" i="2"/>
  <c r="H77" i="2"/>
  <c r="P57" i="2"/>
  <c r="I39" i="2"/>
  <c r="I53" i="2"/>
  <c r="P109" i="2"/>
  <c r="I109" i="2"/>
  <c r="I89" i="2"/>
  <c r="I35" i="2"/>
  <c r="H142" i="2"/>
  <c r="H107" i="2"/>
  <c r="H123" i="2"/>
  <c r="I49" i="2"/>
  <c r="P61" i="2"/>
  <c r="P152" i="2"/>
  <c r="P60" i="2"/>
  <c r="P132" i="2"/>
  <c r="P97" i="2"/>
  <c r="H149" i="2"/>
  <c r="P129" i="2"/>
  <c r="I111" i="2"/>
  <c r="H93" i="2"/>
  <c r="P73" i="2"/>
  <c r="I57" i="2"/>
  <c r="H39" i="2"/>
  <c r="H71" i="2"/>
  <c r="I37" i="2"/>
  <c r="P125" i="2"/>
  <c r="P69" i="2"/>
  <c r="P141" i="2"/>
  <c r="P87" i="2"/>
  <c r="P79" i="2"/>
  <c r="P151" i="2"/>
  <c r="P145" i="2"/>
  <c r="I129" i="2"/>
  <c r="H111" i="2"/>
  <c r="P91" i="2"/>
  <c r="I73" i="2"/>
  <c r="H57" i="2"/>
  <c r="P38" i="2"/>
  <c r="P70" i="2"/>
  <c r="I125" i="2"/>
  <c r="P89" i="2"/>
  <c r="P35" i="2"/>
  <c r="P107" i="2"/>
  <c r="H70" i="2"/>
  <c r="P123" i="2"/>
  <c r="H89" i="2"/>
  <c r="I50" i="2"/>
  <c r="I69" i="2"/>
  <c r="I145" i="2"/>
  <c r="H129" i="2"/>
  <c r="P110" i="2"/>
  <c r="I91" i="2"/>
  <c r="H73" i="2"/>
  <c r="P53" i="2"/>
  <c r="I38" i="2"/>
  <c r="H145" i="2"/>
  <c r="P128" i="2"/>
  <c r="I110" i="2"/>
  <c r="H91" i="2"/>
  <c r="P71" i="2"/>
  <c r="H38" i="2"/>
  <c r="H143" i="2"/>
  <c r="I51" i="2"/>
  <c r="P142" i="2"/>
  <c r="H51" i="2"/>
  <c r="I142" i="2"/>
  <c r="H125" i="2"/>
  <c r="I103" i="2"/>
  <c r="P67" i="2"/>
  <c r="I61" i="2"/>
  <c r="H133" i="2"/>
  <c r="P143" i="2"/>
  <c r="I128" i="2"/>
  <c r="H110" i="2"/>
  <c r="P90" i="2"/>
  <c r="I71" i="2"/>
  <c r="H53" i="2"/>
  <c r="P37" i="2"/>
  <c r="I143" i="2"/>
  <c r="H128" i="2"/>
  <c r="I90" i="2"/>
  <c r="P51" i="2"/>
  <c r="H90" i="2"/>
  <c r="H37" i="2"/>
  <c r="H109" i="2"/>
  <c r="I70" i="2"/>
  <c r="P50" i="2"/>
  <c r="P103" i="2"/>
  <c r="P49" i="2"/>
  <c r="P122" i="2"/>
  <c r="H28" i="2"/>
  <c r="H47" i="2"/>
  <c r="I80" i="2"/>
  <c r="I107" i="2"/>
  <c r="H35" i="2"/>
  <c r="I123" i="2"/>
  <c r="H50" i="2"/>
  <c r="P28" i="2"/>
  <c r="I141" i="2"/>
  <c r="I87" i="2"/>
  <c r="H69" i="2"/>
  <c r="I28" i="2"/>
  <c r="H87" i="2"/>
  <c r="H81" i="2"/>
  <c r="P45" i="2"/>
  <c r="I99" i="2"/>
  <c r="H45" i="2"/>
  <c r="I132" i="2"/>
  <c r="H141" i="2"/>
  <c r="H80" i="2"/>
  <c r="H60" i="2"/>
  <c r="P139" i="2"/>
  <c r="I122" i="2"/>
  <c r="H103" i="2"/>
  <c r="P83" i="2"/>
  <c r="I67" i="2"/>
  <c r="H49" i="2"/>
  <c r="I139" i="2"/>
  <c r="H122" i="2"/>
  <c r="P101" i="2"/>
  <c r="I83" i="2"/>
  <c r="H67" i="2"/>
  <c r="P48" i="2"/>
  <c r="H139" i="2"/>
  <c r="H83" i="2"/>
  <c r="I48" i="2"/>
  <c r="I118" i="2"/>
  <c r="P121" i="2"/>
  <c r="I101" i="2"/>
  <c r="P63" i="2"/>
  <c r="P135" i="2"/>
  <c r="I121" i="2"/>
  <c r="H101" i="2"/>
  <c r="P81" i="2"/>
  <c r="I63" i="2"/>
  <c r="H48" i="2"/>
  <c r="I135" i="2"/>
  <c r="H121" i="2"/>
  <c r="P100" i="2"/>
  <c r="P47" i="2"/>
  <c r="P119" i="2"/>
  <c r="I100" i="2"/>
  <c r="I79" i="2"/>
  <c r="P59" i="2"/>
  <c r="I81" i="2"/>
  <c r="H63" i="2"/>
  <c r="H135" i="2"/>
  <c r="I47" i="2"/>
  <c r="I133" i="2"/>
  <c r="I45" i="2"/>
  <c r="I60" i="2"/>
  <c r="P133" i="2"/>
  <c r="I119" i="2"/>
  <c r="H100" i="2"/>
  <c r="P80" i="2"/>
  <c r="H119" i="2"/>
  <c r="H61" i="2"/>
  <c r="H99" i="2"/>
  <c r="P99" i="2"/>
  <c r="I152" i="2"/>
  <c r="P118" i="2"/>
  <c r="P41" i="2"/>
  <c r="H152" i="2"/>
  <c r="H118" i="2"/>
  <c r="I151" i="2"/>
  <c r="H132" i="2"/>
  <c r="P113" i="2"/>
  <c r="I97" i="2"/>
  <c r="H79" i="2"/>
  <c r="I41" i="2"/>
  <c r="H151" i="2"/>
  <c r="P131" i="2"/>
  <c r="I113" i="2"/>
  <c r="H97" i="2"/>
  <c r="P77" i="2"/>
  <c r="I59" i="2"/>
  <c r="H41" i="2"/>
  <c r="P93" i="2"/>
  <c r="I77" i="2"/>
  <c r="H59" i="2"/>
  <c r="P39" i="2"/>
  <c r="P149" i="2"/>
  <c r="I131" i="2"/>
  <c r="H113" i="2"/>
</calcChain>
</file>

<file path=xl/sharedStrings.xml><?xml version="1.0" encoding="utf-8"?>
<sst xmlns="http://schemas.openxmlformats.org/spreadsheetml/2006/main" count="372" uniqueCount="85">
  <si>
    <t>Ticker</t>
  </si>
  <si>
    <t>Date</t>
  </si>
  <si>
    <t>Last</t>
  </si>
  <si>
    <t>Vol</t>
  </si>
  <si>
    <t>Cover Ratio</t>
  </si>
  <si>
    <t>Mkt Diff</t>
  </si>
  <si>
    <t>Total Bids (Volume)</t>
  </si>
  <si>
    <t>Min</t>
  </si>
  <si>
    <t>Max</t>
  </si>
  <si>
    <t>Mean</t>
  </si>
  <si>
    <t>Median</t>
  </si>
  <si>
    <t>Sel. Bids</t>
  </si>
  <si>
    <t>Tot Bids</t>
  </si>
  <si>
    <t>Grouping</t>
  </si>
  <si>
    <t>Dt Last Updt</t>
  </si>
  <si>
    <t>Time</t>
  </si>
  <si>
    <t>UKA  (1)</t>
  </si>
  <si>
    <t>UKA (ICE)</t>
  </si>
  <si>
    <t>08/20/2025</t>
  </si>
  <si>
    <t>0. Summary</t>
  </si>
  <si>
    <t>EUA &amp; EUAA Phase 4  (12)</t>
  </si>
  <si>
    <t>EUA Phase 4</t>
  </si>
  <si>
    <t>All EEX</t>
  </si>
  <si>
    <t>08/25/2025</t>
  </si>
  <si>
    <t>- Germany</t>
  </si>
  <si>
    <t>08/22/2025</t>
  </si>
  <si>
    <t>- EU &amp; Poland</t>
  </si>
  <si>
    <t xml:space="preserve"> - EU</t>
  </si>
  <si>
    <t xml:space="preserve"> - Poland</t>
  </si>
  <si>
    <t>- Northern Ireland</t>
  </si>
  <si>
    <t>10/02/2024</t>
  </si>
  <si>
    <t>EUAA Phase 4</t>
  </si>
  <si>
    <t>EEX</t>
  </si>
  <si>
    <t>- EU</t>
  </si>
  <si>
    <t>12/11/2024</t>
  </si>
  <si>
    <t>California and Quebec Auctions  (3)</t>
  </si>
  <si>
    <t>California Air Resources Board</t>
  </si>
  <si>
    <t>- Current Auction</t>
  </si>
  <si>
    <t>05/21/2025</t>
  </si>
  <si>
    <t>- Advance Auction</t>
  </si>
  <si>
    <t>RGGI Auctions  (1)</t>
  </si>
  <si>
    <t>RGGI</t>
  </si>
  <si>
    <t>06/04/2025</t>
  </si>
  <si>
    <t>Australia Carbon Credit Unit (ACCU) Auction  (1)</t>
  </si>
  <si>
    <t>ACCU</t>
  </si>
  <si>
    <t>03/31/2023</t>
  </si>
  <si>
    <t>Auction Calendar data available in ECO &lt;GO&gt;</t>
  </si>
  <si>
    <t>The securities available in this screen include data for Phase 3 and 4</t>
  </si>
  <si>
    <t>1. UK (ICE)  (8)</t>
  </si>
  <si>
    <t>Last Price</t>
  </si>
  <si>
    <t>Volume</t>
  </si>
  <si>
    <t>1. UK (ICE)</t>
  </si>
  <si>
    <t>Auction Price</t>
  </si>
  <si>
    <t>Last Value</t>
  </si>
  <si>
    <t>Successful Bidders</t>
  </si>
  <si>
    <t>Total Bidders</t>
  </si>
  <si>
    <t>Total Bids</t>
  </si>
  <si>
    <t>2. All EEX  (10)</t>
  </si>
  <si>
    <t>2. All EEX</t>
  </si>
  <si>
    <t>Total Bids Volume</t>
  </si>
  <si>
    <t>3. Germany  (8)</t>
  </si>
  <si>
    <t>3. Germany</t>
  </si>
  <si>
    <t>4. EU &amp; Poland  (8)</t>
  </si>
  <si>
    <t>4. EU &amp; Poland</t>
  </si>
  <si>
    <t>5. EU  (8)</t>
  </si>
  <si>
    <t>5. EU</t>
  </si>
  <si>
    <t>6. Poland  (8)</t>
  </si>
  <si>
    <t>6. Poland</t>
  </si>
  <si>
    <t>7. Northern Ireland  (8)</t>
  </si>
  <si>
    <t>7. Northern Ireland</t>
  </si>
  <si>
    <t>Price</t>
  </si>
  <si>
    <t>8. EUAA Phase 4  (8)</t>
  </si>
  <si>
    <t>8. EUAA Phase 4</t>
  </si>
  <si>
    <t>9. California and Quebec Auctions  (20)</t>
  </si>
  <si>
    <t>Current Auction</t>
  </si>
  <si>
    <t>9. California and Quebec Auctions</t>
  </si>
  <si>
    <t>Auction Floor Price</t>
  </si>
  <si>
    <t>Settlement Price</t>
  </si>
  <si>
    <t>Advance Auction</t>
  </si>
  <si>
    <t>10. RGGI Auctions  (8)</t>
  </si>
  <si>
    <t>10. RGGI Auctions</t>
  </si>
  <si>
    <t>Clearing Price</t>
  </si>
  <si>
    <t>RGGI Mean</t>
  </si>
  <si>
    <t>11. Australia Carbon Credit Unit (ACCU) Auction  (5)</t>
  </si>
  <si>
    <t>Projects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</si>
</sst>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4">
    <xf numFmtId="0" fontId="0" fillId="0" borderId="0" xfId="0"/>
    <xf numFmtId="0" fontId="2" fillId="33" borderId="0" xfId="26" applyNumberFormat="1" applyFont="1" applyFill="1" applyBorder="1" applyAlignment="1" applyProtection="1"/>
    <xf numFmtId="0" fontId="1" fillId="34" borderId="0" xfId="27" applyNumberFormat="1" applyFont="1" applyFill="1" applyBorder="1" applyAlignment="1" applyProtection="1"/>
    <xf numFmtId="0" fontId="0" fillId="0" borderId="0" xfId="0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row_header" xfId="27" xr:uid="{00000000-0005-0000-0000-00001A000000}"/>
    <cellStyle name="Calculation" xfId="28" builtinId="22" customBuiltin="1"/>
    <cellStyle name="Check Cell" xfId="29" builtinId="23" customBuiltin="1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11:00:00</v>
        <stp/>
        <stp>BDP|3018607617448695053|22</stp>
        <stp>EEX3SCCB Index</stp>
        <stp>TIME</stp>
        <tr r="P50" s="2"/>
      </tp>
      <tp t="s">
        <v>#N/A Real Time</v>
        <stp/>
        <stp>BDP|17563191731689460255|22</stp>
        <stp>EEX3MDAA Index</stp>
        <stp>BID</stp>
        <tr r="H111" s="2"/>
      </tp>
      <tp t="s">
        <v>#N/A Real Time</v>
        <stp/>
        <stp>BDP|14290090959011407672|22</stp>
        <stp>EEX3PMNI Index</stp>
        <stp>BID</stp>
        <tr r="H97" s="2"/>
      </tp>
      <tp t="s">
        <v>#N/A Real Time</v>
        <stp/>
        <stp>BDP|14767400977175974650|22</stp>
        <stp>EEX3CRAA Index</stp>
        <stp>ASK</stp>
        <tr r="I109" s="2"/>
      </tp>
      <tp t="s">
        <v>20.08.2025</v>
        <stp/>
        <stp>BDP|3943920066704382928|22</stp>
        <stp>UKATOBID Index</stp>
        <stp>TIME</stp>
        <tr r="P39" s="2"/>
      </tp>
      <tp t="s">
        <v>#N/A Real Time</v>
        <stp/>
        <stp>BDP|14860084446475374009|22</stp>
        <stp>EEX3MDNI Index</stp>
        <stp>BID</stp>
        <tr r="H101" s="2"/>
      </tp>
      <tp t="s">
        <v>20.08.2025</v>
        <stp/>
        <stp>BDP|5088816692015618598|22</stp>
        <stp>UKACORAT Index</stp>
        <stp>TIME</stp>
        <tr r="P37" s="2"/>
      </tp>
      <tp t="s">
        <v>#N/A Real Time</v>
        <stp/>
        <stp>BDP|15820463526493687988|22</stp>
        <stp>EEX3MDAA Index</stp>
        <stp>ASK</stp>
        <tr r="I111" s="2"/>
      </tp>
      <tp t="s">
        <v>#N/A Real Time</v>
        <stp/>
        <stp>BDP|18131200397880938406|22</stp>
        <stp>EEX3BDNI Index</stp>
        <stp>BID</stp>
        <tr r="H103" s="2"/>
      </tp>
      <tp t="s">
        <v>11:00:00</v>
        <stp/>
        <stp>BDP|4191428704799251462|22</stp>
        <stp>EEX3TOTB Index</stp>
        <stp>TIME</stp>
        <tr r="P51" s="2"/>
      </tp>
      <tp>
        <v>85</v>
        <stp/>
        <stp>BDP|10519417515402280991|22</stp>
        <stp>EEX3EPPM Index</stp>
        <stp>ASK</stp>
        <tr r="I67" s="2"/>
      </tp>
      <tp t="s">
        <v>#N/A N/A</v>
        <stp/>
        <stp>BDP|16669886764320287322|22</stp>
        <stp>EEX3BDPL Index</stp>
        <stp>BID</stp>
        <tr r="H93" s="2"/>
      </tp>
      <tp t="s">
        <v>#N/A Real Time</v>
        <stp/>
        <stp>BDP|17104048009377607935|22</stp>
        <stp>EEX3MNNI Index</stp>
        <stp>ASK</stp>
        <tr r="I100" s="2"/>
      </tp>
      <tp t="s">
        <v>#N/A Real Time</v>
        <stp/>
        <stp>BDP|14378879846599339116|22</stp>
        <stp>EEX3MDNI Index</stp>
        <stp>ASK</stp>
        <tr r="I101" s="2"/>
      </tp>
      <tp t="s">
        <v>#N/A N/A</v>
        <stp/>
        <stp>BDP|11884252764929067578|22</stp>
        <stp>EEX3MNDE Index</stp>
        <stp>ASK</stp>
        <tr r="I60" s="2"/>
      </tp>
      <tp>
        <v>80</v>
        <stp/>
        <stp>BDP|10342386707909489377|22</stp>
        <stp>EEX3X3PL Index</stp>
        <stp>ASK</stp>
        <tr r="I87" s="2"/>
      </tp>
      <tp t="s">
        <v>#N/A Real Time</v>
        <stp/>
        <stp>BDP|11613504245441013820|22</stp>
        <stp>EEX3PMNI Index</stp>
        <stp>ASK</stp>
        <tr r="I97" s="2"/>
      </tp>
      <tp t="s">
        <v>#N/A Real Time</v>
        <stp/>
        <stp>BDP|15606042068552661359|22</stp>
        <stp>EEX3CRAA Index</stp>
        <stp>BID</stp>
        <tr r="H109" s="2"/>
      </tp>
      <tp t="s">
        <v>#N/A N/A</v>
        <stp/>
        <stp>BDP|11089929753925757208|22</stp>
        <stp>EEX33XPL Index</stp>
        <stp>BID</stp>
        <tr r="H89" s="2"/>
      </tp>
      <tp t="s">
        <v>#N/A Real Time</v>
        <stp/>
        <stp>BDP|8073381740772432444|22</stp>
        <stp>RGGIAROB Index</stp>
        <stp>TIME</stp>
        <tr r="P141" s="2"/>
      </tp>
      <tp t="s">
        <v>#N/A N/A</v>
        <stp/>
        <stp>BDP|12495985097534641014|22</stp>
        <stp>EEX3TOTB Index</stp>
        <stp>ASK</stp>
        <tr r="I51" s="2"/>
      </tp>
      <tp t="s">
        <v>#N/A N/A</v>
        <stp/>
        <stp>BDP|18385013856169335650|22</stp>
        <stp>EEX3MDDE Index</stp>
        <stp>ASK</stp>
        <tr r="I61" s="2"/>
      </tp>
      <tp t="s">
        <v>#N/A N/A</v>
        <stp/>
        <stp>BDP|17631469407773565202|22</stp>
        <stp>EEX3CRDE Index</stp>
        <stp>ASK</stp>
        <tr r="I59" s="2"/>
      </tp>
      <tp>
        <v>68.05</v>
        <stp/>
        <stp>BDP|17420742517022627310|22</stp>
        <stp>EEX3X3PL Index</stp>
        <stp>BID</stp>
        <tr r="H87" s="2"/>
      </tp>
      <tp t="s">
        <v>#N/A Real Time</v>
        <stp/>
        <stp>BDP|15645352754622542038|22</stp>
        <stp>EEX3BDAA Index</stp>
        <stp>ASK</stp>
        <tr r="I113" s="2"/>
      </tp>
      <tp>
        <v>65</v>
        <stp/>
        <stp>BDP|15420833856443191727|22</stp>
        <stp>EEX3PMDE Index</stp>
        <stp>BID</stp>
        <tr r="H57" s="2"/>
      </tp>
      <tp t="s">
        <v>#N/A N/A</v>
        <stp/>
        <stp>BDP|17849245534208726680|22</stp>
        <stp>EEX3BDPL Index</stp>
        <stp>ASK</stp>
        <tr r="I93" s="2"/>
      </tp>
      <tp t="s">
        <v>#N/A N/A</v>
        <stp/>
        <stp>BDP|10922861259751866259|22</stp>
        <stp>EEX3MDDE Index</stp>
        <stp>BID</stp>
        <tr r="H61" s="2"/>
      </tp>
      <tp t="s">
        <v>#N/A Real Time</v>
        <stp/>
        <stp>BDP|10813951229115512297|22</stp>
        <stp>EEX3CRNI Index</stp>
        <stp>BID</stp>
        <tr r="H99" s="2"/>
      </tp>
      <tp t="s">
        <v>#N/A Real Time</v>
        <stp/>
        <stp>BDP|6722668399737220563|22</stp>
        <stp>EEX3PMNI Index</stp>
        <stp>TIME</stp>
        <tr r="P97" s="2"/>
      </tp>
      <tp t="s">
        <v>#N/A Real Time</v>
        <stp/>
        <stp>BDP|4461466310551583618|22</stp>
        <stp>RGGIAAQS Index</stp>
        <stp>TIME</stp>
        <tr r="P145" s="2"/>
      </tp>
      <tp t="s">
        <v>#N/A N/A</v>
        <stp/>
        <stp>BDP|12088099211800120873|22</stp>
        <stp>EEX3CRDE Index</stp>
        <stp>BID</stp>
        <tr r="H59" s="2"/>
      </tp>
      <tp t="s">
        <v>20.08.2025</v>
        <stp/>
        <stp>BDP|5161086271000779607|22</stp>
        <stp>EEX3X3PL Index</stp>
        <stp>TIME</stp>
        <tr r="P87" s="2"/>
      </tp>
      <tp t="s">
        <v>11:00:00</v>
        <stp/>
        <stp>BDP|1494356953421449542|22</stp>
        <stp>EEXXT3PA Index</stp>
        <stp>TIME</stp>
        <tr r="P45" s="2"/>
      </tp>
      <tp t="s">
        <v>#N/A Real Time</v>
        <stp/>
        <stp>BDP|9076854309093543256|22</stp>
        <stp>EEX3CRNI Index</stp>
        <stp>TIME</stp>
        <tr r="P99" s="2"/>
      </tp>
      <tp t="s">
        <v>#N/A N/A</v>
        <stp/>
        <stp>BDP|10882683273881463170|22</stp>
        <stp>EEX3MNEU Index</stp>
        <stp>ASK</stp>
        <tr r="I80" s="2"/>
      </tp>
      <tp t="s">
        <v>#N/A N/A</v>
        <stp/>
        <stp>BDP|5531576011336821478|22</stp>
        <stp>UKABIDS Index</stp>
        <stp>BID</stp>
        <tr r="H41" s="2"/>
      </tp>
      <tp t="s">
        <v>#N/A N/A</v>
        <stp/>
        <stp>BDP|14389930772870329411|22</stp>
        <stp>EEX3MNEP Index</stp>
        <stp>BID</stp>
        <tr r="H70" s="2"/>
      </tp>
      <tp t="s">
        <v>#N/A Requesting Data...3663603769</v>
        <stp/>
        <stp>BDP|11269571729604204855</stp>
        <tr r="C145" s="2"/>
      </tp>
      <tp t="s">
        <v>#N/A Requesting Data...3405150084</v>
        <stp/>
        <stp>BDP|10943788378258769235</stp>
        <tr r="D109" s="2"/>
      </tp>
      <tp t="s">
        <v>#N/A Requesting Data...1947112609</v>
        <stp/>
        <stp>BDP|13172746922254409863</stp>
        <tr r="O80" s="2"/>
      </tp>
      <tp t="s">
        <v>#N/A Requesting Data...1159917878</v>
        <stp/>
        <stp>BDP|14497910193647682945</stp>
        <tr r="D70" s="2"/>
      </tp>
      <tp t="s">
        <v>#N/A Real Time</v>
        <stp/>
        <stp>BDP|6498341917233312989|22</stp>
        <stp>EEX3MDAA Index</stp>
        <stp>TIME</stp>
        <tr r="P111" s="2"/>
      </tp>
      <tp t="s">
        <v>11:00:00</v>
        <stp/>
        <stp>BDP|9541173970769276266|22</stp>
        <stp>EEX3EPCR Index</stp>
        <stp>TIME</stp>
        <tr r="P69" s="2"/>
      </tp>
      <tp t="s">
        <v>29.08.2025</v>
        <stp/>
        <stp>BDP|3193189600887063507|22</stp>
        <stp>EEX3CRDE Index</stp>
        <stp>TIME</stp>
        <tr r="P59" s="2"/>
      </tp>
      <tp>
        <v>85</v>
        <stp/>
        <stp>BDP|11258790351540468562|22</stp>
        <stp>EEX3PMEU Index</stp>
        <stp>ASK</stp>
        <tr r="I77" s="2"/>
      </tp>
      <tp t="s">
        <v>#N/A N/A</v>
        <stp/>
        <stp>BDP|18348560498699458840|22</stp>
        <stp>EEX3BDEU Index</stp>
        <stp>BID</stp>
        <tr r="H83" s="2"/>
      </tp>
      <tp t="s">
        <v>#N/A Requesting Data...1187855719</v>
        <stp/>
        <stp>BDP|18008250999471656922</stp>
        <tr r="D91" s="2"/>
      </tp>
      <tp t="s">
        <v>#N/A Requesting Data...765823443</v>
        <stp/>
        <stp>BDP|17732115207434946955</stp>
        <tr r="O35" s="2"/>
      </tp>
      <tp t="s">
        <v>#N/A Requesting Data...1045603430</v>
        <stp/>
        <stp>BDP|17883504586526473761</stp>
        <tr r="D60" s="2"/>
      </tp>
      <tp t="s">
        <v>#N/A Requesting Data...2771171952</v>
        <stp/>
        <stp>BDP|17453411474857561889</stp>
        <tr r="C51" s="2"/>
      </tp>
      <tp t="s">
        <v>#N/A Real Time</v>
        <stp/>
        <stp>BDP|15344629890888693431|22</stp>
        <stp>CLCFCMP Index</stp>
        <stp>TIME</stp>
        <tr r="P123" s="2"/>
      </tp>
      <tp t="s">
        <v>#N/A Requesting Data...3922949328</v>
        <stp/>
        <stp>BDP|17440720740509750509</stp>
        <tr r="D131" s="2"/>
      </tp>
      <tp t="s">
        <v>#N/A Requesting Data...3156595163</v>
        <stp/>
        <stp>BDP|13137573291627110020</stp>
        <tr r="O122" s="2"/>
      </tp>
      <tp t="s">
        <v>#N/A Requesting Data...2725416745</v>
        <stp/>
        <stp>BDP|12589828556680285779</stp>
        <tr r="C131" s="2"/>
      </tp>
      <tp t="s">
        <v>#N/A Requesting Data...4141421577</v>
        <stp/>
        <stp>BDP|14677421799633940220</stp>
        <tr r="D135" s="2"/>
      </tp>
      <tp t="s">
        <v>#N/A N/A</v>
        <stp/>
        <stp>BDP|17695157563022430808|22</stp>
        <stp>EEX3CREU Index</stp>
        <stp>BID</stp>
        <tr r="H79" s="2"/>
      </tp>
      <tp t="s">
        <v>#N/A N/A</v>
        <stp/>
        <stp>BDP|53893238471655156|22</stp>
        <stp>EEX3MNDE Index</stp>
        <stp>BID</stp>
        <tr r="H60" s="2"/>
      </tp>
      <tp t="s">
        <v>#N/A Requesting Data...2918703527</v>
        <stp/>
        <stp>BDP|13392001727258142092</stp>
        <tr r="O125" s="2"/>
      </tp>
      <tp t="s">
        <v>#N/A Requesting Data...3922588643</v>
        <stp/>
        <stp>BDP|14017755899281818256</stp>
        <tr r="D39" s="2"/>
      </tp>
      <tp t="s">
        <v>#N/A Requesting Data...3044361124</v>
        <stp/>
        <stp>BDP|15783964005736454339</stp>
        <tr r="D51" s="2"/>
      </tp>
      <tp t="s">
        <v>#N/A Requesting Data...3053920026</v>
        <stp/>
        <stp>BDP|15365985838177005150</stp>
        <tr r="O49" s="2"/>
      </tp>
      <tp t="s">
        <v>#N/A Real Time</v>
        <stp/>
        <stp>BDP|5128884414383453828|22</stp>
        <stp>CLCFACR Index</stp>
        <stp>BID</stp>
        <tr r="H131" s="2"/>
      </tp>
      <tp t="s">
        <v>#N/A N/A</v>
        <stp/>
        <stp>BDP|12239982775183433432|22</stp>
        <stp>EEX3MDEU Index</stp>
        <stp>ASK</stp>
        <tr r="I81" s="2"/>
      </tp>
      <tp t="s">
        <v>#N/A N/A</v>
        <stp/>
        <stp>BDP|13097182578877156402|22</stp>
        <stp>EEX3MNEP Index</stp>
        <stp>ASK</stp>
        <tr r="I70" s="2"/>
      </tp>
      <tp t="s">
        <v>20.08.2025</v>
        <stp/>
        <stp>BDP|17032143300330279338|22</stp>
        <stp>UKAAUPR Index</stp>
        <stp>TIME</stp>
        <tr r="P35" s="2"/>
      </tp>
      <tp t="s">
        <v>#N/A Requesting Data...2901226881</v>
        <stp/>
        <stp>BDP|15339769723328136685</stp>
        <tr r="C63" s="2"/>
      </tp>
      <tp t="s">
        <v>#N/A Requesting Data...4243433795</v>
        <stp/>
        <stp>BDP|18033101966751297072</stp>
        <tr r="C67" s="2"/>
      </tp>
      <tp t="s">
        <v>#N/A Requesting Data...555377106</v>
        <stp/>
        <stp>BDP|14450087638141730867</stp>
        <tr r="D59" s="2"/>
      </tp>
      <tp t="s">
        <v>11:00:00</v>
        <stp/>
        <stp>BDP|6821914525563686864|22</stp>
        <stp>EEX3MDT3 Index</stp>
        <stp>TIME</stp>
        <tr r="P49" s="2"/>
      </tp>
      <tp t="s">
        <v>#N/A Real Time</v>
        <stp/>
        <stp>BDP|1149366476326753693|22</stp>
        <stp>ACCUABAV Index</stp>
        <stp>TIME</stp>
        <tr r="P151" s="2"/>
      </tp>
      <tp t="s">
        <v>#N/A N/A</v>
        <stp/>
        <stp>BDP|14320046499818359509|22</stp>
        <stp>EEX3BDEU Index</stp>
        <stp>ASK</stp>
        <tr r="I83" s="2"/>
      </tp>
      <tp t="s">
        <v>#N/A N/A</v>
        <stp/>
        <stp>BDP|4147751240140964678|22</stp>
        <stp>UKABIDS Index</stp>
        <stp>ASK</stp>
        <tr r="I41" s="2"/>
      </tp>
      <tp t="s">
        <v>#N/A Requesting Data...3858241746</v>
        <stp/>
        <stp>BDP|18411307338470386767</stp>
        <tr r="D99" s="2"/>
      </tp>
      <tp t="s">
        <v>#N/A Requesting Data...2624166883</v>
        <stp/>
        <stp>BDP|10666662405090903935</stp>
        <tr r="C107" s="2"/>
      </tp>
      <tp t="s">
        <v>#N/A Requesting Data...2603101695</v>
        <stp/>
        <stp>BDP|14977427384300822780</stp>
        <tr r="O51" s="2"/>
      </tp>
      <tp t="s">
        <v>#N/A Requesting Data...2314933622</v>
        <stp/>
        <stp>BDP|16823031330433881965</stp>
        <tr r="C79" s="2"/>
      </tp>
      <tp t="s">
        <v>#N/A Requesting Data...3891170071</v>
        <stp/>
        <stp>BDP|11920132482670808779</stp>
        <tr r="O121" s="2"/>
      </tp>
      <tp t="s">
        <v>#N/A Requesting Data...1841546203</v>
        <stp/>
        <stp>BDP|16946453695197801084</stp>
        <tr r="D71" s="2"/>
      </tp>
      <tp t="s">
        <v>#N/A Requesting Data...4234647573</v>
        <stp/>
        <stp>BDP|17933236663647161806</stp>
        <tr r="O142" s="2"/>
      </tp>
      <tp t="s">
        <v>#N/A Requesting Data...2741471106</v>
        <stp/>
        <stp>BDP|16760592922515211860</stp>
        <tr r="C135" s="2"/>
      </tp>
      <tp t="s">
        <v>#N/A Requesting Data...715812412</v>
        <stp/>
        <stp>BDP|17148762016524255989</stp>
        <tr r="C73" s="2"/>
      </tp>
      <tp t="s">
        <v>#N/A Requesting Data...476282568</v>
        <stp/>
        <stp>BDP|18309468170035994204</stp>
        <tr r="C129" s="2"/>
      </tp>
      <tp t="s">
        <v>#N/A Requesting Data...2357880472</v>
        <stp/>
        <stp>BDP|17271087938758253012</stp>
        <tr r="C57" s="2"/>
      </tp>
      <tp t="s">
        <v>#N/A Requesting Data...1028539393</v>
        <stp/>
        <stp>BDP|12870303344301412882</stp>
        <tr r="C91" s="2"/>
      </tp>
      <tp t="s">
        <v>#N/A Requesting Data...927394045</v>
        <stp/>
        <stp>BDP|11040138180590694408</stp>
        <tr r="C81" s="2"/>
      </tp>
      <tp t="s">
        <v>#N/A Requesting Data...2570834638</v>
        <stp/>
        <stp>BDP|11220363830214973997</stp>
        <tr r="C50" s="2"/>
      </tp>
      <tp t="s">
        <v>#N/A Real Time</v>
        <stp/>
        <stp>BDP|2066297195142341443|22</stp>
        <stp>CLCFCCR Index</stp>
        <stp>ASK</stp>
        <tr r="I121" s="2"/>
      </tp>
      <tp t="s">
        <v>#N/A Requesting Data...3965657168</v>
        <stp/>
        <stp>BDP|10310929788149374579</stp>
        <tr r="C80" s="2"/>
      </tp>
      <tp t="s">
        <v>#N/A Requesting Data...1650432576</v>
        <stp/>
        <stp>BDP|17645551591513564590</stp>
        <tr r="C119" s="2"/>
      </tp>
      <tp t="s">
        <v>#N/A Requesting Data...2772408717</v>
        <stp/>
        <stp>BDP|11799929507266026330</stp>
        <tr r="C93" s="2"/>
      </tp>
      <tp t="s">
        <v>#N/A Requesting Data...2334827117</v>
        <stp/>
        <stp>BDP|12376569583387116556</stp>
        <tr r="D77" s="2"/>
      </tp>
      <tp t="s">
        <v>#N/A Requesting Data...3852525986</v>
        <stp/>
        <stp>BDP|12929767077087211884</stp>
        <tr r="C90" s="2"/>
      </tp>
      <tp t="s">
        <v>#N/A Requesting Data...4175245610</v>
        <stp/>
        <stp>BDP|12746681013678887006</stp>
        <tr r="C83" s="2"/>
      </tp>
      <tp t="s">
        <v>#N/A Requesting Data...868216309</v>
        <stp/>
        <stp>BDP|12638693508540193928</stp>
        <tr r="O83" s="2"/>
      </tp>
      <tp t="s">
        <v>11:00:00</v>
        <stp/>
        <stp>BDP|6553737273572010062|22</stp>
        <stp>EEX3BDEP Index</stp>
        <stp>TIME</stp>
        <tr r="P73" s="2"/>
      </tp>
      <tp t="s">
        <v>#N/A Real Time</v>
        <stp/>
        <stp>BDP|8589729754515549280|22</stp>
        <stp>EEX3BDAA Index</stp>
        <stp>TIME</stp>
        <tr r="P113" s="2"/>
      </tp>
      <tp t="s">
        <v>#N/A N/A</v>
        <stp/>
        <stp>BDP|12695326483955080236|22</stp>
        <stp>EEX3MDEP Index</stp>
        <stp>ASK</stp>
        <tr r="I71" s="2"/>
      </tp>
      <tp t="s">
        <v>#N/A Real Time</v>
        <stp/>
        <stp>BDP|2661317525383587710|22</stp>
        <stp>CLCFAMP Index</stp>
        <stp>ASK</stp>
        <tr r="I133" s="2"/>
      </tp>
      <tp t="s">
        <v>#N/A Real Time</v>
        <stp/>
        <stp>BDP|14949574852507407622|22</stp>
        <stp>CLCFAMP Index</stp>
        <stp>TIME</stp>
        <tr r="P133" s="2"/>
      </tp>
      <tp t="s">
        <v>#N/A Requesting Data...478910447</v>
        <stp/>
        <stp>BDP|17119275309777085060</stp>
        <tr r="D97" s="2"/>
      </tp>
      <tp t="s">
        <v>#N/A Requesting Data...3460763358</v>
        <stp/>
        <stp>BDP|16334400116593439221</stp>
        <tr r="D103" s="2"/>
      </tp>
      <tp t="s">
        <v>#N/A Requesting Data...694498985</v>
        <stp/>
        <stp>BDP|17261400698320790895</stp>
        <tr r="O123" s="2"/>
      </tp>
      <tp t="s">
        <v>#N/A Real Time</v>
        <stp/>
        <stp>BDP|6173973621691024779|22</stp>
        <stp>EEX3MNNI Index</stp>
        <stp>TIME</stp>
        <tr r="P100" s="2"/>
      </tp>
      <tp t="s">
        <v>29.08.2025</v>
        <stp/>
        <stp>BDP|4742737479639692576|22</stp>
        <stp>EEX3BDDE Index</stp>
        <stp>TIME</stp>
        <tr r="P63" s="2"/>
      </tp>
      <tp t="s">
        <v>#N/A Real Time</v>
        <stp/>
        <stp>BDP|12640400900786509035|22</stp>
        <stp>CLCFAAP Index</stp>
        <stp>TIME</stp>
        <tr r="P128" s="2"/>
      </tp>
      <tp t="s">
        <v>#N/A Requesting Data...1700509852</v>
        <stp/>
        <stp>BDP|10231084159133314599</stp>
        <tr r="O63" s="2"/>
      </tp>
      <tp t="s">
        <v>#N/A Requesting Data...1650628679</v>
        <stp/>
        <stp>BDP|10762113169831043550</stp>
        <tr r="C59" s="2"/>
      </tp>
      <tp t="s">
        <v>#N/A Requesting Data...2761107587</v>
        <stp/>
        <stp>BDP|16233839828067587813</stp>
        <tr r="O69" s="2"/>
      </tp>
      <tp t="s">
        <v>#N/A Requesting Data...471397057</v>
        <stp/>
        <stp>BDP|18112152192717370493</stp>
        <tr r="D57" s="2"/>
      </tp>
      <tp t="s">
        <v>#N/A Requesting Data...3261907817</v>
        <stp/>
        <stp>BDP|12631048552532555647</stp>
        <tr r="C45" s="2"/>
      </tp>
      <tp t="s">
        <v>#N/A Requesting Data...4120198930</v>
        <stp/>
        <stp>BDP|16257536659004183193</stp>
        <tr r="D61" s="2"/>
      </tp>
      <tp t="s">
        <v>#N/A Requesting Data...2211981438</v>
        <stp/>
        <stp>BDP|11773772447184358568</stp>
        <tr r="D67" s="2"/>
      </tp>
      <tp t="s">
        <v>#N/A Requesting Data...1064173737</v>
        <stp/>
        <stp>BDP|11036023536593262247</stp>
        <tr r="D80" s="2"/>
      </tp>
      <tp t="s">
        <v>11:00:00</v>
        <stp/>
        <stp>BDP|4789583064645529089|22</stp>
        <stp>EEX3BDEU Index</stp>
        <stp>TIME</stp>
        <tr r="P83" s="2"/>
      </tp>
      <tp t="s">
        <v>#N/A N/A</v>
        <stp/>
        <stp>BDP|14953143756788700269|22</stp>
        <stp>EEX3EPCR Index</stp>
        <stp>ASK</stp>
        <tr r="I69" s="2"/>
      </tp>
      <tp t="s">
        <v>#N/A Requesting Data...1307544468</v>
        <stp/>
        <stp>BDP|10371740171936643690</stp>
        <tr r="C121" s="2"/>
      </tp>
      <tp t="s">
        <v>11:00:00</v>
        <stp/>
        <stp>BDP|7806871558314808470|22</stp>
        <stp>EEX3MNT3 Index</stp>
        <stp>TIME</stp>
        <tr r="P48" s="2"/>
      </tp>
      <tp t="s">
        <v>#N/A Real Time</v>
        <stp/>
        <stp>BDP|1297215172103784527|22</stp>
        <stp>EEXXEAA3 Index</stp>
        <stp>TIME</stp>
        <tr r="P107" s="2"/>
      </tp>
      <tp t="s">
        <v>#N/A Real Time</v>
        <stp/>
        <stp>BDP|6870049716877934979|22</stp>
        <stp>EEX3CRAA Index</stp>
        <stp>TIME</stp>
        <tr r="P109" s="2"/>
      </tp>
      <tp t="s">
        <v>#N/A Requesting Data...603852976</v>
        <stp/>
        <stp>BDP|10450986407190051879</stp>
        <tr r="O113" s="2"/>
      </tp>
      <tp t="s">
        <v>#N/A Requesting Data...1079972701</v>
        <stp/>
        <stp>BDP|17345118041494135735</stp>
        <tr r="O39" s="2"/>
      </tp>
      <tp t="s">
        <v>#N/A Requesting Data...1196633533</v>
        <stp/>
        <stp>BDP|12312559960178218854</stp>
        <tr r="O60" s="2"/>
      </tp>
      <tp t="s">
        <v>#N/A Requesting Data...1049517688</v>
        <stp/>
        <stp>BDP|18235654050928285246</stp>
        <tr r="D118" s="2"/>
      </tp>
      <tp t="s">
        <v>#N/A Requesting Data...471439640</v>
        <stp/>
        <stp>BDP|11908180946526696355</stp>
        <tr r="O77" s="2"/>
      </tp>
      <tp t="s">
        <v>#N/A Requesting Data...2620354835</v>
        <stp/>
        <stp>BDP|16041498039241224153</stp>
        <tr r="D50" s="2"/>
      </tp>
      <tp t="s">
        <v>#N/A Requesting Data...2857853502</v>
        <stp/>
        <stp>BDP|15600557786638647149</stp>
        <tr r="O135" s="2"/>
      </tp>
      <tp t="s">
        <v>#N/A Requesting Data...1837822420</v>
        <stp/>
        <stp>BDP|17201301560995300668</stp>
        <tr r="C128" s="2"/>
      </tp>
      <tp t="s">
        <v>#N/A Real Time</v>
        <stp/>
        <stp>BDP|7365955395905391264|22</stp>
        <stp>RGGIPAVR Index</stp>
        <stp>TIME</stp>
        <tr r="P142" s="2"/>
      </tp>
      <tp t="s">
        <v>#N/A Real Time</v>
        <stp/>
        <stp>BDP|9150614684293268890|22</stp>
        <stp>CLCFATAS Index</stp>
        <stp>TIME</stp>
        <tr r="P135" s="2"/>
      </tp>
      <tp t="s">
        <v>#N/A Real Time</v>
        <stp/>
        <stp>BDP|6588705103927789931|22</stp>
        <stp>CLCFCAP Index</stp>
        <stp>ASK</stp>
        <tr r="I118" s="2"/>
      </tp>
      <tp t="s">
        <v>#N/A Requesting Data...2101624386</v>
        <stp/>
        <stp>BDP|11964424655954108243</stp>
        <tr r="O152" s="2"/>
      </tp>
      <tp t="s">
        <v>#N/A Requesting Data...3173903063</v>
        <stp/>
        <stp>BDP|15039250998841436929</stp>
        <tr r="C70" s="2"/>
      </tp>
      <tp t="s">
        <v>#N/A Requesting Data...2214083738</v>
        <stp/>
        <stp>BDP|12983476071071398635</stp>
        <tr r="D121" s="2"/>
      </tp>
      <tp t="s">
        <v>#N/A Requesting Data...1085362125</v>
        <stp/>
        <stp>BDP|13022728685482255840</stp>
        <tr r="D151" s="2"/>
      </tp>
      <tp t="s">
        <v>#N/A Requesting Data...2947624395</v>
        <stp/>
        <stp>BDP|14787445835483775602</stp>
        <tr r="C49" s="2"/>
      </tp>
      <tp t="s">
        <v>#N/A Requesting Data...1167837099</v>
        <stp/>
        <stp>BDP|13835889490117150311</stp>
        <tr r="C41" s="2"/>
      </tp>
      <tp t="s">
        <v>#N/A Requesting Data...3905026370</v>
        <stp/>
        <stp>BDP|11777284828983264462</stp>
        <tr r="C152" s="2"/>
      </tp>
      <tp t="s">
        <v>#N/A Requesting Data...4016581608</v>
        <stp/>
        <stp>BDP|16175526658473866307</stp>
        <tr r="O101" s="2"/>
      </tp>
      <tp t="s">
        <v>#N/A Requesting Data...2119254158</v>
        <stp/>
        <stp>BDP|17426017852985395138</stp>
        <tr r="D125" s="2"/>
      </tp>
      <tp t="s">
        <v>#N/A Requesting Data...2677255154</v>
        <stp/>
        <stp>BDP|11679146174687658674</stp>
        <tr r="O61" s="2"/>
      </tp>
      <tp t="s">
        <v>#N/A Real Time</v>
        <stp/>
        <stp>BDP|6521315193077601083|22</stp>
        <stp>RGGIPMED Index</stp>
        <stp>TIME</stp>
        <tr r="P143" s="2"/>
      </tp>
      <tp t="s">
        <v>#N/A N/A</v>
        <stp/>
        <stp>BDP|14593000650767701263|22</stp>
        <stp>EEX3BDEP Index</stp>
        <stp>ASK</stp>
        <tr r="I73" s="2"/>
      </tp>
      <tp t="s">
        <v>#N/A Requesting Data...3358321687</v>
        <stp/>
        <stp>BDP|11739412558546315165</stp>
        <tr r="O107" s="2"/>
      </tp>
      <tp t="s">
        <v>#N/A Requesting Data...2643484891</v>
        <stp/>
        <stp>BDP|17821757611616847099</stp>
        <tr r="D73" s="2"/>
      </tp>
      <tp t="s">
        <v>#N/A Requesting Data...1626689338</v>
        <stp/>
        <stp>BDP|12363162891205314891</stp>
        <tr r="C132" s="2"/>
      </tp>
      <tp t="s">
        <v>#N/A Requesting Data...1543122766</v>
        <stp/>
        <stp>BDP|16498489714365827135</stp>
        <tr r="O38" s="2"/>
      </tp>
      <tp t="s">
        <v>#N/A Requesting Data...1701137017</v>
        <stp/>
        <stp>BDP|17756265275154491129</stp>
        <tr r="D152" s="2"/>
      </tp>
      <tp t="s">
        <v>#N/A Requesting Data...2848979254</v>
        <stp/>
        <stp>BDP|11973396237516626030</stp>
        <tr r="D122" s="2"/>
      </tp>
      <tp t="s">
        <v>#N/A Requesting Data...1443475757</v>
        <stp/>
        <stp>BDP|13226662244594317259</stp>
        <tr r="O141" s="2"/>
      </tp>
      <tp t="s">
        <v>#N/A Requesting Data...3191832762</v>
        <stp/>
        <stp>BDP|17779836694136602703</stp>
        <tr r="D69" s="2"/>
      </tp>
      <tp t="s">
        <v>#N/A Real Time</v>
        <stp/>
        <stp>BDP|2397503289469044195|22</stp>
        <stp>CLCFAMP Index</stp>
        <stp>BID</stp>
        <tr r="H133" s="2"/>
      </tp>
      <tp t="s">
        <v>#N/A N/A</v>
        <stp/>
        <stp>BDP|5047251479396798981|22</stp>
        <stp>UKAAUPR Index</stp>
        <stp>BID</stp>
        <tr r="H35" s="2"/>
      </tp>
      <tp t="s">
        <v>#N/A Requesting Data...1171746447</v>
        <stp/>
        <stp>BDP|17702743798129095414</stp>
        <tr r="C109" s="2"/>
      </tp>
      <tp t="s">
        <v>#N/A Requesting Data...3306395084</v>
        <stp/>
        <stp>BDP|14502996891943856393</stp>
        <tr r="D107" s="2"/>
      </tp>
      <tp t="s">
        <v>#N/A Requesting Data...652957546</v>
        <stp/>
        <stp>BDP|14009510159603117373</stp>
        <tr r="C151" s="2"/>
      </tp>
      <tp t="s">
        <v>#N/A Requesting Data...4262266132</v>
        <stp/>
        <stp>BDP|17433439855215748722</stp>
        <tr r="D63" s="2"/>
      </tp>
      <tp t="s">
        <v>#N/A Requesting Data...3578518427</v>
        <stp/>
        <stp>BDP|15963953319790315909</stp>
        <tr r="O132" s="2"/>
      </tp>
      <tp t="s">
        <v>#N/A Requesting Data...1260431136</v>
        <stp/>
        <stp>BDP|10568242787378537653</stp>
        <tr r="O37" s="2"/>
      </tp>
      <tp t="s">
        <v>#N/A N/A</v>
        <stp/>
        <stp>BDP|12904863998847525793|22</stp>
        <stp>EEX3CREU Index</stp>
        <stp>ASK</stp>
        <tr r="I79" s="2"/>
      </tp>
      <tp t="s">
        <v>#N/A Requesting Data...2959851987</v>
        <stp/>
        <stp>BDP|13291842058863532828</stp>
        <tr r="O70" s="2"/>
      </tp>
      <tp t="s">
        <v>#N/A Requesting Data...504873358</v>
        <stp/>
        <stp>BDP|12418513149975378324</stp>
        <tr r="C97" s="2"/>
      </tp>
      <tp t="s">
        <v>#N/A Requesting Data...2556372507</v>
        <stp/>
        <stp>BDP|14876410132956204074</stp>
        <tr r="D89" s="2"/>
      </tp>
      <tp t="s">
        <v>#N/A Requesting Data...4180358670</v>
        <stp/>
        <stp>BDP|12662972772298021130</stp>
        <tr r="O41" s="2"/>
      </tp>
      <tp t="s">
        <v>#N/A Requesting Data...3630380519</v>
        <stp/>
        <stp>BDP|15876548244805841436</stp>
        <tr r="O151" s="2"/>
      </tp>
      <tp t="s">
        <v>#N/A Requesting Data...4106067445</v>
        <stp/>
        <stp>BDP|12436206503061465444</stp>
        <tr r="O89" s="2"/>
      </tp>
      <tp t="s">
        <v>#N/A N/A</v>
        <stp/>
        <stp>BDP|8812656319351959043|22</stp>
        <stp>EEX3BDEP Index</stp>
        <stp>BID</stp>
        <tr r="H73" s="2"/>
      </tp>
    </main>
    <main first="bofaddin.rtdserver">
      <tp t="s">
        <v>#N/A Real Time</v>
        <stp/>
        <stp>BDP|677811009837369073|22</stp>
        <stp>RGGIAAQS Index</stp>
        <stp>ASK</stp>
        <tr r="I145" s="2"/>
      </tp>
      <tp t="s">
        <v>20.08.2025</v>
        <stp/>
        <stp>BDP|14673752842554335912|22</stp>
        <stp>UKASBBID Index</stp>
        <stp>TIME</stp>
        <tr r="P38" s="2"/>
      </tp>
      <tp t="s">
        <v>#N/A Real Time</v>
        <stp/>
        <stp>BDP|222808324191910331|22</stp>
        <stp>CLCFAASP Index</stp>
        <stp>TIME</stp>
        <tr r="P129" s="2"/>
      </tp>
      <tp t="s">
        <v>#N/A Real Time</v>
        <stp/>
        <stp>BDP|12208050769805847031|22</stp>
        <stp>RGGICLPX Index</stp>
        <stp>TIME</stp>
        <tr r="P139" s="2"/>
      </tp>
      <tp t="s">
        <v>#N/A Real Time</v>
        <stp/>
        <stp>BDP|9080949953147067719|22</stp>
        <stp>EEXXEAA3 Index</stp>
        <stp>BID</stp>
        <tr r="H107" s="2"/>
      </tp>
      <tp t="s">
        <v>#N/A N/A</v>
        <stp/>
        <stp>BDP|6744094156729026645|22</stp>
        <stp>EEX3MNEU Index</stp>
        <stp>BID</stp>
        <tr r="H80" s="2"/>
      </tp>
      <tp t="s">
        <v>#N/A N/A</v>
        <stp/>
        <stp>BDP|7886031846875656513|22</stp>
        <stp>EEX3EPCR Index</stp>
        <stp>BID</stp>
        <tr r="H69" s="2"/>
      </tp>
      <tp t="s">
        <v>#N/A N/A</v>
        <stp/>
        <stp>BDP|7906089112992851995|22</stp>
        <stp>EEX3MDEU Index</stp>
        <stp>BID</stp>
        <tr r="H81" s="2"/>
      </tp>
      <tp>
        <v>64</v>
        <stp/>
        <stp>BDP|8894173801250207596|22</stp>
        <stp>EEX3PMEU Index</stp>
        <stp>BID</stp>
        <tr r="H77" s="2"/>
      </tp>
      <tp t="s">
        <v>11:00:00</v>
        <stp/>
        <stp>BDP|14914340425937262400|22</stp>
        <stp>EEX3PMEU Index</stp>
        <stp>TIME</stp>
        <tr r="P77" s="2"/>
      </tp>
      <tp t="s">
        <v>#N/A N/A</v>
        <stp/>
        <stp>BDP|8898700123136403981|22</stp>
        <stp>EEX3MDEP Index</stp>
        <stp>BID</stp>
        <tr r="H71" s="2"/>
      </tp>
      <tp t="s">
        <v>#N/A Real Time</v>
        <stp/>
        <stp>BDP|4760850154782448316|22</stp>
        <stp>CLCFCAP Index</stp>
        <stp>TIME</stp>
        <tr r="P118" s="2"/>
      </tp>
      <tp t="s">
        <v>#N/A Real Time</v>
        <stp/>
        <stp>BDP|1802240337376594799|22</stp>
        <stp>CLCFCCR Index</stp>
        <stp>TIME</stp>
        <tr r="P121" s="2"/>
      </tp>
      <tp t="s">
        <v>20.08.2025</v>
        <stp/>
        <stp>BDP|1983300863809941800|22</stp>
        <stp>UKABIDS Index</stp>
        <stp>TIME</stp>
        <tr r="P41" s="2"/>
      </tp>
      <tp t="s">
        <v>#N/A Real Time</v>
        <stp/>
        <stp>BDP|105859830189336710|22</stp>
        <stp>CLCFAAAP Index</stp>
        <stp>BID</stp>
        <tr r="H132" s="2"/>
      </tp>
      <tp t="s">
        <v>20.08.2025</v>
        <stp/>
        <stp>BDP|558483427366924145|22</stp>
        <stp>EEX3MNPL Index</stp>
        <stp>TIME</stp>
        <tr r="P90" s="2"/>
      </tp>
      <tp t="s">
        <v>29.08.2025</v>
        <stp/>
        <stp>BDP|14840393295774202550|22</stp>
        <stp>EEX3PMDE Index</stp>
        <stp>TIME</stp>
        <tr r="P57" s="2"/>
      </tp>
      <tp t="s">
        <v>#N/A Real Time</v>
        <stp/>
        <stp>BDP|1447479118678238299|22</stp>
        <stp>CLCFACR Index</stp>
        <stp>TIME</stp>
        <tr r="P131" s="2"/>
      </tp>
      <tp t="s">
        <v>#N/A Real Time</v>
        <stp/>
        <stp>BDP|4746926415459627967|22</stp>
        <stp>EEX3BDAA Index</stp>
        <stp>BID</stp>
        <tr r="H113" s="2"/>
      </tp>
      <tp t="s">
        <v>11:00:00</v>
        <stp/>
        <stp>BDP|16469111007550779531|22</stp>
        <stp>EEX3MNEU Index</stp>
        <stp>TIME</stp>
        <tr r="P80" s="2"/>
      </tp>
      <tp t="s">
        <v>#N/A N/A</v>
        <stp/>
        <stp>BDP|9549906189293513594|22</stp>
        <stp>EEX3BDDE Index</stp>
        <stp>ASK</stp>
        <tr r="I63" s="2"/>
      </tp>
      <tp t="s">
        <v>#N/A Real Time</v>
        <stp/>
        <stp>BDP|8765142341497219960|22</stp>
        <stp>EEX3MNAA Index</stp>
        <stp>ASK</stp>
        <tr r="I110" s="2"/>
      </tp>
      <tp t="s">
        <v>#N/A Real Time</v>
        <stp/>
        <stp>BDP|9681083974277379184|22</stp>
        <stp>EEX3CRNI Index</stp>
        <stp>ASK</stp>
        <tr r="I99" s="2"/>
      </tp>
      <tp t="s">
        <v>#N/A Real Time</v>
        <stp/>
        <stp>BDP|1540793171996473820|22</stp>
        <stp>EEX3MNNI Index</stp>
        <stp>BID</stp>
        <tr r="H100" s="2"/>
      </tp>
      <tp t="s">
        <v>#N/A Real Time</v>
        <stp/>
        <stp>BDP|17826595325719932109|22</stp>
        <stp>EEX3MNAA Index</stp>
        <stp>TIME</stp>
        <tr r="P110" s="2"/>
      </tp>
      <tp t="s">
        <v>11:00:00</v>
        <stp/>
        <stp>BDP|12982193450868361324|22</stp>
        <stp>EEX3MDEP Index</stp>
        <stp>TIME</stp>
        <tr r="P71" s="2"/>
      </tp>
      <tp t="s">
        <v>#N/A N/A</v>
        <stp/>
        <stp>BDP|6855441815423928359|22</stp>
        <stp>EEX3MNPL Index</stp>
        <stp>BID</stp>
        <tr r="H90" s="2"/>
      </tp>
      <tp t="s">
        <v>#N/A N/A</v>
        <stp/>
        <stp>BDP|1325521747084804818|22</stp>
        <stp>EEX3MDPL Index</stp>
        <stp>BID</stp>
        <tr r="H91" s="2"/>
      </tp>
      <tp t="s">
        <v>#N/A Real Time</v>
        <stp/>
        <stp>BDP|13781346826245025822|22</stp>
        <stp>CLCFCTAS Index</stp>
        <stp>TIME</stp>
        <tr r="P125" s="2"/>
      </tp>
      <tp t="s">
        <v>#N/A Real Time</v>
        <stp/>
        <stp>BDP|17964222123524117363|22</stp>
        <stp>EEX3MDNI Index</stp>
        <stp>TIME</stp>
        <tr r="P101" s="2"/>
      </tp>
      <tp t="s">
        <v>#N/A Real Time</v>
        <stp/>
        <stp>BDP|13384680936024714500|22</stp>
        <stp>ACCUABAP Index</stp>
        <stp>TIME</stp>
        <tr r="P149" s="2"/>
        <tr r="P28" s="2"/>
      </tp>
      <tp t="s">
        <v>11:00:00</v>
        <stp/>
        <stp>BDP|14229205055830819259|22</stp>
        <stp>EEX3MDEU Index</stp>
        <stp>TIME</stp>
        <tr r="P81" s="2"/>
      </tp>
      <tp t="s">
        <v>11:00:00</v>
        <stp/>
        <stp>BDP|16855049126625485315|22</stp>
        <stp>EEX3MNEP Index</stp>
        <stp>TIME</stp>
        <tr r="P70" s="2"/>
      </tp>
      <tp t="s">
        <v>#N/A N/A</v>
        <stp/>
        <stp>BDP|2402847754165375109|22</stp>
        <stp>EEX3TOTB Index</stp>
        <stp>BID</stp>
        <tr r="H51" s="2"/>
      </tp>
      <tp t="s">
        <v>#N/A N/A</v>
        <stp/>
        <stp>BDP|5897638511878570265|22</stp>
        <stp>EEX3SCCB Index</stp>
        <stp>ASK</stp>
        <tr r="I50" s="2"/>
      </tp>
      <tp t="s">
        <v>#N/A Real Time</v>
        <stp/>
        <stp>BDP|18086978921290963239|22</stp>
        <stp>ACCUABPA Index</stp>
        <stp>TIME</stp>
        <tr r="P152" s="2"/>
      </tp>
      <tp t="s">
        <v>20.08.2025</v>
        <stp/>
        <stp>BDP|15098924859057617101|22</stp>
        <stp>EEX3BDPL Index</stp>
        <stp>TIME</stp>
        <tr r="P93" s="2"/>
      </tp>
      <tp t="s">
        <v>11:00:00</v>
        <stp/>
        <stp>BDP|16380762434944732614|22</stp>
        <stp>EEX3CREU Index</stp>
        <stp>TIME</stp>
        <tr r="P79" s="2"/>
      </tp>
      <tp t="s">
        <v>11:00:32</v>
        <stp/>
        <stp>BDP|15913837711201520928|22</stp>
        <stp>EEX3EPPM Index</stp>
        <stp>TIME</stp>
        <tr r="P67" s="2"/>
      </tp>
      <tp t="s">
        <v>#N/A Real Time</v>
        <stp/>
        <stp>BDP|11841416757209152003|22</stp>
        <stp>CLCFCASP Index</stp>
        <stp>TIME</stp>
        <tr r="P119" s="2"/>
      </tp>
      <tp t="s">
        <v>#N/A Real Time</v>
        <stp/>
        <stp>BDP|15275074311199529029|22</stp>
        <stp>CLCFAAAP Index</stp>
        <stp>TIME</stp>
        <tr r="P132" s="2"/>
      </tp>
      <tp t="s">
        <v>20.08.2025</v>
        <stp/>
        <stp>BDP|10360780237680756815|22</stp>
        <stp>EEX3MDPL Index</stp>
        <stp>TIME</stp>
        <tr r="P91" s="2"/>
      </tp>
      <tp t="s">
        <v>11:00:00</v>
        <stp/>
        <stp>BDP|15694925664041655440|22</stp>
        <stp>EEX3BDT3 Index</stp>
        <stp>TIME</stp>
        <tr r="P53" s="2"/>
      </tp>
      <tp t="s">
        <v>#N/A Real Time</v>
        <stp/>
        <stp>BDP|15378011510191470236|22</stp>
        <stp>CLCFCAAP Index</stp>
        <stp>TIME</stp>
        <tr r="P122" s="2"/>
      </tp>
      <tp t="s">
        <v>#N/A N/A</v>
        <stp/>
        <stp>BDP|6878847339772332630|22</stp>
        <stp>EEX33XPL Index</stp>
        <stp>ASK</stp>
        <tr r="I89" s="2"/>
      </tp>
      <tp t="s">
        <v>#N/A N/A</v>
        <stp/>
        <stp>BDP|2478587020716301680|22</stp>
        <stp>EEX3MDPL Index</stp>
        <stp>ASK</stp>
        <tr r="I91" s="2"/>
      </tp>
      <tp t="s">
        <v>#N/A N/A</v>
        <stp/>
        <stp>BDP|1859441201771517449|22</stp>
        <stp>EEX3BDDE Index</stp>
        <stp>BID</stp>
        <tr r="H63" s="2"/>
      </tp>
      <tp t="s">
        <v>11:00:00</v>
        <stp/>
        <stp>BDP|14809909160782766798|22</stp>
        <stp>EEX3CRT3 Index</stp>
        <stp>TIME</stp>
        <tr r="P47" s="2"/>
      </tp>
      <tp t="s">
        <v>#N/A Real Time</v>
        <stp/>
        <stp>BDP|9621127687825415501|22</stp>
        <stp>EEX3MNAA Index</stp>
        <stp>BID</stp>
        <tr r="H110" s="2"/>
      </tp>
      <tp t="s">
        <v>29.08.2025</v>
        <stp/>
        <stp>BDP|12484327023668429337|22</stp>
        <stp>EEX3MNDE Index</stp>
        <stp>TIME</stp>
        <tr r="P60" s="2"/>
      </tp>
      <tp t="s">
        <v>#N/A N/A</v>
        <stp/>
        <stp>BDP|9103924047047331055|22</stp>
        <stp>EEX3MNPL Index</stp>
        <stp>ASK</stp>
        <tr r="I90" s="2"/>
      </tp>
      <tp t="s">
        <v>#N/A N/A</v>
        <stp/>
        <stp>BDP|9700898427963662788|22</stp>
        <stp>EEX3SCCB Index</stp>
        <stp>BID</stp>
        <tr r="H50" s="2"/>
      </tp>
      <tp>
        <v>64</v>
        <stp/>
        <stp>BDP|4673945679228878777|22</stp>
        <stp>EEX3EPPM Index</stp>
        <stp>BID</stp>
        <tr r="H67" s="2"/>
      </tp>
      <tp t="s">
        <v>#N/A Real Time</v>
        <stp/>
        <stp>BDP|11704527201537500590|22</stp>
        <stp>EEX3BDNI Index</stp>
        <stp>TIME</stp>
        <tr r="P103" s="2"/>
      </tp>
      <tp t="s">
        <v>29.08.2025</v>
        <stp/>
        <stp>BDP|10597827675332248545|22</stp>
        <stp>EEX3MDDE Index</stp>
        <stp>TIME</stp>
        <tr r="P61" s="2"/>
      </tp>
      <tp t="s">
        <v>#N/A Requesting Data...961189930</v>
        <stp/>
        <stp>BDP|4124903069222755554</stp>
        <tr r="O87" s="2"/>
      </tp>
      <tp t="s">
        <v>#N/A Requesting Data...2830793185</v>
        <stp/>
        <stp>BDP|8892146774205393713</stp>
        <tr r="D129" s="2"/>
      </tp>
      <tp t="s">
        <v>#N/A Requesting Data...4092154008</v>
        <stp/>
        <stp>BDP|2477959445181429293</stp>
        <tr r="O129" s="2"/>
      </tp>
      <tp t="s">
        <v>#N/A Requesting Data...1420091099</v>
        <stp/>
        <stp>BDP|9350291445254965784</stp>
        <tr r="D37" s="2"/>
      </tp>
      <tp t="s">
        <v>#N/A Requesting Data...2436070617</v>
        <stp/>
        <stp>BDP|6891918115273664161</stp>
        <tr r="D139" s="2"/>
      </tp>
      <tp t="s">
        <v>#N/A Requesting Data...3559965846</v>
        <stp/>
        <stp>BDP|3573415783287593449</stp>
        <tr r="C48" s="2"/>
      </tp>
      <tp t="s">
        <v>#N/A Requesting Data...4096416158</v>
        <stp/>
        <stp>BDP|8619946037809089717</stp>
        <tr r="O73" s="2"/>
      </tp>
      <tp t="s">
        <v>#N/A Requesting Data...4046934780</v>
        <stp/>
        <stp>BDP|8134701725687838685</stp>
        <tr r="D101" s="2"/>
      </tp>
      <tp t="s">
        <v>#N/A Real Time</v>
        <stp/>
        <stp>BDP|4866353593921001307|22</stp>
        <stp>RGGIAROB Index</stp>
        <stp>BID</stp>
        <tr r="H141" s="2"/>
      </tp>
      <tp t="s">
        <v>#N/A Requesting Data...3677400983</v>
        <stp/>
        <stp>BDP|2337395976008307323</stp>
        <tr r="D133" s="2"/>
      </tp>
      <tp t="s">
        <v>#N/A Requesting Data...3105403371</v>
        <stp/>
        <stp>BDP|7346443724919908584</stp>
        <tr r="C143" s="2"/>
      </tp>
      <tp t="s">
        <v>#N/A N/A</v>
        <stp/>
        <stp>BDP|3285149697315034461|22</stp>
        <stp>EEX3CRT3 Index</stp>
        <stp>BID</stp>
        <tr r="H47" s="2"/>
      </tp>
      <tp t="s">
        <v>#N/A Requesting Data...3781980446</v>
        <stp/>
        <stp>BDP|2452480886172944101</stp>
        <tr r="D83" s="2"/>
      </tp>
      <tp t="s">
        <v>#N/A Requesting Data...3038613679</v>
        <stp/>
        <stp>BDP|3988758046487897994</stp>
        <tr r="O100" s="2"/>
      </tp>
      <tp t="s">
        <v>#N/A Requesting Data...3004794482</v>
        <stp/>
        <stp>BDP|8487968754382467898</stp>
        <tr r="O111" s="2"/>
      </tp>
      <tp t="s">
        <v>#N/A Requesting Data...889200744</v>
        <stp/>
        <stp>BDP|3168197062443776948</stp>
        <tr r="O97" s="2"/>
      </tp>
      <tp t="s">
        <v>#N/A Requesting Data...1660020218</v>
        <stp/>
        <stp>BDP|3191294011039253743</stp>
        <tr r="C100" s="2"/>
      </tp>
      <tp t="s">
        <v>#N/A Requesting Data...2981780643</v>
        <stp/>
        <stp>BDP|8158190943367710418</stp>
        <tr r="D141" s="2"/>
      </tp>
      <tp t="s">
        <v>#N/A Requesting Data...770758056</v>
        <stp/>
        <stp>BDP|9753944506837726937</stp>
        <tr r="O139" s="2"/>
      </tp>
      <tp t="s">
        <v>#N/A Requesting Data...4173061278</v>
        <stp/>
        <stp>BDP|2383970352993755307</stp>
        <tr r="D111" s="2"/>
      </tp>
      <tp t="s">
        <v>#N/A Requesting Data...1515005215</v>
        <stp/>
        <stp>BDP|8422754563225257254</stp>
        <tr r="D119" s="2"/>
      </tp>
      <tp t="s">
        <v>#N/A Real Time</v>
        <stp/>
        <stp>BDP|314352419419291877|22</stp>
        <stp>EEX3BDNI Index</stp>
        <stp>ASK</stp>
        <tr r="I103" s="2"/>
      </tp>
      <tp t="s">
        <v>#N/A Requesting Data...2123539436</v>
        <stp/>
        <stp>BDP|1905452132299753056</stp>
        <tr r="C39" s="2"/>
      </tp>
      <tp t="s">
        <v>#N/A Requesting Data...3128061408</v>
        <stp/>
        <stp>BDP|9168179234227771399</stp>
        <tr r="O128" s="2"/>
      </tp>
      <tp t="s">
        <v>#N/A Requesting Data...2597607997</v>
        <stp/>
        <stp>BDP|2740714101503839931</stp>
        <tr r="C141" s="2"/>
      </tp>
      <tp t="s">
        <v>#N/A Requesting Data...2384642291</v>
        <stp/>
        <stp>BDP|7992263003279543384</stp>
        <tr r="D142" s="2"/>
      </tp>
      <tp t="s">
        <v>#N/A Requesting Data...630257197</v>
        <stp/>
        <stp>BDP|5477825144986453010</stp>
        <tr r="O59" s="2"/>
      </tp>
      <tp t="s">
        <v>#N/A Requesting Data...1903357743</v>
        <stp/>
        <stp>BDP|8165965388487479679</stp>
        <tr r="O81" s="2"/>
      </tp>
      <tp t="s">
        <v>#N/A Requesting Data...780163365</v>
        <stp/>
        <stp>BDP|5675445137023195982</stp>
        <tr r="O143" s="2"/>
      </tp>
      <tp t="s">
        <v>#N/A Requesting Data...2651115773</v>
        <stp/>
        <stp>BDP|4173264548992531864</stp>
        <tr r="O109" s="2"/>
      </tp>
      <tp t="s">
        <v>#N/A Requesting Data...1754892212</v>
        <stp/>
        <stp>BDP|6322017615579378624</stp>
        <tr r="O90" s="2"/>
      </tp>
      <tp t="s">
        <v>#N/A Requesting Data...1724489614</v>
        <stp/>
        <stp>BDP|7700706960287514955</stp>
        <tr r="O99" s="2"/>
      </tp>
      <tp t="s">
        <v>#N/A Requesting Data...3025297419</v>
        <stp/>
        <stp>BDP|2684958064503521663</stp>
        <tr r="C87" s="2"/>
      </tp>
      <tp t="s">
        <v>#N/A Real Time</v>
        <stp/>
        <stp>BDP|7942087818231328619|22</stp>
        <stp>RGGIPMED Index</stp>
        <stp>ASK</stp>
        <tr r="I143" s="2"/>
      </tp>
      <tp t="s">
        <v>#N/A Requesting Data...2070620030</v>
        <stp/>
        <stp>BDP|2825895505117461495</stp>
        <tr r="O57" s="2"/>
      </tp>
      <tp t="s">
        <v>#N/A Real Time</v>
        <stp/>
        <stp>BDP|9927965742308004818|22</stp>
        <stp>RGGIAROB Index</stp>
        <stp>ASK</stp>
        <tr r="I141" s="2"/>
      </tp>
      <tp t="s">
        <v>#N/A Requesting Data...3030554880</v>
        <stp/>
        <stp>BDP|5555436835568594389</stp>
        <tr r="D145" s="2"/>
      </tp>
      <tp>
        <v>80</v>
        <stp/>
        <stp>BDP|328381708441600475|22</stp>
        <stp>EEX3PMDE Index</stp>
        <stp>ASK</stp>
        <tr r="I57" s="2"/>
      </tp>
      <tp t="s">
        <v>#N/A Requesting Data...1741741936</v>
        <stp/>
        <stp>BDP|4279202299077950281</stp>
        <tr r="D41" s="2"/>
      </tp>
      <tp t="s">
        <v>#N/A Requesting Data...2593765940</v>
        <stp/>
        <stp>BDP|6929810016462650737</stp>
        <tr r="D87" s="2"/>
      </tp>
      <tp t="s">
        <v>#N/A Requesting Data...3751561333</v>
        <stp/>
        <stp>BDP|1294936769142798640</stp>
        <tr r="C37" s="2"/>
      </tp>
      <tp t="s">
        <v>#N/A Requesting Data...1760122265</v>
        <stp/>
        <stp>BDP|8268735055277832754</stp>
        <tr r="D100" s="2"/>
      </tp>
      <tp t="s">
        <v>#N/A Requesting Data...1338630644</v>
        <stp/>
        <stp>BDP|7997415316799901193</stp>
        <tr r="O53" s="2"/>
      </tp>
      <tp t="s">
        <v>#N/A Requesting Data...2024293316</v>
        <stp/>
        <stp>BDP|6278897671657613432</stp>
        <tr r="O145" s="2"/>
      </tp>
      <tp t="s">
        <v>#N/A Requesting Data...1880982897</v>
        <stp/>
        <stp>BDP|8917206333941126276</stp>
        <tr r="O79" s="2"/>
      </tp>
      <tp t="s">
        <v>#N/A Requesting Data...3766734351</v>
        <stp/>
        <stp>BDP|9488941276259397490</stp>
        <tr r="O67" s="2"/>
      </tp>
      <tp t="s">
        <v>#N/A Requesting Data...1075630344</v>
        <stp/>
        <stp>BDP|5600386799382259784</stp>
        <tr r="C113" s="2"/>
      </tp>
      <tp t="s">
        <v>#N/A Requesting Data...720912314</v>
        <stp/>
        <stp>BDP|9996435367631888077</stp>
        <tr r="C71" s="2"/>
      </tp>
      <tp t="s">
        <v>#N/A Requesting Data...1292773249</v>
        <stp/>
        <stp>BDP|3790921814431878090</stp>
        <tr r="D38" s="2"/>
      </tp>
      <tp t="s">
        <v>#N/A Requesting Data...3046430396</v>
        <stp/>
        <stp>BDP|5023633295787322705</stp>
        <tr r="C101" s="2"/>
      </tp>
      <tp t="s">
        <v>#N/A Real Time</v>
        <stp/>
        <stp>BDP|7512421302189600912|22</stp>
        <stp>ACCUABAP Index</stp>
        <stp>BID</stp>
        <tr r="H28" s="2"/>
        <tr r="H149" s="2"/>
      </tp>
      <tp t="s">
        <v>#N/A Real Time</v>
        <stp/>
        <stp>BDP|9640613355623608834|22</stp>
        <stp>ACCUABAV Index</stp>
        <stp>BID</stp>
        <tr r="H151" s="2"/>
      </tp>
      <tp t="s">
        <v>#N/A Requesting Data...2541017322</v>
        <stp/>
        <stp>BDP|2742897454442023636</stp>
        <tr r="D93" s="2"/>
      </tp>
      <tp t="s">
        <v>#N/A Requesting Data...1540514189</v>
        <stp/>
        <stp>BDP|1308380368217282806</stp>
        <tr r="C89" s="2"/>
      </tp>
      <tp t="s">
        <v>#N/A Requesting Data...4145025843</v>
        <stp/>
        <stp>BDP|2125519877263797874</stp>
        <tr r="D49" s="2"/>
      </tp>
      <tp t="s">
        <v>#N/A Requesting Data...1199127923</v>
        <stp/>
        <stp>BDP|8187334089870399738</stp>
        <tr r="C142" s="2"/>
      </tp>
      <tp t="s">
        <v>#N/A Requesting Data...1440353758</v>
        <stp/>
        <stp>BDP|8447705041427452887</stp>
        <tr r="O110" s="2"/>
      </tp>
      <tp t="s">
        <v>#N/A Requesting Data...1484393845</v>
        <stp/>
        <stp>BDP|9588220581862090554</stp>
        <tr r="D81" s="2"/>
      </tp>
      <tp t="s">
        <v>#N/A Real Time</v>
        <stp/>
        <stp>BDP|275462204935003833|22</stp>
        <stp>CLCFCMP Index</stp>
        <stp>BID</stp>
        <tr r="H123" s="2"/>
      </tp>
      <tp t="s">
        <v>#N/A Requesting Data...3842863921</v>
        <stp/>
        <stp>BDP|6336981452218022714</stp>
        <tr r="D149" s="2"/>
        <tr r="D28" s="2"/>
      </tp>
      <tp t="s">
        <v>#N/A Requesting Data...3062714944</v>
        <stp/>
        <stp>BDP|5144982884240236131</stp>
        <tr r="O119" s="2"/>
      </tp>
      <tp t="s">
        <v>#N/A Requesting Data...4276137287</v>
        <stp/>
        <stp>BDP|4912389578430923538</stp>
        <tr r="C125" s="2"/>
      </tp>
      <tp t="s">
        <v>#N/A Requesting Data...2347478691</v>
        <stp/>
        <stp>BDP|4899183487030457834</stp>
        <tr r="D47" s="2"/>
      </tp>
      <tp t="s">
        <v>#N/A Requesting Data...1650866535</v>
        <stp/>
        <stp>BDP|7406447711566288126</stp>
        <tr r="O91" s="2"/>
      </tp>
      <tp t="s">
        <v>#N/A Requesting Data...3836089196</v>
        <stp/>
        <stp>BDP|2318106224533271732</stp>
        <tr r="D123" s="2"/>
      </tp>
      <tp t="s">
        <v>#N/A Requesting Data...1973466894</v>
        <stp/>
        <stp>BDP|5397604398148966497</stp>
        <tr r="C118" s="2"/>
      </tp>
      <tp t="s">
        <v>#N/A Requesting Data...2111870186</v>
        <stp/>
        <stp>BDP|5247213518087466774</stp>
        <tr r="D79" s="2"/>
      </tp>
      <tp t="s">
        <v>#N/A Requesting Data...3895303711</v>
        <stp/>
        <stp>BDP|2268502188811293879</stp>
        <tr r="O45" s="2"/>
      </tp>
      <tp t="s">
        <v>#N/A Requesting Data...1680162706</v>
        <stp/>
        <stp>BDP|2615106264042847162</stp>
        <tr r="C35" s="2"/>
      </tp>
      <tp t="s">
        <v>#N/A Requesting Data...3671360790</v>
        <stp/>
        <stp>BDP|7242668637610389424</stp>
        <tr r="C38" s="2"/>
      </tp>
      <tp t="s">
        <v>#N/A Requesting Data...3604749417</v>
        <stp/>
        <stp>BDP|3708410904060798168</stp>
        <tr r="D110" s="2"/>
      </tp>
      <tp t="s">
        <v>#N/A Requesting Data...2092639313</v>
        <stp/>
        <stp>BDP|5117711638166954114</stp>
        <tr r="O131" s="2"/>
      </tp>
      <tp t="s">
        <v>#N/A Requesting Data...2642314258</v>
        <stp/>
        <stp>BDP|3978038447362277279</stp>
        <tr r="O50" s="2"/>
      </tp>
      <tp t="s">
        <v>#N/A Requesting Data...2504881514</v>
        <stp/>
        <stp>BDP|4136828621258877131</stp>
        <tr r="C122" s="2"/>
      </tp>
      <tp t="s">
        <v>#N/A Requesting Data...2803971201</v>
        <stp/>
        <stp>BDP|2277297320794027172</stp>
        <tr r="O93" s="2"/>
      </tp>
      <tp t="s">
        <v>#N/A Requesting Data...3168409752</v>
        <stp/>
        <stp>BDP|8961196036758342506</stp>
        <tr r="D113" s="2"/>
      </tp>
      <tp t="s">
        <v>#N/A Requesting Data...2437484404</v>
        <stp/>
        <stp>BDP|1170165359530510519</stp>
        <tr r="C53" s="2"/>
      </tp>
      <tp t="s">
        <v>#N/A Requesting Data...1306253138</v>
        <stp/>
        <stp>BDP|3942355915051567002</stp>
        <tr r="C133" s="2"/>
      </tp>
      <tp t="s">
        <v>#N/A Requesting Data...3045320032</v>
        <stp/>
        <stp>BDP|3535326747745052123</stp>
        <tr r="D53" s="2"/>
      </tp>
      <tp t="s">
        <v>#N/A Real Time</v>
        <stp/>
        <stp>BDP|8297841414950190318|22</stp>
        <stp>RGGIPMED Index</stp>
        <stp>BID</stp>
        <tr r="H143" s="2"/>
      </tp>
      <tp t="s">
        <v>#N/A N/A</v>
        <stp/>
        <stp>BDP|6381015808035066406|22</stp>
        <stp>EEX3MNT3 Index</stp>
        <stp>BID</stp>
        <tr r="H48" s="2"/>
      </tp>
      <tp t="s">
        <v>#N/A Requesting Data...3100514454</v>
        <stp/>
        <stp>BDP|9540225089557104556</stp>
        <tr r="O118" s="2"/>
      </tp>
      <tp t="s">
        <v>#N/A Requesting Data...2711076765</v>
        <stp/>
        <stp>BDP|5062514338582227013</stp>
        <tr r="D128" s="2"/>
      </tp>
      <tp t="s">
        <v>#N/A Requesting Data...3301257621</v>
        <stp/>
        <stp>BDP|2343600014653733789</stp>
        <tr r="O103" s="2"/>
      </tp>
      <tp t="s">
        <v>#N/A Requesting Data...2767610594</v>
        <stp/>
        <stp>BDP|3242086975802090723</stp>
        <tr r="D90" s="2"/>
      </tp>
      <tp t="s">
        <v>#N/A Requesting Data...1207243106</v>
        <stp/>
        <stp>BDP|8360886275346359094</stp>
        <tr r="C103" s="2"/>
      </tp>
      <tp t="s">
        <v>#N/A Requesting Data...1791019712</v>
        <stp/>
        <stp>BDP|6855110725440116773</stp>
        <tr r="C61" s="2"/>
      </tp>
      <tp t="s">
        <v>#N/A Requesting Data...2324761117</v>
        <stp/>
        <stp>BDP|8675841477756696315</stp>
        <tr r="C139" s="2"/>
      </tp>
      <tp t="s">
        <v>#N/A Requesting Data...1905174964</v>
        <stp/>
        <stp>BDP|4759583229459353843</stp>
        <tr r="O47" s="2"/>
      </tp>
      <tp t="s">
        <v>#N/A Requesting Data...3962987167</v>
        <stp/>
        <stp>BDP|9839782485004760030</stp>
        <tr r="C149" s="2"/>
        <tr r="C28" s="2"/>
      </tp>
      <tp t="s">
        <v>#N/A Requesting Data...2218783759</v>
        <stp/>
        <stp>BDP|3917864525078759387</stp>
        <tr r="C47" s="2"/>
      </tp>
      <tp t="s">
        <v>#N/A Requesting Data...939049199</v>
        <stp/>
        <stp>BDP|1874573773983759306</stp>
        <tr r="C60" s="2"/>
      </tp>
      <tp t="s">
        <v>#N/A N/A</v>
        <stp/>
        <stp>BDP|9776863670580994356|22</stp>
        <stp>EEX3BDT3 Index</stp>
        <stp>BID</stp>
        <tr r="H53" s="2"/>
      </tp>
      <tp t="s">
        <v>#N/A Requesting Data...4253445303</v>
        <stp/>
        <stp>BDP|4991441920223468278</stp>
        <tr r="C110" s="2"/>
      </tp>
      <tp t="s">
        <v>#N/A Requesting Data...1924948218</v>
        <stp/>
        <stp>BDP|4634330117701477447</stp>
        <tr r="D48" s="2"/>
      </tp>
      <tp t="s">
        <v>#N/A Requesting Data...2266782625</v>
        <stp/>
        <stp>BDP|3206597226223845400</stp>
        <tr r="D35" s="2"/>
      </tp>
      <tp t="s">
        <v>#N/A Requesting Data...4006369891</v>
        <stp/>
        <stp>BDP|7344440665766321042</stp>
        <tr r="D45" s="2"/>
      </tp>
      <tp t="s">
        <v>#N/A Real Time</v>
        <stp/>
        <stp>BDP|1480536030422586866|22</stp>
        <stp>CLCFCAAP Index</stp>
        <stp>ASK</stp>
        <tr r="I122" s="2"/>
      </tp>
      <tp t="s">
        <v>#N/A Real Time</v>
        <stp/>
        <stp>BDP|7017692827857655279|22</stp>
        <stp>CLCFCTAS Index</stp>
        <stp>ASK</stp>
        <tr r="I125" s="2"/>
      </tp>
      <tp t="s">
        <v>#N/A Real Time</v>
        <stp/>
        <stp>BDP|1145632495114019420|22</stp>
        <stp>CLCFCASP Index</stp>
        <stp>ASK</stp>
        <tr r="I119" s="2"/>
      </tp>
      <tp>
        <v>64</v>
        <stp/>
        <stp>BDP|5258715941910323221|22</stp>
        <stp>EEXXT3PA Index</stp>
        <stp>BID</stp>
        <tr r="H45" s="2"/>
      </tp>
      <tp t="s">
        <v>#N/A Requesting Data...874446314</v>
        <stp/>
        <stp>BDP|92010296815936747</stp>
        <tr r="D132" s="2"/>
      </tp>
      <tp>
        <v>85</v>
        <stp/>
        <stp>BDP|1716388539457443821|22</stp>
        <stp>EEXXT3PA Index</stp>
        <stp>ASK</stp>
        <tr r="I45" s="2"/>
      </tp>
      <tp t="s">
        <v>#N/A Real Time</v>
        <stp/>
        <stp>BDP|1698598434115158384|22</stp>
        <stp>CLCFATAS Index</stp>
        <stp>ASK</stp>
        <tr r="I135" s="2"/>
      </tp>
      <tp t="s">
        <v>#N/A Real Time</v>
        <stp/>
        <stp>BDP|2796380842722018407|22</stp>
        <stp>RGGICLPX Index</stp>
        <stp>BID</stp>
        <tr r="H139" s="2"/>
      </tp>
      <tp t="s">
        <v>#N/A N/A</v>
        <stp/>
        <stp>BDP|7896200274123930647|22</stp>
        <stp>UKACORAT Index</stp>
        <stp>ASK</stp>
        <tr r="I37" s="2"/>
      </tp>
      <tp t="s">
        <v>#N/A Real Time</v>
        <stp/>
        <stp>BDP|1797757873983924348|22</stp>
        <stp>CLCFCASP Index</stp>
        <stp>BID</stp>
        <tr r="H119" s="2"/>
      </tp>
      <tp t="s">
        <v>#N/A Real Time</v>
        <stp/>
        <stp>BDP|6090892553510091158|22</stp>
        <stp>CLCFAASP Index</stp>
        <stp>ASK</stp>
        <tr r="I129" s="2"/>
      </tp>
      <tp t="s">
        <v>#N/A Real Time</v>
        <stp/>
        <stp>BDP|438116660415921515|22</stp>
        <stp>EEXXEAA3 Index</stp>
        <stp>ASK</stp>
        <tr r="I107" s="2"/>
      </tp>
      <tp t="s">
        <v>#N/A Real Time</v>
        <stp/>
        <stp>BDP|3396306203542194158|22</stp>
        <stp>ACCUABPA Index</stp>
        <stp>BID</stp>
        <tr r="H152" s="2"/>
      </tp>
      <tp t="s">
        <v>#N/A Real Time</v>
        <stp/>
        <stp>BDP|16440429245541913462|22</stp>
        <stp>CLCFCCR Index</stp>
        <stp>BID</stp>
        <tr r="H121" s="2"/>
      </tp>
      <tp t="s">
        <v>#N/A Real Time</v>
        <stp/>
        <stp>BDP|11306485759575246172|22</stp>
        <stp>CLCFAASP Index</stp>
        <stp>BID</stp>
        <tr r="H129" s="2"/>
      </tp>
      <tp t="s">
        <v>20.08.2025</v>
        <stp/>
        <stp>BDP|3638041331352720978|22</stp>
        <stp>EEX33XPL Index</stp>
        <stp>TIME</stp>
        <tr r="P89" s="2"/>
      </tp>
      <tp t="s">
        <v>#N/A Requesting Data...722653750</v>
        <stp/>
        <stp>BDP|141486019989176878</stp>
        <tr r="C77" s="2"/>
      </tp>
      <tp t="s">
        <v>#N/A Real Time</v>
        <stp/>
        <stp>BDP|70877618770829590|22</stp>
        <stp>CLCFCAP Index</stp>
        <stp>BID</stp>
        <tr r="H118" s="2"/>
      </tp>
      <tp t="s">
        <v>#N/A Real Time</v>
        <stp/>
        <stp>BDP|14189078456901942117|22</stp>
        <stp>RGGIPAVR Index</stp>
        <stp>ASK</stp>
        <tr r="I142" s="2"/>
      </tp>
      <tp t="s">
        <v>#N/A Requesting Data...725845606</v>
        <stp/>
        <stp>BDP|498236031780937674</stp>
        <tr r="O71" s="2"/>
      </tp>
      <tp t="s">
        <v>#N/A Requesting Data...3940544965</v>
        <stp/>
        <stp>BDP|626474072446054250</stp>
        <tr r="O48" s="2"/>
      </tp>
      <tp t="s">
        <v>#N/A Real Time</v>
        <stp/>
        <stp>BDP|14613694962351786643|22</stp>
        <stp>CLCFAAP Index</stp>
        <stp>ASK</stp>
        <tr r="I128" s="2"/>
      </tp>
      <tp t="s">
        <v>#N/A Requesting Data...1819657025</v>
        <stp/>
        <stp>BDP|949597951093820562</stp>
        <tr r="C69" s="2"/>
      </tp>
      <tp t="s">
        <v>#N/A Real Time</v>
        <stp/>
        <stp>BDP|11298668611419852169|22</stp>
        <stp>CLCFACR Index</stp>
        <stp>ASK</stp>
        <tr r="I131" s="2"/>
      </tp>
      <tp t="s">
        <v>#N/A Real Time</v>
        <stp/>
        <stp>BDP|10927711659564656955|22</stp>
        <stp>RGGICLPX Index</stp>
        <stp>ASK</stp>
        <tr r="I139" s="2"/>
      </tp>
      <tp t="s">
        <v>#N/A Requesting Data...2905691962</v>
        <stp/>
        <stp>BDP|527374345414391240</stp>
        <tr r="C99" s="2"/>
      </tp>
      <tp t="s">
        <v>#N/A N/A</v>
        <stp/>
        <stp>BDP|11983895055896209557|22</stp>
        <stp>UKASBBID Index</stp>
        <stp>ASK</stp>
        <tr r="I38" s="2"/>
      </tp>
      <tp t="s">
        <v>#N/A Requesting Data...3521986730</v>
        <stp/>
        <stp>BDP|445371574551055651</stp>
        <tr r="C111" s="2"/>
      </tp>
      <tp t="s">
        <v>#N/A Real Time</v>
        <stp/>
        <stp>BDP|17587492918187176311|22</stp>
        <stp>RGGIAAQS Index</stp>
        <stp>BID</stp>
        <tr r="H145" s="2"/>
      </tp>
      <tp t="s">
        <v>#N/A N/A</v>
        <stp/>
        <stp>BDP|10140365754435046005|22</stp>
        <stp>UKATOBID Index</stp>
        <stp>ASK</stp>
        <tr r="I39" s="2"/>
      </tp>
      <tp t="s">
        <v>#N/A Real Time</v>
        <stp/>
        <stp>BDP|16590654363646329595|22</stp>
        <stp>CLCFCTAS Index</stp>
        <stp>BID</stp>
        <tr r="H125" s="2"/>
      </tp>
      <tp t="s">
        <v>#N/A Requesting Data...3784117788</v>
        <stp/>
        <stp>BDP|411030222906237860</stp>
        <tr r="O133" s="2"/>
      </tp>
      <tp t="s">
        <v>#N/A Real Time</v>
        <stp/>
        <stp>BDP|11949031139418897797|22</stp>
        <stp>CLCFAAAP Index</stp>
        <stp>ASK</stp>
        <tr r="I132" s="2"/>
      </tp>
      <tp t="s">
        <v>#N/A Real Time</v>
        <stp/>
        <stp>BDP|10856360406939928791|22</stp>
        <stp>CLCFATAS Index</stp>
        <stp>BID</stp>
        <tr r="H135" s="2"/>
      </tp>
      <tp t="s">
        <v>#N/A Real Time</v>
        <stp/>
        <stp>BDP|10915718489051543211|22</stp>
        <stp>CLCFCAAP Index</stp>
        <stp>BID</stp>
        <tr r="H122" s="2"/>
      </tp>
      <tp t="s">
        <v>#N/A N/A</v>
        <stp/>
        <stp>BDP|10526166443121389852|22</stp>
        <stp>UKAAUPR Index</stp>
        <stp>ASK</stp>
        <tr r="I35" s="2"/>
      </tp>
      <tp t="s">
        <v>#N/A Real Time</v>
        <stp/>
        <stp>BDP|15271708276848219039|22</stp>
        <stp>CLCFAAP Index</stp>
        <stp>BID</stp>
        <tr r="H128" s="2"/>
      </tp>
      <tp t="s">
        <v>#N/A N/A</v>
        <stp/>
        <stp>BDP|13764788855484155433|22</stp>
        <stp>UKASBBID Index</stp>
        <stp>BID</stp>
        <tr r="H38" s="2"/>
      </tp>
      <tp t="s">
        <v>#N/A Real Time</v>
        <stp/>
        <stp>BDP|15065107785585282366|22</stp>
        <stp>CLCFCMP Index</stp>
        <stp>ASK</stp>
        <tr r="I123" s="2"/>
      </tp>
      <tp t="s">
        <v>#N/A N/A</v>
        <stp/>
        <stp>BDP|12292722059596757726|22</stp>
        <stp>UKATOBID Index</stp>
        <stp>BID</stp>
        <tr r="H39" s="2"/>
      </tp>
      <tp t="s">
        <v>#N/A Requesting Data...2206784597</v>
        <stp/>
        <stp>BDP|112394073414420858</stp>
        <tr r="C123" s="2"/>
      </tp>
      <tp t="s">
        <v>#N/A Real Time</v>
        <stp/>
        <stp>BDP|11792961030076199448|22</stp>
        <stp>ACCUABPA Index</stp>
        <stp>ASK</stp>
        <tr r="I152" s="2"/>
      </tp>
      <tp t="s">
        <v>#N/A Requesting Data...3546987157</v>
        <stp/>
        <stp>BDP|280997264327962398</stp>
        <tr r="O149" s="2"/>
        <tr r="O28" s="2"/>
      </tp>
      <tp t="s">
        <v>#N/A N/A</v>
        <stp/>
        <stp>BDP|10748145666181295991|22</stp>
        <stp>UKACORAT Index</stp>
        <stp>BID</stp>
        <tr r="H37" s="2"/>
      </tp>
      <tp t="s">
        <v>#N/A Real Time</v>
        <stp/>
        <stp>BDP|17500915237548908554|22</stp>
        <stp>RGGIPAVR Index</stp>
        <stp>BID</stp>
        <tr r="H142" s="2"/>
      </tp>
      <tp t="s">
        <v>#N/A Real Time</v>
        <stp/>
        <stp>BDP|17581218845023507483|22</stp>
        <stp>ACCUABAV Index</stp>
        <stp>ASK</stp>
        <tr r="I151" s="2"/>
      </tp>
      <tp t="s">
        <v>#N/A Real Time</v>
        <stp/>
        <stp>BDP|11479031993357360551|22</stp>
        <stp>ACCUABAP Index</stp>
        <stp>ASK</stp>
        <tr r="I28" s="2"/>
        <tr r="I149" s="2"/>
      </tp>
      <tp t="s">
        <v>#N/A N/A</v>
        <stp/>
        <stp>BDP|14241447956637705362|22</stp>
        <stp>EEX3CRT3 Index</stp>
        <stp>ASK</stp>
        <tr r="I47" s="2"/>
      </tp>
      <tp t="s">
        <v>#N/A N/A</v>
        <stp/>
        <stp>BDP|11170914068154110505|22</stp>
        <stp>EEX3MDT3 Index</stp>
        <stp>ASK</stp>
        <tr r="I49" s="2"/>
      </tp>
      <tp t="s">
        <v>#N/A N/A</v>
        <stp/>
        <stp>BDP|11301677036487611716|22</stp>
        <stp>EEX3MNT3 Index</stp>
        <stp>ASK</stp>
        <tr r="I48" s="2"/>
      </tp>
      <tp t="s">
        <v>#N/A N/A</v>
        <stp/>
        <stp>BDP|13215717581015755414|22</stp>
        <stp>EEX3MDT3 Index</stp>
        <stp>BID</stp>
        <tr r="H49" s="2"/>
      </tp>
      <tp t="s">
        <v>#N/A Requesting Data...2539283502</v>
        <stp/>
        <stp>BDP|599652034392309</stp>
        <tr r="D143" s="2"/>
      </tp>
      <tp t="s">
        <v>#N/A N/A</v>
        <stp/>
        <stp>BDP|10043169439287741653|22</stp>
        <stp>EEX3BDT3 Index</stp>
        <stp>ASK</stp>
        <tr r="I5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"/>
  <sheetViews>
    <sheetView tabSelected="1" workbookViewId="0">
      <selection activeCell="A24" sqref="A24:P24"/>
    </sheetView>
  </sheetViews>
  <sheetFormatPr defaultRowHeight="15" x14ac:dyDescent="0.25"/>
  <cols>
    <col min="1" max="1" width="40.85546875" customWidth="1"/>
    <col min="2" max="2" width="19" customWidth="1"/>
    <col min="3" max="3" width="19.5703125" customWidth="1"/>
    <col min="4" max="4" width="16.7109375" customWidth="1"/>
    <col min="5" max="5" width="11.28515625" customWidth="1"/>
    <col min="6" max="6" width="8.42578125" customWidth="1"/>
    <col min="7" max="7" width="18.85546875" customWidth="1"/>
    <col min="8" max="8" width="12" customWidth="1"/>
    <col min="9" max="9" width="10.140625" customWidth="1"/>
    <col min="10" max="10" width="10.28515625" customWidth="1"/>
    <col min="11" max="11" width="9.7109375" customWidth="1"/>
    <col min="12" max="12" width="8.140625" customWidth="1"/>
    <col min="13" max="13" width="12.42578125" customWidth="1"/>
    <col min="14" max="14" width="32.28515625" hidden="1" customWidth="1"/>
    <col min="15" max="16" width="19" hidden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t="s">
        <v>17</v>
      </c>
      <c r="B3" t="s">
        <v>18</v>
      </c>
      <c r="C3">
        <v>49.95</v>
      </c>
      <c r="D3">
        <v>2238500</v>
      </c>
      <c r="E3">
        <v>1.5321</v>
      </c>
      <c r="G3">
        <v>3429500</v>
      </c>
      <c r="L3">
        <v>13</v>
      </c>
      <c r="M3">
        <v>17</v>
      </c>
      <c r="N3" t="s">
        <v>19</v>
      </c>
      <c r="O3" t="s">
        <v>18</v>
      </c>
    </row>
    <row r="5" spans="1:16" x14ac:dyDescent="0.25">
      <c r="A5" s="2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21</v>
      </c>
      <c r="N6" t="s">
        <v>19</v>
      </c>
    </row>
    <row r="7" spans="1:16" x14ac:dyDescent="0.25">
      <c r="N7" t="s">
        <v>19</v>
      </c>
    </row>
    <row r="8" spans="1:16" x14ac:dyDescent="0.25">
      <c r="A8" t="s">
        <v>22</v>
      </c>
      <c r="B8" t="s">
        <v>23</v>
      </c>
      <c r="C8">
        <v>71.36</v>
      </c>
      <c r="D8">
        <v>0</v>
      </c>
      <c r="E8">
        <v>1.55</v>
      </c>
      <c r="G8">
        <v>5042500</v>
      </c>
      <c r="H8">
        <v>64</v>
      </c>
      <c r="I8">
        <v>80</v>
      </c>
      <c r="J8">
        <v>71.510000000000005</v>
      </c>
      <c r="K8">
        <v>71.209999999999994</v>
      </c>
      <c r="L8">
        <v>16</v>
      </c>
      <c r="M8">
        <v>22</v>
      </c>
      <c r="N8" t="s">
        <v>19</v>
      </c>
      <c r="O8" t="s">
        <v>23</v>
      </c>
    </row>
    <row r="9" spans="1:16" x14ac:dyDescent="0.25">
      <c r="A9" t="s">
        <v>24</v>
      </c>
      <c r="B9" t="s">
        <v>25</v>
      </c>
      <c r="C9">
        <v>72.05</v>
      </c>
      <c r="D9">
        <v>1607000</v>
      </c>
      <c r="E9">
        <v>1.62</v>
      </c>
      <c r="G9">
        <v>2596000</v>
      </c>
      <c r="H9">
        <v>69.5</v>
      </c>
      <c r="I9">
        <v>80</v>
      </c>
      <c r="J9">
        <v>72.14</v>
      </c>
      <c r="K9">
        <v>71.849999999999994</v>
      </c>
      <c r="N9" t="s">
        <v>19</v>
      </c>
      <c r="O9" t="s">
        <v>25</v>
      </c>
    </row>
    <row r="10" spans="1:16" x14ac:dyDescent="0.25">
      <c r="A10" t="s">
        <v>26</v>
      </c>
      <c r="B10" t="s">
        <v>23</v>
      </c>
      <c r="C10">
        <v>71.36</v>
      </c>
      <c r="D10">
        <v>3245500</v>
      </c>
      <c r="E10">
        <v>1.55</v>
      </c>
      <c r="G10">
        <v>5042500</v>
      </c>
      <c r="H10">
        <v>64</v>
      </c>
      <c r="I10">
        <v>80</v>
      </c>
      <c r="J10">
        <v>71.510000000000005</v>
      </c>
      <c r="K10">
        <v>71.209999999999994</v>
      </c>
      <c r="N10" t="s">
        <v>19</v>
      </c>
      <c r="O10" t="s">
        <v>23</v>
      </c>
    </row>
    <row r="11" spans="1:16" x14ac:dyDescent="0.25">
      <c r="A11" t="s">
        <v>27</v>
      </c>
      <c r="B11" t="s">
        <v>23</v>
      </c>
      <c r="C11">
        <v>71.36</v>
      </c>
      <c r="D11">
        <v>3245500</v>
      </c>
      <c r="E11">
        <v>1.55</v>
      </c>
      <c r="G11">
        <v>5042500</v>
      </c>
      <c r="H11">
        <v>64</v>
      </c>
      <c r="I11">
        <v>80</v>
      </c>
      <c r="J11">
        <v>71.510000000000005</v>
      </c>
      <c r="K11">
        <v>71.209999999999994</v>
      </c>
      <c r="N11" t="s">
        <v>19</v>
      </c>
      <c r="O11" t="s">
        <v>23</v>
      </c>
    </row>
    <row r="12" spans="1:16" x14ac:dyDescent="0.25">
      <c r="A12" t="s">
        <v>28</v>
      </c>
      <c r="B12" t="s">
        <v>18</v>
      </c>
      <c r="C12">
        <v>70.47</v>
      </c>
      <c r="D12">
        <v>2069000</v>
      </c>
      <c r="E12">
        <v>1.66</v>
      </c>
      <c r="G12">
        <v>3428000</v>
      </c>
      <c r="H12">
        <v>68.05</v>
      </c>
      <c r="I12">
        <v>80</v>
      </c>
      <c r="J12">
        <v>70.540000000000006</v>
      </c>
      <c r="K12">
        <v>70.150000000000006</v>
      </c>
      <c r="N12" t="s">
        <v>19</v>
      </c>
      <c r="O12" t="s">
        <v>18</v>
      </c>
    </row>
    <row r="13" spans="1:16" x14ac:dyDescent="0.25">
      <c r="A13" t="s">
        <v>29</v>
      </c>
      <c r="B13" t="s">
        <v>30</v>
      </c>
      <c r="C13">
        <v>62.89</v>
      </c>
      <c r="D13">
        <v>926500</v>
      </c>
      <c r="E13">
        <v>2.4300000000000002</v>
      </c>
      <c r="G13">
        <v>2247000</v>
      </c>
      <c r="H13">
        <v>61.05</v>
      </c>
      <c r="I13">
        <v>120</v>
      </c>
      <c r="J13">
        <v>63.66</v>
      </c>
      <c r="K13">
        <v>62.82</v>
      </c>
      <c r="N13" t="s">
        <v>19</v>
      </c>
      <c r="O13" t="s">
        <v>30</v>
      </c>
    </row>
    <row r="15" spans="1:16" x14ac:dyDescent="0.25">
      <c r="A15" t="s">
        <v>31</v>
      </c>
      <c r="N15" t="s">
        <v>19</v>
      </c>
    </row>
    <row r="16" spans="1:16" x14ac:dyDescent="0.25">
      <c r="A16" t="s">
        <v>32</v>
      </c>
      <c r="N16" t="s">
        <v>19</v>
      </c>
    </row>
    <row r="17" spans="1:16" x14ac:dyDescent="0.25">
      <c r="A17" t="s">
        <v>33</v>
      </c>
      <c r="B17" t="s">
        <v>34</v>
      </c>
      <c r="C17">
        <v>69.17</v>
      </c>
      <c r="D17">
        <v>198000</v>
      </c>
      <c r="E17">
        <v>5.23</v>
      </c>
      <c r="G17">
        <v>1035000</v>
      </c>
      <c r="H17">
        <v>67</v>
      </c>
      <c r="I17">
        <v>70</v>
      </c>
      <c r="J17">
        <v>68.83</v>
      </c>
      <c r="K17">
        <v>68.97</v>
      </c>
      <c r="N17" t="s">
        <v>19</v>
      </c>
      <c r="O17" t="s">
        <v>34</v>
      </c>
    </row>
    <row r="19" spans="1:16" x14ac:dyDescent="0.25">
      <c r="A19" s="2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t="s">
        <v>36</v>
      </c>
      <c r="N20" t="s">
        <v>19</v>
      </c>
    </row>
    <row r="21" spans="1:16" x14ac:dyDescent="0.25">
      <c r="A21" t="s">
        <v>37</v>
      </c>
      <c r="B21" t="s">
        <v>38</v>
      </c>
      <c r="C21">
        <v>25.87</v>
      </c>
      <c r="E21">
        <v>0.86</v>
      </c>
      <c r="G21">
        <v>43865000</v>
      </c>
      <c r="H21">
        <v>25.87</v>
      </c>
      <c r="I21">
        <v>60.47</v>
      </c>
      <c r="J21">
        <v>31.35</v>
      </c>
      <c r="K21">
        <v>30.98</v>
      </c>
      <c r="N21" t="s">
        <v>19</v>
      </c>
    </row>
    <row r="22" spans="1:16" x14ac:dyDescent="0.25">
      <c r="A22" t="s">
        <v>39</v>
      </c>
      <c r="B22" t="s">
        <v>38</v>
      </c>
      <c r="C22">
        <v>26.15</v>
      </c>
      <c r="E22">
        <v>1.25</v>
      </c>
      <c r="G22">
        <v>6847750</v>
      </c>
      <c r="H22">
        <v>25.87</v>
      </c>
      <c r="I22">
        <v>50</v>
      </c>
      <c r="J22">
        <v>32.36</v>
      </c>
      <c r="K22">
        <v>26.57</v>
      </c>
      <c r="N22" t="s">
        <v>19</v>
      </c>
    </row>
    <row r="24" spans="1:16" x14ac:dyDescent="0.25">
      <c r="A24" s="2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41</v>
      </c>
      <c r="B25" t="s">
        <v>42</v>
      </c>
      <c r="C25">
        <v>19.63</v>
      </c>
      <c r="E25">
        <v>2.5</v>
      </c>
      <c r="G25">
        <v>15244480</v>
      </c>
      <c r="H25">
        <v>2.62</v>
      </c>
      <c r="I25">
        <v>45</v>
      </c>
      <c r="J25">
        <v>19.05</v>
      </c>
      <c r="K25">
        <v>19.28</v>
      </c>
      <c r="N25" t="s">
        <v>19</v>
      </c>
    </row>
    <row r="27" spans="1:16" x14ac:dyDescent="0.25">
      <c r="A27" s="2" t="s">
        <v>43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t="s">
        <v>44</v>
      </c>
      <c r="B28" t="s">
        <v>45</v>
      </c>
      <c r="C28">
        <f>_xll.BDP("ACCUABAP Index","PX_LAST")</f>
        <v>17.12</v>
      </c>
      <c r="D28" t="str">
        <f>_xll.BDP("ACCUABAP Index","PX_VOLUME")</f>
        <v>#N/A N/A</v>
      </c>
      <c r="G28">
        <v>7800000</v>
      </c>
      <c r="H28" t="str">
        <f>_xll.BDP("ACCUABAP Index","BID")</f>
        <v>#N/A Real Time</v>
      </c>
      <c r="I28" t="str">
        <f>_xll.BDP("ACCUABAP Index","ASK")</f>
        <v>#N/A Real Time</v>
      </c>
      <c r="J28">
        <v>17.12</v>
      </c>
      <c r="O28" t="str">
        <f>_xll.BDP("ACCUABAP Index","LAST_UPDATE_DT")</f>
        <v>31.03.2023</v>
      </c>
      <c r="P28" t="str">
        <f>_xll.BDP("ACCUABAP Index","TIME")</f>
        <v>#N/A Real Time</v>
      </c>
    </row>
    <row r="30" spans="1:16" x14ac:dyDescent="0.25">
      <c r="A30" s="3" t="s">
        <v>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 t="s">
        <v>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3" spans="1:16" x14ac:dyDescent="0.25">
      <c r="A33" s="2" t="s">
        <v>48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C34" t="s">
        <v>49</v>
      </c>
      <c r="D34" t="s">
        <v>50</v>
      </c>
      <c r="N34" t="s">
        <v>51</v>
      </c>
    </row>
    <row r="35" spans="1:16" x14ac:dyDescent="0.25">
      <c r="A35" t="s">
        <v>52</v>
      </c>
      <c r="B35" t="s">
        <v>18</v>
      </c>
      <c r="C35">
        <f>_xll.BDP("UKAAUPR Index","PX_LAST")</f>
        <v>49.95</v>
      </c>
      <c r="D35">
        <f>_xll.BDP("UKAAUPR Index","PX_VOLUME")</f>
        <v>2238500</v>
      </c>
      <c r="H35" t="str">
        <f>_xll.BDP("UKAAUPR Index","BID")</f>
        <v>#N/A N/A</v>
      </c>
      <c r="I35" t="str">
        <f>_xll.BDP("UKAAUPR Index","ASK")</f>
        <v>#N/A N/A</v>
      </c>
      <c r="N35" t="s">
        <v>51</v>
      </c>
      <c r="O35" t="str">
        <f>_xll.BDP("UKAAUPR Index","LAST_UPDATE_DT")</f>
        <v>20.08.2025</v>
      </c>
      <c r="P35" t="str">
        <f>_xll.BDP("UKAAUPR Index","TIME")</f>
        <v>20.08.2025</v>
      </c>
    </row>
    <row r="36" spans="1:16" x14ac:dyDescent="0.25">
      <c r="C36" t="s">
        <v>53</v>
      </c>
      <c r="N36" t="s">
        <v>51</v>
      </c>
    </row>
    <row r="37" spans="1:16" x14ac:dyDescent="0.25">
      <c r="A37" t="s">
        <v>4</v>
      </c>
      <c r="B37" t="s">
        <v>18</v>
      </c>
      <c r="C37">
        <f>_xll.BDP("UKACORAT Index","PX_LAST")</f>
        <v>1.5320527138708999</v>
      </c>
      <c r="D37" t="str">
        <f>_xll.BDP("UKACORAT Index","PX_VOLUME")</f>
        <v>#N/A N/A</v>
      </c>
      <c r="H37" t="str">
        <f>_xll.BDP("UKACORAT Index","BID")</f>
        <v>#N/A N/A</v>
      </c>
      <c r="I37" t="str">
        <f>_xll.BDP("UKACORAT Index","ASK")</f>
        <v>#N/A N/A</v>
      </c>
      <c r="N37" t="s">
        <v>51</v>
      </c>
      <c r="O37" t="str">
        <f>_xll.BDP("UKACORAT Index","LAST_UPDATE_DT")</f>
        <v>20.08.2025</v>
      </c>
      <c r="P37" t="str">
        <f>_xll.BDP("UKACORAT Index","TIME")</f>
        <v>20.08.2025</v>
      </c>
    </row>
    <row r="38" spans="1:16" x14ac:dyDescent="0.25">
      <c r="A38" t="s">
        <v>54</v>
      </c>
      <c r="B38" t="s">
        <v>18</v>
      </c>
      <c r="C38">
        <f>_xll.BDP("UKASBBID Index","PX_LAST")</f>
        <v>13</v>
      </c>
      <c r="D38">
        <f>_xll.BDP("UKASBBID Index","PX_VOLUME")</f>
        <v>18</v>
      </c>
      <c r="H38" t="str">
        <f>_xll.BDP("UKASBBID Index","BID")</f>
        <v>#N/A N/A</v>
      </c>
      <c r="I38" t="str">
        <f>_xll.BDP("UKASBBID Index","ASK")</f>
        <v>#N/A N/A</v>
      </c>
      <c r="N38" t="s">
        <v>51</v>
      </c>
      <c r="O38" t="str">
        <f>_xll.BDP("UKASBBID Index","LAST_UPDATE_DT")</f>
        <v>20.08.2025</v>
      </c>
      <c r="P38" t="str">
        <f>_xll.BDP("UKASBBID Index","TIME")</f>
        <v>20.08.2025</v>
      </c>
    </row>
    <row r="39" spans="1:16" x14ac:dyDescent="0.25">
      <c r="A39" t="s">
        <v>55</v>
      </c>
      <c r="B39" t="s">
        <v>18</v>
      </c>
      <c r="C39">
        <f>_xll.BDP("UKATOBID Index","PX_LAST")</f>
        <v>17</v>
      </c>
      <c r="D39">
        <f>_xll.BDP("UKATOBID Index","PX_VOLUME")</f>
        <v>19</v>
      </c>
      <c r="H39" t="str">
        <f>_xll.BDP("UKATOBID Index","BID")</f>
        <v>#N/A N/A</v>
      </c>
      <c r="I39" t="str">
        <f>_xll.BDP("UKATOBID Index","ASK")</f>
        <v>#N/A N/A</v>
      </c>
      <c r="N39" t="s">
        <v>51</v>
      </c>
      <c r="O39" t="str">
        <f>_xll.BDP("UKATOBID Index","LAST_UPDATE_DT")</f>
        <v>20.08.2025</v>
      </c>
      <c r="P39" t="str">
        <f>_xll.BDP("UKATOBID Index","TIME")</f>
        <v>20.08.2025</v>
      </c>
    </row>
    <row r="40" spans="1:16" x14ac:dyDescent="0.25">
      <c r="C40" t="s">
        <v>50</v>
      </c>
      <c r="N40" t="s">
        <v>51</v>
      </c>
    </row>
    <row r="41" spans="1:16" x14ac:dyDescent="0.25">
      <c r="A41" t="s">
        <v>56</v>
      </c>
      <c r="B41" t="s">
        <v>18</v>
      </c>
      <c r="C41">
        <f>_xll.BDP("UKABIDS Index","PX_LAST")</f>
        <v>3429500</v>
      </c>
      <c r="D41">
        <f>_xll.BDP("UKABIDS Index","PX_VOLUME")</f>
        <v>4116500</v>
      </c>
      <c r="H41" t="str">
        <f>_xll.BDP("UKABIDS Index","BID")</f>
        <v>#N/A N/A</v>
      </c>
      <c r="I41" t="str">
        <f>_xll.BDP("UKABIDS Index","ASK")</f>
        <v>#N/A N/A</v>
      </c>
      <c r="N41" t="s">
        <v>51</v>
      </c>
      <c r="O41" t="str">
        <f>_xll.BDP("UKABIDS Index","LAST_UPDATE_DT")</f>
        <v>20.08.2025</v>
      </c>
      <c r="P41" t="str">
        <f>_xll.BDP("UKABIDS Index","TIME")</f>
        <v>20.08.2025</v>
      </c>
    </row>
    <row r="43" spans="1:16" x14ac:dyDescent="0.25">
      <c r="A43" s="2" t="s">
        <v>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C44" t="s">
        <v>49</v>
      </c>
      <c r="D44" t="s">
        <v>50</v>
      </c>
      <c r="H44" t="s">
        <v>7</v>
      </c>
      <c r="I44" t="s">
        <v>8</v>
      </c>
      <c r="N44" t="s">
        <v>58</v>
      </c>
    </row>
    <row r="45" spans="1:16" x14ac:dyDescent="0.25">
      <c r="A45" t="s">
        <v>52</v>
      </c>
      <c r="B45" t="s">
        <v>23</v>
      </c>
      <c r="C45">
        <f>_xll.BDP("EEXXT3PA Index","PX_LAST")</f>
        <v>73.14</v>
      </c>
      <c r="D45">
        <f>_xll.BDP("EEXXT3PA Index","PX_VOLUME")</f>
        <v>0</v>
      </c>
      <c r="H45">
        <f>_xll.BDP("EEXXT3PA Index","BID")</f>
        <v>64</v>
      </c>
      <c r="I45">
        <f>_xll.BDP("EEXXT3PA Index","ASK")</f>
        <v>85</v>
      </c>
      <c r="N45" t="s">
        <v>58</v>
      </c>
      <c r="O45" t="str">
        <f>_xll.BDP("EEXXT3PA Index","LAST_UPDATE_DT")</f>
        <v>01.09.2025</v>
      </c>
      <c r="P45" t="str">
        <f>_xll.BDP("EEXXT3PA Index","TIME")</f>
        <v>11:00:00</v>
      </c>
    </row>
    <row r="46" spans="1:16" x14ac:dyDescent="0.25">
      <c r="C46" t="s">
        <v>53</v>
      </c>
      <c r="N46" t="s">
        <v>58</v>
      </c>
    </row>
    <row r="47" spans="1:16" x14ac:dyDescent="0.25">
      <c r="A47" t="s">
        <v>4</v>
      </c>
      <c r="B47" t="s">
        <v>23</v>
      </c>
      <c r="C47">
        <f>_xll.BDP("EEX3CRT3 Index","PX_LAST")</f>
        <v>1.34</v>
      </c>
      <c r="D47">
        <f>_xll.BDP("EEX3CRT3 Index","PX_VOLUME")</f>
        <v>0</v>
      </c>
      <c r="H47" t="str">
        <f>_xll.BDP("EEX3CRT3 Index","BID")</f>
        <v>#N/A N/A</v>
      </c>
      <c r="I47" t="str">
        <f>_xll.BDP("EEX3CRT3 Index","ASK")</f>
        <v>#N/A N/A</v>
      </c>
      <c r="N47" t="s">
        <v>58</v>
      </c>
      <c r="O47" t="str">
        <f>_xll.BDP("EEX3CRT3 Index","LAST_UPDATE_DT")</f>
        <v>01.09.2025</v>
      </c>
      <c r="P47" t="str">
        <f>_xll.BDP("EEX3CRT3 Index","TIME")</f>
        <v>11:00:00</v>
      </c>
    </row>
    <row r="48" spans="1:16" x14ac:dyDescent="0.25">
      <c r="A48" t="s">
        <v>9</v>
      </c>
      <c r="B48" t="s">
        <v>23</v>
      </c>
      <c r="C48">
        <f>_xll.BDP("EEX3MNT3 Index","PX_LAST")</f>
        <v>73.239999999999995</v>
      </c>
      <c r="D48">
        <f>_xll.BDP("EEX3MNT3 Index","PX_VOLUME")</f>
        <v>0</v>
      </c>
      <c r="H48" t="str">
        <f>_xll.BDP("EEX3MNT3 Index","BID")</f>
        <v>#N/A N/A</v>
      </c>
      <c r="I48" t="str">
        <f>_xll.BDP("EEX3MNT3 Index","ASK")</f>
        <v>#N/A N/A</v>
      </c>
      <c r="N48" t="s">
        <v>58</v>
      </c>
      <c r="O48" t="str">
        <f>_xll.BDP("EEX3MNT3 Index","LAST_UPDATE_DT")</f>
        <v>01.09.2025</v>
      </c>
      <c r="P48" t="str">
        <f>_xll.BDP("EEX3MNT3 Index","TIME")</f>
        <v>11:00:00</v>
      </c>
    </row>
    <row r="49" spans="1:16" x14ac:dyDescent="0.25">
      <c r="A49" t="s">
        <v>10</v>
      </c>
      <c r="B49" t="s">
        <v>23</v>
      </c>
      <c r="C49">
        <f>_xll.BDP("EEX3MDT3 Index","PX_LAST")</f>
        <v>73.010000000000005</v>
      </c>
      <c r="D49">
        <f>_xll.BDP("EEX3MDT3 Index","PX_VOLUME")</f>
        <v>0</v>
      </c>
      <c r="H49" t="str">
        <f>_xll.BDP("EEX3MDT3 Index","BID")</f>
        <v>#N/A N/A</v>
      </c>
      <c r="I49" t="str">
        <f>_xll.BDP("EEX3MDT3 Index","ASK")</f>
        <v>#N/A N/A</v>
      </c>
      <c r="N49" t="s">
        <v>58</v>
      </c>
      <c r="O49" t="str">
        <f>_xll.BDP("EEX3MDT3 Index","LAST_UPDATE_DT")</f>
        <v>01.09.2025</v>
      </c>
      <c r="P49" t="str">
        <f>_xll.BDP("EEX3MDT3 Index","TIME")</f>
        <v>11:00:00</v>
      </c>
    </row>
    <row r="50" spans="1:16" x14ac:dyDescent="0.25">
      <c r="A50" t="s">
        <v>54</v>
      </c>
      <c r="B50" t="s">
        <v>23</v>
      </c>
      <c r="C50">
        <f>_xll.BDP("EEX3SCCB Index","PX_LAST")</f>
        <v>16</v>
      </c>
      <c r="D50">
        <f>_xll.BDP("EEX3SCCB Index","PX_VOLUME")</f>
        <v>0</v>
      </c>
      <c r="H50" t="str">
        <f>_xll.BDP("EEX3SCCB Index","BID")</f>
        <v>#N/A N/A</v>
      </c>
      <c r="I50" t="str">
        <f>_xll.BDP("EEX3SCCB Index","ASK")</f>
        <v>#N/A N/A</v>
      </c>
      <c r="N50" t="s">
        <v>58</v>
      </c>
      <c r="O50" t="str">
        <f>_xll.BDP("EEX3SCCB Index","LAST_UPDATE_DT")</f>
        <v>01.09.2025</v>
      </c>
      <c r="P50" t="str">
        <f>_xll.BDP("EEX3SCCB Index","TIME")</f>
        <v>11:00:00</v>
      </c>
    </row>
    <row r="51" spans="1:16" x14ac:dyDescent="0.25">
      <c r="A51" t="s">
        <v>55</v>
      </c>
      <c r="B51" t="s">
        <v>23</v>
      </c>
      <c r="C51">
        <f>_xll.BDP("EEX3TOTB Index","PX_LAST")</f>
        <v>23</v>
      </c>
      <c r="D51">
        <f>_xll.BDP("EEX3TOTB Index","PX_VOLUME")</f>
        <v>0</v>
      </c>
      <c r="H51" t="str">
        <f>_xll.BDP("EEX3TOTB Index","BID")</f>
        <v>#N/A N/A</v>
      </c>
      <c r="I51" t="str">
        <f>_xll.BDP("EEX3TOTB Index","ASK")</f>
        <v>#N/A N/A</v>
      </c>
      <c r="N51" t="s">
        <v>58</v>
      </c>
      <c r="O51" t="str">
        <f>_xll.BDP("EEX3TOTB Index","LAST_UPDATE_DT")</f>
        <v>01.09.2025</v>
      </c>
      <c r="P51" t="str">
        <f>_xll.BDP("EEX3TOTB Index","TIME")</f>
        <v>11:00:00</v>
      </c>
    </row>
    <row r="52" spans="1:16" x14ac:dyDescent="0.25">
      <c r="A52" t="s">
        <v>59</v>
      </c>
      <c r="C52" t="s">
        <v>50</v>
      </c>
      <c r="N52" t="s">
        <v>58</v>
      </c>
    </row>
    <row r="53" spans="1:16" x14ac:dyDescent="0.25">
      <c r="A53" t="s">
        <v>50</v>
      </c>
      <c r="B53" t="s">
        <v>23</v>
      </c>
      <c r="C53">
        <f>_xll.BDP("EEX3BDT3 Index","PX_LAST")</f>
        <v>4365500</v>
      </c>
      <c r="D53">
        <f>_xll.BDP("EEX3BDT3 Index","PX_VOLUME")</f>
        <v>0</v>
      </c>
      <c r="H53" t="str">
        <f>_xll.BDP("EEX3BDT3 Index","BID")</f>
        <v>#N/A N/A</v>
      </c>
      <c r="I53" t="str">
        <f>_xll.BDP("EEX3BDT3 Index","ASK")</f>
        <v>#N/A N/A</v>
      </c>
      <c r="N53" t="s">
        <v>58</v>
      </c>
      <c r="O53" t="str">
        <f>_xll.BDP("EEX3BDT3 Index","LAST_UPDATE_DT")</f>
        <v>01.09.2025</v>
      </c>
      <c r="P53" t="str">
        <f>_xll.BDP("EEX3BDT3 Index","TIME")</f>
        <v>11:00:00</v>
      </c>
    </row>
    <row r="55" spans="1:16" x14ac:dyDescent="0.25">
      <c r="A55" s="2" t="s">
        <v>60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C56" t="s">
        <v>49</v>
      </c>
      <c r="D56" t="s">
        <v>50</v>
      </c>
      <c r="H56" t="s">
        <v>7</v>
      </c>
      <c r="I56" t="s">
        <v>8</v>
      </c>
      <c r="N56" t="s">
        <v>61</v>
      </c>
    </row>
    <row r="57" spans="1:16" x14ac:dyDescent="0.25">
      <c r="A57" t="s">
        <v>52</v>
      </c>
      <c r="B57" t="s">
        <v>25</v>
      </c>
      <c r="C57">
        <f>_xll.BDP("EEX3PMDE Index","PX_LAST")</f>
        <v>71.3</v>
      </c>
      <c r="D57">
        <f>_xll.BDP("EEX3PMDE Index","PX_VOLUME")</f>
        <v>1614500</v>
      </c>
      <c r="H57">
        <f>_xll.BDP("EEX3PMDE Index","BID")</f>
        <v>65</v>
      </c>
      <c r="I57">
        <f>_xll.BDP("EEX3PMDE Index","ASK")</f>
        <v>80</v>
      </c>
      <c r="N57" t="s">
        <v>61</v>
      </c>
      <c r="O57" t="str">
        <f>_xll.BDP("EEX3PMDE Index","LAST_UPDATE_DT")</f>
        <v>29.08.2025</v>
      </c>
      <c r="P57" t="str">
        <f>_xll.BDP("EEX3PMDE Index","TIME")</f>
        <v>29.08.2025</v>
      </c>
    </row>
    <row r="58" spans="1:16" x14ac:dyDescent="0.25">
      <c r="C58" t="s">
        <v>53</v>
      </c>
      <c r="N58" t="s">
        <v>61</v>
      </c>
    </row>
    <row r="59" spans="1:16" x14ac:dyDescent="0.25">
      <c r="A59" t="s">
        <v>4</v>
      </c>
      <c r="B59" t="s">
        <v>25</v>
      </c>
      <c r="C59">
        <f>_xll.BDP("EEX3CRDE Index","PX_LAST")</f>
        <v>1.82</v>
      </c>
      <c r="D59">
        <f>_xll.BDP("EEX3CRDE Index","PX_VOLUME")</f>
        <v>0</v>
      </c>
      <c r="H59" t="str">
        <f>_xll.BDP("EEX3CRDE Index","BID")</f>
        <v>#N/A N/A</v>
      </c>
      <c r="I59" t="str">
        <f>_xll.BDP("EEX3CRDE Index","ASK")</f>
        <v>#N/A N/A</v>
      </c>
      <c r="N59" t="s">
        <v>61</v>
      </c>
      <c r="O59" t="str">
        <f>_xll.BDP("EEX3CRDE Index","LAST_UPDATE_DT")</f>
        <v>29.08.2025</v>
      </c>
      <c r="P59" t="str">
        <f>_xll.BDP("EEX3CRDE Index","TIME")</f>
        <v>29.08.2025</v>
      </c>
    </row>
    <row r="60" spans="1:16" x14ac:dyDescent="0.25">
      <c r="A60" t="s">
        <v>9</v>
      </c>
      <c r="B60" t="s">
        <v>25</v>
      </c>
      <c r="C60">
        <f>_xll.BDP("EEX3MNDE Index","PX_LAST")</f>
        <v>71.73</v>
      </c>
      <c r="D60">
        <f>_xll.BDP("EEX3MNDE Index","PX_VOLUME")</f>
        <v>0</v>
      </c>
      <c r="H60" t="str">
        <f>_xll.BDP("EEX3MNDE Index","BID")</f>
        <v>#N/A N/A</v>
      </c>
      <c r="I60" t="str">
        <f>_xll.BDP("EEX3MNDE Index","ASK")</f>
        <v>#N/A N/A</v>
      </c>
      <c r="N60" t="s">
        <v>61</v>
      </c>
      <c r="O60" t="str">
        <f>_xll.BDP("EEX3MNDE Index","LAST_UPDATE_DT")</f>
        <v>29.08.2025</v>
      </c>
      <c r="P60" t="str">
        <f>_xll.BDP("EEX3MNDE Index","TIME")</f>
        <v>29.08.2025</v>
      </c>
    </row>
    <row r="61" spans="1:16" x14ac:dyDescent="0.25">
      <c r="A61" t="s">
        <v>10</v>
      </c>
      <c r="B61" t="s">
        <v>25</v>
      </c>
      <c r="C61">
        <f>_xll.BDP("EEX3MDDE Index","PX_LAST")</f>
        <v>71.17</v>
      </c>
      <c r="D61">
        <f>_xll.BDP("EEX3MDDE Index","PX_VOLUME")</f>
        <v>0</v>
      </c>
      <c r="H61" t="str">
        <f>_xll.BDP("EEX3MDDE Index","BID")</f>
        <v>#N/A N/A</v>
      </c>
      <c r="I61" t="str">
        <f>_xll.BDP("EEX3MDDE Index","ASK")</f>
        <v>#N/A N/A</v>
      </c>
      <c r="N61" t="s">
        <v>61</v>
      </c>
      <c r="O61" t="str">
        <f>_xll.BDP("EEX3MDDE Index","LAST_UPDATE_DT")</f>
        <v>29.08.2025</v>
      </c>
      <c r="P61" t="str">
        <f>_xll.BDP("EEX3MDDE Index","TIME")</f>
        <v>29.08.2025</v>
      </c>
    </row>
    <row r="62" spans="1:16" x14ac:dyDescent="0.25">
      <c r="A62" t="s">
        <v>59</v>
      </c>
      <c r="C62" t="s">
        <v>50</v>
      </c>
      <c r="N62" t="s">
        <v>61</v>
      </c>
    </row>
    <row r="63" spans="1:16" x14ac:dyDescent="0.25">
      <c r="A63" t="s">
        <v>50</v>
      </c>
      <c r="B63" t="s">
        <v>25</v>
      </c>
      <c r="C63">
        <f>_xll.BDP("EEX3BDDE Index","PX_LAST")</f>
        <v>2932500</v>
      </c>
      <c r="D63">
        <f>_xll.BDP("EEX3BDDE Index","PX_VOLUME")</f>
        <v>0</v>
      </c>
      <c r="H63" t="str">
        <f>_xll.BDP("EEX3BDDE Index","BID")</f>
        <v>#N/A N/A</v>
      </c>
      <c r="I63" t="str">
        <f>_xll.BDP("EEX3BDDE Index","ASK")</f>
        <v>#N/A N/A</v>
      </c>
      <c r="N63" t="s">
        <v>61</v>
      </c>
      <c r="O63" t="str">
        <f>_xll.BDP("EEX3BDDE Index","LAST_UPDATE_DT")</f>
        <v>29.08.2025</v>
      </c>
      <c r="P63" t="str">
        <f>_xll.BDP("EEX3BDDE Index","TIME")</f>
        <v>29.08.2025</v>
      </c>
    </row>
    <row r="65" spans="1:16" x14ac:dyDescent="0.25">
      <c r="A65" s="2" t="s">
        <v>62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C66" t="s">
        <v>49</v>
      </c>
      <c r="D66" t="s">
        <v>50</v>
      </c>
      <c r="H66" t="s">
        <v>7</v>
      </c>
      <c r="I66" t="s">
        <v>8</v>
      </c>
      <c r="N66" t="s">
        <v>63</v>
      </c>
    </row>
    <row r="67" spans="1:16" x14ac:dyDescent="0.25">
      <c r="A67" t="s">
        <v>52</v>
      </c>
      <c r="B67" t="s">
        <v>23</v>
      </c>
      <c r="C67">
        <f>_xll.BDP("EEX3EPPM Index","PX_LAST")</f>
        <v>73.14</v>
      </c>
      <c r="D67">
        <f>_xll.BDP("EEX3EPPM Index","PX_VOLUME")</f>
        <v>3268000</v>
      </c>
      <c r="H67">
        <f>_xll.BDP("EEX3EPPM Index","BID")</f>
        <v>64</v>
      </c>
      <c r="I67">
        <f>_xll.BDP("EEX3EPPM Index","ASK")</f>
        <v>85</v>
      </c>
      <c r="N67" t="s">
        <v>63</v>
      </c>
      <c r="O67" t="str">
        <f>_xll.BDP("EEX3EPPM Index","LAST_UPDATE_DT")</f>
        <v>01.09.2025</v>
      </c>
      <c r="P67" t="str">
        <f>_xll.BDP("EEX3EPPM Index","TIME")</f>
        <v>11:00:32</v>
      </c>
    </row>
    <row r="68" spans="1:16" x14ac:dyDescent="0.25">
      <c r="C68" t="s">
        <v>53</v>
      </c>
      <c r="N68" t="s">
        <v>63</v>
      </c>
    </row>
    <row r="69" spans="1:16" x14ac:dyDescent="0.25">
      <c r="A69" t="s">
        <v>4</v>
      </c>
      <c r="B69" t="s">
        <v>23</v>
      </c>
      <c r="C69">
        <f>_xll.BDP("EEX3EPCR Index","PX_LAST")</f>
        <v>1.34</v>
      </c>
      <c r="D69">
        <f>_xll.BDP("EEX3EPCR Index","PX_VOLUME")</f>
        <v>0</v>
      </c>
      <c r="H69" t="str">
        <f>_xll.BDP("EEX3EPCR Index","BID")</f>
        <v>#N/A N/A</v>
      </c>
      <c r="I69" t="str">
        <f>_xll.BDP("EEX3EPCR Index","ASK")</f>
        <v>#N/A N/A</v>
      </c>
      <c r="N69" t="s">
        <v>63</v>
      </c>
      <c r="O69" t="str">
        <f>_xll.BDP("EEX3EPCR Index","LAST_UPDATE_DT")</f>
        <v>01.09.2025</v>
      </c>
      <c r="P69" t="str">
        <f>_xll.BDP("EEX3EPCR Index","TIME")</f>
        <v>11:00:00</v>
      </c>
    </row>
    <row r="70" spans="1:16" x14ac:dyDescent="0.25">
      <c r="A70" t="s">
        <v>9</v>
      </c>
      <c r="B70" t="s">
        <v>23</v>
      </c>
      <c r="C70">
        <f>_xll.BDP("EEX3MNEP Index","PX_LAST")</f>
        <v>73.239999999999995</v>
      </c>
      <c r="D70">
        <f>_xll.BDP("EEX3MNEP Index","PX_VOLUME")</f>
        <v>0</v>
      </c>
      <c r="H70" t="str">
        <f>_xll.BDP("EEX3MNEP Index","BID")</f>
        <v>#N/A N/A</v>
      </c>
      <c r="I70" t="str">
        <f>_xll.BDP("EEX3MNEP Index","ASK")</f>
        <v>#N/A N/A</v>
      </c>
      <c r="N70" t="s">
        <v>63</v>
      </c>
      <c r="O70" t="str">
        <f>_xll.BDP("EEX3MNEP Index","LAST_UPDATE_DT")</f>
        <v>01.09.2025</v>
      </c>
      <c r="P70" t="str">
        <f>_xll.BDP("EEX3MNEP Index","TIME")</f>
        <v>11:00:00</v>
      </c>
    </row>
    <row r="71" spans="1:16" x14ac:dyDescent="0.25">
      <c r="A71" t="s">
        <v>10</v>
      </c>
      <c r="B71" t="s">
        <v>23</v>
      </c>
      <c r="C71">
        <f>_xll.BDP("EEX3MDEP Index","PX_LAST")</f>
        <v>73.010000000000005</v>
      </c>
      <c r="D71">
        <f>_xll.BDP("EEX3MDEP Index","PX_VOLUME")</f>
        <v>0</v>
      </c>
      <c r="H71" t="str">
        <f>_xll.BDP("EEX3MDEP Index","BID")</f>
        <v>#N/A N/A</v>
      </c>
      <c r="I71" t="str">
        <f>_xll.BDP("EEX3MDEP Index","ASK")</f>
        <v>#N/A N/A</v>
      </c>
      <c r="N71" t="s">
        <v>63</v>
      </c>
      <c r="O71" t="str">
        <f>_xll.BDP("EEX3MDEP Index","LAST_UPDATE_DT")</f>
        <v>01.09.2025</v>
      </c>
      <c r="P71" t="str">
        <f>_xll.BDP("EEX3MDEP Index","TIME")</f>
        <v>11:00:00</v>
      </c>
    </row>
    <row r="72" spans="1:16" x14ac:dyDescent="0.25">
      <c r="A72" t="s">
        <v>59</v>
      </c>
      <c r="C72" t="s">
        <v>50</v>
      </c>
      <c r="N72" t="s">
        <v>63</v>
      </c>
    </row>
    <row r="73" spans="1:16" x14ac:dyDescent="0.25">
      <c r="A73" t="s">
        <v>50</v>
      </c>
      <c r="B73" t="s">
        <v>23</v>
      </c>
      <c r="C73">
        <f>_xll.BDP("EEX3BDEP Index","PX_LAST")</f>
        <v>4365500</v>
      </c>
      <c r="D73">
        <f>_xll.BDP("EEX3BDEP Index","PX_VOLUME")</f>
        <v>0</v>
      </c>
      <c r="H73" t="str">
        <f>_xll.BDP("EEX3BDEP Index","BID")</f>
        <v>#N/A N/A</v>
      </c>
      <c r="I73" t="str">
        <f>_xll.BDP("EEX3BDEP Index","ASK")</f>
        <v>#N/A N/A</v>
      </c>
      <c r="N73" t="s">
        <v>63</v>
      </c>
      <c r="O73" t="str">
        <f>_xll.BDP("EEX3BDEP Index","LAST_UPDATE_DT")</f>
        <v>01.09.2025</v>
      </c>
      <c r="P73" t="str">
        <f>_xll.BDP("EEX3BDEP Index","TIME")</f>
        <v>11:00:00</v>
      </c>
    </row>
    <row r="75" spans="1:16" x14ac:dyDescent="0.25">
      <c r="A75" s="2" t="s">
        <v>64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C76" t="s">
        <v>49</v>
      </c>
      <c r="D76" t="s">
        <v>50</v>
      </c>
      <c r="H76" t="s">
        <v>7</v>
      </c>
      <c r="I76" t="s">
        <v>8</v>
      </c>
      <c r="N76" t="s">
        <v>65</v>
      </c>
    </row>
    <row r="77" spans="1:16" x14ac:dyDescent="0.25">
      <c r="A77" t="s">
        <v>52</v>
      </c>
      <c r="B77" t="s">
        <v>23</v>
      </c>
      <c r="C77">
        <f>_xll.BDP("EEX3PMEU Index","PX_LAST")</f>
        <v>73.14</v>
      </c>
      <c r="D77">
        <f>_xll.BDP("EEX3PMEU Index","PX_VOLUME")</f>
        <v>3268000</v>
      </c>
      <c r="H77">
        <f>_xll.BDP("EEX3PMEU Index","BID")</f>
        <v>64</v>
      </c>
      <c r="I77">
        <f>_xll.BDP("EEX3PMEU Index","ASK")</f>
        <v>85</v>
      </c>
      <c r="N77" t="s">
        <v>65</v>
      </c>
      <c r="O77" t="str">
        <f>_xll.BDP("EEX3PMEU Index","LAST_UPDATE_DT")</f>
        <v>01.09.2025</v>
      </c>
      <c r="P77" t="str">
        <f>_xll.BDP("EEX3PMEU Index","TIME")</f>
        <v>11:00:00</v>
      </c>
    </row>
    <row r="78" spans="1:16" x14ac:dyDescent="0.25">
      <c r="C78" t="s">
        <v>53</v>
      </c>
      <c r="N78" t="s">
        <v>65</v>
      </c>
    </row>
    <row r="79" spans="1:16" x14ac:dyDescent="0.25">
      <c r="A79" t="s">
        <v>4</v>
      </c>
      <c r="B79" t="s">
        <v>23</v>
      </c>
      <c r="C79">
        <f>_xll.BDP("EEX3CREU Index","PX_LAST")</f>
        <v>1.34</v>
      </c>
      <c r="D79">
        <f>_xll.BDP("EEX3CREU Index","PX_VOLUME")</f>
        <v>0</v>
      </c>
      <c r="H79" t="str">
        <f>_xll.BDP("EEX3CREU Index","BID")</f>
        <v>#N/A N/A</v>
      </c>
      <c r="I79" t="str">
        <f>_xll.BDP("EEX3CREU Index","ASK")</f>
        <v>#N/A N/A</v>
      </c>
      <c r="N79" t="s">
        <v>65</v>
      </c>
      <c r="O79" t="str">
        <f>_xll.BDP("EEX3CREU Index","LAST_UPDATE_DT")</f>
        <v>01.09.2025</v>
      </c>
      <c r="P79" t="str">
        <f>_xll.BDP("EEX3CREU Index","TIME")</f>
        <v>11:00:00</v>
      </c>
    </row>
    <row r="80" spans="1:16" x14ac:dyDescent="0.25">
      <c r="A80" t="s">
        <v>9</v>
      </c>
      <c r="B80" t="s">
        <v>23</v>
      </c>
      <c r="C80">
        <f>_xll.BDP("EEX3MNEU Index","PX_LAST")</f>
        <v>73.239999999999995</v>
      </c>
      <c r="D80">
        <f>_xll.BDP("EEX3MNEU Index","PX_VOLUME")</f>
        <v>0</v>
      </c>
      <c r="H80" t="str">
        <f>_xll.BDP("EEX3MNEU Index","BID")</f>
        <v>#N/A N/A</v>
      </c>
      <c r="I80" t="str">
        <f>_xll.BDP("EEX3MNEU Index","ASK")</f>
        <v>#N/A N/A</v>
      </c>
      <c r="N80" t="s">
        <v>65</v>
      </c>
      <c r="O80" t="str">
        <f>_xll.BDP("EEX3MNEU Index","LAST_UPDATE_DT")</f>
        <v>01.09.2025</v>
      </c>
      <c r="P80" t="str">
        <f>_xll.BDP("EEX3MNEU Index","TIME")</f>
        <v>11:00:00</v>
      </c>
    </row>
    <row r="81" spans="1:16" x14ac:dyDescent="0.25">
      <c r="A81" t="s">
        <v>10</v>
      </c>
      <c r="B81" t="s">
        <v>23</v>
      </c>
      <c r="C81">
        <f>_xll.BDP("EEX3MDEU Index","PX_LAST")</f>
        <v>73.010000000000005</v>
      </c>
      <c r="D81">
        <f>_xll.BDP("EEX3MDEU Index","PX_VOLUME")</f>
        <v>0</v>
      </c>
      <c r="H81" t="str">
        <f>_xll.BDP("EEX3MDEU Index","BID")</f>
        <v>#N/A N/A</v>
      </c>
      <c r="I81" t="str">
        <f>_xll.BDP("EEX3MDEU Index","ASK")</f>
        <v>#N/A N/A</v>
      </c>
      <c r="N81" t="s">
        <v>65</v>
      </c>
      <c r="O81" t="str">
        <f>_xll.BDP("EEX3MDEU Index","LAST_UPDATE_DT")</f>
        <v>01.09.2025</v>
      </c>
      <c r="P81" t="str">
        <f>_xll.BDP("EEX3MDEU Index","TIME")</f>
        <v>11:00:00</v>
      </c>
    </row>
    <row r="82" spans="1:16" x14ac:dyDescent="0.25">
      <c r="A82" t="s">
        <v>59</v>
      </c>
      <c r="C82" t="s">
        <v>50</v>
      </c>
      <c r="N82" t="s">
        <v>65</v>
      </c>
    </row>
    <row r="83" spans="1:16" x14ac:dyDescent="0.25">
      <c r="A83" t="s">
        <v>50</v>
      </c>
      <c r="B83" t="s">
        <v>23</v>
      </c>
      <c r="C83">
        <f>_xll.BDP("EEX3BDEU Index","PX_LAST")</f>
        <v>4365500</v>
      </c>
      <c r="D83">
        <f>_xll.BDP("EEX3BDEU Index","PX_VOLUME")</f>
        <v>0</v>
      </c>
      <c r="H83" t="str">
        <f>_xll.BDP("EEX3BDEU Index","BID")</f>
        <v>#N/A N/A</v>
      </c>
      <c r="I83" t="str">
        <f>_xll.BDP("EEX3BDEU Index","ASK")</f>
        <v>#N/A N/A</v>
      </c>
      <c r="N83" t="s">
        <v>65</v>
      </c>
      <c r="O83" t="str">
        <f>_xll.BDP("EEX3BDEU Index","LAST_UPDATE_DT")</f>
        <v>01.09.2025</v>
      </c>
      <c r="P83" t="str">
        <f>_xll.BDP("EEX3BDEU Index","TIME")</f>
        <v>11:00:00</v>
      </c>
    </row>
    <row r="85" spans="1:16" x14ac:dyDescent="0.25">
      <c r="A85" s="2" t="s">
        <v>66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C86" t="s">
        <v>49</v>
      </c>
      <c r="D86" t="s">
        <v>50</v>
      </c>
      <c r="H86" t="s">
        <v>7</v>
      </c>
      <c r="I86" t="s">
        <v>8</v>
      </c>
      <c r="N86" t="s">
        <v>67</v>
      </c>
    </row>
    <row r="87" spans="1:16" x14ac:dyDescent="0.25">
      <c r="A87" t="s">
        <v>52</v>
      </c>
      <c r="B87" t="s">
        <v>18</v>
      </c>
      <c r="C87">
        <f>_xll.BDP("EEX3X3PL Index","PX_LAST")</f>
        <v>70.47</v>
      </c>
      <c r="D87">
        <f>_xll.BDP("EEX3X3PL Index","PX_VOLUME")</f>
        <v>2069000</v>
      </c>
      <c r="H87">
        <f>_xll.BDP("EEX3X3PL Index","BID")</f>
        <v>68.05</v>
      </c>
      <c r="I87">
        <f>_xll.BDP("EEX3X3PL Index","ASK")</f>
        <v>80</v>
      </c>
      <c r="N87" t="s">
        <v>67</v>
      </c>
      <c r="O87" t="str">
        <f>_xll.BDP("EEX3X3PL Index","LAST_UPDATE_DT")</f>
        <v>20.08.2025</v>
      </c>
      <c r="P87" t="str">
        <f>_xll.BDP("EEX3X3PL Index","TIME")</f>
        <v>20.08.2025</v>
      </c>
    </row>
    <row r="88" spans="1:16" x14ac:dyDescent="0.25">
      <c r="C88" t="s">
        <v>53</v>
      </c>
      <c r="N88" t="s">
        <v>67</v>
      </c>
    </row>
    <row r="89" spans="1:16" x14ac:dyDescent="0.25">
      <c r="A89" t="s">
        <v>4</v>
      </c>
      <c r="B89" t="s">
        <v>18</v>
      </c>
      <c r="C89">
        <f>_xll.BDP("EEX33XPL Index","PX_LAST")</f>
        <v>1.66</v>
      </c>
      <c r="D89">
        <f>_xll.BDP("EEX33XPL Index","PX_VOLUME")</f>
        <v>0</v>
      </c>
      <c r="H89" t="str">
        <f>_xll.BDP("EEX33XPL Index","BID")</f>
        <v>#N/A N/A</v>
      </c>
      <c r="I89" t="str">
        <f>_xll.BDP("EEX33XPL Index","ASK")</f>
        <v>#N/A N/A</v>
      </c>
      <c r="N89" t="s">
        <v>67</v>
      </c>
      <c r="O89" t="str">
        <f>_xll.BDP("EEX33XPL Index","LAST_UPDATE_DT")</f>
        <v>20.08.2025</v>
      </c>
      <c r="P89" t="str">
        <f>_xll.BDP("EEX33XPL Index","TIME")</f>
        <v>20.08.2025</v>
      </c>
    </row>
    <row r="90" spans="1:16" x14ac:dyDescent="0.25">
      <c r="A90" t="s">
        <v>9</v>
      </c>
      <c r="B90" t="s">
        <v>18</v>
      </c>
      <c r="C90">
        <f>_xll.BDP("EEX3MNPL Index","PX_LAST")</f>
        <v>70.540000000000006</v>
      </c>
      <c r="D90">
        <f>_xll.BDP("EEX3MNPL Index","PX_VOLUME")</f>
        <v>0</v>
      </c>
      <c r="H90" t="str">
        <f>_xll.BDP("EEX3MNPL Index","BID")</f>
        <v>#N/A N/A</v>
      </c>
      <c r="I90" t="str">
        <f>_xll.BDP("EEX3MNPL Index","ASK")</f>
        <v>#N/A N/A</v>
      </c>
      <c r="N90" t="s">
        <v>67</v>
      </c>
      <c r="O90" t="str">
        <f>_xll.BDP("EEX3MNPL Index","LAST_UPDATE_DT")</f>
        <v>20.08.2025</v>
      </c>
      <c r="P90" t="str">
        <f>_xll.BDP("EEX3MNPL Index","TIME")</f>
        <v>20.08.2025</v>
      </c>
    </row>
    <row r="91" spans="1:16" x14ac:dyDescent="0.25">
      <c r="A91" t="s">
        <v>10</v>
      </c>
      <c r="B91" t="s">
        <v>18</v>
      </c>
      <c r="C91">
        <f>_xll.BDP("EEX3MDPL Index","PX_LAST")</f>
        <v>70.150000000000006</v>
      </c>
      <c r="D91">
        <f>_xll.BDP("EEX3MDPL Index","PX_VOLUME")</f>
        <v>0</v>
      </c>
      <c r="H91" t="str">
        <f>_xll.BDP("EEX3MDPL Index","BID")</f>
        <v>#N/A N/A</v>
      </c>
      <c r="I91" t="str">
        <f>_xll.BDP("EEX3MDPL Index","ASK")</f>
        <v>#N/A N/A</v>
      </c>
      <c r="N91" t="s">
        <v>67</v>
      </c>
      <c r="O91" t="str">
        <f>_xll.BDP("EEX3MDPL Index","LAST_UPDATE_DT")</f>
        <v>20.08.2025</v>
      </c>
      <c r="P91" t="str">
        <f>_xll.BDP("EEX3MDPL Index","TIME")</f>
        <v>20.08.2025</v>
      </c>
    </row>
    <row r="92" spans="1:16" x14ac:dyDescent="0.25">
      <c r="A92" t="s">
        <v>59</v>
      </c>
      <c r="C92" t="s">
        <v>50</v>
      </c>
      <c r="N92" t="s">
        <v>67</v>
      </c>
    </row>
    <row r="93" spans="1:16" x14ac:dyDescent="0.25">
      <c r="A93" t="s">
        <v>50</v>
      </c>
      <c r="B93" t="s">
        <v>18</v>
      </c>
      <c r="C93">
        <f>_xll.BDP("EEX3BDPL Index","PX_LAST")</f>
        <v>3428000</v>
      </c>
      <c r="D93">
        <f>_xll.BDP("EEX3BDPL Index","PX_VOLUME")</f>
        <v>0</v>
      </c>
      <c r="H93" t="str">
        <f>_xll.BDP("EEX3BDPL Index","BID")</f>
        <v>#N/A N/A</v>
      </c>
      <c r="I93" t="str">
        <f>_xll.BDP("EEX3BDPL Index","ASK")</f>
        <v>#N/A N/A</v>
      </c>
      <c r="N93" t="s">
        <v>67</v>
      </c>
      <c r="O93" t="str">
        <f>_xll.BDP("EEX3BDPL Index","LAST_UPDATE_DT")</f>
        <v>20.08.2025</v>
      </c>
      <c r="P93" t="str">
        <f>_xll.BDP("EEX3BDPL Index","TIME")</f>
        <v>20.08.2025</v>
      </c>
    </row>
    <row r="95" spans="1:16" x14ac:dyDescent="0.25">
      <c r="A95" s="2" t="s">
        <v>68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25">
      <c r="C96" t="s">
        <v>49</v>
      </c>
      <c r="D96" t="s">
        <v>50</v>
      </c>
      <c r="H96" t="s">
        <v>7</v>
      </c>
      <c r="I96" t="s">
        <v>8</v>
      </c>
      <c r="N96" t="s">
        <v>69</v>
      </c>
    </row>
    <row r="97" spans="1:16" x14ac:dyDescent="0.25">
      <c r="A97" t="s">
        <v>70</v>
      </c>
      <c r="B97" t="s">
        <v>30</v>
      </c>
      <c r="C97">
        <f>_xll.BDP("EEX3PMNI Index","PX_LAST")</f>
        <v>62.89</v>
      </c>
      <c r="D97">
        <f>_xll.BDP("EEX3PMNI Index","PX_VOLUME")</f>
        <v>926500</v>
      </c>
      <c r="H97" t="str">
        <f>_xll.BDP("EEX3PMNI Index","BID")</f>
        <v>#N/A Real Time</v>
      </c>
      <c r="I97" t="str">
        <f>_xll.BDP("EEX3PMNI Index","ASK")</f>
        <v>#N/A Real Time</v>
      </c>
      <c r="N97" t="s">
        <v>69</v>
      </c>
      <c r="O97" t="str">
        <f>_xll.BDP("EEX3PMNI Index","LAST_UPDATE_DT")</f>
        <v>02.10.2024</v>
      </c>
      <c r="P97" t="str">
        <f>_xll.BDP("EEX3PMNI Index","TIME")</f>
        <v>#N/A Real Time</v>
      </c>
    </row>
    <row r="98" spans="1:16" x14ac:dyDescent="0.25">
      <c r="C98" t="s">
        <v>53</v>
      </c>
      <c r="N98" t="s">
        <v>69</v>
      </c>
    </row>
    <row r="99" spans="1:16" x14ac:dyDescent="0.25">
      <c r="A99" t="s">
        <v>4</v>
      </c>
      <c r="B99" t="s">
        <v>30</v>
      </c>
      <c r="C99">
        <f>_xll.BDP("EEX3CRNI Index","PX_LAST")</f>
        <v>2.4300000000000002</v>
      </c>
      <c r="D99">
        <f>_xll.BDP("EEX3CRNI Index","PX_VOLUME")</f>
        <v>0</v>
      </c>
      <c r="H99" t="str">
        <f>_xll.BDP("EEX3CRNI Index","BID")</f>
        <v>#N/A Real Time</v>
      </c>
      <c r="I99" t="str">
        <f>_xll.BDP("EEX3CRNI Index","ASK")</f>
        <v>#N/A Real Time</v>
      </c>
      <c r="N99" t="s">
        <v>69</v>
      </c>
      <c r="O99" t="str">
        <f>_xll.BDP("EEX3CRNI Index","LAST_UPDATE_DT")</f>
        <v>02.10.2024</v>
      </c>
      <c r="P99" t="str">
        <f>_xll.BDP("EEX3CRNI Index","TIME")</f>
        <v>#N/A Real Time</v>
      </c>
    </row>
    <row r="100" spans="1:16" x14ac:dyDescent="0.25">
      <c r="A100" t="s">
        <v>9</v>
      </c>
      <c r="B100" t="s">
        <v>30</v>
      </c>
      <c r="C100">
        <f>_xll.BDP("EEX3MNNI Index","PX_LAST")</f>
        <v>63.66</v>
      </c>
      <c r="D100">
        <f>_xll.BDP("EEX3MNNI Index","PX_VOLUME")</f>
        <v>0</v>
      </c>
      <c r="H100" t="str">
        <f>_xll.BDP("EEX3MNNI Index","BID")</f>
        <v>#N/A Real Time</v>
      </c>
      <c r="I100" t="str">
        <f>_xll.BDP("EEX3MNNI Index","ASK")</f>
        <v>#N/A Real Time</v>
      </c>
      <c r="N100" t="s">
        <v>69</v>
      </c>
      <c r="O100" t="str">
        <f>_xll.BDP("EEX3MNNI Index","LAST_UPDATE_DT")</f>
        <v>02.10.2024</v>
      </c>
      <c r="P100" t="str">
        <f>_xll.BDP("EEX3MNNI Index","TIME")</f>
        <v>#N/A Real Time</v>
      </c>
    </row>
    <row r="101" spans="1:16" x14ac:dyDescent="0.25">
      <c r="A101" t="s">
        <v>10</v>
      </c>
      <c r="B101" t="s">
        <v>30</v>
      </c>
      <c r="C101">
        <f>_xll.BDP("EEX3MDNI Index","PX_LAST")</f>
        <v>62.82</v>
      </c>
      <c r="D101">
        <f>_xll.BDP("EEX3MDNI Index","PX_VOLUME")</f>
        <v>0</v>
      </c>
      <c r="H101" t="str">
        <f>_xll.BDP("EEX3MDNI Index","BID")</f>
        <v>#N/A Real Time</v>
      </c>
      <c r="I101" t="str">
        <f>_xll.BDP("EEX3MDNI Index","ASK")</f>
        <v>#N/A Real Time</v>
      </c>
      <c r="N101" t="s">
        <v>69</v>
      </c>
      <c r="O101" t="str">
        <f>_xll.BDP("EEX3MDNI Index","LAST_UPDATE_DT")</f>
        <v>02.10.2024</v>
      </c>
      <c r="P101" t="str">
        <f>_xll.BDP("EEX3MDNI Index","TIME")</f>
        <v>#N/A Real Time</v>
      </c>
    </row>
    <row r="102" spans="1:16" x14ac:dyDescent="0.25">
      <c r="A102" t="s">
        <v>59</v>
      </c>
      <c r="C102" t="s">
        <v>50</v>
      </c>
      <c r="N102" t="s">
        <v>69</v>
      </c>
    </row>
    <row r="103" spans="1:16" x14ac:dyDescent="0.25">
      <c r="A103" t="s">
        <v>50</v>
      </c>
      <c r="B103" t="s">
        <v>30</v>
      </c>
      <c r="C103">
        <f>_xll.BDP("EEX3BDNI Index","PX_LAST")</f>
        <v>2247000</v>
      </c>
      <c r="D103">
        <f>_xll.BDP("EEX3BDNI Index","PX_VOLUME")</f>
        <v>0</v>
      </c>
      <c r="H103" t="str">
        <f>_xll.BDP("EEX3BDNI Index","BID")</f>
        <v>#N/A Real Time</v>
      </c>
      <c r="I103" t="str">
        <f>_xll.BDP("EEX3BDNI Index","ASK")</f>
        <v>#N/A Real Time</v>
      </c>
      <c r="N103" t="s">
        <v>69</v>
      </c>
      <c r="O103" t="str">
        <f>_xll.BDP("EEX3BDNI Index","LAST_UPDATE_DT")</f>
        <v>02.10.2024</v>
      </c>
      <c r="P103" t="str">
        <f>_xll.BDP("EEX3BDNI Index","TIME")</f>
        <v>#N/A Real Time</v>
      </c>
    </row>
    <row r="105" spans="1:16" x14ac:dyDescent="0.25">
      <c r="A105" s="2" t="s">
        <v>71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25">
      <c r="C106" t="s">
        <v>49</v>
      </c>
      <c r="D106" t="s">
        <v>50</v>
      </c>
      <c r="H106" t="s">
        <v>7</v>
      </c>
      <c r="I106" t="s">
        <v>8</v>
      </c>
      <c r="N106" t="s">
        <v>72</v>
      </c>
    </row>
    <row r="107" spans="1:16" x14ac:dyDescent="0.25">
      <c r="A107" t="s">
        <v>52</v>
      </c>
      <c r="B107" t="s">
        <v>34</v>
      </c>
      <c r="C107">
        <f>_xll.BDP("EEXXEAA3 Index","PX_LAST")</f>
        <v>69.17</v>
      </c>
      <c r="D107">
        <f>_xll.BDP("EEXXEAA3 Index","PX_VOLUME")</f>
        <v>198000</v>
      </c>
      <c r="H107" t="str">
        <f>_xll.BDP("EEXXEAA3 Index","BID")</f>
        <v>#N/A Real Time</v>
      </c>
      <c r="I107" t="str">
        <f>_xll.BDP("EEXXEAA3 Index","ASK")</f>
        <v>#N/A Real Time</v>
      </c>
      <c r="N107" t="s">
        <v>72</v>
      </c>
      <c r="O107" t="str">
        <f>_xll.BDP("EEXXEAA3 Index","LAST_UPDATE_DT")</f>
        <v>11.12.2024</v>
      </c>
      <c r="P107" t="str">
        <f>_xll.BDP("EEXXEAA3 Index","TIME")</f>
        <v>#N/A Real Time</v>
      </c>
    </row>
    <row r="108" spans="1:16" x14ac:dyDescent="0.25">
      <c r="C108" t="s">
        <v>53</v>
      </c>
      <c r="N108" t="s">
        <v>72</v>
      </c>
    </row>
    <row r="109" spans="1:16" x14ac:dyDescent="0.25">
      <c r="A109" t="s">
        <v>4</v>
      </c>
      <c r="B109" t="s">
        <v>34</v>
      </c>
      <c r="C109">
        <f>_xll.BDP("EEX3CRAA Index","PX_LAST")</f>
        <v>5.23</v>
      </c>
      <c r="D109">
        <f>_xll.BDP("EEX3CRAA Index","PX_VOLUME")</f>
        <v>0</v>
      </c>
      <c r="H109" t="str">
        <f>_xll.BDP("EEX3CRAA Index","BID")</f>
        <v>#N/A Real Time</v>
      </c>
      <c r="I109" t="str">
        <f>_xll.BDP("EEX3CRAA Index","ASK")</f>
        <v>#N/A Real Time</v>
      </c>
      <c r="N109" t="s">
        <v>72</v>
      </c>
      <c r="O109" t="str">
        <f>_xll.BDP("EEX3CRAA Index","LAST_UPDATE_DT")</f>
        <v>11.12.2024</v>
      </c>
      <c r="P109" t="str">
        <f>_xll.BDP("EEX3CRAA Index","TIME")</f>
        <v>#N/A Real Time</v>
      </c>
    </row>
    <row r="110" spans="1:16" x14ac:dyDescent="0.25">
      <c r="A110" t="s">
        <v>9</v>
      </c>
      <c r="B110" t="s">
        <v>34</v>
      </c>
      <c r="C110">
        <f>_xll.BDP("EEX3MNAA Index","PX_LAST")</f>
        <v>68.83</v>
      </c>
      <c r="D110">
        <f>_xll.BDP("EEX3MNAA Index","PX_VOLUME")</f>
        <v>0</v>
      </c>
      <c r="H110" t="str">
        <f>_xll.BDP("EEX3MNAA Index","BID")</f>
        <v>#N/A Real Time</v>
      </c>
      <c r="I110" t="str">
        <f>_xll.BDP("EEX3MNAA Index","ASK")</f>
        <v>#N/A Real Time</v>
      </c>
      <c r="N110" t="s">
        <v>72</v>
      </c>
      <c r="O110" t="str">
        <f>_xll.BDP("EEX3MNAA Index","LAST_UPDATE_DT")</f>
        <v>11.12.2024</v>
      </c>
      <c r="P110" t="str">
        <f>_xll.BDP("EEX3MNAA Index","TIME")</f>
        <v>#N/A Real Time</v>
      </c>
    </row>
    <row r="111" spans="1:16" x14ac:dyDescent="0.25">
      <c r="A111" t="s">
        <v>10</v>
      </c>
      <c r="B111" t="s">
        <v>34</v>
      </c>
      <c r="C111">
        <f>_xll.BDP("EEX3MDAA Index","PX_LAST")</f>
        <v>68.97</v>
      </c>
      <c r="D111">
        <f>_xll.BDP("EEX3MDAA Index","PX_VOLUME")</f>
        <v>0</v>
      </c>
      <c r="H111" t="str">
        <f>_xll.BDP("EEX3MDAA Index","BID")</f>
        <v>#N/A Real Time</v>
      </c>
      <c r="I111" t="str">
        <f>_xll.BDP("EEX3MDAA Index","ASK")</f>
        <v>#N/A Real Time</v>
      </c>
      <c r="N111" t="s">
        <v>72</v>
      </c>
      <c r="O111" t="str">
        <f>_xll.BDP("EEX3MDAA Index","LAST_UPDATE_DT")</f>
        <v>11.12.2024</v>
      </c>
      <c r="P111" t="str">
        <f>_xll.BDP("EEX3MDAA Index","TIME")</f>
        <v>#N/A Real Time</v>
      </c>
    </row>
    <row r="112" spans="1:16" x14ac:dyDescent="0.25">
      <c r="A112" t="s">
        <v>59</v>
      </c>
      <c r="C112" t="s">
        <v>50</v>
      </c>
      <c r="N112" t="s">
        <v>72</v>
      </c>
    </row>
    <row r="113" spans="1:16" x14ac:dyDescent="0.25">
      <c r="A113" t="s">
        <v>50</v>
      </c>
      <c r="B113" t="s">
        <v>34</v>
      </c>
      <c r="C113">
        <f>_xll.BDP("EEX3BDAA Index","PX_LAST")</f>
        <v>1035000</v>
      </c>
      <c r="D113">
        <f>_xll.BDP("EEX3BDAA Index","PX_VOLUME")</f>
        <v>0</v>
      </c>
      <c r="H113" t="str">
        <f>_xll.BDP("EEX3BDAA Index","BID")</f>
        <v>#N/A Real Time</v>
      </c>
      <c r="I113" t="str">
        <f>_xll.BDP("EEX3BDAA Index","ASK")</f>
        <v>#N/A Real Time</v>
      </c>
      <c r="N113" t="s">
        <v>72</v>
      </c>
      <c r="O113" t="str">
        <f>_xll.BDP("EEX3BDAA Index","LAST_UPDATE_DT")</f>
        <v>11.12.2024</v>
      </c>
      <c r="P113" t="str">
        <f>_xll.BDP("EEX3BDAA Index","TIME")</f>
        <v>#N/A Real Time</v>
      </c>
    </row>
    <row r="115" spans="1:16" x14ac:dyDescent="0.25">
      <c r="A115" s="2" t="s">
        <v>73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25">
      <c r="A116" s="3" t="s">
        <v>74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25">
      <c r="C117" t="s">
        <v>49</v>
      </c>
      <c r="H117" t="s">
        <v>7</v>
      </c>
      <c r="I117" t="s">
        <v>8</v>
      </c>
      <c r="N117" t="s">
        <v>75</v>
      </c>
    </row>
    <row r="118" spans="1:16" x14ac:dyDescent="0.25">
      <c r="A118" t="s">
        <v>76</v>
      </c>
      <c r="B118" t="s">
        <v>38</v>
      </c>
      <c r="C118">
        <f>_xll.BDP("CLCFCAP Index","PX_LAST")</f>
        <v>25.87</v>
      </c>
      <c r="D118" t="str">
        <f>_xll.BDP("CLCFCAP Index","PX_VOLUME")</f>
        <v>#N/A N/A</v>
      </c>
      <c r="H118" t="str">
        <f>_xll.BDP("CLCFCAP Index","BID")</f>
        <v>#N/A Real Time</v>
      </c>
      <c r="I118" t="str">
        <f>_xll.BDP("CLCFCAP Index","ASK")</f>
        <v>#N/A Real Time</v>
      </c>
      <c r="O118" t="str">
        <f>_xll.BDP("CLCFCAP Index","LAST_UPDATE_DT")</f>
        <v>20.08.2025</v>
      </c>
      <c r="P118" t="str">
        <f>_xll.BDP("CLCFCAP Index","TIME")</f>
        <v>#N/A Real Time</v>
      </c>
    </row>
    <row r="119" spans="1:16" x14ac:dyDescent="0.25">
      <c r="A119" t="s">
        <v>77</v>
      </c>
      <c r="B119" t="s">
        <v>38</v>
      </c>
      <c r="C119">
        <f>_xll.BDP("CLCFCASP Index","PX_LAST")</f>
        <v>28.76</v>
      </c>
      <c r="D119" t="str">
        <f>_xll.BDP("CLCFCASP Index","PX_VOLUME")</f>
        <v>#N/A N/A</v>
      </c>
      <c r="H119" t="str">
        <f>_xll.BDP("CLCFCASP Index","BID")</f>
        <v>#N/A Real Time</v>
      </c>
      <c r="I119" t="str">
        <f>_xll.BDP("CLCFCASP Index","ASK")</f>
        <v>#N/A Real Time</v>
      </c>
      <c r="N119" t="s">
        <v>75</v>
      </c>
      <c r="O119" t="str">
        <f>_xll.BDP("CLCFCASP Index","LAST_UPDATE_DT")</f>
        <v>20.08.2025</v>
      </c>
      <c r="P119" t="str">
        <f>_xll.BDP("CLCFCASP Index","TIME")</f>
        <v>#N/A Real Time</v>
      </c>
    </row>
    <row r="120" spans="1:16" x14ac:dyDescent="0.25">
      <c r="C120" t="s">
        <v>53</v>
      </c>
    </row>
    <row r="121" spans="1:16" x14ac:dyDescent="0.25">
      <c r="A121" t="s">
        <v>4</v>
      </c>
      <c r="B121" t="s">
        <v>38</v>
      </c>
      <c r="C121">
        <f>_xll.BDP("CLCFCCR Index","PX_LAST")</f>
        <v>1.45</v>
      </c>
      <c r="D121" t="str">
        <f>_xll.BDP("CLCFCCR Index","PX_VOLUME")</f>
        <v>#N/A N/A</v>
      </c>
      <c r="H121" t="str">
        <f>_xll.BDP("CLCFCCR Index","BID")</f>
        <v>#N/A Real Time</v>
      </c>
      <c r="I121" t="str">
        <f>_xll.BDP("CLCFCCR Index","ASK")</f>
        <v>#N/A Real Time</v>
      </c>
      <c r="N121" t="s">
        <v>75</v>
      </c>
      <c r="O121" t="str">
        <f>_xll.BDP("CLCFCCR Index","LAST_UPDATE_DT")</f>
        <v>20.08.2025</v>
      </c>
      <c r="P121" t="str">
        <f>_xll.BDP("CLCFCCR Index","TIME")</f>
        <v>#N/A Real Time</v>
      </c>
    </row>
    <row r="122" spans="1:16" x14ac:dyDescent="0.25">
      <c r="A122" t="s">
        <v>9</v>
      </c>
      <c r="B122" t="s">
        <v>38</v>
      </c>
      <c r="C122">
        <f>_xll.BDP("CLCFCAAP Index","PX_LAST")</f>
        <v>31.96</v>
      </c>
      <c r="D122" t="str">
        <f>_xll.BDP("CLCFCAAP Index","PX_VOLUME")</f>
        <v>#N/A N/A</v>
      </c>
      <c r="H122" t="str">
        <f>_xll.BDP("CLCFCAAP Index","BID")</f>
        <v>#N/A Real Time</v>
      </c>
      <c r="I122" t="str">
        <f>_xll.BDP("CLCFCAAP Index","ASK")</f>
        <v>#N/A Real Time</v>
      </c>
      <c r="N122" t="s">
        <v>75</v>
      </c>
      <c r="O122" t="str">
        <f>_xll.BDP("CLCFCAAP Index","LAST_UPDATE_DT")</f>
        <v>20.08.2025</v>
      </c>
      <c r="P122" t="str">
        <f>_xll.BDP("CLCFCAAP Index","TIME")</f>
        <v>#N/A Real Time</v>
      </c>
    </row>
    <row r="123" spans="1:16" x14ac:dyDescent="0.25">
      <c r="A123" t="s">
        <v>10</v>
      </c>
      <c r="B123" t="s">
        <v>38</v>
      </c>
      <c r="C123">
        <f>_xll.BDP("CLCFCMP Index","PX_LAST")</f>
        <v>28.94</v>
      </c>
      <c r="D123" t="str">
        <f>_xll.BDP("CLCFCMP Index","PX_VOLUME")</f>
        <v>#N/A N/A</v>
      </c>
      <c r="H123" t="str">
        <f>_xll.BDP("CLCFCMP Index","BID")</f>
        <v>#N/A Real Time</v>
      </c>
      <c r="I123" t="str">
        <f>_xll.BDP("CLCFCMP Index","ASK")</f>
        <v>#N/A Real Time</v>
      </c>
      <c r="N123" t="s">
        <v>75</v>
      </c>
      <c r="O123" t="str">
        <f>_xll.BDP("CLCFCMP Index","LAST_UPDATE_DT")</f>
        <v>20.08.2025</v>
      </c>
      <c r="P123" t="str">
        <f>_xll.BDP("CLCFCMP Index","TIME")</f>
        <v>#N/A Real Time</v>
      </c>
    </row>
    <row r="124" spans="1:16" x14ac:dyDescent="0.25">
      <c r="A124" t="s">
        <v>59</v>
      </c>
      <c r="C124" t="s">
        <v>50</v>
      </c>
      <c r="N124" t="s">
        <v>75</v>
      </c>
    </row>
    <row r="125" spans="1:16" x14ac:dyDescent="0.25">
      <c r="A125" t="s">
        <v>50</v>
      </c>
      <c r="B125" t="s">
        <v>38</v>
      </c>
      <c r="C125">
        <f>_xll.BDP("CLCFCTAS Index","PX_LAST")</f>
        <v>51883970</v>
      </c>
      <c r="D125" t="str">
        <f>_xll.BDP("CLCFCTAS Index","PX_VOLUME")</f>
        <v>#N/A N/A</v>
      </c>
      <c r="H125" t="str">
        <f>_xll.BDP("CLCFCTAS Index","BID")</f>
        <v>#N/A Real Time</v>
      </c>
      <c r="I125" t="str">
        <f>_xll.BDP("CLCFCTAS Index","ASK")</f>
        <v>#N/A Real Time</v>
      </c>
      <c r="N125" t="s">
        <v>75</v>
      </c>
      <c r="O125" t="str">
        <f>_xll.BDP("CLCFCTAS Index","LAST_UPDATE_DT")</f>
        <v>20.08.2025</v>
      </c>
      <c r="P125" t="str">
        <f>_xll.BDP("CLCFCTAS Index","TIME")</f>
        <v>#N/A Real Time</v>
      </c>
    </row>
    <row r="126" spans="1:16" x14ac:dyDescent="0.25">
      <c r="A126" s="3" t="s">
        <v>78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25">
      <c r="C127" t="s">
        <v>49</v>
      </c>
      <c r="H127" t="s">
        <v>7</v>
      </c>
      <c r="I127" t="s">
        <v>8</v>
      </c>
      <c r="N127" t="s">
        <v>75</v>
      </c>
    </row>
    <row r="128" spans="1:16" x14ac:dyDescent="0.25">
      <c r="A128" t="s">
        <v>76</v>
      </c>
      <c r="B128" t="s">
        <v>38</v>
      </c>
      <c r="C128">
        <f>_xll.BDP("CLCFAAP Index","PX_LAST")</f>
        <v>25.87</v>
      </c>
      <c r="D128" t="str">
        <f>_xll.BDP("CLCFAAP Index","PX_VOLUME")</f>
        <v>#N/A N/A</v>
      </c>
      <c r="H128" t="str">
        <f>_xll.BDP("CLCFAAP Index","BID")</f>
        <v>#N/A Real Time</v>
      </c>
      <c r="I128" t="str">
        <f>_xll.BDP("CLCFAAP Index","ASK")</f>
        <v>#N/A Real Time</v>
      </c>
      <c r="O128" t="str">
        <f>_xll.BDP("CLCFAAP Index","LAST_UPDATE_DT")</f>
        <v>20.08.2025</v>
      </c>
      <c r="P128" t="str">
        <f>_xll.BDP("CLCFAAP Index","TIME")</f>
        <v>#N/A Real Time</v>
      </c>
    </row>
    <row r="129" spans="1:16" x14ac:dyDescent="0.25">
      <c r="A129" t="s">
        <v>77</v>
      </c>
      <c r="B129" t="s">
        <v>38</v>
      </c>
      <c r="C129">
        <f>_xll.BDP("CLCFAASP Index","PX_LAST")</f>
        <v>28.5</v>
      </c>
      <c r="D129" t="str">
        <f>_xll.BDP("CLCFAASP Index","PX_VOLUME")</f>
        <v>#N/A N/A</v>
      </c>
      <c r="H129" t="str">
        <f>_xll.BDP("CLCFAASP Index","BID")</f>
        <v>#N/A Real Time</v>
      </c>
      <c r="I129" t="str">
        <f>_xll.BDP("CLCFAASP Index","ASK")</f>
        <v>#N/A Real Time</v>
      </c>
      <c r="N129" t="s">
        <v>75</v>
      </c>
      <c r="O129" t="str">
        <f>_xll.BDP("CLCFAASP Index","LAST_UPDATE_DT")</f>
        <v>20.08.2025</v>
      </c>
      <c r="P129" t="str">
        <f>_xll.BDP("CLCFAASP Index","TIME")</f>
        <v>#N/A Real Time</v>
      </c>
    </row>
    <row r="130" spans="1:16" x14ac:dyDescent="0.25">
      <c r="C130" t="s">
        <v>53</v>
      </c>
    </row>
    <row r="131" spans="1:16" x14ac:dyDescent="0.25">
      <c r="A131" t="s">
        <v>4</v>
      </c>
      <c r="B131" t="s">
        <v>38</v>
      </c>
      <c r="C131">
        <f>_xll.BDP("CLCFACR Index","PX_LAST")</f>
        <v>1.67</v>
      </c>
      <c r="D131" t="str">
        <f>_xll.BDP("CLCFACR Index","PX_VOLUME")</f>
        <v>#N/A N/A</v>
      </c>
      <c r="H131" t="str">
        <f>_xll.BDP("CLCFACR Index","BID")</f>
        <v>#N/A Real Time</v>
      </c>
      <c r="I131" t="str">
        <f>_xll.BDP("CLCFACR Index","ASK")</f>
        <v>#N/A Real Time</v>
      </c>
      <c r="N131" t="s">
        <v>75</v>
      </c>
      <c r="O131" t="str">
        <f>_xll.BDP("CLCFACR Index","LAST_UPDATE_DT")</f>
        <v>20.08.2025</v>
      </c>
      <c r="P131" t="str">
        <f>_xll.BDP("CLCFACR Index","TIME")</f>
        <v>#N/A Real Time</v>
      </c>
    </row>
    <row r="132" spans="1:16" x14ac:dyDescent="0.25">
      <c r="A132" t="s">
        <v>9</v>
      </c>
      <c r="B132" t="s">
        <v>38</v>
      </c>
      <c r="C132">
        <f>_xll.BDP("CLCFAAAP Index","PX_LAST")</f>
        <v>29.95</v>
      </c>
      <c r="D132" t="str">
        <f>_xll.BDP("CLCFAAAP Index","PX_VOLUME")</f>
        <v>#N/A N/A</v>
      </c>
      <c r="H132" t="str">
        <f>_xll.BDP("CLCFAAAP Index","BID")</f>
        <v>#N/A Real Time</v>
      </c>
      <c r="I132" t="str">
        <f>_xll.BDP("CLCFAAAP Index","ASK")</f>
        <v>#N/A Real Time</v>
      </c>
      <c r="N132" t="s">
        <v>75</v>
      </c>
      <c r="O132" t="str">
        <f>_xll.BDP("CLCFAAAP Index","LAST_UPDATE_DT")</f>
        <v>20.08.2025</v>
      </c>
      <c r="P132" t="str">
        <f>_xll.BDP("CLCFAAAP Index","TIME")</f>
        <v>#N/A Real Time</v>
      </c>
    </row>
    <row r="133" spans="1:16" x14ac:dyDescent="0.25">
      <c r="A133" t="s">
        <v>10</v>
      </c>
      <c r="B133" t="s">
        <v>38</v>
      </c>
      <c r="C133">
        <f>_xll.BDP("CLCFAMP Index","PX_LAST")</f>
        <v>27.56</v>
      </c>
      <c r="D133" t="str">
        <f>_xll.BDP("CLCFAMP Index","PX_VOLUME")</f>
        <v>#N/A N/A</v>
      </c>
      <c r="H133" t="str">
        <f>_xll.BDP("CLCFAMP Index","BID")</f>
        <v>#N/A Real Time</v>
      </c>
      <c r="I133" t="str">
        <f>_xll.BDP("CLCFAMP Index","ASK")</f>
        <v>#N/A Real Time</v>
      </c>
      <c r="N133" t="s">
        <v>75</v>
      </c>
      <c r="O133" t="str">
        <f>_xll.BDP("CLCFAMP Index","LAST_UPDATE_DT")</f>
        <v>20.08.2025</v>
      </c>
      <c r="P133" t="str">
        <f>_xll.BDP("CLCFAMP Index","TIME")</f>
        <v>#N/A Real Time</v>
      </c>
    </row>
    <row r="134" spans="1:16" x14ac:dyDescent="0.25">
      <c r="A134" t="s">
        <v>59</v>
      </c>
      <c r="C134" t="s">
        <v>50</v>
      </c>
      <c r="N134" t="s">
        <v>75</v>
      </c>
    </row>
    <row r="135" spans="1:16" x14ac:dyDescent="0.25">
      <c r="A135" t="s">
        <v>50</v>
      </c>
      <c r="B135" t="s">
        <v>38</v>
      </c>
      <c r="C135">
        <f>_xll.BDP("CLCFATAS Index","PX_LAST")</f>
        <v>6847750</v>
      </c>
      <c r="D135" t="str">
        <f>_xll.BDP("CLCFATAS Index","PX_VOLUME")</f>
        <v>#N/A N/A</v>
      </c>
      <c r="H135" t="str">
        <f>_xll.BDP("CLCFATAS Index","BID")</f>
        <v>#N/A Real Time</v>
      </c>
      <c r="I135" t="str">
        <f>_xll.BDP("CLCFATAS Index","ASK")</f>
        <v>#N/A Real Time</v>
      </c>
      <c r="N135" t="s">
        <v>75</v>
      </c>
      <c r="O135" t="str">
        <f>_xll.BDP("CLCFATAS Index","LAST_UPDATE_DT")</f>
        <v>20.08.2025</v>
      </c>
      <c r="P135" t="str">
        <f>_xll.BDP("CLCFATAS Index","TIME")</f>
        <v>#N/A Real Time</v>
      </c>
    </row>
    <row r="137" spans="1:16" x14ac:dyDescent="0.25">
      <c r="A137" s="2" t="s">
        <v>79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C138" t="s">
        <v>49</v>
      </c>
      <c r="H138" t="s">
        <v>7</v>
      </c>
      <c r="I138" t="s">
        <v>8</v>
      </c>
      <c r="N138" t="s">
        <v>80</v>
      </c>
    </row>
    <row r="139" spans="1:16" x14ac:dyDescent="0.25">
      <c r="A139" t="s">
        <v>81</v>
      </c>
      <c r="B139" t="s">
        <v>42</v>
      </c>
      <c r="C139">
        <f>_xll.BDP("RGGICLPX Index","PX_LAST")</f>
        <v>19.63</v>
      </c>
      <c r="D139" t="str">
        <f>_xll.BDP("RGGICLPX Index","PX_VOLUME")</f>
        <v>#N/A N/A</v>
      </c>
      <c r="H139" t="str">
        <f>_xll.BDP("RGGICLPX Index","BID")</f>
        <v>#N/A Real Time</v>
      </c>
      <c r="I139" t="str">
        <f>_xll.BDP("RGGICLPX Index","ASK")</f>
        <v>#N/A Real Time</v>
      </c>
      <c r="N139" t="s">
        <v>80</v>
      </c>
      <c r="O139" t="str">
        <f>_xll.BDP("RGGICLPX Index","LAST_UPDATE_DT")</f>
        <v>04.06.2025</v>
      </c>
      <c r="P139" t="str">
        <f>_xll.BDP("RGGICLPX Index","TIME")</f>
        <v>#N/A Real Time</v>
      </c>
    </row>
    <row r="140" spans="1:16" x14ac:dyDescent="0.25">
      <c r="C140" t="s">
        <v>53</v>
      </c>
      <c r="N140" t="s">
        <v>80</v>
      </c>
    </row>
    <row r="141" spans="1:16" x14ac:dyDescent="0.25">
      <c r="A141" t="s">
        <v>4</v>
      </c>
      <c r="B141" t="s">
        <v>42</v>
      </c>
      <c r="C141">
        <f>_xll.BDP("RGGIAROB Index","PX_LAST")</f>
        <v>2.5</v>
      </c>
      <c r="D141" t="str">
        <f>_xll.BDP("RGGIAROB Index","PX_VOLUME")</f>
        <v>#N/A N/A</v>
      </c>
      <c r="H141" t="str">
        <f>_xll.BDP("RGGIAROB Index","BID")</f>
        <v>#N/A Real Time</v>
      </c>
      <c r="I141" t="str">
        <f>_xll.BDP("RGGIAROB Index","ASK")</f>
        <v>#N/A Real Time</v>
      </c>
      <c r="N141" t="s">
        <v>80</v>
      </c>
      <c r="O141" t="str">
        <f>_xll.BDP("RGGIAROB Index","LAST_UPDATE_DT")</f>
        <v>04.06.2025</v>
      </c>
      <c r="P141" t="str">
        <f>_xll.BDP("RGGIAROB Index","TIME")</f>
        <v>#N/A Real Time</v>
      </c>
    </row>
    <row r="142" spans="1:16" x14ac:dyDescent="0.25">
      <c r="A142" t="s">
        <v>82</v>
      </c>
      <c r="B142" t="s">
        <v>42</v>
      </c>
      <c r="C142">
        <f>_xll.BDP("RGGIPAVR Index","PX_LAST")</f>
        <v>19.05</v>
      </c>
      <c r="D142" t="str">
        <f>_xll.BDP("RGGIPAVR Index","PX_VOLUME")</f>
        <v>#N/A N/A</v>
      </c>
      <c r="H142" t="str">
        <f>_xll.BDP("RGGIPAVR Index","BID")</f>
        <v>#N/A Real Time</v>
      </c>
      <c r="I142" t="str">
        <f>_xll.BDP("RGGIPAVR Index","ASK")</f>
        <v>#N/A Real Time</v>
      </c>
      <c r="N142" t="s">
        <v>80</v>
      </c>
      <c r="O142" t="str">
        <f>_xll.BDP("RGGIPAVR Index","LAST_UPDATE_DT")</f>
        <v>04.06.2025</v>
      </c>
      <c r="P142" t="str">
        <f>_xll.BDP("RGGIPAVR Index","TIME")</f>
        <v>#N/A Real Time</v>
      </c>
    </row>
    <row r="143" spans="1:16" x14ac:dyDescent="0.25">
      <c r="A143" t="s">
        <v>10</v>
      </c>
      <c r="B143" t="s">
        <v>42</v>
      </c>
      <c r="C143">
        <f>_xll.BDP("RGGIPMED Index","PX_LAST")</f>
        <v>19.28</v>
      </c>
      <c r="D143" t="str">
        <f>_xll.BDP("RGGIPMED Index","PX_VOLUME")</f>
        <v>#N/A N/A</v>
      </c>
      <c r="H143" t="str">
        <f>_xll.BDP("RGGIPMED Index","BID")</f>
        <v>#N/A Real Time</v>
      </c>
      <c r="I143" t="str">
        <f>_xll.BDP("RGGIPMED Index","ASK")</f>
        <v>#N/A Real Time</v>
      </c>
      <c r="N143" t="s">
        <v>80</v>
      </c>
      <c r="O143" t="str">
        <f>_xll.BDP("RGGIPMED Index","LAST_UPDATE_DT")</f>
        <v>04.06.2025</v>
      </c>
      <c r="P143" t="str">
        <f>_xll.BDP("RGGIPMED Index","TIME")</f>
        <v>#N/A Real Time</v>
      </c>
    </row>
    <row r="144" spans="1:16" x14ac:dyDescent="0.25">
      <c r="A144" t="s">
        <v>59</v>
      </c>
      <c r="N144" t="s">
        <v>80</v>
      </c>
    </row>
    <row r="145" spans="1:16" x14ac:dyDescent="0.25">
      <c r="A145" t="s">
        <v>50</v>
      </c>
      <c r="B145" t="s">
        <v>42</v>
      </c>
      <c r="C145">
        <f>_xll.BDP("RGGIAAQS Index","PX_LAST")</f>
        <v>15244480</v>
      </c>
      <c r="D145" t="str">
        <f>_xll.BDP("RGGIAAQS Index","PX_VOLUME")</f>
        <v>#N/A N/A</v>
      </c>
      <c r="H145" t="str">
        <f>_xll.BDP("RGGIAAQS Index","BID")</f>
        <v>#N/A Real Time</v>
      </c>
      <c r="I145" t="str">
        <f>_xll.BDP("RGGIAAQS Index","ASK")</f>
        <v>#N/A Real Time</v>
      </c>
      <c r="N145" t="s">
        <v>80</v>
      </c>
      <c r="O145" t="str">
        <f>_xll.BDP("RGGIAAQS Index","LAST_UPDATE_DT")</f>
        <v>04.06.2025</v>
      </c>
      <c r="P145" t="str">
        <f>_xll.BDP("RGGIAAQS Index","TIME")</f>
        <v>#N/A Real Time</v>
      </c>
    </row>
    <row r="147" spans="1:16" x14ac:dyDescent="0.25">
      <c r="A147" s="2" t="s">
        <v>83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C148" t="s">
        <v>53</v>
      </c>
    </row>
    <row r="149" spans="1:16" x14ac:dyDescent="0.25">
      <c r="A149" t="s">
        <v>9</v>
      </c>
      <c r="B149" t="s">
        <v>45</v>
      </c>
      <c r="C149">
        <f>_xll.BDP("ACCUABAP Index","PX_LAST")</f>
        <v>17.12</v>
      </c>
      <c r="D149" t="str">
        <f>_xll.BDP("ACCUABAP Index","PX_VOLUME")</f>
        <v>#N/A N/A</v>
      </c>
      <c r="H149" t="str">
        <f>_xll.BDP("ACCUABAP Index","BID")</f>
        <v>#N/A Real Time</v>
      </c>
      <c r="I149" t="str">
        <f>_xll.BDP("ACCUABAP Index","ASK")</f>
        <v>#N/A Real Time</v>
      </c>
      <c r="O149" t="str">
        <f>_xll.BDP("ACCUABAP Index","LAST_UPDATE_DT")</f>
        <v>31.03.2023</v>
      </c>
      <c r="P149" t="str">
        <f>_xll.BDP("ACCUABAP Index","TIME")</f>
        <v>#N/A Real Time</v>
      </c>
    </row>
    <row r="150" spans="1:16" x14ac:dyDescent="0.25">
      <c r="C150" t="s">
        <v>50</v>
      </c>
    </row>
    <row r="151" spans="1:16" x14ac:dyDescent="0.25">
      <c r="A151" t="s">
        <v>50</v>
      </c>
      <c r="B151" t="s">
        <v>45</v>
      </c>
      <c r="C151">
        <f>_xll.BDP("ACCUABAV Index","PX_LAST")</f>
        <v>7800000</v>
      </c>
      <c r="D151" t="str">
        <f>_xll.BDP("ACCUABAV Index","PX_VOLUME")</f>
        <v>#N/A N/A</v>
      </c>
      <c r="H151" t="str">
        <f>_xll.BDP("ACCUABAV Index","BID")</f>
        <v>#N/A Real Time</v>
      </c>
      <c r="I151" t="str">
        <f>_xll.BDP("ACCUABAV Index","ASK")</f>
        <v>#N/A Real Time</v>
      </c>
      <c r="O151" t="str">
        <f>_xll.BDP("ACCUABAV Index","LAST_UPDATE_DT")</f>
        <v>31.03.2023</v>
      </c>
      <c r="P151" t="str">
        <f>_xll.BDP("ACCUABAV Index","TIME")</f>
        <v>#N/A Real Time</v>
      </c>
    </row>
    <row r="152" spans="1:16" x14ac:dyDescent="0.25">
      <c r="A152" t="s">
        <v>84</v>
      </c>
      <c r="B152" t="s">
        <v>45</v>
      </c>
      <c r="C152">
        <f>_xll.BDP("ACCUABPA Index","PX_LAST")</f>
        <v>24</v>
      </c>
      <c r="D152" t="str">
        <f>_xll.BDP("ACCUABPA Index","PX_VOLUME")</f>
        <v>#N/A N/A</v>
      </c>
      <c r="H152" t="str">
        <f>_xll.BDP("ACCUABPA Index","BID")</f>
        <v>#N/A Real Time</v>
      </c>
      <c r="I152" t="str">
        <f>_xll.BDP("ACCUABPA Index","ASK")</f>
        <v>#N/A Real Time</v>
      </c>
      <c r="O152" t="str">
        <f>_xll.BDP("ACCUABPA Index","LAST_UPDATE_DT")</f>
        <v>31.03.2023</v>
      </c>
      <c r="P152" t="str">
        <f>_xll.BDP("ACCUABPA Index","TIME")</f>
        <v>#N/A Real Time</v>
      </c>
    </row>
  </sheetData>
  <mergeCells count="20">
    <mergeCell ref="A2:P2"/>
    <mergeCell ref="A5:P5"/>
    <mergeCell ref="A19:P19"/>
    <mergeCell ref="A24:P24"/>
    <mergeCell ref="A27:P27"/>
    <mergeCell ref="A30:P30"/>
    <mergeCell ref="A31:P31"/>
    <mergeCell ref="A33:P33"/>
    <mergeCell ref="A43:P43"/>
    <mergeCell ref="A55:P55"/>
    <mergeCell ref="A65:P65"/>
    <mergeCell ref="A75:P75"/>
    <mergeCell ref="A85:P85"/>
    <mergeCell ref="A95:P95"/>
    <mergeCell ref="A105:P105"/>
    <mergeCell ref="A115:P115"/>
    <mergeCell ref="A116:P116"/>
    <mergeCell ref="A126:P126"/>
    <mergeCell ref="A137:P137"/>
    <mergeCell ref="A147:P1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GREGOIRE Charles</cp:lastModifiedBy>
  <dcterms:created xsi:type="dcterms:W3CDTF">2013-04-03T15:49:21Z</dcterms:created>
  <dcterms:modified xsi:type="dcterms:W3CDTF">2025-09-01T12:06:03Z</dcterms:modified>
</cp:coreProperties>
</file>