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gvaps1\USR6\CHGE\desktop\EUA dashboard 2\Balances\"/>
    </mc:Choice>
  </mc:AlternateContent>
  <xr:revisionPtr revIDLastSave="0" documentId="13_ncr:1_{0ECA041E-9C8E-4F0E-A5A9-4E7EBCDD4D6E}" xr6:coauthVersionLast="47" xr6:coauthVersionMax="47" xr10:uidLastSave="{00000000-0000-0000-0000-000000000000}"/>
  <bookViews>
    <workbookView xWindow="-120" yWindow="-120" windowWidth="29040" windowHeight="15720" activeTab="3" xr2:uid="{6A2B0ED1-61FD-4FB1-A9F6-BE677522864F}"/>
  </bookViews>
  <sheets>
    <sheet name="Disclaimer" sheetId="13" r:id="rId1"/>
    <sheet name="Assumptions" sheetId="14" r:id="rId2"/>
    <sheet name="Charts" sheetId="7" r:id="rId3"/>
    <sheet name="ETS balance - Jan 25" sheetId="10" r:id="rId4"/>
  </sheets>
  <definedNames>
    <definedName name="DOE_Data7" localSheetId="0">#REF!</definedName>
    <definedName name="DOE_Data7">#REF!</definedName>
    <definedName name="DOE_Data7_Dates" localSheetId="0">#REF!</definedName>
    <definedName name="DOE_Data7_Dates">#REF!</definedName>
    <definedName name="DOE_Data7_Fields" localSheetId="0">#REF!</definedName>
    <definedName name="DOE_Data7_Fields">#REF!</definedName>
    <definedName name="DraftThresh">#REF!</definedName>
    <definedName name="Front" localSheetId="0">#REF!</definedName>
    <definedName name="Front">#REF!</definedName>
    <definedName name="Front_CL" localSheetId="0">#REF!</definedName>
    <definedName name="Front_CL">#REF!</definedName>
    <definedName name="Front_HO" localSheetId="0">#REF!</definedName>
    <definedName name="Front_HO">#REF!</definedName>
    <definedName name="Front_HU" localSheetId="0">#REF!</definedName>
    <definedName name="Front_HU">#REF!</definedName>
    <definedName name="FrontTot_CL" localSheetId="0">#REF!</definedName>
    <definedName name="FrontTot_CL">#REF!</definedName>
    <definedName name="FrontTot_HO" localSheetId="0">#REF!</definedName>
    <definedName name="FrontTot_HO">#REF!</definedName>
    <definedName name="FrontTot_HU" localSheetId="0">#REF!</definedName>
    <definedName name="FrontTot_HU">#REF!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ercent_multiplier">100</definedName>
    <definedName name="PriorWeekEnding" localSheetId="0">#REF!</definedName>
    <definedName name="PriorWeekEnding">#REF!</definedName>
    <definedName name="PriorYearEnding" localSheetId="0">#REF!</definedName>
    <definedName name="PriorYearEnding">#REF!</definedName>
    <definedName name="Shiplist">#REF!</definedName>
    <definedName name="UpdateDate" localSheetId="0">#REF!</definedName>
    <definedName name="UpdateDate">#REF!</definedName>
    <definedName name="WeekEnding" localSheetId="0">#REF!</definedName>
    <definedName name="WeekEnding">#REF!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P54" i="10" l="1"/>
  <c r="Q54" i="10"/>
  <c r="R54" i="10"/>
  <c r="S54" i="10"/>
  <c r="T54" i="10"/>
  <c r="U54" i="10"/>
  <c r="O54" i="10"/>
  <c r="N22" i="10"/>
  <c r="N18" i="10"/>
  <c r="N9" i="10"/>
  <c r="S9" i="10"/>
  <c r="U7" i="10"/>
  <c r="N31" i="10" l="1"/>
  <c r="W38" i="10" l="1"/>
  <c r="L34" i="10"/>
  <c r="D3" i="7" l="1"/>
  <c r="E3" i="7"/>
  <c r="F3" i="7"/>
  <c r="G3" i="7"/>
  <c r="H3" i="7"/>
  <c r="I3" i="7"/>
  <c r="J3" i="7"/>
  <c r="K3" i="7"/>
  <c r="L3" i="7"/>
  <c r="M3" i="7"/>
  <c r="N3" i="7"/>
  <c r="O3" i="7"/>
  <c r="P3" i="7"/>
  <c r="Q3" i="7"/>
  <c r="R3" i="7"/>
  <c r="S3" i="7"/>
  <c r="T3" i="7"/>
  <c r="A1" i="14"/>
  <c r="E3" i="10"/>
  <c r="F3" i="10" s="1"/>
  <c r="G3" i="10" s="1"/>
  <c r="H3" i="10" s="1"/>
  <c r="I3" i="10" s="1"/>
  <c r="J3" i="10" s="1"/>
  <c r="K3" i="10" s="1"/>
  <c r="L3" i="10" s="1"/>
  <c r="M3" i="10" s="1"/>
  <c r="N3" i="10" s="1"/>
  <c r="O3" i="10" s="1"/>
  <c r="P3" i="10" s="1"/>
  <c r="Q3" i="10" s="1"/>
  <c r="R3" i="10" s="1"/>
  <c r="S3" i="10" s="1"/>
  <c r="T3" i="10" s="1"/>
  <c r="U3" i="10" s="1"/>
  <c r="W37" i="10" l="1"/>
  <c r="W39" i="10" l="1"/>
  <c r="W40" i="10" l="1"/>
  <c r="K22" i="10" l="1"/>
  <c r="W26" i="10"/>
  <c r="L22" i="10"/>
  <c r="J22" i="10"/>
  <c r="M4" i="7"/>
  <c r="W14" i="10"/>
  <c r="I22" i="10" l="1"/>
  <c r="M22" i="10"/>
  <c r="H4" i="7"/>
  <c r="G4" i="7"/>
  <c r="J31" i="10" l="1"/>
  <c r="I4" i="7"/>
  <c r="L31" i="10"/>
  <c r="K4" i="7"/>
  <c r="K31" i="10"/>
  <c r="J4" i="7"/>
  <c r="I31" i="10"/>
  <c r="M5" i="7"/>
  <c r="H22" i="10"/>
  <c r="H31" i="10" s="1"/>
  <c r="M31" i="10" l="1"/>
  <c r="L4" i="7"/>
  <c r="O18" i="10"/>
  <c r="M18" i="10"/>
  <c r="L5" i="7" s="1"/>
  <c r="N5" i="7" l="1"/>
  <c r="P18" i="10"/>
  <c r="O5" i="7" s="1"/>
  <c r="W25" i="10"/>
  <c r="L18" i="10" l="1"/>
  <c r="Q18" i="10"/>
  <c r="P5" i="7" s="1"/>
  <c r="K5" i="7" l="1"/>
  <c r="R18" i="10"/>
  <c r="Q5" i="7" s="1"/>
  <c r="W19" i="10" l="1"/>
  <c r="S18" i="10"/>
  <c r="R5" i="7" s="1"/>
  <c r="W21" i="10"/>
  <c r="T18" i="10" l="1"/>
  <c r="S5" i="7" s="1"/>
  <c r="U18" i="10" l="1"/>
  <c r="W20" i="10"/>
  <c r="T5" i="7" l="1"/>
  <c r="W18" i="10"/>
  <c r="J18" i="10" l="1"/>
  <c r="I5" i="7" s="1"/>
  <c r="H18" i="10"/>
  <c r="G5" i="7" s="1"/>
  <c r="F18" i="10"/>
  <c r="E5" i="7" s="1"/>
  <c r="D18" i="10"/>
  <c r="C5" i="7" s="1"/>
  <c r="I18" i="10" l="1"/>
  <c r="H5" i="7" s="1"/>
  <c r="E18" i="10"/>
  <c r="D5" i="7" s="1"/>
  <c r="K18" i="10"/>
  <c r="J5" i="7" s="1"/>
  <c r="G18" i="10"/>
  <c r="F5" i="7" s="1"/>
  <c r="G22" i="10" l="1"/>
  <c r="D22" i="10"/>
  <c r="E22" i="10"/>
  <c r="G7" i="10"/>
  <c r="G9" i="10" l="1"/>
  <c r="I7" i="10"/>
  <c r="I9" i="10"/>
  <c r="F22" i="10"/>
  <c r="G31" i="10" l="1"/>
  <c r="F4" i="7"/>
  <c r="H7" i="10"/>
  <c r="H9" i="10"/>
  <c r="L7" i="10"/>
  <c r="L9" i="10"/>
  <c r="F9" i="10"/>
  <c r="F7" i="10"/>
  <c r="E7" i="10" l="1"/>
  <c r="E9" i="10"/>
  <c r="D9" i="10"/>
  <c r="D7" i="10"/>
  <c r="J7" i="10"/>
  <c r="J9" i="10"/>
  <c r="K7" i="10"/>
  <c r="K9" i="10"/>
  <c r="F31" i="10" l="1"/>
  <c r="E4" i="7"/>
  <c r="E31" i="10" l="1"/>
  <c r="D4" i="7"/>
  <c r="D31" i="10"/>
  <c r="C8" i="7" s="1"/>
  <c r="C4" i="7"/>
  <c r="C6" i="7" l="1"/>
  <c r="C9" i="7" s="1"/>
  <c r="D6" i="7" l="1"/>
  <c r="D9" i="7" l="1"/>
  <c r="D8" i="7"/>
  <c r="E6" i="7"/>
  <c r="E9" i="7" l="1"/>
  <c r="E8" i="7"/>
  <c r="F6" i="7" l="1"/>
  <c r="G6" i="7" l="1"/>
  <c r="F9" i="7"/>
  <c r="F8" i="7"/>
  <c r="J49" i="10"/>
  <c r="J34" i="10" s="1"/>
  <c r="J50" i="10" l="1"/>
  <c r="J35" i="10" s="1"/>
  <c r="J32" i="10" s="1"/>
  <c r="J33" i="10" s="1"/>
  <c r="H6" i="7"/>
  <c r="G9" i="7"/>
  <c r="G8" i="7"/>
  <c r="I6" i="7"/>
  <c r="K50" i="10" l="1"/>
  <c r="K35" i="10" s="1"/>
  <c r="K49" i="10"/>
  <c r="K34" i="10" s="1"/>
  <c r="I9" i="7"/>
  <c r="I8" i="7"/>
  <c r="H8" i="7"/>
  <c r="H9" i="7"/>
  <c r="K32" i="10" l="1"/>
  <c r="K33" i="10" s="1"/>
  <c r="L50" i="10"/>
  <c r="L35" i="10" s="1"/>
  <c r="J6" i="7"/>
  <c r="M50" i="10"/>
  <c r="M35" i="10" s="1"/>
  <c r="L32" i="10" l="1"/>
  <c r="M49" i="10"/>
  <c r="M34" i="10" s="1"/>
  <c r="K6" i="7"/>
  <c r="J9" i="7"/>
  <c r="J8" i="7"/>
  <c r="N49" i="10"/>
  <c r="N34" i="10" s="1"/>
  <c r="N50" i="10" l="1"/>
  <c r="N35" i="10" s="1"/>
  <c r="L33" i="10"/>
  <c r="M32" i="10" s="1"/>
  <c r="M33" i="10" s="1"/>
  <c r="N32" i="10" s="1"/>
  <c r="N33" i="10" s="1"/>
  <c r="L6" i="7"/>
  <c r="K8" i="7"/>
  <c r="K9" i="7"/>
  <c r="O49" i="10"/>
  <c r="O34" i="10" s="1"/>
  <c r="O50" i="10" l="1"/>
  <c r="O35" i="10" s="1"/>
  <c r="O32" i="10" s="1"/>
  <c r="M6" i="7"/>
  <c r="L8" i="7"/>
  <c r="L9" i="7"/>
  <c r="O36" i="10" l="1"/>
  <c r="O33" i="10" s="1"/>
  <c r="M9" i="7"/>
  <c r="M8" i="7"/>
  <c r="O22" i="10" l="1"/>
  <c r="W13" i="10" l="1"/>
  <c r="W12" i="10" l="1"/>
  <c r="M7" i="10" l="1"/>
  <c r="M9" i="10"/>
  <c r="N7" i="10"/>
  <c r="O9" i="10" l="1"/>
  <c r="O7" i="10"/>
  <c r="O31" i="10" s="1"/>
  <c r="N4" i="7" l="1"/>
  <c r="O30" i="10"/>
  <c r="P50" i="10" l="1"/>
  <c r="P35" i="10" s="1"/>
  <c r="P49" i="10"/>
  <c r="P34" i="10" s="1"/>
  <c r="N6" i="7"/>
  <c r="P7" i="10"/>
  <c r="P9" i="10"/>
  <c r="P32" i="10" l="1"/>
  <c r="P36" i="10" s="1"/>
  <c r="P33" i="10" s="1"/>
  <c r="O4" i="7"/>
  <c r="N9" i="7"/>
  <c r="N8" i="7"/>
  <c r="Q7" i="10"/>
  <c r="P4" i="7" s="1"/>
  <c r="Q9" i="10"/>
  <c r="P22" i="10" l="1"/>
  <c r="P31" i="10" l="1"/>
  <c r="P30" i="10" l="1"/>
  <c r="O6" i="7" l="1"/>
  <c r="Q49" i="10"/>
  <c r="Q34" i="10" s="1"/>
  <c r="Q50" i="10"/>
  <c r="Q35" i="10" s="1"/>
  <c r="Q32" i="10" l="1"/>
  <c r="O9" i="7"/>
  <c r="O8" i="7"/>
  <c r="Q22" i="10"/>
  <c r="Q31" i="10" l="1"/>
  <c r="Q36" i="10"/>
  <c r="Q33" i="10" s="1"/>
  <c r="Q30" i="10" l="1"/>
  <c r="P6" i="7" l="1"/>
  <c r="R49" i="10"/>
  <c r="R34" i="10" s="1"/>
  <c r="R50" i="10"/>
  <c r="R35" i="10" s="1"/>
  <c r="R32" i="10" l="1"/>
  <c r="P9" i="7"/>
  <c r="P8" i="7"/>
  <c r="R22" i="10"/>
  <c r="R36" i="10" l="1"/>
  <c r="R33" i="10" s="1"/>
  <c r="W10" i="10" l="1"/>
  <c r="R7" i="10"/>
  <c r="Q4" i="7" s="1"/>
  <c r="R9" i="10"/>
  <c r="U9" i="10"/>
  <c r="T4" i="7"/>
  <c r="S7" i="10"/>
  <c r="R4" i="7" s="1"/>
  <c r="W11" i="10"/>
  <c r="T7" i="10"/>
  <c r="S4" i="7" s="1"/>
  <c r="T9" i="10"/>
  <c r="R31" i="10" l="1"/>
  <c r="R30" i="10" s="1"/>
  <c r="Q6" i="7" s="1"/>
  <c r="W7" i="10"/>
  <c r="W9" i="10"/>
  <c r="S49" i="10" l="1"/>
  <c r="S34" i="10" s="1"/>
  <c r="S50" i="10"/>
  <c r="S35" i="10" s="1"/>
  <c r="Q8" i="7"/>
  <c r="Q9" i="7"/>
  <c r="S32" i="10" l="1"/>
  <c r="S36" i="10" s="1"/>
  <c r="S33" i="10" s="1"/>
  <c r="S22" i="10" l="1"/>
  <c r="S31" i="10" l="1"/>
  <c r="S30" i="10" l="1"/>
  <c r="R6" i="7" l="1"/>
  <c r="T49" i="10"/>
  <c r="T34" i="10" s="1"/>
  <c r="T50" i="10"/>
  <c r="T35" i="10" s="1"/>
  <c r="T32" i="10" l="1"/>
  <c r="R8" i="7"/>
  <c r="R9" i="7"/>
  <c r="T22" i="10" l="1"/>
  <c r="T36" i="10"/>
  <c r="T33" i="10" s="1"/>
  <c r="W24" i="10"/>
  <c r="T31" i="10" l="1"/>
  <c r="T30" i="10" s="1"/>
  <c r="U49" i="10" s="1"/>
  <c r="U34" i="10" s="1"/>
  <c r="S6" i="7" l="1"/>
  <c r="U50" i="10"/>
  <c r="U35" i="10" s="1"/>
  <c r="W35" i="10" s="1"/>
  <c r="W34" i="10" l="1"/>
  <c r="U32" i="10"/>
  <c r="U36" i="10" s="1"/>
  <c r="S8" i="7"/>
  <c r="S9" i="7"/>
  <c r="U22" i="10"/>
  <c r="U31" i="10" s="1"/>
  <c r="U30" i="10" s="1"/>
  <c r="W23" i="10"/>
  <c r="W22" i="10" l="1"/>
  <c r="W36" i="10"/>
  <c r="W32" i="10"/>
  <c r="U33" i="10" l="1"/>
  <c r="W33" i="10" s="1"/>
  <c r="W31" i="10"/>
  <c r="T6" i="7" l="1"/>
  <c r="W30" i="10"/>
  <c r="T8" i="7" l="1"/>
  <c r="T9"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Augustin Borelle</author>
  </authors>
  <commentList>
    <comment ref="O7" authorId="0" shapeId="0" xr:uid="{A258F5D7-AD2F-437C-BC16-AC5AE257E77F}">
      <text>
        <r>
          <rPr>
            <b/>
            <sz val="9"/>
            <color indexed="81"/>
            <rFont val="Tahoma"/>
            <family val="2"/>
          </rPr>
          <t>Augustin Borelle:</t>
        </r>
        <r>
          <rPr>
            <sz val="9"/>
            <color indexed="81"/>
            <rFont val="Tahoma"/>
            <family val="2"/>
          </rPr>
          <t xml:space="preserve">
From 2024 onwards, aviation is also included in the computation of the TNAC</t>
        </r>
      </text>
    </comment>
    <comment ref="W7" authorId="0" shapeId="0" xr:uid="{8AEB99AC-F217-4DBC-BA58-1F1D2D3E38E2}">
      <text>
        <r>
          <rPr>
            <b/>
            <sz val="9"/>
            <color indexed="81"/>
            <rFont val="Tahoma"/>
            <family val="2"/>
          </rPr>
          <t>Augustin Borelle:</t>
        </r>
        <r>
          <rPr>
            <sz val="9"/>
            <color indexed="81"/>
            <rFont val="Tahoma"/>
            <family val="2"/>
          </rPr>
          <t xml:space="preserve">
Takes TNAC historical published demand and uses our estimates for the forecast period</t>
        </r>
      </text>
    </comment>
    <comment ref="B8" authorId="0" shapeId="0" xr:uid="{54BCC7AE-994D-4589-A741-9DECC43713E9}">
      <text>
        <r>
          <rPr>
            <b/>
            <sz val="9"/>
            <color indexed="81"/>
            <rFont val="Tahoma"/>
            <family val="2"/>
          </rPr>
          <t>Augustin Borelle:</t>
        </r>
        <r>
          <rPr>
            <sz val="9"/>
            <color indexed="81"/>
            <rFont val="Tahoma"/>
            <family val="2"/>
          </rPr>
          <t xml:space="preserve">
This is the demand reported in the annual TNAC publications by the European Commission. It doesn't reconcile exactly with the verified emissions reported in the EUTL for each year.
For the historial computations, we use this reported demand as the reference.
For the forecast epriod, we use our estimates of effective market demand</t>
        </r>
      </text>
    </comment>
    <comment ref="O13" authorId="0" shapeId="0" xr:uid="{A64E9C66-F462-4262-910E-061A7BE57D42}">
      <text>
        <r>
          <rPr>
            <b/>
            <sz val="9"/>
            <color indexed="81"/>
            <rFont val="Tahoma"/>
            <family val="2"/>
          </rPr>
          <t>Augustin Borelle:</t>
        </r>
        <r>
          <rPr>
            <sz val="9"/>
            <color indexed="81"/>
            <rFont val="Tahoma"/>
            <family val="2"/>
          </rPr>
          <t xml:space="preserve">
In 2025, 40% of the reported 2024 emissions will need to be covered</t>
        </r>
      </text>
    </comment>
    <comment ref="P13" authorId="0" shapeId="0" xr:uid="{B2ADBA3C-803C-4856-AC5B-AA2BB98325DB}">
      <text>
        <r>
          <rPr>
            <b/>
            <sz val="9"/>
            <color indexed="81"/>
            <rFont val="Tahoma"/>
            <family val="2"/>
          </rPr>
          <t>Augustin Borelle:</t>
        </r>
        <r>
          <rPr>
            <sz val="9"/>
            <color indexed="81"/>
            <rFont val="Tahoma"/>
            <family val="2"/>
          </rPr>
          <t xml:space="preserve">
In 2026, 70% of the reported 2025 emissions will need to be covered
</t>
        </r>
      </text>
    </comment>
    <comment ref="Q13" authorId="0" shapeId="0" xr:uid="{FB4DE13C-BF35-47A3-9B7C-EF913CE17CFC}">
      <text>
        <r>
          <rPr>
            <b/>
            <sz val="9"/>
            <color indexed="81"/>
            <rFont val="Tahoma"/>
            <family val="2"/>
          </rPr>
          <t>Augustin Borelle:</t>
        </r>
        <r>
          <rPr>
            <sz val="9"/>
            <color indexed="81"/>
            <rFont val="Tahoma"/>
            <family val="2"/>
          </rPr>
          <t xml:space="preserve">
From 2027 onwards: 100% of the reported emissions of the previous year will need to be covered
</t>
        </r>
      </text>
    </comment>
    <comment ref="O31" authorId="0" shapeId="0" xr:uid="{86DFD5EE-8E66-4893-AE1D-917CFEB15DDA}">
      <text>
        <r>
          <rPr>
            <b/>
            <sz val="9"/>
            <color indexed="81"/>
            <rFont val="Tahoma"/>
            <family val="2"/>
          </rPr>
          <t>Augustin Borelle:</t>
        </r>
        <r>
          <rPr>
            <sz val="9"/>
            <color indexed="81"/>
            <rFont val="Tahoma"/>
            <family val="2"/>
          </rPr>
          <t xml:space="preserve">
This formula is using our estimates of effective demand for the forecast period, while it was using the published demand (as in the yearly TNAC publications) for the historical period</t>
        </r>
      </text>
    </comment>
    <comment ref="J32" authorId="0" shapeId="0" xr:uid="{5E0F63E2-F450-4770-8803-010D0B21182D}">
      <text>
        <r>
          <rPr>
            <b/>
            <sz val="9"/>
            <color indexed="81"/>
            <rFont val="Tahoma"/>
            <family val="2"/>
          </rPr>
          <t>Augustin Borelle:</t>
        </r>
        <r>
          <rPr>
            <sz val="9"/>
            <color indexed="81"/>
            <rFont val="Tahoma"/>
            <family val="2"/>
          </rPr>
          <t xml:space="preserve">
900 mt were backloaded to the MSR to form the initial holdings in 2019</t>
        </r>
      </text>
    </comment>
    <comment ref="C49" authorId="0" shapeId="0" xr:uid="{6FF98EED-3109-4F76-934F-904DA1F0B821}">
      <text>
        <r>
          <rPr>
            <b/>
            <sz val="9"/>
            <color indexed="81"/>
            <rFont val="Tahoma"/>
            <family val="2"/>
          </rPr>
          <t>Augustin Borelle:</t>
        </r>
        <r>
          <rPr>
            <sz val="9"/>
            <color indexed="81"/>
            <rFont val="Tahoma"/>
            <family val="2"/>
          </rPr>
          <t xml:space="preserve">
The minimum intake volume for the MSR is 200 mt</t>
        </r>
      </text>
    </comment>
    <comment ref="C50" authorId="0" shapeId="0" xr:uid="{F7E66E53-B454-4395-BBFA-033F936B22B3}">
      <text>
        <r>
          <rPr>
            <b/>
            <sz val="9"/>
            <color indexed="81"/>
            <rFont val="Tahoma"/>
            <family val="2"/>
          </rPr>
          <t>Augustin Borelle:</t>
        </r>
        <r>
          <rPr>
            <sz val="9"/>
            <color indexed="81"/>
            <rFont val="Tahoma"/>
            <family val="2"/>
          </rPr>
          <t xml:space="preserve">
The release volume is set to 100 mt if there is release of allowances</t>
        </r>
      </text>
    </comment>
  </commentList>
</comments>
</file>

<file path=xl/sharedStrings.xml><?xml version="1.0" encoding="utf-8"?>
<sst xmlns="http://schemas.openxmlformats.org/spreadsheetml/2006/main" count="72" uniqueCount="70">
  <si>
    <t>Demand</t>
  </si>
  <si>
    <t>TNAC</t>
  </si>
  <si>
    <t>Annual MSR Additions</t>
  </si>
  <si>
    <t>Annual MSR Subtractions</t>
  </si>
  <si>
    <t>Annual MSR Cancellations</t>
  </si>
  <si>
    <t>2021-2030</t>
  </si>
  <si>
    <t>Aviation</t>
  </si>
  <si>
    <t>Shipping</t>
  </si>
  <si>
    <t>Stationary Installations</t>
  </si>
  <si>
    <t>Initial MSR Holdings</t>
  </si>
  <si>
    <t>Phase IV</t>
  </si>
  <si>
    <t>Phase III</t>
  </si>
  <si>
    <t>Market Stability Reserve and TNAC</t>
  </si>
  <si>
    <t>Phase IV total</t>
  </si>
  <si>
    <t>Supply</t>
  </si>
  <si>
    <t>Final MSR Holdings</t>
  </si>
  <si>
    <r>
      <rPr>
        <b/>
        <sz val="30"/>
        <color rgb="FF007EAE"/>
        <rFont val="Platts Oscine"/>
        <family val="2"/>
      </rPr>
      <t>EU ETS LONG-TERM MARKET BALANCES</t>
    </r>
    <r>
      <rPr>
        <b/>
        <sz val="36"/>
        <color rgb="FF007EAE"/>
        <rFont val="Platts Oscine"/>
        <family val="2"/>
      </rPr>
      <t xml:space="preserve"> </t>
    </r>
  </si>
  <si>
    <t>The names “S&amp;P Global Platts” and “Platts” and the S&amp;P Global Platts logo are trademarks of S&amp;P Global Inc. Permission for any commercial use of the S&amp;P Global Platts logo must be granted in writing by S&amp;P Global Inc.</t>
  </si>
  <si>
    <t>You may view or otherwise use the information, prices, indices, assessments and other related information, graphs, tables and images (“Data”) in this publication only for your personal use or, if you or your company has a license for the Data from S&amp;P Global Platts and you are an authorized user, for your company’s internal business use only. You may not publish, reproduce, extract, distribute, retransmit, resell, create any derivative work from and/or otherwise provide access to the Data or any portion thereof to any person (either within or outside your company, including as part of or via any internal electronic system or intranet), firm or entity, including any subsidiary, parent, or other entity that is affiliated with your company, without S&amp;P Global Platts’ prior written consent or as otherwise authorized under license from S&amp;P Global Platts. Any use or distribution of the Data beyond the express uses authorized in this paragraph above is subject to the payment of additional fees to S&amp;P Global Platts.</t>
  </si>
  <si>
    <t>S&amp;P Global Platts, its affiliates and all of their third-party licensors disclaim any and all warranties, express or implied, including, but not limited to, any warranties of merchantability or fitness for a particular purpose or use as to the Data, or the results obtained by its use or as to the performance thereof. Data in this publication includes independent and verifiable data collected from actual market participants. Any user of the Data should not rely on any information and/or assessment contained therein in making any investment, trading, risk management or other decision. S&amp;P Global Platts, its affiliates and their third-party licensors do not guarantee the adequacy, accuracy, timeliness and/or completeness of the Data or any component thereof or any communications (whether written, oral, electronic or in other format), and shall not be subject to any damages or liability, including but not limited to any indirect, special, incidental, punitive or consequential damages (including but not limited to, loss of profits, trading losses and loss of goodwill).</t>
  </si>
  <si>
    <t>ICE index data and NYMEX futures data used herein are provided under S&amp;P Global Platts’ commercial licensing agreements with ICE and with NYMEX. You acknowledge that the ICE index data and NYMEX futures data herein are confidential and are proprietary trade secrets and data of ICE and NYMEX or its licensors/suppliers, and you shall use best efforts to prevent the unauthorized publication, disclosure or copying of the ICE index data and/or NYMEX futures data.</t>
  </si>
  <si>
    <t>Permission is granted for those registered with the Copyright Clearance Center (CCC) to copy material herein for internal reference or personal use only, provided that appropriate payment is made to the CCC, 222 Rosewood Drive, Danvers, MA 01923, phone +1-978-750-8400. Reproduction in any other form, or for any other purpose, is forbidden without the express prior permission of S&amp;P Global Inc. For article reprints contact: The YGS Group, phone +1-717-505-9701 x105 (800-501-9571 from the U.S.).</t>
  </si>
  <si>
    <t>For all other queries or requests pursuant to this notice, please contact S&amp;P Global Inc. via email at support@platts.com.</t>
  </si>
  <si>
    <t>EnviroMkts_analytics@spglobal.com</t>
  </si>
  <si>
    <t>ANALYTICS REPORT</t>
  </si>
  <si>
    <t>S&amp;P Global Commodity Insights Key Long-Term EU ETS Assumptions</t>
  </si>
  <si>
    <t xml:space="preserve">Units </t>
  </si>
  <si>
    <t xml:space="preserve">Note that this document refers to EUA allowances in a ratio of 1:1000 EUAs. One EUA represents one tonne CO2e. </t>
  </si>
  <si>
    <t>Historic Data</t>
  </si>
  <si>
    <t>EU ETS Caps</t>
  </si>
  <si>
    <t>Market Stability Reserve/TNAC</t>
  </si>
  <si>
    <t>Specific supply sources</t>
  </si>
  <si>
    <t xml:space="preserve">There is currently no offset usage in Phase 4. We assume this will remain until the end of Phase IV. </t>
  </si>
  <si>
    <t>The supply that actually reaches the market in any given year rarely equals that year’s cap. Actual annual supply will equal the various sources that come online each year: auction volumes, free allocations, the various funds, etc. Developing a view of each of these supply sources on an annual basis required a number of assumptions on how these sources will be divided across Phase 4. We have tried to be as reasonable as possible, while also taking into account historic trends. We will update these balances accordingly following the release of further details.</t>
  </si>
  <si>
    <t>Annual Total Cap</t>
  </si>
  <si>
    <t>Unallocated allowances</t>
  </si>
  <si>
    <t>Allowances used for flexibility purposes</t>
  </si>
  <si>
    <t>International credit entitlements</t>
  </si>
  <si>
    <t>MSR Rate</t>
  </si>
  <si>
    <t>MSR max feed</t>
  </si>
  <si>
    <t>MSR lower band</t>
  </si>
  <si>
    <t>MSR upper band</t>
  </si>
  <si>
    <t>MSR upper band 2</t>
  </si>
  <si>
    <t>Tonnes of verified emissions</t>
  </si>
  <si>
    <t>o/w Electricity and heat</t>
  </si>
  <si>
    <t>o/w Industry</t>
  </si>
  <si>
    <t>o/w Aviation</t>
  </si>
  <si>
    <t>o/w Shipping</t>
  </si>
  <si>
    <t xml:space="preserve">Allowances cancelled in accordance with Article 12(4) of Directive 2003/87/EC </t>
  </si>
  <si>
    <t>FORECAST</t>
  </si>
  <si>
    <t>Allowances allocated for free, including from NER</t>
  </si>
  <si>
    <t>Allowances auctioned</t>
  </si>
  <si>
    <t>Effective Market Supply (post-MSR)</t>
  </si>
  <si>
    <t>Annual Surplus/Deficit</t>
  </si>
  <si>
    <t>TNAC publication demand</t>
  </si>
  <si>
    <t>Allowances set aside for the Innovation Fund</t>
  </si>
  <si>
    <t>Allowances deducted from auctions and placed in the new entrants reserve</t>
  </si>
  <si>
    <t>Allowances auctioned for the Innovation Fund</t>
  </si>
  <si>
    <t>MSR substractions calculation - pre-min adjustments</t>
  </si>
  <si>
    <t>MSR additions calculation - pre-min adjustments</t>
  </si>
  <si>
    <t>Effective demand</t>
  </si>
  <si>
    <t>© 2025 S&amp;P Global Platts, a division of S&amp;P Global Inc. All rights reserved.</t>
  </si>
  <si>
    <t>Total emissions - Jan 25</t>
  </si>
  <si>
    <t>EU Cap - Jan 25</t>
  </si>
  <si>
    <t>TNAC - Jan 25</t>
  </si>
  <si>
    <t>Annual surplus - Jan 25</t>
  </si>
  <si>
    <t>Where possible, this file uses official historic ETS data from the European Commission, typically from the annual Report on the Functioning of the European Carbon Market reports. When necessary, we use other Commission sources, such as specific data on annual verified emissions, free allocations, and 10c derogations. We will make further updates to these balances on an ad-hoc basis, whenever there is a need to update the long-term ETS forecast.
Further updates have also been done following the publication of 2023 verified emissions data which became available in Q2-2024.</t>
  </si>
  <si>
    <t>We have updated our latest emissions forecast for EU ETS participating sectors. Forecast power sector emissions growth to 2030 are derived from our European Electricity Service market balances and energy and climate scenarios modelling. Aviation and Maritime forecast emissions to 2030 are derived from our energy and climate scenarios modelling.</t>
  </si>
  <si>
    <t xml:space="preserve">EU negotiators agreed to a spilt reduction of the EU ETS cap to put the EU ETS cap on a consistent trajectory with its 2030 emissions reduction target. A 90 million mt reduction was agreed to take effect from 2024; followed by a further reduction of 27 million mt in 2026. The Linear Reduction Factor (LRF) is also set to be increased from 2.2%/year currently to 4.3% from 2024-2026, followed by a further increase to 4.4% from 2027-2030. 
We have adjusted our market balances to reflect the new trajectory of the EU ETS cap. From our calculations of the new EU ETS cap to 2030, we expect the stationary cap will be reduced to around 770 million mtCO2e in 2030. </t>
  </si>
  <si>
    <t xml:space="preserve">The EU agreed to extend the Market Stability Reserve intake rate (currently at 24%) to the end of 2030. This was set to reverse to 12% at the end of 2023. The MSR is also due to limit the volume of allowances held in the reserve to 400 million mt from 2023, with any additional allowances to be cancelled.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</si>
</sst>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mmmm\ yyyy"/>
    <numFmt numFmtId="166" formatCode="0.0"/>
  </numFmts>
  <fonts count="26">
    <font>
      <sz val="11"/>
      <color theme="1"/>
      <name val="Arial"/>
      <family val="2"/>
      <scheme val="minor"/>
    </font>
    <font>
      <sz val="11"/>
      <color theme="1"/>
      <name val="Arial"/>
      <family val="2"/>
      <scheme val="minor"/>
    </font>
    <font>
      <sz val="10"/>
      <color theme="1"/>
      <name val="Arial"/>
      <family val="2"/>
    </font>
    <font>
      <sz val="10"/>
      <name val="Arial"/>
      <family val="2"/>
    </font>
    <font>
      <u/>
      <sz val="10"/>
      <color indexed="12"/>
      <name val="Arial"/>
      <family val="2"/>
    </font>
    <font>
      <b/>
      <sz val="10"/>
      <color theme="1"/>
      <name val="Arial"/>
      <family val="2"/>
    </font>
    <font>
      <i/>
      <sz val="10"/>
      <color theme="1"/>
      <name val="Arial"/>
      <family val="2"/>
    </font>
    <font>
      <i/>
      <sz val="10"/>
      <color theme="0" tint="-0.499984740745262"/>
      <name val="Arial"/>
      <family val="2"/>
    </font>
    <font>
      <i/>
      <sz val="10"/>
      <color rgb="FFC00000"/>
      <name val="Arial"/>
      <family val="2"/>
    </font>
    <font>
      <b/>
      <sz val="11"/>
      <color theme="1"/>
      <name val="Arial"/>
      <family val="2"/>
      <scheme val="minor"/>
    </font>
    <font>
      <u/>
      <sz val="11"/>
      <color theme="10"/>
      <name val="Arial"/>
      <family val="2"/>
      <scheme val="minor"/>
    </font>
    <font>
      <b/>
      <sz val="36"/>
      <color rgb="FF007EAE"/>
      <name val="Platts Oscine"/>
      <family val="2"/>
    </font>
    <font>
      <b/>
      <sz val="30"/>
      <color rgb="FF007EAE"/>
      <name val="Platts Oscine"/>
      <family val="2"/>
    </font>
    <font>
      <sz val="9"/>
      <name val="Arial"/>
      <family val="2"/>
    </font>
    <font>
      <b/>
      <sz val="20"/>
      <color rgb="FF002060"/>
      <name val="Platts Oscine"/>
      <family val="2"/>
    </font>
    <font>
      <b/>
      <sz val="9"/>
      <color rgb="FF002B5F"/>
      <name val="Arial"/>
      <family val="2"/>
    </font>
    <font>
      <u/>
      <sz val="9"/>
      <name val="Arial"/>
      <family val="2"/>
    </font>
    <font>
      <b/>
      <sz val="9"/>
      <name val="Arial"/>
      <family val="2"/>
    </font>
    <font>
      <b/>
      <sz val="12"/>
      <color rgb="FF474B55"/>
      <name val="Platts Oscine"/>
      <family val="2"/>
    </font>
    <font>
      <sz val="9"/>
      <color indexed="81"/>
      <name val="Tahoma"/>
      <family val="2"/>
    </font>
    <font>
      <b/>
      <sz val="9"/>
      <color indexed="81"/>
      <name val="Tahoma"/>
      <family val="2"/>
    </font>
    <font>
      <i/>
      <sz val="10"/>
      <color theme="0" tint="-0.249977111117893"/>
      <name val="Arial"/>
      <family val="2"/>
      <scheme val="minor"/>
    </font>
    <font>
      <i/>
      <sz val="10"/>
      <color theme="0" tint="-0.249977111117893"/>
      <name val="Arial"/>
      <family val="2"/>
    </font>
    <font>
      <sz val="10"/>
      <color rgb="FFC00000"/>
      <name val="Arial"/>
      <family val="2"/>
    </font>
    <font>
      <sz val="10"/>
      <color theme="8"/>
      <name val="Arial"/>
      <family val="2"/>
    </font>
    <font>
      <b/>
      <sz val="10"/>
      <color rgb="FF002B5F"/>
      <name val="Arial"/>
      <family val="2"/>
    </font>
  </fonts>
  <fills count="12">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0" tint="-0.14999847407452621"/>
        <bgColor indexed="64"/>
      </patternFill>
    </fill>
    <fill>
      <patternFill patternType="lightGray"/>
    </fill>
    <fill>
      <patternFill patternType="solid">
        <fgColor theme="2" tint="-9.9978637043366805E-2"/>
        <bgColor indexed="64"/>
      </patternFill>
    </fill>
    <fill>
      <patternFill patternType="solid">
        <fgColor theme="0"/>
        <bgColor indexed="64"/>
      </patternFill>
    </fill>
    <fill>
      <patternFill patternType="solid">
        <fgColor theme="2"/>
        <bgColor indexed="64"/>
      </patternFill>
    </fill>
    <fill>
      <patternFill patternType="solid">
        <fgColor theme="5" tint="0.79998168889431442"/>
        <bgColor indexed="64"/>
      </patternFill>
    </fill>
    <fill>
      <patternFill patternType="lightGray">
        <bgColor theme="5" tint="0.79998168889431442"/>
      </patternFill>
    </fill>
    <fill>
      <patternFill patternType="lightGray">
        <bgColor theme="5" tint="0.79995117038483843"/>
      </patternFill>
    </fill>
  </fills>
  <borders count="18">
    <border>
      <left/>
      <right/>
      <top/>
      <bottom/>
      <diagonal/>
    </border>
    <border>
      <left/>
      <right/>
      <top/>
      <bottom style="thin">
        <color indexed="64"/>
      </bottom>
      <diagonal/>
    </border>
    <border>
      <left/>
      <right style="dotted">
        <color auto="1"/>
      </right>
      <top/>
      <bottom/>
      <diagonal/>
    </border>
    <border>
      <left/>
      <right style="dotted">
        <color auto="1"/>
      </right>
      <top/>
      <bottom style="thin">
        <color indexed="64"/>
      </bottom>
      <diagonal/>
    </border>
    <border>
      <left style="dotted">
        <color auto="1"/>
      </left>
      <right style="dotted">
        <color auto="1"/>
      </right>
      <top/>
      <bottom/>
      <diagonal/>
    </border>
    <border>
      <left style="dotted">
        <color auto="1"/>
      </left>
      <right/>
      <top/>
      <bottom/>
      <diagonal/>
    </border>
    <border>
      <left style="dotted">
        <color auto="1"/>
      </left>
      <right/>
      <top/>
      <bottom style="thin">
        <color indexed="64"/>
      </bottom>
      <diagonal/>
    </border>
    <border>
      <left style="dotted">
        <color indexed="64"/>
      </left>
      <right style="dotted">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0">
    <xf numFmtId="0" fontId="0" fillId="0" borderId="0"/>
    <xf numFmtId="0" fontId="2" fillId="0" borderId="0"/>
    <xf numFmtId="0" fontId="3" fillId="0" borderId="0"/>
    <xf numFmtId="0" fontId="4" fillId="0" borderId="0" applyNumberFormat="0" applyFill="0" applyBorder="0" applyAlignment="0" applyProtection="0">
      <alignment vertical="top"/>
      <protection locked="0"/>
    </xf>
    <xf numFmtId="0" fontId="1" fillId="0" borderId="0"/>
    <xf numFmtId="9" fontId="1" fillId="0" borderId="0" applyFont="0" applyFill="0" applyBorder="0" applyAlignment="0" applyProtection="0"/>
    <xf numFmtId="0" fontId="2" fillId="0" borderId="0"/>
    <xf numFmtId="164" fontId="2" fillId="0" borderId="0" applyFont="0" applyFill="0" applyBorder="0" applyAlignment="0" applyProtection="0"/>
    <xf numFmtId="9" fontId="2" fillId="0" borderId="0" applyFont="0" applyFill="0" applyBorder="0" applyAlignment="0" applyProtection="0"/>
    <xf numFmtId="0" fontId="10" fillId="0" borderId="0" applyNumberFormat="0" applyFill="0" applyBorder="0" applyAlignment="0" applyProtection="0"/>
  </cellStyleXfs>
  <cellXfs count="114">
    <xf numFmtId="0" fontId="0" fillId="0" borderId="0" xfId="0"/>
    <xf numFmtId="0" fontId="5" fillId="0" borderId="0" xfId="0" applyFont="1"/>
    <xf numFmtId="0" fontId="2" fillId="0" borderId="0" xfId="0" applyFont="1"/>
    <xf numFmtId="0" fontId="5" fillId="0" borderId="1" xfId="0" applyFont="1" applyBorder="1" applyAlignment="1">
      <alignment horizontal="center" vertical="center"/>
    </xf>
    <xf numFmtId="0" fontId="5" fillId="0" borderId="3" xfId="0" applyFont="1" applyBorder="1" applyAlignment="1">
      <alignment horizontal="center" vertical="center"/>
    </xf>
    <xf numFmtId="0" fontId="6" fillId="0" borderId="0" xfId="0" applyFont="1"/>
    <xf numFmtId="0" fontId="2" fillId="0" borderId="1" xfId="0" applyFont="1" applyBorder="1"/>
    <xf numFmtId="0" fontId="2" fillId="0" borderId="2" xfId="0" applyFont="1" applyBorder="1"/>
    <xf numFmtId="1" fontId="5" fillId="0" borderId="0" xfId="0" applyNumberFormat="1" applyFont="1" applyBorder="1" applyAlignment="1">
      <alignment horizontal="center"/>
    </xf>
    <xf numFmtId="1" fontId="5" fillId="0" borderId="2"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0" applyFont="1" applyBorder="1"/>
    <xf numFmtId="0" fontId="6" fillId="0" borderId="2" xfId="0" applyFont="1" applyBorder="1"/>
    <xf numFmtId="0" fontId="5" fillId="0" borderId="6" xfId="0" applyFont="1" applyBorder="1" applyAlignment="1">
      <alignment horizontal="center" vertical="center"/>
    </xf>
    <xf numFmtId="1" fontId="5" fillId="0" borderId="5" xfId="0" applyNumberFormat="1" applyFont="1" applyBorder="1" applyAlignment="1">
      <alignment horizontal="center"/>
    </xf>
    <xf numFmtId="1" fontId="2" fillId="0" borderId="5" xfId="0" applyNumberFormat="1" applyFont="1" applyBorder="1" applyAlignment="1">
      <alignment horizontal="center"/>
    </xf>
    <xf numFmtId="0" fontId="5" fillId="6" borderId="0" xfId="0" applyFont="1" applyFill="1"/>
    <xf numFmtId="0" fontId="2" fillId="6" borderId="2" xfId="0" applyFont="1" applyFill="1" applyBorder="1"/>
    <xf numFmtId="0" fontId="2" fillId="6" borderId="0" xfId="0" applyFont="1" applyFill="1" applyBorder="1"/>
    <xf numFmtId="0" fontId="2" fillId="6" borderId="5" xfId="0" applyFont="1" applyFill="1" applyBorder="1"/>
    <xf numFmtId="0" fontId="5" fillId="0" borderId="2" xfId="0" applyFont="1" applyBorder="1"/>
    <xf numFmtId="0" fontId="7" fillId="0" borderId="0" xfId="0" applyFont="1"/>
    <xf numFmtId="1" fontId="2" fillId="0" borderId="0" xfId="0" applyNumberFormat="1" applyFont="1" applyFill="1" applyBorder="1" applyAlignment="1">
      <alignment horizontal="center"/>
    </xf>
    <xf numFmtId="1" fontId="8" fillId="0" borderId="0" xfId="0" applyNumberFormat="1" applyFont="1" applyAlignment="1">
      <alignment horizontal="center"/>
    </xf>
    <xf numFmtId="0" fontId="5" fillId="3" borderId="4" xfId="0" applyFont="1" applyFill="1" applyBorder="1" applyAlignment="1">
      <alignment horizontal="center"/>
    </xf>
    <xf numFmtId="0" fontId="5" fillId="0" borderId="7" xfId="0" applyFont="1" applyBorder="1" applyAlignment="1">
      <alignment horizontal="center"/>
    </xf>
    <xf numFmtId="0" fontId="2" fillId="4" borderId="4" xfId="0" applyFont="1" applyFill="1" applyBorder="1"/>
    <xf numFmtId="3" fontId="5" fillId="0" borderId="4" xfId="0" applyNumberFormat="1" applyFont="1" applyBorder="1" applyAlignment="1">
      <alignment horizontal="center"/>
    </xf>
    <xf numFmtId="3" fontId="2" fillId="0" borderId="4" xfId="0" applyNumberFormat="1" applyFont="1" applyBorder="1" applyAlignment="1">
      <alignment horizontal="center"/>
    </xf>
    <xf numFmtId="0" fontId="11" fillId="0" borderId="0" xfId="1" applyFont="1" applyAlignment="1">
      <alignment wrapText="1"/>
    </xf>
    <xf numFmtId="0" fontId="13" fillId="7" borderId="0" xfId="2" applyFont="1" applyFill="1" applyAlignment="1">
      <alignment vertical="top"/>
    </xf>
    <xf numFmtId="0" fontId="13" fillId="8" borderId="0" xfId="2" applyFont="1" applyFill="1" applyAlignment="1">
      <alignment vertical="top"/>
    </xf>
    <xf numFmtId="0" fontId="14" fillId="7" borderId="0" xfId="2" applyFont="1" applyFill="1" applyAlignment="1">
      <alignment vertical="top"/>
    </xf>
    <xf numFmtId="0" fontId="16" fillId="7" borderId="0" xfId="3" applyFont="1" applyFill="1" applyBorder="1" applyAlignment="1" applyProtection="1">
      <alignment vertical="top"/>
    </xf>
    <xf numFmtId="165" fontId="17" fillId="8" borderId="0" xfId="2" applyNumberFormat="1" applyFont="1" applyFill="1" applyAlignment="1">
      <alignment vertical="top"/>
    </xf>
    <xf numFmtId="0" fontId="13" fillId="7" borderId="0" xfId="4" applyFont="1" applyFill="1" applyAlignment="1">
      <alignment horizontal="left" vertical="top" wrapText="1" readingOrder="1"/>
    </xf>
    <xf numFmtId="0" fontId="13" fillId="7" borderId="0" xfId="2" applyFont="1" applyFill="1" applyAlignment="1">
      <alignment vertical="top" wrapText="1"/>
    </xf>
    <xf numFmtId="0" fontId="10" fillId="7" borderId="0" xfId="9" applyFill="1" applyBorder="1" applyAlignment="1">
      <alignment vertical="top" wrapText="1"/>
    </xf>
    <xf numFmtId="0" fontId="18" fillId="0" borderId="0" xfId="4" applyFont="1"/>
    <xf numFmtId="0" fontId="9" fillId="0" borderId="12" xfId="0" applyFont="1" applyBorder="1" applyAlignment="1">
      <alignment horizontal="left" vertical="center"/>
    </xf>
    <xf numFmtId="0" fontId="5" fillId="0" borderId="14" xfId="0" applyFont="1" applyBorder="1" applyAlignment="1">
      <alignment horizontal="left" vertical="center"/>
    </xf>
    <xf numFmtId="0" fontId="5" fillId="0" borderId="14" xfId="0" applyFont="1" applyBorder="1" applyAlignment="1">
      <alignment horizontal="left" vertical="center"/>
    </xf>
    <xf numFmtId="1" fontId="5" fillId="0" borderId="0" xfId="0" applyNumberFormat="1" applyFont="1" applyFill="1" applyBorder="1" applyAlignment="1">
      <alignment horizontal="center"/>
    </xf>
    <xf numFmtId="1" fontId="5" fillId="0" borderId="2" xfId="0" applyNumberFormat="1" applyFont="1" applyFill="1" applyBorder="1" applyAlignment="1">
      <alignment horizontal="center"/>
    </xf>
    <xf numFmtId="1" fontId="5" fillId="0" borderId="5" xfId="0" applyNumberFormat="1" applyFont="1" applyFill="1" applyBorder="1" applyAlignment="1">
      <alignment horizontal="center"/>
    </xf>
    <xf numFmtId="1" fontId="2" fillId="0" borderId="2" xfId="0" applyNumberFormat="1" applyFont="1" applyFill="1" applyBorder="1" applyAlignment="1">
      <alignment horizontal="center"/>
    </xf>
    <xf numFmtId="1" fontId="2" fillId="0" borderId="5" xfId="0" applyNumberFormat="1" applyFont="1" applyFill="1" applyBorder="1" applyAlignment="1">
      <alignment horizontal="center"/>
    </xf>
    <xf numFmtId="0" fontId="2" fillId="5" borderId="0" xfId="0" applyFont="1" applyFill="1" applyBorder="1" applyAlignment="1">
      <alignment horizontal="center"/>
    </xf>
    <xf numFmtId="0" fontId="2" fillId="5" borderId="2" xfId="0" applyFont="1" applyFill="1" applyBorder="1" applyAlignment="1">
      <alignment horizontal="center"/>
    </xf>
    <xf numFmtId="0" fontId="2" fillId="5" borderId="5" xfId="0" applyFont="1" applyFill="1" applyBorder="1" applyAlignment="1">
      <alignment horizontal="center"/>
    </xf>
    <xf numFmtId="1" fontId="2" fillId="5" borderId="0" xfId="0" applyNumberFormat="1" applyFont="1" applyFill="1" applyBorder="1" applyAlignment="1">
      <alignment horizontal="center"/>
    </xf>
    <xf numFmtId="1" fontId="2" fillId="5" borderId="2" xfId="0" applyNumberFormat="1" applyFont="1" applyFill="1" applyBorder="1" applyAlignment="1">
      <alignment horizontal="center"/>
    </xf>
    <xf numFmtId="1" fontId="2" fillId="5" borderId="5" xfId="0" applyNumberFormat="1" applyFont="1" applyFill="1" applyBorder="1" applyAlignment="1">
      <alignment horizontal="center"/>
    </xf>
    <xf numFmtId="1" fontId="0" fillId="0" borderId="0" xfId="0" applyNumberFormat="1"/>
    <xf numFmtId="0" fontId="9" fillId="0" borderId="0" xfId="0" applyFont="1"/>
    <xf numFmtId="0" fontId="21" fillId="0" borderId="0" xfId="0" applyFont="1"/>
    <xf numFmtId="9" fontId="22" fillId="0" borderId="0" xfId="0" applyNumberFormat="1" applyFont="1" applyAlignment="1">
      <alignment horizontal="center"/>
    </xf>
    <xf numFmtId="0" fontId="22" fillId="0" borderId="0" xfId="0" applyFont="1" applyAlignment="1">
      <alignment horizontal="center"/>
    </xf>
    <xf numFmtId="166" fontId="2" fillId="0" borderId="0" xfId="0" applyNumberFormat="1" applyFont="1" applyFill="1" applyBorder="1" applyAlignment="1">
      <alignment horizontal="center"/>
    </xf>
    <xf numFmtId="166" fontId="2" fillId="0" borderId="2" xfId="0" applyNumberFormat="1" applyFont="1" applyFill="1" applyBorder="1" applyAlignment="1">
      <alignment horizontal="center"/>
    </xf>
    <xf numFmtId="166" fontId="2" fillId="0" borderId="5" xfId="0" applyNumberFormat="1" applyFont="1" applyFill="1" applyBorder="1" applyAlignment="1">
      <alignment horizontal="center"/>
    </xf>
    <xf numFmtId="166" fontId="3" fillId="0" borderId="0" xfId="5" applyNumberFormat="1" applyFont="1" applyFill="1" applyBorder="1" applyAlignment="1">
      <alignment horizontal="center" vertical="center"/>
    </xf>
    <xf numFmtId="1" fontId="3" fillId="0" borderId="0" xfId="5" applyNumberFormat="1" applyFont="1" applyFill="1" applyBorder="1" applyAlignment="1">
      <alignment horizontal="center" vertical="center"/>
    </xf>
    <xf numFmtId="1" fontId="3" fillId="0" borderId="2" xfId="5" applyNumberFormat="1" applyFont="1" applyFill="1" applyBorder="1" applyAlignment="1">
      <alignment horizontal="center" vertical="center"/>
    </xf>
    <xf numFmtId="1" fontId="3" fillId="0" borderId="5" xfId="5" applyNumberFormat="1" applyFont="1" applyFill="1" applyBorder="1" applyAlignment="1">
      <alignment horizontal="center" vertical="center"/>
    </xf>
    <xf numFmtId="1" fontId="5" fillId="9" borderId="0" xfId="0" applyNumberFormat="1" applyFont="1" applyFill="1" applyBorder="1" applyAlignment="1">
      <alignment horizontal="center"/>
    </xf>
    <xf numFmtId="1" fontId="5" fillId="9" borderId="2" xfId="0" applyNumberFormat="1" applyFont="1" applyFill="1" applyBorder="1" applyAlignment="1">
      <alignment horizontal="center"/>
    </xf>
    <xf numFmtId="1" fontId="2" fillId="9" borderId="0" xfId="0" applyNumberFormat="1" applyFont="1" applyFill="1" applyBorder="1" applyAlignment="1">
      <alignment horizontal="center"/>
    </xf>
    <xf numFmtId="1" fontId="2" fillId="9" borderId="2" xfId="0" applyNumberFormat="1" applyFont="1" applyFill="1" applyBorder="1" applyAlignment="1">
      <alignment horizontal="center"/>
    </xf>
    <xf numFmtId="1" fontId="3" fillId="9" borderId="0" xfId="5" applyNumberFormat="1" applyFont="1" applyFill="1" applyBorder="1" applyAlignment="1">
      <alignment horizontal="center" vertical="center"/>
    </xf>
    <xf numFmtId="1" fontId="3" fillId="9" borderId="2" xfId="5" applyNumberFormat="1" applyFont="1" applyFill="1" applyBorder="1" applyAlignment="1">
      <alignment horizontal="center" vertical="center"/>
    </xf>
    <xf numFmtId="0" fontId="2" fillId="10" borderId="0" xfId="0" applyFont="1" applyFill="1" applyBorder="1" applyAlignment="1">
      <alignment horizontal="center"/>
    </xf>
    <xf numFmtId="0" fontId="2" fillId="0" borderId="2" xfId="0" applyFont="1" applyFill="1" applyBorder="1"/>
    <xf numFmtId="1" fontId="2" fillId="11" borderId="2" xfId="0" applyNumberFormat="1" applyFont="1" applyFill="1" applyBorder="1" applyAlignment="1">
      <alignment horizontal="center"/>
    </xf>
    <xf numFmtId="1" fontId="6" fillId="0" borderId="0" xfId="0" applyNumberFormat="1" applyFont="1" applyFill="1" applyBorder="1" applyAlignment="1">
      <alignment horizontal="center"/>
    </xf>
    <xf numFmtId="1" fontId="6" fillId="0" borderId="2" xfId="0" applyNumberFormat="1" applyFont="1" applyFill="1" applyBorder="1" applyAlignment="1">
      <alignment horizontal="center"/>
    </xf>
    <xf numFmtId="1" fontId="6" fillId="0" borderId="5" xfId="0" applyNumberFormat="1" applyFont="1" applyFill="1" applyBorder="1" applyAlignment="1">
      <alignment horizontal="center"/>
    </xf>
    <xf numFmtId="1" fontId="2" fillId="6" borderId="0" xfId="0" applyNumberFormat="1" applyFont="1" applyFill="1" applyBorder="1" applyAlignment="1">
      <alignment horizontal="center"/>
    </xf>
    <xf numFmtId="1" fontId="2" fillId="6" borderId="2" xfId="0" applyNumberFormat="1" applyFont="1" applyFill="1" applyBorder="1" applyAlignment="1">
      <alignment horizontal="center"/>
    </xf>
    <xf numFmtId="1" fontId="2" fillId="6" borderId="5" xfId="0" applyNumberFormat="1" applyFont="1" applyFill="1" applyBorder="1" applyAlignment="1">
      <alignment horizontal="center"/>
    </xf>
    <xf numFmtId="1" fontId="2" fillId="0" borderId="0" xfId="0" applyNumberFormat="1" applyFont="1"/>
    <xf numFmtId="1" fontId="23" fillId="9" borderId="0" xfId="0" applyNumberFormat="1" applyFont="1" applyFill="1" applyAlignment="1">
      <alignment horizontal="center"/>
    </xf>
    <xf numFmtId="1" fontId="23" fillId="9" borderId="2" xfId="0" applyNumberFormat="1" applyFont="1" applyFill="1" applyBorder="1" applyAlignment="1">
      <alignment horizontal="center"/>
    </xf>
    <xf numFmtId="1" fontId="24" fillId="0" borderId="0" xfId="0" applyNumberFormat="1" applyFont="1" applyFill="1" applyBorder="1" applyAlignment="1">
      <alignment horizontal="center"/>
    </xf>
    <xf numFmtId="1" fontId="24" fillId="0" borderId="2" xfId="0" applyNumberFormat="1" applyFont="1" applyFill="1" applyBorder="1" applyAlignment="1">
      <alignment horizontal="center"/>
    </xf>
    <xf numFmtId="1" fontId="24" fillId="0" borderId="0" xfId="0" applyNumberFormat="1" applyFont="1" applyFill="1" applyAlignment="1">
      <alignment horizontal="center"/>
    </xf>
    <xf numFmtId="0" fontId="24" fillId="0" borderId="0" xfId="0" applyFont="1" applyFill="1" applyBorder="1" applyAlignment="1">
      <alignment horizontal="center"/>
    </xf>
    <xf numFmtId="1" fontId="24" fillId="0" borderId="5" xfId="0" applyNumberFormat="1" applyFont="1" applyFill="1" applyBorder="1" applyAlignment="1">
      <alignment horizontal="center"/>
    </xf>
    <xf numFmtId="0" fontId="22" fillId="0" borderId="0" xfId="0" applyFont="1" applyFill="1" applyBorder="1"/>
    <xf numFmtId="0" fontId="22" fillId="0" borderId="0" xfId="0" applyFont="1"/>
    <xf numFmtId="1" fontId="22" fillId="0" borderId="0" xfId="0" applyNumberFormat="1" applyFont="1" applyAlignment="1">
      <alignment horizontal="center"/>
    </xf>
    <xf numFmtId="3" fontId="2" fillId="5" borderId="4" xfId="0" applyNumberFormat="1" applyFont="1" applyFill="1" applyBorder="1" applyAlignment="1">
      <alignment horizontal="center"/>
    </xf>
    <xf numFmtId="17" fontId="15" fillId="7" borderId="0" xfId="2" applyNumberFormat="1" applyFont="1" applyFill="1" applyAlignment="1">
      <alignment horizontal="left" vertical="top"/>
    </xf>
    <xf numFmtId="17" fontId="25" fillId="7" borderId="0" xfId="2" applyNumberFormat="1" applyFont="1" applyFill="1" applyAlignment="1">
      <alignment horizontal="right" vertical="top"/>
    </xf>
    <xf numFmtId="0" fontId="0" fillId="0" borderId="1" xfId="0" applyBorder="1" applyAlignment="1">
      <alignment horizontal="center"/>
    </xf>
    <xf numFmtId="0" fontId="0" fillId="0" borderId="13" xfId="0" applyFill="1" applyBorder="1" applyAlignment="1">
      <alignment horizontal="center" vertical="center"/>
    </xf>
    <xf numFmtId="0" fontId="0" fillId="0" borderId="9" xfId="0" applyFill="1" applyBorder="1" applyAlignment="1">
      <alignment horizontal="center" vertical="center"/>
    </xf>
    <xf numFmtId="0" fontId="0" fillId="0" borderId="0" xfId="0" applyFill="1" applyBorder="1" applyAlignment="1">
      <alignment horizontal="center" vertical="center" wrapText="1"/>
    </xf>
    <xf numFmtId="0" fontId="0" fillId="0" borderId="15" xfId="0" applyFill="1" applyBorder="1" applyAlignment="1">
      <alignment horizontal="center" vertical="center" wrapText="1"/>
    </xf>
    <xf numFmtId="0" fontId="5" fillId="0" borderId="8"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0" fillId="0" borderId="15" xfId="0" applyBorder="1" applyAlignment="1">
      <alignment horizontal="center"/>
    </xf>
    <xf numFmtId="0" fontId="5" fillId="0" borderId="14" xfId="0" applyFont="1" applyBorder="1" applyAlignment="1">
      <alignment horizontal="left" vertical="center"/>
    </xf>
    <xf numFmtId="0" fontId="5" fillId="0" borderId="16" xfId="0" applyFont="1" applyBorder="1" applyAlignment="1">
      <alignment horizontal="left" vertical="center"/>
    </xf>
    <xf numFmtId="0" fontId="0" fillId="0" borderId="1" xfId="0" applyFill="1" applyBorder="1" applyAlignment="1">
      <alignment horizontal="center" vertical="center" wrapText="1"/>
    </xf>
    <xf numFmtId="0" fontId="0" fillId="0" borderId="17" xfId="0" applyFill="1" applyBorder="1" applyAlignment="1">
      <alignment horizontal="center" vertical="center" wrapText="1"/>
    </xf>
    <xf numFmtId="0" fontId="5" fillId="2" borderId="0" xfId="0" applyFont="1" applyFill="1" applyBorder="1" applyAlignment="1">
      <alignment horizontal="center"/>
    </xf>
    <xf numFmtId="0" fontId="5" fillId="2" borderId="2" xfId="0" applyFont="1" applyFill="1" applyBorder="1" applyAlignment="1">
      <alignment horizontal="center"/>
    </xf>
    <xf numFmtId="0" fontId="5" fillId="3" borderId="5" xfId="0" applyFont="1" applyFill="1" applyBorder="1" applyAlignment="1">
      <alignment horizontal="center"/>
    </xf>
    <xf numFmtId="0" fontId="5" fillId="3" borderId="0" xfId="0" applyFont="1" applyFill="1" applyBorder="1" applyAlignment="1">
      <alignment horizontal="center"/>
    </xf>
    <xf numFmtId="0" fontId="5" fillId="3" borderId="2" xfId="0" applyFont="1" applyFill="1" applyBorder="1" applyAlignment="1">
      <alignment horizontal="center"/>
    </xf>
    <xf numFmtId="0" fontId="9" fillId="9" borderId="0" xfId="0" applyFont="1" applyFill="1" applyAlignment="1">
      <alignment horizontal="center"/>
    </xf>
  </cellXfs>
  <cellStyles count="10">
    <cellStyle name="Comma 2 2" xfId="7" xr:uid="{8921CB2A-53AE-41CB-B098-748764628061}"/>
    <cellStyle name="Hyperlink" xfId="9" builtinId="8"/>
    <cellStyle name="Hyperlink 2 2" xfId="3" xr:uid="{2BF62E76-7C2F-4C0B-A402-6D829A26D562}"/>
    <cellStyle name="Normal" xfId="0" builtinId="0"/>
    <cellStyle name="Normal 2" xfId="1" xr:uid="{C6023529-7730-466C-9ABB-83C275399D39}"/>
    <cellStyle name="Normal 2 2 2" xfId="4" xr:uid="{8D628F84-5365-4ABB-A9FA-C60946CA87B8}"/>
    <cellStyle name="Normal 2 4" xfId="6" xr:uid="{C518D679-0315-4BF9-97B8-695F195A9C20}"/>
    <cellStyle name="Normal 4 7" xfId="2" xr:uid="{4AA873FD-C4AE-4BE8-A99D-C0C5C17E5170}"/>
    <cellStyle name="Percent" xfId="5" builtinId="5"/>
    <cellStyle name="Percent 2 2" xfId="8" xr:uid="{5F98EED3-9D9A-4F41-960D-484CC6CC5B94}"/>
  </cellStyles>
  <dxfs count="0"/>
  <tableStyles count="0" defaultTableStyle="TableStyleMedium2" defaultPivotStyle="PivotStyleLight16"/>
  <colors>
    <mruColors>
      <color rgb="FF007EAE"/>
      <color rgb="FFFF7C80"/>
      <color rgb="FFFFCCCC"/>
      <color rgb="FF6A035C"/>
      <color rgb="FFA1C3DA"/>
      <color rgb="FFC4006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3.3706506669954832E-2"/>
          <c:y val="8.3781361152621581E-2"/>
          <c:w val="0.96502999679938772"/>
          <c:h val="0.84623656050705998"/>
        </c:manualLayout>
      </c:layout>
      <c:barChart>
        <c:barDir val="col"/>
        <c:grouping val="clustered"/>
        <c:varyColors val="0"/>
        <c:ser>
          <c:idx val="0"/>
          <c:order val="0"/>
          <c:tx>
            <c:strRef>
              <c:f>Charts!$B$4</c:f>
              <c:strCache>
                <c:ptCount val="1"/>
                <c:pt idx="0">
                  <c:v>Total emissions - Jan 25</c:v>
                </c:pt>
              </c:strCache>
            </c:strRef>
          </c:tx>
          <c:spPr>
            <a:solidFill>
              <a:schemeClr val="accent1"/>
            </a:solidFill>
            <a:ln>
              <a:noFill/>
            </a:ln>
            <a:effectLst/>
          </c:spPr>
          <c:invertIfNegative val="0"/>
          <c:cat>
            <c:numRef>
              <c:f>Charts!$D$3:$U$3</c:f>
              <c:numCache>
                <c:formatCode>General</c:formatCode>
                <c:ptCount val="18"/>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numCache>
            </c:numRef>
          </c:cat>
          <c:val>
            <c:numRef>
              <c:f>Charts!$D$4:$U$4</c:f>
              <c:numCache>
                <c:formatCode>0</c:formatCode>
                <c:ptCount val="18"/>
                <c:pt idx="0">
                  <c:v>1813.6418469999999</c:v>
                </c:pt>
                <c:pt idx="1">
                  <c:v>1802.9396109999998</c:v>
                </c:pt>
                <c:pt idx="2">
                  <c:v>1750.585368</c:v>
                </c:pt>
                <c:pt idx="3">
                  <c:v>1803.0068390000008</c:v>
                </c:pt>
                <c:pt idx="4">
                  <c:v>1689.3943849999994</c:v>
                </c:pt>
                <c:pt idx="5">
                  <c:v>1562.3656679999997</c:v>
                </c:pt>
                <c:pt idx="6">
                  <c:v>1352.4926160000007</c:v>
                </c:pt>
                <c:pt idx="7">
                  <c:v>1290.4189870000007</c:v>
                </c:pt>
                <c:pt idx="8">
                  <c:v>1346.4202929999983</c:v>
                </c:pt>
                <c:pt idx="9">
                  <c:v>1086.9642500000004</c:v>
                </c:pt>
                <c:pt idx="10">
                  <c:v>1143.9134143309343</c:v>
                </c:pt>
                <c:pt idx="11">
                  <c:v>1138.9409331693482</c:v>
                </c:pt>
                <c:pt idx="12">
                  <c:v>1098.8398566828184</c:v>
                </c:pt>
                <c:pt idx="13">
                  <c:v>995.63770383131725</c:v>
                </c:pt>
                <c:pt idx="14">
                  <c:v>945.27018261133685</c:v>
                </c:pt>
                <c:pt idx="15">
                  <c:v>903.3054131092938</c:v>
                </c:pt>
                <c:pt idx="16">
                  <c:v>830.4538524583254</c:v>
                </c:pt>
              </c:numCache>
            </c:numRef>
          </c:val>
          <c:extLst>
            <c:ext xmlns:c16="http://schemas.microsoft.com/office/drawing/2014/chart" uri="{C3380CC4-5D6E-409C-BE32-E72D297353CC}">
              <c16:uniqueId val="{00000000-8EA3-427F-8659-C2B828DC0254}"/>
            </c:ext>
          </c:extLst>
        </c:ser>
        <c:dLbls>
          <c:showLegendKey val="0"/>
          <c:showVal val="0"/>
          <c:showCatName val="0"/>
          <c:showSerName val="0"/>
          <c:showPercent val="0"/>
          <c:showBubbleSize val="0"/>
        </c:dLbls>
        <c:gapWidth val="50"/>
        <c:overlap val="-15"/>
        <c:axId val="1387841263"/>
        <c:axId val="1387852079"/>
      </c:barChart>
      <c:lineChart>
        <c:grouping val="standard"/>
        <c:varyColors val="0"/>
        <c:ser>
          <c:idx val="1"/>
          <c:order val="1"/>
          <c:tx>
            <c:strRef>
              <c:f>Charts!$B$5</c:f>
              <c:strCache>
                <c:ptCount val="1"/>
                <c:pt idx="0">
                  <c:v>EU Cap - Jan 25</c:v>
                </c:pt>
              </c:strCache>
            </c:strRef>
          </c:tx>
          <c:spPr>
            <a:ln w="19050" cap="rnd">
              <a:solidFill>
                <a:schemeClr val="accent5"/>
              </a:solidFill>
              <a:prstDash val="sysDash"/>
              <a:round/>
            </a:ln>
            <a:effectLst/>
          </c:spPr>
          <c:marker>
            <c:symbol val="none"/>
          </c:marker>
          <c:cat>
            <c:numRef>
              <c:f>Charts!$D$3:$U$3</c:f>
              <c:numCache>
                <c:formatCode>General</c:formatCode>
                <c:ptCount val="18"/>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numCache>
            </c:numRef>
          </c:cat>
          <c:val>
            <c:numRef>
              <c:f>Charts!$D$5:$U$5</c:f>
              <c:numCache>
                <c:formatCode>0</c:formatCode>
                <c:ptCount val="18"/>
                <c:pt idx="0">
                  <c:v>2087.3851140000002</c:v>
                </c:pt>
                <c:pt idx="1">
                  <c:v>2055.877422</c:v>
                </c:pt>
                <c:pt idx="2">
                  <c:v>2007.093903</c:v>
                </c:pt>
                <c:pt idx="3">
                  <c:v>1968.634037</c:v>
                </c:pt>
                <c:pt idx="4">
                  <c:v>1929.1762859999999</c:v>
                </c:pt>
                <c:pt idx="5">
                  <c:v>1890.3604189999999</c:v>
                </c:pt>
                <c:pt idx="6">
                  <c:v>1854.4504440000001</c:v>
                </c:pt>
                <c:pt idx="7">
                  <c:v>1601.2848009302324</c:v>
                </c:pt>
                <c:pt idx="8">
                  <c:v>1557.5685309534881</c:v>
                </c:pt>
                <c:pt idx="9">
                  <c:v>1513.852260976744</c:v>
                </c:pt>
                <c:pt idx="10">
                  <c:v>1413.615274</c:v>
                </c:pt>
                <c:pt idx="11">
                  <c:v>1324.2979310000001</c:v>
                </c:pt>
                <c:pt idx="12">
                  <c:v>1207.9805880000001</c:v>
                </c:pt>
                <c:pt idx="13">
                  <c:v>1118.6632450000002</c:v>
                </c:pt>
                <c:pt idx="14">
                  <c:v>1027.2687544883722</c:v>
                </c:pt>
                <c:pt idx="15">
                  <c:v>935.87426397674437</c:v>
                </c:pt>
                <c:pt idx="16">
                  <c:v>844.47977346511641</c:v>
                </c:pt>
              </c:numCache>
            </c:numRef>
          </c:val>
          <c:smooth val="0"/>
          <c:extLst>
            <c:ext xmlns:c16="http://schemas.microsoft.com/office/drawing/2014/chart" uri="{C3380CC4-5D6E-409C-BE32-E72D297353CC}">
              <c16:uniqueId val="{00000001-8EA3-427F-8659-C2B828DC0254}"/>
            </c:ext>
          </c:extLst>
        </c:ser>
        <c:ser>
          <c:idx val="2"/>
          <c:order val="2"/>
          <c:tx>
            <c:strRef>
              <c:f>Charts!$B$6</c:f>
              <c:strCache>
                <c:ptCount val="1"/>
                <c:pt idx="0">
                  <c:v>TNAC - Jan 25</c:v>
                </c:pt>
              </c:strCache>
            </c:strRef>
          </c:tx>
          <c:spPr>
            <a:ln w="19050" cap="rnd">
              <a:solidFill>
                <a:schemeClr val="accent4"/>
              </a:solidFill>
              <a:round/>
            </a:ln>
            <a:effectLst/>
          </c:spPr>
          <c:marker>
            <c:symbol val="none"/>
          </c:marker>
          <c:cat>
            <c:numRef>
              <c:f>Charts!$D$3:$U$3</c:f>
              <c:numCache>
                <c:formatCode>General</c:formatCode>
                <c:ptCount val="18"/>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numCache>
            </c:numRef>
          </c:cat>
          <c:val>
            <c:numRef>
              <c:f>Charts!$D$6:$U$6</c:f>
              <c:numCache>
                <c:formatCode>0</c:formatCode>
                <c:ptCount val="18"/>
                <c:pt idx="0">
                  <c:v>2060.7854856170252</c:v>
                </c:pt>
                <c:pt idx="1">
                  <c:v>1852.1676647704321</c:v>
                </c:pt>
                <c:pt idx="2">
                  <c:v>1693.941501</c:v>
                </c:pt>
                <c:pt idx="3">
                  <c:v>1654.6112019999996</c:v>
                </c:pt>
                <c:pt idx="4">
                  <c:v>1654.9464279999993</c:v>
                </c:pt>
                <c:pt idx="5">
                  <c:v>1385.5327700000003</c:v>
                </c:pt>
                <c:pt idx="6">
                  <c:v>1578.809030000004</c:v>
                </c:pt>
                <c:pt idx="7">
                  <c:v>1449.2507859999987</c:v>
                </c:pt>
                <c:pt idx="8">
                  <c:v>1134.8313420000004</c:v>
                </c:pt>
                <c:pt idx="9">
                  <c:v>1111.7731390000004</c:v>
                </c:pt>
                <c:pt idx="10">
                  <c:v>1145.6429177890655</c:v>
                </c:pt>
                <c:pt idx="11">
                  <c:v>1091.4735649165914</c:v>
                </c:pt>
                <c:pt idx="12">
                  <c:v>957.17163238865851</c:v>
                </c:pt>
                <c:pt idx="13">
                  <c:v>850.02752348339357</c:v>
                </c:pt>
                <c:pt idx="14">
                  <c:v>697.35209536042908</c:v>
                </c:pt>
                <c:pt idx="15">
                  <c:v>499.92094622787965</c:v>
                </c:pt>
                <c:pt idx="16">
                  <c:v>487.94686723467078</c:v>
                </c:pt>
              </c:numCache>
            </c:numRef>
          </c:val>
          <c:smooth val="0"/>
          <c:extLst>
            <c:ext xmlns:c16="http://schemas.microsoft.com/office/drawing/2014/chart" uri="{C3380CC4-5D6E-409C-BE32-E72D297353CC}">
              <c16:uniqueId val="{00000002-8EA3-427F-8659-C2B828DC0254}"/>
            </c:ext>
          </c:extLst>
        </c:ser>
        <c:dLbls>
          <c:showLegendKey val="0"/>
          <c:showVal val="0"/>
          <c:showCatName val="0"/>
          <c:showSerName val="0"/>
          <c:showPercent val="0"/>
          <c:showBubbleSize val="0"/>
        </c:dLbls>
        <c:marker val="1"/>
        <c:smooth val="0"/>
        <c:axId val="1387841263"/>
        <c:axId val="1387852079"/>
      </c:lineChart>
      <c:catAx>
        <c:axId val="1387841263"/>
        <c:scaling>
          <c:orientation val="minMax"/>
        </c:scaling>
        <c:delete val="0"/>
        <c:axPos val="b"/>
        <c:numFmt formatCode="General" sourceLinked="1"/>
        <c:majorTickMark val="none"/>
        <c:minorTickMark val="none"/>
        <c:tickLblPos val="nextTo"/>
        <c:spPr>
          <a:noFill/>
          <a:ln w="9525" cap="flat" cmpd="sng" algn="ctr">
            <a:solidFill>
              <a:srgbClr val="A6A6A6"/>
            </a:solidFill>
            <a:prstDash val="solid"/>
            <a:round/>
          </a:ln>
          <a:effectLst/>
        </c:spPr>
        <c:txPr>
          <a:bodyPr rot="0" spcFirstLastPara="1" vertOverflow="ellipsis" wrap="square" anchor="ctr" anchorCtr="1"/>
          <a:lstStyle/>
          <a:p>
            <a:pPr>
              <a:defRPr sz="1000" b="0" i="0" u="none" strike="noStrike" kern="1200" baseline="0">
                <a:solidFill>
                  <a:srgbClr val="010000"/>
                </a:solidFill>
                <a:latin typeface="Arial"/>
                <a:ea typeface="Arial"/>
                <a:cs typeface="Arial"/>
              </a:defRPr>
            </a:pPr>
            <a:endParaRPr lang="en-US"/>
          </a:p>
        </c:txPr>
        <c:crossAx val="1387852079"/>
        <c:crosses val="autoZero"/>
        <c:auto val="1"/>
        <c:lblAlgn val="ctr"/>
        <c:lblOffset val="100"/>
        <c:noMultiLvlLbl val="0"/>
      </c:catAx>
      <c:valAx>
        <c:axId val="1387852079"/>
        <c:scaling>
          <c:orientation val="minMax"/>
        </c:scaling>
        <c:delete val="0"/>
        <c:axPos val="l"/>
        <c:majorGridlines>
          <c:spPr>
            <a:ln w="3175" cap="flat" cmpd="sng" algn="ctr">
              <a:solidFill>
                <a:srgbClr val="D9D9D9"/>
              </a:solidFill>
              <a:prstDash val="solid"/>
              <a:round/>
            </a:ln>
            <a:effectLst/>
          </c:spPr>
        </c:majorGridlines>
        <c:numFmt formatCode="0" sourceLinked="1"/>
        <c:majorTickMark val="none"/>
        <c:minorTickMark val="none"/>
        <c:tickLblPos val="nextTo"/>
        <c:spPr>
          <a:noFill/>
          <a:ln>
            <a:noFill/>
            <a:prstDash val="solid"/>
          </a:ln>
          <a:effectLst/>
          <a:extLst>
            <a:ext uri="{91240B29-F687-4F45-9708-019B960494DF}">
              <a14:hiddenLine xmlns:a14="http://schemas.microsoft.com/office/drawing/2010/main">
                <a:solidFill>
                  <a:srgbClr val="A6A6A6"/>
                </a:solidFill>
                <a:prstDash val="solid"/>
              </a14:hiddenLine>
            </a:ext>
          </a:extLst>
        </c:spPr>
        <c:txPr>
          <a:bodyPr rot="-60000000" spcFirstLastPara="1" vertOverflow="ellipsis" vert="horz" wrap="square" anchor="ctr" anchorCtr="1"/>
          <a:lstStyle/>
          <a:p>
            <a:pPr>
              <a:defRPr sz="1000" b="0" i="0" u="none" strike="noStrike" kern="1200" baseline="0">
                <a:solidFill>
                  <a:srgbClr val="010000"/>
                </a:solidFill>
                <a:latin typeface="Arial"/>
                <a:ea typeface="Arial"/>
                <a:cs typeface="Arial"/>
              </a:defRPr>
            </a:pPr>
            <a:endParaRPr lang="en-US"/>
          </a:p>
        </c:txPr>
        <c:crossAx val="1387841263"/>
        <c:crosses val="autoZero"/>
        <c:crossBetween val="between"/>
      </c:valAx>
      <c:spPr>
        <a:no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0"/>
          <c:y val="4.1218637138284671E-2"/>
          <c:w val="1"/>
          <c:h val="4.2562724014336917E-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010000"/>
              </a:solidFill>
              <a:latin typeface="Arial" panose="020B0604020202020204" pitchFamily="34" charset="0"/>
              <a:ea typeface="+mn-ea"/>
              <a:cs typeface="+mn-cs"/>
            </a:defRPr>
          </a:pPr>
          <a:endParaRPr lang="en-US"/>
        </a:p>
      </c:txPr>
    </c:legend>
    <c:plotVisOnly val="1"/>
    <c:dispBlanksAs val="gap"/>
    <c:showDLblsOverMax val="0"/>
  </c:chart>
  <c:spPr>
    <a:solidFill>
      <a:srgbClr val="FFFFFF"/>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2.6053773049253721E-2"/>
          <c:y val="8.7424012937703896E-2"/>
          <c:w val="0.95082234979790792"/>
          <c:h val="0.83955122310451968"/>
        </c:manualLayout>
      </c:layout>
      <c:barChart>
        <c:barDir val="col"/>
        <c:grouping val="clustered"/>
        <c:varyColors val="0"/>
        <c:ser>
          <c:idx val="0"/>
          <c:order val="0"/>
          <c:tx>
            <c:strRef>
              <c:f>Charts!$B$8</c:f>
              <c:strCache>
                <c:ptCount val="1"/>
                <c:pt idx="0">
                  <c:v>Annual surplus - Jan 25</c:v>
                </c:pt>
              </c:strCache>
            </c:strRef>
          </c:tx>
          <c:spPr>
            <a:solidFill>
              <a:schemeClr val="accent1"/>
            </a:solidFill>
            <a:ln>
              <a:noFill/>
            </a:ln>
            <a:effectLst/>
          </c:spPr>
          <c:invertIfNegative val="0"/>
          <c:cat>
            <c:numRef>
              <c:f>Charts!$C$3:$T$3</c:f>
              <c:numCache>
                <c:formatCode>General</c:formatCode>
                <c:ptCount val="18"/>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numCache>
            </c:numRef>
          </c:cat>
          <c:val>
            <c:numRef>
              <c:f>Charts!$C$8:$T$8</c:f>
              <c:numCache>
                <c:formatCode>0</c:formatCode>
                <c:ptCount val="18"/>
                <c:pt idx="0">
                  <c:v>374.87858400108348</c:v>
                </c:pt>
                <c:pt idx="1">
                  <c:v>-134.46829092275448</c:v>
                </c:pt>
                <c:pt idx="2">
                  <c:v>-208.61782084659308</c:v>
                </c:pt>
                <c:pt idx="3">
                  <c:v>-158.22616377043209</c:v>
                </c:pt>
                <c:pt idx="4">
                  <c:v>-39.330299000000423</c:v>
                </c:pt>
                <c:pt idx="5">
                  <c:v>0.33522599999969316</c:v>
                </c:pt>
                <c:pt idx="6">
                  <c:v>-269.41365799999903</c:v>
                </c:pt>
                <c:pt idx="7">
                  <c:v>193.27626000000373</c:v>
                </c:pt>
                <c:pt idx="8">
                  <c:v>-129.55824400000529</c:v>
                </c:pt>
                <c:pt idx="9">
                  <c:v>-314.41944399999829</c:v>
                </c:pt>
                <c:pt idx="10">
                  <c:v>-23.058203000000049</c:v>
                </c:pt>
                <c:pt idx="11">
                  <c:v>33.869778789065094</c:v>
                </c:pt>
                <c:pt idx="12">
                  <c:v>-54.169352872474064</c:v>
                </c:pt>
                <c:pt idx="13">
                  <c:v>-134.30193252793288</c:v>
                </c:pt>
                <c:pt idx="14">
                  <c:v>-107.14410890526494</c:v>
                </c:pt>
                <c:pt idx="15">
                  <c:v>-152.67542812296449</c:v>
                </c:pt>
                <c:pt idx="16">
                  <c:v>-197.43114913254942</c:v>
                </c:pt>
                <c:pt idx="17">
                  <c:v>-11.974078993208877</c:v>
                </c:pt>
              </c:numCache>
            </c:numRef>
          </c:val>
          <c:extLst>
            <c:ext xmlns:c16="http://schemas.microsoft.com/office/drawing/2014/chart" uri="{C3380CC4-5D6E-409C-BE32-E72D297353CC}">
              <c16:uniqueId val="{00000000-8EA3-427F-8659-C2B828DC0254}"/>
            </c:ext>
          </c:extLst>
        </c:ser>
        <c:dLbls>
          <c:showLegendKey val="0"/>
          <c:showVal val="0"/>
          <c:showCatName val="0"/>
          <c:showSerName val="0"/>
          <c:showPercent val="0"/>
          <c:showBubbleSize val="0"/>
        </c:dLbls>
        <c:gapWidth val="50"/>
        <c:overlap val="-15"/>
        <c:axId val="1393915375"/>
        <c:axId val="1393917871"/>
      </c:barChart>
      <c:lineChart>
        <c:grouping val="standard"/>
        <c:varyColors val="0"/>
        <c:ser>
          <c:idx val="1"/>
          <c:order val="1"/>
          <c:tx>
            <c:strRef>
              <c:f>Charts!$B$9</c:f>
              <c:strCache>
                <c:ptCount val="1"/>
                <c:pt idx="0">
                  <c:v>TNAC - Jan 25</c:v>
                </c:pt>
              </c:strCache>
            </c:strRef>
          </c:tx>
          <c:spPr>
            <a:ln w="28575" cap="rnd">
              <a:solidFill>
                <a:schemeClr val="tx1"/>
              </a:solidFill>
              <a:prstDash val="sysDash"/>
              <a:round/>
            </a:ln>
            <a:effectLst/>
          </c:spPr>
          <c:marker>
            <c:symbol val="none"/>
          </c:marker>
          <c:cat>
            <c:numRef>
              <c:f>Charts!$C$3:$T$3</c:f>
              <c:numCache>
                <c:formatCode>General</c:formatCode>
                <c:ptCount val="18"/>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numCache>
            </c:numRef>
          </c:cat>
          <c:val>
            <c:numRef>
              <c:f>Charts!$C$9:$T$9</c:f>
              <c:numCache>
                <c:formatCode>0</c:formatCode>
                <c:ptCount val="18"/>
                <c:pt idx="0">
                  <c:v>2195.2537765397797</c:v>
                </c:pt>
                <c:pt idx="1">
                  <c:v>2060.7854856170252</c:v>
                </c:pt>
                <c:pt idx="2">
                  <c:v>1852.1676647704321</c:v>
                </c:pt>
                <c:pt idx="3">
                  <c:v>1693.941501</c:v>
                </c:pt>
                <c:pt idx="4">
                  <c:v>1654.6112019999996</c:v>
                </c:pt>
                <c:pt idx="5">
                  <c:v>1654.9464279999993</c:v>
                </c:pt>
                <c:pt idx="6">
                  <c:v>1385.5327700000003</c:v>
                </c:pt>
                <c:pt idx="7">
                  <c:v>1578.809030000004</c:v>
                </c:pt>
                <c:pt idx="8">
                  <c:v>1449.2507859999987</c:v>
                </c:pt>
                <c:pt idx="9">
                  <c:v>1134.8313420000004</c:v>
                </c:pt>
                <c:pt idx="10">
                  <c:v>1111.7731390000004</c:v>
                </c:pt>
                <c:pt idx="11">
                  <c:v>1145.6429177890655</c:v>
                </c:pt>
                <c:pt idx="12">
                  <c:v>1091.4735649165914</c:v>
                </c:pt>
                <c:pt idx="13">
                  <c:v>957.17163238865851</c:v>
                </c:pt>
                <c:pt idx="14">
                  <c:v>850.02752348339357</c:v>
                </c:pt>
                <c:pt idx="15">
                  <c:v>697.35209536042908</c:v>
                </c:pt>
                <c:pt idx="16">
                  <c:v>499.92094622787965</c:v>
                </c:pt>
                <c:pt idx="17">
                  <c:v>487.94686723467078</c:v>
                </c:pt>
              </c:numCache>
            </c:numRef>
          </c:val>
          <c:smooth val="0"/>
          <c:extLst>
            <c:ext xmlns:c16="http://schemas.microsoft.com/office/drawing/2014/chart" uri="{C3380CC4-5D6E-409C-BE32-E72D297353CC}">
              <c16:uniqueId val="{00000001-8EA3-427F-8659-C2B828DC0254}"/>
            </c:ext>
          </c:extLst>
        </c:ser>
        <c:dLbls>
          <c:showLegendKey val="0"/>
          <c:showVal val="0"/>
          <c:showCatName val="0"/>
          <c:showSerName val="0"/>
          <c:showPercent val="0"/>
          <c:showBubbleSize val="0"/>
        </c:dLbls>
        <c:marker val="1"/>
        <c:smooth val="0"/>
        <c:axId val="1387841263"/>
        <c:axId val="1387852079"/>
      </c:lineChart>
      <c:catAx>
        <c:axId val="1387841263"/>
        <c:scaling>
          <c:orientation val="minMax"/>
        </c:scaling>
        <c:delete val="0"/>
        <c:axPos val="b"/>
        <c:numFmt formatCode="General" sourceLinked="1"/>
        <c:majorTickMark val="none"/>
        <c:minorTickMark val="none"/>
        <c:tickLblPos val="nextTo"/>
        <c:spPr>
          <a:noFill/>
          <a:ln w="9525" cap="flat" cmpd="sng" algn="ctr">
            <a:solidFill>
              <a:srgbClr val="A6A6A6"/>
            </a:solidFill>
            <a:prstDash val="solid"/>
            <a:round/>
          </a:ln>
          <a:effectLst/>
        </c:spPr>
        <c:txPr>
          <a:bodyPr rot="0" spcFirstLastPara="1" vertOverflow="ellipsis" wrap="square" anchor="ctr" anchorCtr="1"/>
          <a:lstStyle/>
          <a:p>
            <a:pPr>
              <a:defRPr sz="1000" b="0" i="0" u="none" strike="noStrike" kern="1200" baseline="0">
                <a:solidFill>
                  <a:srgbClr val="010000"/>
                </a:solidFill>
                <a:latin typeface="Arial"/>
                <a:ea typeface="Arial"/>
                <a:cs typeface="Arial"/>
              </a:defRPr>
            </a:pPr>
            <a:endParaRPr lang="en-US"/>
          </a:p>
        </c:txPr>
        <c:crossAx val="1387852079"/>
        <c:crosses val="autoZero"/>
        <c:auto val="1"/>
        <c:lblAlgn val="ctr"/>
        <c:lblOffset val="100"/>
        <c:noMultiLvlLbl val="0"/>
      </c:catAx>
      <c:valAx>
        <c:axId val="1387852079"/>
        <c:scaling>
          <c:orientation val="minMax"/>
        </c:scaling>
        <c:delete val="0"/>
        <c:axPos val="l"/>
        <c:majorGridlines>
          <c:spPr>
            <a:ln w="3175" cap="flat" cmpd="sng" algn="ctr">
              <a:solidFill>
                <a:srgbClr val="D9D9D9"/>
              </a:solidFill>
              <a:prstDash val="solid"/>
              <a:round/>
            </a:ln>
            <a:effectLst/>
          </c:spPr>
        </c:majorGridlines>
        <c:numFmt formatCode="0" sourceLinked="1"/>
        <c:majorTickMark val="none"/>
        <c:minorTickMark val="none"/>
        <c:tickLblPos val="nextTo"/>
        <c:spPr>
          <a:noFill/>
          <a:ln>
            <a:noFill/>
            <a:prstDash val="solid"/>
          </a:ln>
          <a:effectLst/>
          <a:extLst>
            <a:ext uri="{91240B29-F687-4F45-9708-019B960494DF}">
              <a14:hiddenLine xmlns:a14="http://schemas.microsoft.com/office/drawing/2010/main">
                <a:solidFill>
                  <a:srgbClr val="A6A6A6"/>
                </a:solidFill>
                <a:prstDash val="solid"/>
              </a14:hiddenLine>
            </a:ext>
          </a:extLst>
        </c:spPr>
        <c:txPr>
          <a:bodyPr rot="-60000000" spcFirstLastPara="1" vertOverflow="ellipsis" vert="horz" wrap="square" anchor="ctr" anchorCtr="1"/>
          <a:lstStyle/>
          <a:p>
            <a:pPr>
              <a:defRPr sz="1000" b="0" i="0" u="none" strike="noStrike" kern="1200" baseline="0">
                <a:solidFill>
                  <a:srgbClr val="010000"/>
                </a:solidFill>
                <a:latin typeface="Arial"/>
                <a:ea typeface="Arial"/>
                <a:cs typeface="Arial"/>
              </a:defRPr>
            </a:pPr>
            <a:endParaRPr lang="en-US"/>
          </a:p>
        </c:txPr>
        <c:crossAx val="1387841263"/>
        <c:crosses val="autoZero"/>
        <c:crossBetween val="between"/>
      </c:valAx>
      <c:valAx>
        <c:axId val="1393917871"/>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010000"/>
                </a:solidFill>
                <a:latin typeface="Arial"/>
                <a:ea typeface="Arial"/>
                <a:cs typeface="Arial"/>
              </a:defRPr>
            </a:pPr>
            <a:endParaRPr lang="en-US"/>
          </a:p>
        </c:txPr>
        <c:crossAx val="1393915375"/>
        <c:crosses val="max"/>
        <c:crossBetween val="between"/>
      </c:valAx>
      <c:catAx>
        <c:axId val="1393915375"/>
        <c:scaling>
          <c:orientation val="minMax"/>
        </c:scaling>
        <c:delete val="1"/>
        <c:axPos val="b"/>
        <c:numFmt formatCode="General" sourceLinked="1"/>
        <c:majorTickMark val="out"/>
        <c:minorTickMark val="none"/>
        <c:tickLblPos val="nextTo"/>
        <c:crossAx val="1393917871"/>
        <c:crosses val="autoZero"/>
        <c:auto val="1"/>
        <c:lblAlgn val="ctr"/>
        <c:lblOffset val="100"/>
        <c:noMultiLvlLbl val="0"/>
      </c:catAx>
      <c:spPr>
        <a:no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0"/>
          <c:y val="4.3010743879984874E-2"/>
          <c:w val="1"/>
          <c:h val="4.4413269057719029E-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010000"/>
              </a:solidFill>
              <a:latin typeface="Arial" panose="020B0604020202020204" pitchFamily="34" charset="0"/>
              <a:ea typeface="+mn-ea"/>
              <a:cs typeface="+mn-cs"/>
            </a:defRPr>
          </a:pPr>
          <a:endParaRPr lang="en-US"/>
        </a:p>
      </c:txPr>
    </c:legend>
    <c:plotVisOnly val="1"/>
    <c:dispBlanksAs val="gap"/>
    <c:showDLblsOverMax val="0"/>
  </c:chart>
  <c:spPr>
    <a:solidFill>
      <a:srgbClr val="FFFFFF"/>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123825</xdr:colOff>
      <xdr:row>0</xdr:row>
      <xdr:rowOff>209550</xdr:rowOff>
    </xdr:from>
    <xdr:to>
      <xdr:col>1</xdr:col>
      <xdr:colOff>1222003</xdr:colOff>
      <xdr:row>0</xdr:row>
      <xdr:rowOff>665481</xdr:rowOff>
    </xdr:to>
    <xdr:pic>
      <xdr:nvPicPr>
        <xdr:cNvPr id="2" name="Picture 1">
          <a:extLst>
            <a:ext uri="{FF2B5EF4-FFF2-40B4-BE49-F238E27FC236}">
              <a16:creationId xmlns:a16="http://schemas.microsoft.com/office/drawing/2014/main" id="{BCB3A2D0-5533-4B94-A1CE-28C9349B67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7205" y="209550"/>
          <a:ext cx="1098178" cy="4559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23603</xdr:colOff>
      <xdr:row>1</xdr:row>
      <xdr:rowOff>138447</xdr:rowOff>
    </xdr:from>
    <xdr:to>
      <xdr:col>20</xdr:col>
      <xdr:colOff>296635</xdr:colOff>
      <xdr:row>32</xdr:row>
      <xdr:rowOff>138447</xdr:rowOff>
    </xdr:to>
    <xdr:graphicFrame macro="">
      <xdr:nvGraphicFramePr>
        <xdr:cNvPr id="2" name="Chart 1">
          <a:extLst>
            <a:ext uri="{FF2B5EF4-FFF2-40B4-BE49-F238E27FC236}">
              <a16:creationId xmlns:a16="http://schemas.microsoft.com/office/drawing/2014/main" id="{FC17B734-D1C0-9640-9C12-18F0CC7274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23603</xdr:colOff>
      <xdr:row>34</xdr:row>
      <xdr:rowOff>18703</xdr:rowOff>
    </xdr:from>
    <xdr:to>
      <xdr:col>20</xdr:col>
      <xdr:colOff>296635</xdr:colOff>
      <xdr:row>65</xdr:row>
      <xdr:rowOff>18704</xdr:rowOff>
    </xdr:to>
    <xdr:graphicFrame macro="">
      <xdr:nvGraphicFramePr>
        <xdr:cNvPr id="4" name="Chart 3">
          <a:extLst>
            <a:ext uri="{FF2B5EF4-FFF2-40B4-BE49-F238E27FC236}">
              <a16:creationId xmlns:a16="http://schemas.microsoft.com/office/drawing/2014/main" id="{5E9BCF34-3133-E89F-75C8-8B53CD8A85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0</cdr:y>
    </cdr:from>
    <cdr:to>
      <cdr:x>1</cdr:x>
      <cdr:y>0.03226</cdr:y>
    </cdr:to>
    <cdr:sp macro="" textlink="">
      <cdr:nvSpPr>
        <cdr:cNvPr id="2" name="txtboxChartTitle">
          <a:extLst xmlns:a="http://schemas.openxmlformats.org/drawingml/2006/main">
            <a:ext uri="{FF2B5EF4-FFF2-40B4-BE49-F238E27FC236}">
              <a16:creationId xmlns:a16="http://schemas.microsoft.com/office/drawing/2014/main" id="{C0701E4B-617F-8816-F203-3C7B98B7C815}"/>
            </a:ext>
          </a:extLst>
        </cdr:cNvPr>
        <cdr:cNvSpPr txBox="1"/>
      </cdr:nvSpPr>
      <cdr:spPr>
        <a:xfrm xmlns:a="http://schemas.openxmlformats.org/drawingml/2006/main">
          <a:off x="0" y="0"/>
          <a:ext cx="10051472" cy="182880"/>
        </a:xfrm>
        <a:prstGeom xmlns:a="http://schemas.openxmlformats.org/drawingml/2006/main" prst="rect">
          <a:avLst/>
        </a:prstGeom>
      </cdr:spPr>
      <cdr:txBody>
        <a:bodyPr xmlns:a="http://schemas.openxmlformats.org/drawingml/2006/main" vertOverflow="clip" vert="horz" lIns="0" tIns="0" rIns="0" bIns="0" rtlCol="0" anchor="t"/>
        <a:lstStyle xmlns:a="http://schemas.openxmlformats.org/drawingml/2006/main"/>
        <a:p xmlns:a="http://schemas.openxmlformats.org/drawingml/2006/main">
          <a:pPr algn="l" eaLnBrk="1"/>
          <a:r>
            <a:rPr lang="en-US" sz="1200" b="1">
              <a:solidFill>
                <a:srgbClr val="010000"/>
              </a:solidFill>
              <a:latin typeface="Arial" panose="020B0604020202020204" pitchFamily="34" charset="0"/>
            </a:rPr>
            <a:t>Our forecast expects emissions</a:t>
          </a:r>
          <a:r>
            <a:rPr lang="en-US" sz="1200" b="1" baseline="0">
              <a:solidFill>
                <a:srgbClr val="010000"/>
              </a:solidFill>
              <a:latin typeface="Arial" panose="020B0604020202020204" pitchFamily="34" charset="0"/>
            </a:rPr>
            <a:t> to catch up with EU ETS cap by 2030; Maritime sector set to significantly increase demand during phase IV. TNAC will drop below 500 MMtCO2</a:t>
          </a:r>
          <a:endParaRPr lang="en-US" sz="1200" b="1">
            <a:solidFill>
              <a:srgbClr val="010000"/>
            </a:solidFill>
            <a:latin typeface="Arial" panose="020B0604020202020204" pitchFamily="34" charset="0"/>
          </a:endParaRPr>
        </a:p>
      </cdr:txBody>
    </cdr:sp>
  </cdr:relSizeAnchor>
  <cdr:relSizeAnchor xmlns:cdr="http://schemas.openxmlformats.org/drawingml/2006/chartDrawing">
    <cdr:from>
      <cdr:x>0</cdr:x>
      <cdr:y>0.97742</cdr:y>
    </cdr:from>
    <cdr:to>
      <cdr:x>1</cdr:x>
      <cdr:y>1</cdr:y>
    </cdr:to>
    <cdr:sp macro="" textlink="">
      <cdr:nvSpPr>
        <cdr:cNvPr id="3" name="txtboxCopyrightLine">
          <a:extLst xmlns:a="http://schemas.openxmlformats.org/drawingml/2006/main">
            <a:ext uri="{FF2B5EF4-FFF2-40B4-BE49-F238E27FC236}">
              <a16:creationId xmlns:a16="http://schemas.microsoft.com/office/drawing/2014/main" id="{CE263254-6176-2AB6-6ADC-508552001B73}"/>
            </a:ext>
          </a:extLst>
        </cdr:cNvPr>
        <cdr:cNvSpPr txBox="1"/>
      </cdr:nvSpPr>
      <cdr:spPr>
        <a:xfrm xmlns:a="http://schemas.openxmlformats.org/drawingml/2006/main">
          <a:off x="0" y="5592064"/>
          <a:ext cx="10051472" cy="128016"/>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a:solidFill>
                <a:srgbClr val="010000"/>
              </a:solidFill>
              <a:latin typeface="Arial" panose="020B0604020202020204" pitchFamily="34" charset="0"/>
            </a:rPr>
            <a:t>© 2023 S&amp;P Global.</a:t>
          </a:r>
        </a:p>
      </cdr:txBody>
    </cdr:sp>
  </cdr:relSizeAnchor>
  <cdr:relSizeAnchor xmlns:cdr="http://schemas.openxmlformats.org/drawingml/2006/chartDrawing">
    <cdr:from>
      <cdr:x>0</cdr:x>
      <cdr:y>0.95484</cdr:y>
    </cdr:from>
    <cdr:to>
      <cdr:x>1</cdr:x>
      <cdr:y>0.97742</cdr:y>
    </cdr:to>
    <cdr:sp macro="" textlink="">
      <cdr:nvSpPr>
        <cdr:cNvPr id="4" name="txtBoxSourceLine">
          <a:extLst xmlns:a="http://schemas.openxmlformats.org/drawingml/2006/main">
            <a:ext uri="{FF2B5EF4-FFF2-40B4-BE49-F238E27FC236}">
              <a16:creationId xmlns:a16="http://schemas.microsoft.com/office/drawing/2014/main" id="{6DE386FB-F4FC-D2BE-526B-CF0346D7D761}"/>
            </a:ext>
          </a:extLst>
        </cdr:cNvPr>
        <cdr:cNvSpPr txBox="1"/>
      </cdr:nvSpPr>
      <cdr:spPr>
        <a:xfrm xmlns:a="http://schemas.openxmlformats.org/drawingml/2006/main">
          <a:off x="0" y="5413248"/>
          <a:ext cx="10051472" cy="128016"/>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a:solidFill>
                <a:srgbClr val="010000"/>
              </a:solidFill>
              <a:latin typeface="Arial" panose="020B0604020202020204" pitchFamily="34" charset="0"/>
            </a:rPr>
            <a:t>Source: S&amp;P Global Commodity Insights.</a:t>
          </a:r>
        </a:p>
      </cdr:txBody>
    </cdr:sp>
  </cdr:relSizeAnchor>
  <cdr:relSizeAnchor xmlns:cdr="http://schemas.openxmlformats.org/drawingml/2006/chartDrawing">
    <cdr:from>
      <cdr:x>0</cdr:x>
      <cdr:y>0.93226</cdr:y>
    </cdr:from>
    <cdr:to>
      <cdr:x>1</cdr:x>
      <cdr:y>0.95484</cdr:y>
    </cdr:to>
    <cdr:sp macro="" textlink="">
      <cdr:nvSpPr>
        <cdr:cNvPr id="5" name="txtBoxDataCompiledLine">
          <a:extLst xmlns:a="http://schemas.openxmlformats.org/drawingml/2006/main">
            <a:ext uri="{FF2B5EF4-FFF2-40B4-BE49-F238E27FC236}">
              <a16:creationId xmlns:a16="http://schemas.microsoft.com/office/drawing/2014/main" id="{9A066EED-5F92-6109-D5E4-AA689D487CBB}"/>
            </a:ext>
          </a:extLst>
        </cdr:cNvPr>
        <cdr:cNvSpPr txBox="1"/>
      </cdr:nvSpPr>
      <cdr:spPr>
        <a:xfrm xmlns:a="http://schemas.openxmlformats.org/drawingml/2006/main">
          <a:off x="0" y="5285232"/>
          <a:ext cx="10051472" cy="128016"/>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a:solidFill>
                <a:srgbClr val="010000"/>
              </a:solidFill>
              <a:latin typeface="Arial" panose="020B0604020202020204" pitchFamily="34" charset="0"/>
            </a:rPr>
            <a:t>Data compiled January 2025.</a:t>
          </a:r>
        </a:p>
      </cdr:txBody>
    </cdr:sp>
  </cdr:relSizeAnchor>
  <cdr:relSizeAnchor xmlns:cdr="http://schemas.openxmlformats.org/drawingml/2006/chartDrawing">
    <cdr:from>
      <cdr:x>4.9744E-7</cdr:x>
      <cdr:y>0.09798</cdr:y>
    </cdr:from>
    <cdr:to>
      <cdr:x>0.02865</cdr:x>
      <cdr:y>0.88978</cdr:y>
    </cdr:to>
    <cdr:sp macro="" textlink="">
      <cdr:nvSpPr>
        <cdr:cNvPr id="6" name="txtBoxPrimaryYAxisLabel">
          <a:extLst xmlns:a="http://schemas.openxmlformats.org/drawingml/2006/main">
            <a:ext uri="{FF2B5EF4-FFF2-40B4-BE49-F238E27FC236}">
              <a16:creationId xmlns:a16="http://schemas.microsoft.com/office/drawing/2014/main" id="{443199FF-D411-D9DD-36E4-348047DBA56E}"/>
            </a:ext>
          </a:extLst>
        </cdr:cNvPr>
        <cdr:cNvSpPr txBox="1"/>
      </cdr:nvSpPr>
      <cdr:spPr>
        <a:xfrm xmlns:a="http://schemas.openxmlformats.org/drawingml/2006/main" rot="16200000">
          <a:off x="-2100471" y="2655956"/>
          <a:ext cx="4488952" cy="288000"/>
        </a:xfrm>
        <a:prstGeom xmlns:a="http://schemas.openxmlformats.org/drawingml/2006/main" prst="rect">
          <a:avLst/>
        </a:prstGeom>
      </cdr:spPr>
      <cdr:txBody>
        <a:bodyPr xmlns:a="http://schemas.openxmlformats.org/drawingml/2006/main" vertOverflow="clip" vert="horz" lIns="0" tIns="0" rIns="0" bIns="36000" rtlCol="0" anchor="t"/>
        <a:lstStyle xmlns:a="http://schemas.openxmlformats.org/drawingml/2006/main"/>
        <a:p xmlns:a="http://schemas.openxmlformats.org/drawingml/2006/main">
          <a:pPr algn="ctr"/>
          <a:r>
            <a:rPr lang="en-US" sz="1000" b="1">
              <a:solidFill>
                <a:srgbClr val="010000"/>
              </a:solidFill>
              <a:latin typeface="Arial" panose="020B0604020202020204" pitchFamily="34" charset="0"/>
            </a:rPr>
            <a:t>MMtCO2e</a:t>
          </a:r>
        </a:p>
      </cdr:txBody>
    </cdr:sp>
  </cdr:relSizeAnchor>
</c:userShapes>
</file>

<file path=xl/drawings/drawing4.xml><?xml version="1.0" encoding="utf-8"?>
<c:userShapes xmlns:c="http://schemas.openxmlformats.org/drawingml/2006/chart">
  <cdr:relSizeAnchor xmlns:cdr="http://schemas.openxmlformats.org/drawingml/2006/chartDrawing">
    <cdr:from>
      <cdr:x>0</cdr:x>
      <cdr:y>0</cdr:y>
    </cdr:from>
    <cdr:to>
      <cdr:x>1</cdr:x>
      <cdr:y>0.03366</cdr:y>
    </cdr:to>
    <cdr:sp macro="" textlink="">
      <cdr:nvSpPr>
        <cdr:cNvPr id="2" name="txtboxChartTitle">
          <a:extLst xmlns:a="http://schemas.openxmlformats.org/drawingml/2006/main">
            <a:ext uri="{FF2B5EF4-FFF2-40B4-BE49-F238E27FC236}">
              <a16:creationId xmlns:a16="http://schemas.microsoft.com/office/drawing/2014/main" id="{C0701E4B-617F-8816-F203-3C7B98B7C815}"/>
            </a:ext>
          </a:extLst>
        </cdr:cNvPr>
        <cdr:cNvSpPr txBox="1"/>
      </cdr:nvSpPr>
      <cdr:spPr>
        <a:xfrm xmlns:a="http://schemas.openxmlformats.org/drawingml/2006/main">
          <a:off x="0" y="0"/>
          <a:ext cx="13003875" cy="182880"/>
        </a:xfrm>
        <a:prstGeom xmlns:a="http://schemas.openxmlformats.org/drawingml/2006/main" prst="rect">
          <a:avLst/>
        </a:prstGeom>
      </cdr:spPr>
      <cdr:txBody>
        <a:bodyPr xmlns:a="http://schemas.openxmlformats.org/drawingml/2006/main" vertOverflow="clip" vert="horz" lIns="0" tIns="0" rIns="0" bIns="0" rtlCol="0" anchor="t"/>
        <a:lstStyle xmlns:a="http://schemas.openxmlformats.org/drawingml/2006/main"/>
        <a:p xmlns:a="http://schemas.openxmlformats.org/drawingml/2006/main">
          <a:pPr algn="l" eaLnBrk="1"/>
          <a:r>
            <a:rPr lang="en-US" sz="1200" b="1">
              <a:solidFill>
                <a:srgbClr val="010000"/>
              </a:solidFill>
              <a:latin typeface="Arial" panose="020B0604020202020204" pitchFamily="34" charset="0"/>
            </a:rPr>
            <a:t>Current policy framework is set to tighten</a:t>
          </a:r>
          <a:r>
            <a:rPr lang="en-US" sz="1200" b="1" baseline="0">
              <a:solidFill>
                <a:srgbClr val="010000"/>
              </a:solidFill>
              <a:latin typeface="Arial" panose="020B0604020202020204" pitchFamily="34" charset="0"/>
            </a:rPr>
            <a:t> the balance by 2029, when MSR threshold is reached and withdrawals in the surplus stop. </a:t>
          </a:r>
          <a:endParaRPr lang="en-US" sz="1200" b="1">
            <a:solidFill>
              <a:srgbClr val="010000"/>
            </a:solidFill>
            <a:latin typeface="Arial" panose="020B0604020202020204" pitchFamily="34" charset="0"/>
          </a:endParaRPr>
        </a:p>
      </cdr:txBody>
    </cdr:sp>
  </cdr:relSizeAnchor>
  <cdr:relSizeAnchor xmlns:cdr="http://schemas.openxmlformats.org/drawingml/2006/chartDrawing">
    <cdr:from>
      <cdr:x>0</cdr:x>
      <cdr:y>0.97644</cdr:y>
    </cdr:from>
    <cdr:to>
      <cdr:x>1</cdr:x>
      <cdr:y>1</cdr:y>
    </cdr:to>
    <cdr:sp macro="" textlink="">
      <cdr:nvSpPr>
        <cdr:cNvPr id="3" name="txtboxCopyrightLine">
          <a:extLst xmlns:a="http://schemas.openxmlformats.org/drawingml/2006/main">
            <a:ext uri="{FF2B5EF4-FFF2-40B4-BE49-F238E27FC236}">
              <a16:creationId xmlns:a16="http://schemas.microsoft.com/office/drawing/2014/main" id="{CE263254-6176-2AB6-6ADC-508552001B73}"/>
            </a:ext>
          </a:extLst>
        </cdr:cNvPr>
        <cdr:cNvSpPr txBox="1"/>
      </cdr:nvSpPr>
      <cdr:spPr>
        <a:xfrm xmlns:a="http://schemas.openxmlformats.org/drawingml/2006/main">
          <a:off x="0" y="5355845"/>
          <a:ext cx="13003875" cy="128016"/>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a:solidFill>
                <a:srgbClr val="010000"/>
              </a:solidFill>
              <a:latin typeface="Arial" panose="020B0604020202020204" pitchFamily="34" charset="0"/>
            </a:rPr>
            <a:t>© 2023 S&amp;P Global.</a:t>
          </a:r>
        </a:p>
      </cdr:txBody>
    </cdr:sp>
  </cdr:relSizeAnchor>
  <cdr:relSizeAnchor xmlns:cdr="http://schemas.openxmlformats.org/drawingml/2006/chartDrawing">
    <cdr:from>
      <cdr:x>0</cdr:x>
      <cdr:y>0.95288</cdr:y>
    </cdr:from>
    <cdr:to>
      <cdr:x>1</cdr:x>
      <cdr:y>0.97644</cdr:y>
    </cdr:to>
    <cdr:sp macro="" textlink="">
      <cdr:nvSpPr>
        <cdr:cNvPr id="4" name="txtBoxSourceLine">
          <a:extLst xmlns:a="http://schemas.openxmlformats.org/drawingml/2006/main">
            <a:ext uri="{FF2B5EF4-FFF2-40B4-BE49-F238E27FC236}">
              <a16:creationId xmlns:a16="http://schemas.microsoft.com/office/drawing/2014/main" id="{6DE386FB-F4FC-D2BE-526B-CF0346D7D761}"/>
            </a:ext>
          </a:extLst>
        </cdr:cNvPr>
        <cdr:cNvSpPr txBox="1"/>
      </cdr:nvSpPr>
      <cdr:spPr>
        <a:xfrm xmlns:a="http://schemas.openxmlformats.org/drawingml/2006/main">
          <a:off x="0" y="5177029"/>
          <a:ext cx="13003875" cy="128016"/>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a:solidFill>
                <a:srgbClr val="010000"/>
              </a:solidFill>
              <a:latin typeface="Arial" panose="020B0604020202020204" pitchFamily="34" charset="0"/>
            </a:rPr>
            <a:t>Source: S&amp;P Global Commodity Insights.</a:t>
          </a:r>
        </a:p>
      </cdr:txBody>
    </cdr:sp>
  </cdr:relSizeAnchor>
  <cdr:relSizeAnchor xmlns:cdr="http://schemas.openxmlformats.org/drawingml/2006/chartDrawing">
    <cdr:from>
      <cdr:x>0</cdr:x>
      <cdr:y>0.92931</cdr:y>
    </cdr:from>
    <cdr:to>
      <cdr:x>1</cdr:x>
      <cdr:y>0.95288</cdr:y>
    </cdr:to>
    <cdr:sp macro="" textlink="">
      <cdr:nvSpPr>
        <cdr:cNvPr id="5" name="txtBoxDataCompiledLine">
          <a:extLst xmlns:a="http://schemas.openxmlformats.org/drawingml/2006/main">
            <a:ext uri="{FF2B5EF4-FFF2-40B4-BE49-F238E27FC236}">
              <a16:creationId xmlns:a16="http://schemas.microsoft.com/office/drawing/2014/main" id="{9A066EED-5F92-6109-D5E4-AA689D487CBB}"/>
            </a:ext>
          </a:extLst>
        </cdr:cNvPr>
        <cdr:cNvSpPr txBox="1"/>
      </cdr:nvSpPr>
      <cdr:spPr>
        <a:xfrm xmlns:a="http://schemas.openxmlformats.org/drawingml/2006/main">
          <a:off x="0" y="5049013"/>
          <a:ext cx="13003875" cy="128016"/>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a:solidFill>
                <a:srgbClr val="010000"/>
              </a:solidFill>
              <a:latin typeface="Arial" panose="020B0604020202020204" pitchFamily="34" charset="0"/>
            </a:rPr>
            <a:t>Data compiled January 2025.</a:t>
          </a:r>
        </a:p>
      </cdr:txBody>
    </cdr:sp>
  </cdr:relSizeAnchor>
  <cdr:relSizeAnchor xmlns:cdr="http://schemas.openxmlformats.org/drawingml/2006/chartDrawing">
    <cdr:from>
      <cdr:x>6.15201E-7</cdr:x>
      <cdr:y>0.10224</cdr:y>
    </cdr:from>
    <cdr:to>
      <cdr:x>0.02215</cdr:x>
      <cdr:y>0.88499</cdr:y>
    </cdr:to>
    <cdr:sp macro="" textlink="">
      <cdr:nvSpPr>
        <cdr:cNvPr id="6" name="txtBoxPrimaryYAxisLabel">
          <a:extLst xmlns:a="http://schemas.openxmlformats.org/drawingml/2006/main">
            <a:ext uri="{FF2B5EF4-FFF2-40B4-BE49-F238E27FC236}">
              <a16:creationId xmlns:a16="http://schemas.microsoft.com/office/drawing/2014/main" id="{443199FF-D411-D9DD-36E4-348047DBA56E}"/>
            </a:ext>
          </a:extLst>
        </cdr:cNvPr>
        <cdr:cNvSpPr txBox="1"/>
      </cdr:nvSpPr>
      <cdr:spPr>
        <a:xfrm xmlns:a="http://schemas.openxmlformats.org/drawingml/2006/main" rot="16200000">
          <a:off x="-1982359" y="2537846"/>
          <a:ext cx="4252733" cy="288000"/>
        </a:xfrm>
        <a:prstGeom xmlns:a="http://schemas.openxmlformats.org/drawingml/2006/main" prst="rect">
          <a:avLst/>
        </a:prstGeom>
      </cdr:spPr>
      <cdr:txBody>
        <a:bodyPr xmlns:a="http://schemas.openxmlformats.org/drawingml/2006/main" vertOverflow="clip" vert="horz" lIns="0" tIns="0" rIns="0" bIns="36000" rtlCol="0" anchor="t"/>
        <a:lstStyle xmlns:a="http://schemas.openxmlformats.org/drawingml/2006/main"/>
        <a:p xmlns:a="http://schemas.openxmlformats.org/drawingml/2006/main">
          <a:pPr algn="ctr"/>
          <a:r>
            <a:rPr lang="en-US" sz="1000" b="1">
              <a:solidFill>
                <a:srgbClr val="010000"/>
              </a:solidFill>
              <a:latin typeface="Arial" panose="020B0604020202020204" pitchFamily="34" charset="0"/>
            </a:rPr>
            <a:t>MMtCO2e (TNAC)</a:t>
          </a:r>
        </a:p>
      </cdr:txBody>
    </cdr:sp>
  </cdr:relSizeAnchor>
  <cdr:relSizeAnchor xmlns:cdr="http://schemas.openxmlformats.org/drawingml/2006/chartDrawing">
    <cdr:from>
      <cdr:x>0.97785</cdr:x>
      <cdr:y>0.10224</cdr:y>
    </cdr:from>
    <cdr:to>
      <cdr:x>1</cdr:x>
      <cdr:y>0.88499</cdr:y>
    </cdr:to>
    <cdr:sp macro="" textlink="">
      <cdr:nvSpPr>
        <cdr:cNvPr id="7" name="txtBoxSecondaryYAxisLabel">
          <a:extLst xmlns:a="http://schemas.openxmlformats.org/drawingml/2006/main">
            <a:ext uri="{FF2B5EF4-FFF2-40B4-BE49-F238E27FC236}">
              <a16:creationId xmlns:a16="http://schemas.microsoft.com/office/drawing/2014/main" id="{BF8856BD-0897-D81C-48C8-9F1F9B30C3E9}"/>
            </a:ext>
          </a:extLst>
        </cdr:cNvPr>
        <cdr:cNvSpPr txBox="1"/>
      </cdr:nvSpPr>
      <cdr:spPr>
        <a:xfrm xmlns:a="http://schemas.openxmlformats.org/drawingml/2006/main" rot="16200000">
          <a:off x="10733508" y="2537846"/>
          <a:ext cx="4252733" cy="288000"/>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ctr"/>
          <a:r>
            <a:rPr lang="en-US" sz="1000" b="1">
              <a:solidFill>
                <a:srgbClr val="010000"/>
              </a:solidFill>
              <a:latin typeface="Arial" panose="020B0604020202020204" pitchFamily="34" charset="0"/>
            </a:rPr>
            <a:t>MMtCO2e (Annual surplus post-MSR action)</a:t>
          </a:r>
        </a:p>
      </cdr:txBody>
    </cdr:sp>
  </cdr:relSizeAnchor>
</c:userShapes>
</file>

<file path=xl/theme/theme1.xml><?xml version="1.0" encoding="utf-8"?>
<a:theme xmlns:a="http://schemas.openxmlformats.org/drawingml/2006/main" name="2022_S&amp;P_CI">
  <a:themeElements>
    <a:clrScheme name="Custom 64">
      <a:dk1>
        <a:sysClr val="windowText" lastClr="000000"/>
      </a:dk1>
      <a:lt1>
        <a:sysClr val="window" lastClr="FFFFFF"/>
      </a:lt1>
      <a:dk2>
        <a:srgbClr val="404040"/>
      </a:dk2>
      <a:lt2>
        <a:srgbClr val="DCDCDC"/>
      </a:lt2>
      <a:accent1>
        <a:srgbClr val="006D89"/>
      </a:accent1>
      <a:accent2>
        <a:srgbClr val="F1A649"/>
      </a:accent2>
      <a:accent3>
        <a:srgbClr val="782080"/>
      </a:accent3>
      <a:accent4>
        <a:srgbClr val="54BAA0"/>
      </a:accent4>
      <a:accent5>
        <a:srgbClr val="B92051"/>
      </a:accent5>
      <a:accent6>
        <a:srgbClr val="AAB5DF"/>
      </a:accent6>
      <a:hlink>
        <a:srgbClr val="0000FF"/>
      </a:hlink>
      <a:folHlink>
        <a:srgbClr val="551A8B"/>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custClrLst>
    <a:custClr name="Blue8">
      <a:srgbClr val="1D3BAA"/>
    </a:custClr>
    <a:custClr name="Purple4">
      <a:srgbClr val="B280B6"/>
    </a:custClr>
    <a:custClr name="Orange7">
      <a:srgbClr val="C94100"/>
    </a:custClr>
    <a:custClr name="Ocean4">
      <a:srgbClr val="6DACBC"/>
    </a:custClr>
    <a:custClr name="Purple9">
      <a:srgbClr val="501555"/>
    </a:custClr>
    <a:custClr name="Magenta5">
      <a:srgbClr val="CD6083"/>
    </a:custClr>
    <a:custClr name="Green9">
      <a:srgbClr val="125E1F"/>
    </a:custClr>
    <a:custClr name="Green3">
      <a:srgbClr val="9DCEA6"/>
    </a:custClr>
    <a:custClr name="Positive">
      <a:srgbClr val="1B8D2F"/>
    </a:custClr>
    <a:custClr name="Negative">
      <a:srgbClr val="B20023"/>
    </a:custClr>
    <a:custClr name="Maroon9">
      <a:srgbClr val="6B0F01"/>
    </a:custClr>
    <a:custClr name="Maroon7">
      <a:srgbClr val="A11602"/>
    </a:custClr>
    <a:custClr name="Maroon5">
      <a:srgbClr val="BC594A"/>
    </a:custClr>
    <a:custClr name="Maroon3">
      <a:srgbClr val="D79B93"/>
    </a:custClr>
    <a:custClr name="Maroon2">
      <a:srgbClr val="E4BCB7"/>
    </a:custClr>
    <a:custClr name="Ocean2">
      <a:srgbClr val="B6D5DD"/>
    </a:custClr>
    <a:custClr name="Ocean3">
      <a:srgbClr val="92C0CC"/>
    </a:custClr>
    <a:custClr name="Ocean5">
      <a:srgbClr val="4997AB"/>
    </a:custClr>
    <a:custClr name="Ocean7">
      <a:srgbClr val="006D89"/>
    </a:custClr>
    <a:custClr name="Ocean9">
      <a:srgbClr val="00495B"/>
    </a:custClr>
    <a:custClr name="Gold9">
      <a:srgbClr val="9D5700"/>
    </a:custClr>
    <a:custClr name="Gold7">
      <a:srgbClr val="EC8200"/>
    </a:custClr>
    <a:custClr name="Gold5">
      <a:srgbClr val="F1A649"/>
    </a:custClr>
    <a:custClr name="Gold3">
      <a:srgbClr val="F7C992"/>
    </a:custClr>
    <a:custClr name="Gold2">
      <a:srgbClr val="FADBB6"/>
    </a:custClr>
    <a:custClr name="Purple2">
      <a:srgbClr val="D8BFDB"/>
    </a:custClr>
    <a:custClr name="Purple3">
      <a:srgbClr val="C59FC9"/>
    </a:custClr>
    <a:custClr name="Purple5">
      <a:srgbClr val="9F60A4"/>
    </a:custClr>
    <a:custClr name="Purple7">
      <a:srgbClr val="782080"/>
    </a:custClr>
    <a:custClr name="Purple9">
      <a:srgbClr val="501555"/>
    </a:custClr>
    <a:custClr name="Orange9">
      <a:srgbClr val="862B00"/>
    </a:custClr>
    <a:custClr name="Orange7">
      <a:srgbClr val="C94100"/>
    </a:custClr>
    <a:custClr name="Orange5">
      <a:srgbClr val="D87749"/>
    </a:custClr>
    <a:custClr name="Orange3">
      <a:srgbClr val="E8AE92"/>
    </a:custClr>
    <a:custClr name="Orange2">
      <a:srgbClr val="F0C9B6"/>
    </a:custClr>
    <a:custClr name="Blue2">
      <a:srgbClr val="C0C8E7"/>
    </a:custClr>
    <a:custClr name="Blue3">
      <a:srgbClr val="AAB5DF"/>
    </a:custClr>
    <a:custClr name="Blue5">
      <a:srgbClr val="7284CA"/>
    </a:custClr>
    <a:custClr name="Blue7">
      <a:srgbClr val="3953B4"/>
    </a:custClr>
    <a:custClr name="Blue9">
      <a:srgbClr val="01229F"/>
    </a:custClr>
    <a:custClr name="Magenta9">
      <a:srgbClr val="7B1536"/>
    </a:custClr>
    <a:custClr name="Magenta7">
      <a:srgbClr val="B92051"/>
    </a:custClr>
    <a:custClr name="Magenta5">
      <a:srgbClr val="CD6083"/>
    </a:custClr>
    <a:custClr name="Magenta3">
      <a:srgbClr val="E19FB4"/>
    </a:custClr>
    <a:custClr name="Magenta2">
      <a:srgbClr val="EBBFCD"/>
    </a:custClr>
    <a:custClr name="Green2">
      <a:srgbClr val="BEDEC4"/>
    </a:custClr>
    <a:custClr name="Green3">
      <a:srgbClr val="9DCEA6"/>
    </a:custClr>
    <a:custClr name="Green5">
      <a:srgbClr val="5CAE6A"/>
    </a:custClr>
    <a:custClr name="Green7">
      <a:srgbClr val="1B8D2F"/>
    </a:custClr>
    <a:custClr name="Green9">
      <a:srgbClr val="125E1F"/>
    </a:custClr>
  </a:custClr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EnviroMkts_analytics@spgloba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1D2A8-E4F6-41B7-B74C-9686FB1159BD}">
  <sheetPr>
    <pageSetUpPr autoPageBreaks="0"/>
  </sheetPr>
  <dimension ref="A1:CT21"/>
  <sheetViews>
    <sheetView zoomScaleNormal="100" workbookViewId="0">
      <selection activeCell="B1" sqref="B1"/>
    </sheetView>
  </sheetViews>
  <sheetFormatPr defaultColWidth="9" defaultRowHeight="12"/>
  <cols>
    <col min="1" max="1" width="5.375" style="31" customWidth="1"/>
    <col min="2" max="2" width="104.75" style="31" customWidth="1"/>
    <col min="3" max="3" width="9" style="31"/>
    <col min="4" max="6" width="9" style="32"/>
    <col min="7" max="7" width="14.75" style="32" customWidth="1"/>
    <col min="8" max="8" width="15.625" style="32" customWidth="1"/>
    <col min="9" max="16384" width="9" style="32"/>
  </cols>
  <sheetData>
    <row r="1" spans="2:8" ht="125.25" customHeight="1">
      <c r="B1" s="30" t="s">
        <v>16</v>
      </c>
    </row>
    <row r="2" spans="2:8" ht="22.5" customHeight="1">
      <c r="B2" s="33"/>
    </row>
    <row r="3" spans="2:8" ht="12" customHeight="1">
      <c r="B3" s="93">
        <v>45658</v>
      </c>
    </row>
    <row r="4" spans="2:8" ht="9" customHeight="1">
      <c r="B4" s="34"/>
      <c r="H4" s="35"/>
    </row>
    <row r="5" spans="2:8">
      <c r="B5" s="36" t="s">
        <v>61</v>
      </c>
    </row>
    <row r="6" spans="2:8" ht="9" customHeight="1">
      <c r="B6" s="36"/>
    </row>
    <row r="7" spans="2:8" ht="22.5" customHeight="1">
      <c r="B7" s="36" t="s">
        <v>17</v>
      </c>
    </row>
    <row r="8" spans="2:8" ht="9" customHeight="1">
      <c r="B8" s="36"/>
    </row>
    <row r="9" spans="2:8" ht="94.5" customHeight="1">
      <c r="B9" s="36" t="s">
        <v>18</v>
      </c>
    </row>
    <row r="10" spans="2:8" ht="9" customHeight="1">
      <c r="B10" s="36"/>
    </row>
    <row r="11" spans="2:8" ht="94.5" customHeight="1">
      <c r="B11" s="36" t="s">
        <v>19</v>
      </c>
    </row>
    <row r="12" spans="2:8" ht="9" customHeight="1">
      <c r="B12" s="36"/>
    </row>
    <row r="13" spans="2:8" ht="46.5" customHeight="1">
      <c r="B13" s="36" t="s">
        <v>20</v>
      </c>
    </row>
    <row r="14" spans="2:8" ht="9" customHeight="1"/>
    <row r="15" spans="2:8" ht="46.5" customHeight="1">
      <c r="B15" s="37" t="s">
        <v>21</v>
      </c>
    </row>
    <row r="16" spans="2:8" ht="9" customHeight="1"/>
    <row r="17" spans="2:98" s="31" customFormat="1" ht="12" customHeight="1">
      <c r="B17" s="37" t="s">
        <v>22</v>
      </c>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c r="BO17" s="32"/>
      <c r="BP17" s="32"/>
      <c r="BQ17" s="32"/>
      <c r="BR17" s="32"/>
      <c r="BS17" s="32"/>
      <c r="BT17" s="32"/>
      <c r="BU17" s="32"/>
      <c r="BV17" s="32"/>
      <c r="BW17" s="32"/>
      <c r="BX17" s="32"/>
      <c r="BY17" s="32"/>
      <c r="BZ17" s="32"/>
      <c r="CA17" s="32"/>
      <c r="CB17" s="32"/>
      <c r="CC17" s="32"/>
      <c r="CD17" s="32"/>
      <c r="CE17" s="32"/>
      <c r="CF17" s="32"/>
      <c r="CG17" s="32"/>
      <c r="CH17" s="32"/>
      <c r="CI17" s="32"/>
      <c r="CJ17" s="32"/>
      <c r="CK17" s="32"/>
      <c r="CL17" s="32"/>
      <c r="CM17" s="32"/>
      <c r="CN17" s="32"/>
      <c r="CO17" s="32"/>
      <c r="CP17" s="32"/>
      <c r="CQ17" s="32"/>
      <c r="CR17" s="32"/>
      <c r="CS17" s="32"/>
      <c r="CT17" s="32"/>
    </row>
    <row r="18" spans="2:98" s="31" customFormat="1" ht="12" customHeight="1">
      <c r="B18" s="37"/>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c r="BO18" s="32"/>
      <c r="BP18" s="32"/>
      <c r="BQ18" s="32"/>
      <c r="BR18" s="32"/>
      <c r="BS18" s="32"/>
      <c r="BT18" s="32"/>
      <c r="BU18" s="32"/>
      <c r="BV18" s="32"/>
      <c r="BW18" s="32"/>
      <c r="BX18" s="32"/>
      <c r="BY18" s="32"/>
      <c r="BZ18" s="32"/>
      <c r="CA18" s="32"/>
      <c r="CB18" s="32"/>
      <c r="CC18" s="32"/>
      <c r="CD18" s="32"/>
      <c r="CE18" s="32"/>
      <c r="CF18" s="32"/>
      <c r="CG18" s="32"/>
      <c r="CH18" s="32"/>
      <c r="CI18" s="32"/>
      <c r="CJ18" s="32"/>
      <c r="CK18" s="32"/>
      <c r="CL18" s="32"/>
      <c r="CM18" s="32"/>
      <c r="CN18" s="32"/>
      <c r="CO18" s="32"/>
      <c r="CP18" s="32"/>
      <c r="CQ18" s="32"/>
      <c r="CR18" s="32"/>
      <c r="CS18" s="32"/>
      <c r="CT18" s="32"/>
    </row>
    <row r="19" spans="2:98" s="31" customFormat="1" ht="14.25">
      <c r="B19" s="38" t="s">
        <v>23</v>
      </c>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c r="BO19" s="32"/>
      <c r="BP19" s="32"/>
      <c r="BQ19" s="32"/>
      <c r="BR19" s="32"/>
      <c r="BS19" s="32"/>
      <c r="BT19" s="32"/>
      <c r="BU19" s="32"/>
      <c r="BV19" s="32"/>
      <c r="BW19" s="32"/>
      <c r="BX19" s="32"/>
      <c r="BY19" s="32"/>
      <c r="BZ19" s="32"/>
      <c r="CA19" s="32"/>
      <c r="CB19" s="32"/>
      <c r="CC19" s="32"/>
      <c r="CD19" s="32"/>
      <c r="CE19" s="32"/>
      <c r="CF19" s="32"/>
      <c r="CG19" s="32"/>
      <c r="CH19" s="32"/>
      <c r="CI19" s="32"/>
      <c r="CJ19" s="32"/>
      <c r="CK19" s="32"/>
      <c r="CL19" s="32"/>
      <c r="CM19" s="32"/>
      <c r="CN19" s="32"/>
      <c r="CO19" s="32"/>
      <c r="CP19" s="32"/>
      <c r="CQ19" s="32"/>
      <c r="CR19" s="32"/>
      <c r="CS19" s="32"/>
      <c r="CT19" s="32"/>
    </row>
    <row r="21" spans="2:98" s="31" customFormat="1" ht="15.75">
      <c r="B21" s="39" t="s">
        <v>24</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c r="BP21" s="32"/>
      <c r="BQ21" s="32"/>
      <c r="BR21" s="32"/>
      <c r="BS21" s="32"/>
      <c r="BT21" s="32"/>
      <c r="BU21" s="32"/>
      <c r="BV21" s="32"/>
      <c r="BW21" s="32"/>
      <c r="BX21" s="32"/>
      <c r="BY21" s="32"/>
      <c r="BZ21" s="32"/>
      <c r="CA21" s="32"/>
      <c r="CB21" s="32"/>
      <c r="CC21" s="32"/>
      <c r="CD21" s="32"/>
      <c r="CE21" s="32"/>
      <c r="CF21" s="32"/>
      <c r="CG21" s="32"/>
      <c r="CH21" s="32"/>
      <c r="CI21" s="32"/>
      <c r="CJ21" s="32"/>
      <c r="CK21" s="32"/>
      <c r="CL21" s="32"/>
      <c r="CM21" s="32"/>
      <c r="CN21" s="32"/>
      <c r="CO21" s="32"/>
      <c r="CP21" s="32"/>
      <c r="CQ21" s="32"/>
      <c r="CR21" s="32"/>
      <c r="CS21" s="32"/>
      <c r="CT21" s="32"/>
    </row>
  </sheetData>
  <hyperlinks>
    <hyperlink ref="B19" r:id="rId1" xr:uid="{A825A1A7-5721-4CA5-BD36-4EDDABCDF164}"/>
  </hyperlinks>
  <pageMargins left="0.75" right="0.75" top="1" bottom="1" header="0.5" footer="0.5"/>
  <pageSetup paperSize="9" orientation="landscape"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33305-0759-441B-A388-37BC47D4AF34}">
  <dimension ref="A1:M10"/>
  <sheetViews>
    <sheetView topLeftCell="A4" zoomScale="80" zoomScaleNormal="80" workbookViewId="0">
      <selection activeCell="B18" sqref="B18"/>
    </sheetView>
  </sheetViews>
  <sheetFormatPr defaultRowHeight="14.25"/>
  <cols>
    <col min="1" max="1" width="18.625" customWidth="1"/>
    <col min="2" max="2" width="32.875" customWidth="1"/>
    <col min="3" max="3" width="115.5" customWidth="1"/>
    <col min="13" max="13" width="27.625" customWidth="1"/>
  </cols>
  <sheetData>
    <row r="1" spans="1:13">
      <c r="A1" s="94">
        <f>+Disclaimer!B3</f>
        <v>45658</v>
      </c>
      <c r="D1" s="95"/>
      <c r="E1" s="95"/>
      <c r="F1" s="95"/>
      <c r="G1" s="95"/>
      <c r="H1" s="95"/>
      <c r="I1" s="95"/>
      <c r="J1" s="95"/>
      <c r="K1" s="95"/>
      <c r="L1" s="95"/>
      <c r="M1" s="95"/>
    </row>
    <row r="2" spans="1:13" ht="34.15" customHeight="1">
      <c r="B2" s="100" t="s">
        <v>25</v>
      </c>
      <c r="C2" s="101"/>
      <c r="D2" s="101"/>
      <c r="E2" s="101"/>
      <c r="F2" s="101"/>
      <c r="G2" s="101"/>
      <c r="H2" s="101"/>
      <c r="I2" s="101"/>
      <c r="J2" s="101"/>
      <c r="K2" s="101"/>
      <c r="L2" s="101"/>
      <c r="M2" s="102"/>
    </row>
    <row r="3" spans="1:13" ht="81.75" customHeight="1">
      <c r="B3" s="40" t="s">
        <v>26</v>
      </c>
      <c r="C3" s="96" t="s">
        <v>27</v>
      </c>
      <c r="D3" s="96"/>
      <c r="E3" s="96"/>
      <c r="F3" s="96"/>
      <c r="G3" s="96"/>
      <c r="H3" s="96"/>
      <c r="I3" s="96"/>
      <c r="J3" s="96"/>
      <c r="K3" s="96"/>
      <c r="L3" s="96"/>
      <c r="M3" s="97"/>
    </row>
    <row r="4" spans="1:13" ht="81.75" customHeight="1">
      <c r="B4" s="41" t="s">
        <v>28</v>
      </c>
      <c r="C4" s="98" t="s">
        <v>66</v>
      </c>
      <c r="D4" s="98"/>
      <c r="E4" s="98"/>
      <c r="F4" s="98"/>
      <c r="G4" s="98"/>
      <c r="H4" s="98"/>
      <c r="I4" s="98"/>
      <c r="J4" s="98"/>
      <c r="K4" s="98"/>
      <c r="L4" s="98"/>
      <c r="M4" s="99"/>
    </row>
    <row r="5" spans="1:13" ht="83.45" customHeight="1">
      <c r="B5" s="41" t="s">
        <v>0</v>
      </c>
      <c r="C5" s="98" t="s">
        <v>67</v>
      </c>
      <c r="D5" s="98"/>
      <c r="E5" s="98"/>
      <c r="F5" s="98"/>
      <c r="G5" s="98"/>
      <c r="H5" s="98"/>
      <c r="I5" s="98"/>
      <c r="J5" s="98"/>
      <c r="K5" s="98"/>
      <c r="L5" s="98"/>
      <c r="M5" s="99"/>
    </row>
    <row r="6" spans="1:13" ht="63" customHeight="1">
      <c r="A6" s="103"/>
      <c r="B6" s="104" t="s">
        <v>29</v>
      </c>
      <c r="C6" s="98" t="s">
        <v>68</v>
      </c>
      <c r="D6" s="98"/>
      <c r="E6" s="98"/>
      <c r="F6" s="98"/>
      <c r="G6" s="98"/>
      <c r="H6" s="98"/>
      <c r="I6" s="98"/>
      <c r="J6" s="98"/>
      <c r="K6" s="98"/>
      <c r="L6" s="98"/>
      <c r="M6" s="99"/>
    </row>
    <row r="7" spans="1:13" ht="38.450000000000003" customHeight="1">
      <c r="A7" s="103"/>
      <c r="B7" s="104"/>
      <c r="C7" s="98"/>
      <c r="D7" s="98"/>
      <c r="E7" s="98"/>
      <c r="F7" s="98"/>
      <c r="G7" s="98"/>
      <c r="H7" s="98"/>
      <c r="I7" s="98"/>
      <c r="J7" s="98"/>
      <c r="K7" s="98"/>
      <c r="L7" s="98"/>
      <c r="M7" s="99"/>
    </row>
    <row r="8" spans="1:13" ht="57" customHeight="1">
      <c r="B8" s="42" t="s">
        <v>30</v>
      </c>
      <c r="C8" s="98" t="s">
        <v>69</v>
      </c>
      <c r="D8" s="98"/>
      <c r="E8" s="98"/>
      <c r="F8" s="98"/>
      <c r="G8" s="98"/>
      <c r="H8" s="98"/>
      <c r="I8" s="98"/>
      <c r="J8" s="98"/>
      <c r="K8" s="98"/>
      <c r="L8" s="98"/>
      <c r="M8" s="99"/>
    </row>
    <row r="9" spans="1:13" ht="90" customHeight="1">
      <c r="B9" s="104" t="s">
        <v>31</v>
      </c>
      <c r="C9" s="98" t="s">
        <v>33</v>
      </c>
      <c r="D9" s="98"/>
      <c r="E9" s="98"/>
      <c r="F9" s="98"/>
      <c r="G9" s="98"/>
      <c r="H9" s="98"/>
      <c r="I9" s="98"/>
      <c r="J9" s="98"/>
      <c r="K9" s="98"/>
      <c r="L9" s="98"/>
      <c r="M9" s="99"/>
    </row>
    <row r="10" spans="1:13" ht="34.15" customHeight="1">
      <c r="B10" s="105"/>
      <c r="C10" s="106" t="s">
        <v>32</v>
      </c>
      <c r="D10" s="106"/>
      <c r="E10" s="106"/>
      <c r="F10" s="106"/>
      <c r="G10" s="106"/>
      <c r="H10" s="106"/>
      <c r="I10" s="106"/>
      <c r="J10" s="106"/>
      <c r="K10" s="106"/>
      <c r="L10" s="106"/>
      <c r="M10" s="107"/>
    </row>
  </sheetData>
  <mergeCells count="12">
    <mergeCell ref="C6:M7"/>
    <mergeCell ref="C8:M8"/>
    <mergeCell ref="C9:M9"/>
    <mergeCell ref="A6:A7"/>
    <mergeCell ref="B6:B7"/>
    <mergeCell ref="B9:B10"/>
    <mergeCell ref="C10:M10"/>
    <mergeCell ref="D1:M1"/>
    <mergeCell ref="C3:M3"/>
    <mergeCell ref="C4:M4"/>
    <mergeCell ref="B2:M2"/>
    <mergeCell ref="C5:M5"/>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59658-1D07-436F-B9E6-A394F763A72F}">
  <dimension ref="B3:T9"/>
  <sheetViews>
    <sheetView topLeftCell="A16" zoomScale="70" zoomScaleNormal="70" workbookViewId="0">
      <selection activeCell="W49" sqref="W49"/>
    </sheetView>
  </sheetViews>
  <sheetFormatPr defaultRowHeight="14.25"/>
  <sheetData>
    <row r="3" spans="2:20" ht="15">
      <c r="B3" s="55"/>
      <c r="C3" s="55">
        <v>2013</v>
      </c>
      <c r="D3" s="55">
        <f>C3+1</f>
        <v>2014</v>
      </c>
      <c r="E3" s="55">
        <f t="shared" ref="E3:T3" si="0">D3+1</f>
        <v>2015</v>
      </c>
      <c r="F3" s="55">
        <f t="shared" si="0"/>
        <v>2016</v>
      </c>
      <c r="G3" s="55">
        <f t="shared" si="0"/>
        <v>2017</v>
      </c>
      <c r="H3" s="55">
        <f t="shared" si="0"/>
        <v>2018</v>
      </c>
      <c r="I3" s="55">
        <f t="shared" si="0"/>
        <v>2019</v>
      </c>
      <c r="J3" s="55">
        <f t="shared" si="0"/>
        <v>2020</v>
      </c>
      <c r="K3" s="55">
        <f t="shared" si="0"/>
        <v>2021</v>
      </c>
      <c r="L3" s="55">
        <f t="shared" si="0"/>
        <v>2022</v>
      </c>
      <c r="M3" s="55">
        <f t="shared" si="0"/>
        <v>2023</v>
      </c>
      <c r="N3" s="55">
        <f t="shared" si="0"/>
        <v>2024</v>
      </c>
      <c r="O3" s="55">
        <f t="shared" si="0"/>
        <v>2025</v>
      </c>
      <c r="P3" s="55">
        <f t="shared" si="0"/>
        <v>2026</v>
      </c>
      <c r="Q3" s="55">
        <f t="shared" si="0"/>
        <v>2027</v>
      </c>
      <c r="R3" s="55">
        <f t="shared" si="0"/>
        <v>2028</v>
      </c>
      <c r="S3" s="55">
        <f t="shared" si="0"/>
        <v>2029</v>
      </c>
      <c r="T3" s="55">
        <f t="shared" si="0"/>
        <v>2030</v>
      </c>
    </row>
    <row r="4" spans="2:20">
      <c r="B4" t="s">
        <v>62</v>
      </c>
      <c r="C4" s="54">
        <f>'ETS balance - Jan 25'!D8</f>
        <v>1907.9501330000001</v>
      </c>
      <c r="D4" s="54">
        <f>'ETS balance - Jan 25'!E8</f>
        <v>1813.6418469999999</v>
      </c>
      <c r="E4" s="54">
        <f>'ETS balance - Jan 25'!F8</f>
        <v>1802.9396109999998</v>
      </c>
      <c r="F4" s="54">
        <f>'ETS balance - Jan 25'!G8</f>
        <v>1750.585368</v>
      </c>
      <c r="G4" s="54">
        <f>'ETS balance - Jan 25'!H8</f>
        <v>1803.0068390000008</v>
      </c>
      <c r="H4" s="54">
        <f>'ETS balance - Jan 25'!I8</f>
        <v>1689.3943849999994</v>
      </c>
      <c r="I4" s="54">
        <f>'ETS balance - Jan 25'!J8</f>
        <v>1562.3656679999997</v>
      </c>
      <c r="J4" s="54">
        <f>'ETS balance - Jan 25'!K8</f>
        <v>1352.4926160000007</v>
      </c>
      <c r="K4" s="54">
        <f>'ETS balance - Jan 25'!L8</f>
        <v>1290.4189870000007</v>
      </c>
      <c r="L4" s="54">
        <f>'ETS balance - Jan 25'!M8</f>
        <v>1346.4202929999983</v>
      </c>
      <c r="M4" s="54">
        <f>'ETS balance - Jan 25'!N8</f>
        <v>1086.9642500000004</v>
      </c>
      <c r="N4" s="54">
        <f>'ETS balance - Jan 25'!O7</f>
        <v>1143.9134143309343</v>
      </c>
      <c r="O4" s="54">
        <f>'ETS balance - Jan 25'!P7</f>
        <v>1138.9409331693482</v>
      </c>
      <c r="P4" s="54">
        <f>'ETS balance - Jan 25'!Q7</f>
        <v>1098.8398566828184</v>
      </c>
      <c r="Q4" s="54">
        <f>'ETS balance - Jan 25'!R7</f>
        <v>995.63770383131725</v>
      </c>
      <c r="R4" s="54">
        <f>'ETS balance - Jan 25'!S7</f>
        <v>945.27018261133685</v>
      </c>
      <c r="S4" s="54">
        <f>'ETS balance - Jan 25'!T7</f>
        <v>903.3054131092938</v>
      </c>
      <c r="T4" s="54">
        <f>'ETS balance - Jan 25'!U7</f>
        <v>830.4538524583254</v>
      </c>
    </row>
    <row r="5" spans="2:20">
      <c r="B5" t="s">
        <v>63</v>
      </c>
      <c r="C5" s="54">
        <f>'ETS balance - Jan 25'!D18</f>
        <v>2116.4353249999999</v>
      </c>
      <c r="D5" s="54">
        <f>'ETS balance - Jan 25'!E18</f>
        <v>2087.3851140000002</v>
      </c>
      <c r="E5" s="54">
        <f>'ETS balance - Jan 25'!F18</f>
        <v>2055.877422</v>
      </c>
      <c r="F5" s="54">
        <f>'ETS balance - Jan 25'!G18</f>
        <v>2007.093903</v>
      </c>
      <c r="G5" s="54">
        <f>'ETS balance - Jan 25'!H18</f>
        <v>1968.634037</v>
      </c>
      <c r="H5" s="54">
        <f>'ETS balance - Jan 25'!I18</f>
        <v>1929.1762859999999</v>
      </c>
      <c r="I5" s="54">
        <f>'ETS balance - Jan 25'!J18</f>
        <v>1890.3604189999999</v>
      </c>
      <c r="J5" s="54">
        <f>'ETS balance - Jan 25'!K18</f>
        <v>1854.4504440000001</v>
      </c>
      <c r="K5" s="54">
        <f>'ETS balance - Jan 25'!L18</f>
        <v>1601.2848009302324</v>
      </c>
      <c r="L5" s="54">
        <f>'ETS balance - Jan 25'!M18</f>
        <v>1557.5685309534881</v>
      </c>
      <c r="M5" s="54">
        <f>'ETS balance - Jan 25'!N18</f>
        <v>1513.852260976744</v>
      </c>
      <c r="N5" s="54">
        <f>'ETS balance - Jan 25'!O18</f>
        <v>1413.615274</v>
      </c>
      <c r="O5" s="54">
        <f>'ETS balance - Jan 25'!P18</f>
        <v>1324.2979310000001</v>
      </c>
      <c r="P5" s="54">
        <f>'ETS balance - Jan 25'!Q18</f>
        <v>1207.9805880000001</v>
      </c>
      <c r="Q5" s="54">
        <f>'ETS balance - Jan 25'!R18</f>
        <v>1118.6632450000002</v>
      </c>
      <c r="R5" s="54">
        <f>'ETS balance - Jan 25'!S18</f>
        <v>1027.2687544883722</v>
      </c>
      <c r="S5" s="54">
        <f>'ETS balance - Jan 25'!T18</f>
        <v>935.87426397674437</v>
      </c>
      <c r="T5" s="54">
        <f>'ETS balance - Jan 25'!U18</f>
        <v>844.47977346511641</v>
      </c>
    </row>
    <row r="6" spans="2:20">
      <c r="B6" t="s">
        <v>64</v>
      </c>
      <c r="C6" s="54">
        <f>'ETS balance - Jan 25'!D30</f>
        <v>2195.2537765397797</v>
      </c>
      <c r="D6" s="54">
        <f>'ETS balance - Jan 25'!E30</f>
        <v>2060.7854856170252</v>
      </c>
      <c r="E6" s="54">
        <f>'ETS balance - Jan 25'!F30</f>
        <v>1852.1676647704321</v>
      </c>
      <c r="F6" s="54">
        <f>'ETS balance - Jan 25'!G30</f>
        <v>1693.941501</v>
      </c>
      <c r="G6" s="54">
        <f>'ETS balance - Jan 25'!H30</f>
        <v>1654.6112019999996</v>
      </c>
      <c r="H6" s="54">
        <f>'ETS balance - Jan 25'!I30</f>
        <v>1654.9464279999993</v>
      </c>
      <c r="I6" s="54">
        <f>'ETS balance - Jan 25'!J30</f>
        <v>1385.5327700000003</v>
      </c>
      <c r="J6" s="54">
        <f>'ETS balance - Jan 25'!K30</f>
        <v>1578.809030000004</v>
      </c>
      <c r="K6" s="54">
        <f>'ETS balance - Jan 25'!L30</f>
        <v>1449.2507859999987</v>
      </c>
      <c r="L6" s="54">
        <f>'ETS balance - Jan 25'!M30</f>
        <v>1134.8313420000004</v>
      </c>
      <c r="M6" s="54">
        <f>'ETS balance - Jan 25'!N30</f>
        <v>1111.7731390000004</v>
      </c>
      <c r="N6" s="54">
        <f>'ETS balance - Jan 25'!O30</f>
        <v>1145.6429177890655</v>
      </c>
      <c r="O6" s="54">
        <f>'ETS balance - Jan 25'!P30</f>
        <v>1091.4735649165914</v>
      </c>
      <c r="P6" s="54">
        <f>'ETS balance - Jan 25'!Q30</f>
        <v>957.17163238865851</v>
      </c>
      <c r="Q6" s="54">
        <f>'ETS balance - Jan 25'!R30</f>
        <v>850.02752348339357</v>
      </c>
      <c r="R6" s="54">
        <f>'ETS balance - Jan 25'!S30</f>
        <v>697.35209536042908</v>
      </c>
      <c r="S6" s="54">
        <f>'ETS balance - Jan 25'!T30</f>
        <v>499.92094622787965</v>
      </c>
      <c r="T6" s="54">
        <f>'ETS balance - Jan 25'!U30</f>
        <v>487.94686723467078</v>
      </c>
    </row>
    <row r="8" spans="2:20">
      <c r="B8" t="s">
        <v>65</v>
      </c>
      <c r="C8" s="54">
        <f>'ETS balance - Jan 25'!D31</f>
        <v>374.87858400108348</v>
      </c>
      <c r="D8" s="54">
        <f>D6-C6</f>
        <v>-134.46829092275448</v>
      </c>
      <c r="E8" s="54">
        <f t="shared" ref="E8:T8" si="1">E6-D6</f>
        <v>-208.61782084659308</v>
      </c>
      <c r="F8" s="54">
        <f t="shared" si="1"/>
        <v>-158.22616377043209</v>
      </c>
      <c r="G8" s="54">
        <f t="shared" si="1"/>
        <v>-39.330299000000423</v>
      </c>
      <c r="H8" s="54">
        <f t="shared" si="1"/>
        <v>0.33522599999969316</v>
      </c>
      <c r="I8" s="54">
        <f t="shared" si="1"/>
        <v>-269.41365799999903</v>
      </c>
      <c r="J8" s="54">
        <f t="shared" si="1"/>
        <v>193.27626000000373</v>
      </c>
      <c r="K8" s="54">
        <f t="shared" si="1"/>
        <v>-129.55824400000529</v>
      </c>
      <c r="L8" s="54">
        <f t="shared" si="1"/>
        <v>-314.41944399999829</v>
      </c>
      <c r="M8" s="54">
        <f t="shared" si="1"/>
        <v>-23.058203000000049</v>
      </c>
      <c r="N8" s="54">
        <f t="shared" si="1"/>
        <v>33.869778789065094</v>
      </c>
      <c r="O8" s="54">
        <f t="shared" si="1"/>
        <v>-54.169352872474064</v>
      </c>
      <c r="P8" s="54">
        <f t="shared" si="1"/>
        <v>-134.30193252793288</v>
      </c>
      <c r="Q8" s="54">
        <f t="shared" si="1"/>
        <v>-107.14410890526494</v>
      </c>
      <c r="R8" s="54">
        <f t="shared" si="1"/>
        <v>-152.67542812296449</v>
      </c>
      <c r="S8" s="54">
        <f t="shared" si="1"/>
        <v>-197.43114913254942</v>
      </c>
      <c r="T8" s="54">
        <f t="shared" si="1"/>
        <v>-11.974078993208877</v>
      </c>
    </row>
    <row r="9" spans="2:20">
      <c r="B9" t="s">
        <v>64</v>
      </c>
      <c r="C9" s="54">
        <f>C6</f>
        <v>2195.2537765397797</v>
      </c>
      <c r="D9" s="54">
        <f t="shared" ref="D9:T9" si="2">D6</f>
        <v>2060.7854856170252</v>
      </c>
      <c r="E9" s="54">
        <f t="shared" si="2"/>
        <v>1852.1676647704321</v>
      </c>
      <c r="F9" s="54">
        <f t="shared" si="2"/>
        <v>1693.941501</v>
      </c>
      <c r="G9" s="54">
        <f t="shared" si="2"/>
        <v>1654.6112019999996</v>
      </c>
      <c r="H9" s="54">
        <f t="shared" si="2"/>
        <v>1654.9464279999993</v>
      </c>
      <c r="I9" s="54">
        <f t="shared" si="2"/>
        <v>1385.5327700000003</v>
      </c>
      <c r="J9" s="54">
        <f t="shared" si="2"/>
        <v>1578.809030000004</v>
      </c>
      <c r="K9" s="54">
        <f t="shared" si="2"/>
        <v>1449.2507859999987</v>
      </c>
      <c r="L9" s="54">
        <f t="shared" si="2"/>
        <v>1134.8313420000004</v>
      </c>
      <c r="M9" s="54">
        <f t="shared" si="2"/>
        <v>1111.7731390000004</v>
      </c>
      <c r="N9" s="54">
        <f t="shared" si="2"/>
        <v>1145.6429177890655</v>
      </c>
      <c r="O9" s="54">
        <f t="shared" si="2"/>
        <v>1091.4735649165914</v>
      </c>
      <c r="P9" s="54">
        <f t="shared" si="2"/>
        <v>957.17163238865851</v>
      </c>
      <c r="Q9" s="54">
        <f t="shared" si="2"/>
        <v>850.02752348339357</v>
      </c>
      <c r="R9" s="54">
        <f t="shared" si="2"/>
        <v>697.35209536042908</v>
      </c>
      <c r="S9" s="54">
        <f t="shared" si="2"/>
        <v>499.92094622787965</v>
      </c>
      <c r="T9" s="54">
        <f t="shared" si="2"/>
        <v>487.94686723467078</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C1273-8DDE-4A85-9355-D2C7A48C824D}">
  <dimension ref="B2:W54"/>
  <sheetViews>
    <sheetView showGridLines="0" tabSelected="1" zoomScale="70" zoomScaleNormal="70" workbookViewId="0">
      <pane ySplit="3" topLeftCell="A4" activePane="bottomLeft" state="frozen"/>
      <selection pane="bottomLeft" activeCell="Z17" sqref="Z17"/>
    </sheetView>
  </sheetViews>
  <sheetFormatPr defaultColWidth="8.75" defaultRowHeight="12.75"/>
  <cols>
    <col min="1" max="1" width="4.75" style="2" customWidth="1"/>
    <col min="2" max="2" width="2.625" style="2" customWidth="1"/>
    <col min="3" max="3" width="59.25" style="2" customWidth="1"/>
    <col min="4" max="22" width="8.75" style="2"/>
    <col min="23" max="23" width="15.25" style="2" customWidth="1"/>
    <col min="24" max="16384" width="8.75" style="2"/>
  </cols>
  <sheetData>
    <row r="2" spans="2:23">
      <c r="C2" s="7"/>
      <c r="D2" s="108" t="s">
        <v>11</v>
      </c>
      <c r="E2" s="108"/>
      <c r="F2" s="108"/>
      <c r="G2" s="108"/>
      <c r="H2" s="108"/>
      <c r="I2" s="108"/>
      <c r="J2" s="108"/>
      <c r="K2" s="109"/>
      <c r="L2" s="110" t="s">
        <v>10</v>
      </c>
      <c r="M2" s="111"/>
      <c r="N2" s="111"/>
      <c r="O2" s="111"/>
      <c r="P2" s="111"/>
      <c r="Q2" s="111"/>
      <c r="R2" s="111"/>
      <c r="S2" s="111"/>
      <c r="T2" s="111"/>
      <c r="U2" s="112"/>
      <c r="W2" s="25" t="s">
        <v>13</v>
      </c>
    </row>
    <row r="3" spans="2:23">
      <c r="B3" s="6"/>
      <c r="C3" s="12"/>
      <c r="D3" s="3">
        <v>2013</v>
      </c>
      <c r="E3" s="3">
        <f t="shared" ref="E3:U3" si="0">+D3+1</f>
        <v>2014</v>
      </c>
      <c r="F3" s="3">
        <f t="shared" si="0"/>
        <v>2015</v>
      </c>
      <c r="G3" s="3">
        <f t="shared" si="0"/>
        <v>2016</v>
      </c>
      <c r="H3" s="3">
        <f t="shared" si="0"/>
        <v>2017</v>
      </c>
      <c r="I3" s="3">
        <f t="shared" si="0"/>
        <v>2018</v>
      </c>
      <c r="J3" s="3">
        <f t="shared" si="0"/>
        <v>2019</v>
      </c>
      <c r="K3" s="4">
        <f t="shared" si="0"/>
        <v>2020</v>
      </c>
      <c r="L3" s="14">
        <f t="shared" si="0"/>
        <v>2021</v>
      </c>
      <c r="M3" s="3">
        <f t="shared" si="0"/>
        <v>2022</v>
      </c>
      <c r="N3" s="3">
        <f t="shared" si="0"/>
        <v>2023</v>
      </c>
      <c r="O3" s="3">
        <f t="shared" si="0"/>
        <v>2024</v>
      </c>
      <c r="P3" s="3">
        <f>+O3+1</f>
        <v>2025</v>
      </c>
      <c r="Q3" s="3">
        <f t="shared" si="0"/>
        <v>2026</v>
      </c>
      <c r="R3" s="3">
        <f t="shared" si="0"/>
        <v>2027</v>
      </c>
      <c r="S3" s="3">
        <f t="shared" si="0"/>
        <v>2028</v>
      </c>
      <c r="T3" s="3">
        <f>+S3+1</f>
        <v>2029</v>
      </c>
      <c r="U3" s="4">
        <f t="shared" si="0"/>
        <v>2030</v>
      </c>
      <c r="W3" s="26" t="s">
        <v>5</v>
      </c>
    </row>
    <row r="4" spans="2:23" customFormat="1" ht="14.25"/>
    <row r="5" spans="2:23" customFormat="1" ht="15">
      <c r="O5" s="113" t="s">
        <v>49</v>
      </c>
      <c r="P5" s="113"/>
      <c r="Q5" s="113"/>
      <c r="R5" s="113"/>
      <c r="S5" s="113"/>
      <c r="T5" s="113"/>
      <c r="U5" s="113"/>
    </row>
    <row r="6" spans="2:23">
      <c r="B6" s="17" t="s">
        <v>0</v>
      </c>
      <c r="C6" s="18"/>
      <c r="D6" s="19"/>
      <c r="E6" s="19"/>
      <c r="F6" s="19"/>
      <c r="G6" s="19"/>
      <c r="H6" s="19"/>
      <c r="I6" s="19"/>
      <c r="J6" s="19"/>
      <c r="K6" s="18"/>
      <c r="L6" s="20"/>
      <c r="M6" s="19"/>
      <c r="N6" s="19"/>
      <c r="O6" s="19"/>
      <c r="P6" s="19"/>
      <c r="Q6" s="19"/>
      <c r="R6" s="19"/>
      <c r="S6" s="19"/>
      <c r="T6" s="19"/>
      <c r="U6" s="18"/>
      <c r="W6" s="27"/>
    </row>
    <row r="7" spans="2:23">
      <c r="B7" s="1" t="s">
        <v>60</v>
      </c>
      <c r="C7" s="21"/>
      <c r="D7" s="43">
        <f>SUM(D10:D11,D14)</f>
        <v>1907.9501330000001</v>
      </c>
      <c r="E7" s="43">
        <f t="shared" ref="E7:M7" si="1">SUM(E10:E11,E14)</f>
        <v>1813.6418469999999</v>
      </c>
      <c r="F7" s="43">
        <f t="shared" si="1"/>
        <v>1802.9396109999998</v>
      </c>
      <c r="G7" s="43">
        <f t="shared" si="1"/>
        <v>1750.585368</v>
      </c>
      <c r="H7" s="43">
        <f t="shared" si="1"/>
        <v>1754.8398090000001</v>
      </c>
      <c r="I7" s="43">
        <f t="shared" si="1"/>
        <v>1683.199871</v>
      </c>
      <c r="J7" s="43">
        <f t="shared" si="1"/>
        <v>1530.4195400000001</v>
      </c>
      <c r="K7" s="44">
        <f t="shared" si="1"/>
        <v>1356.086348</v>
      </c>
      <c r="L7" s="45">
        <f t="shared" si="1"/>
        <v>1336.8820860000001</v>
      </c>
      <c r="M7" s="43">
        <f t="shared" si="1"/>
        <v>1313.2479440000002</v>
      </c>
      <c r="N7" s="43">
        <f>SUM(N10:N11,N14)</f>
        <v>1089.4312989999999</v>
      </c>
      <c r="O7" s="66">
        <f>SUM(O10:O14)</f>
        <v>1143.9134143309343</v>
      </c>
      <c r="P7" s="66">
        <f t="shared" ref="P7:T7" si="2">SUM(P10:P14)</f>
        <v>1138.9409331693482</v>
      </c>
      <c r="Q7" s="66">
        <f t="shared" si="2"/>
        <v>1098.8398566828184</v>
      </c>
      <c r="R7" s="66">
        <f t="shared" si="2"/>
        <v>995.63770383131725</v>
      </c>
      <c r="S7" s="66">
        <f t="shared" si="2"/>
        <v>945.27018261133685</v>
      </c>
      <c r="T7" s="66">
        <f t="shared" si="2"/>
        <v>903.3054131092938</v>
      </c>
      <c r="U7" s="67">
        <f>SUM(U10:U14)</f>
        <v>830.4538524583254</v>
      </c>
      <c r="W7" s="28">
        <f>SUM(L8:N8,O7:U7)</f>
        <v>10780.164886193374</v>
      </c>
    </row>
    <row r="8" spans="2:23">
      <c r="B8" s="5" t="s">
        <v>54</v>
      </c>
      <c r="C8" s="21"/>
      <c r="D8" s="75">
        <v>1907.9501330000001</v>
      </c>
      <c r="E8" s="75">
        <v>1813.6418469999999</v>
      </c>
      <c r="F8" s="75">
        <v>1802.9396109999998</v>
      </c>
      <c r="G8" s="75">
        <v>1750.585368</v>
      </c>
      <c r="H8" s="75">
        <v>1803.0068390000008</v>
      </c>
      <c r="I8" s="75">
        <v>1689.3943849999994</v>
      </c>
      <c r="J8" s="75">
        <v>1562.3656679999997</v>
      </c>
      <c r="K8" s="76">
        <v>1352.4926160000007</v>
      </c>
      <c r="L8" s="77">
        <v>1290.4189870000007</v>
      </c>
      <c r="M8" s="75">
        <v>1346.4202929999983</v>
      </c>
      <c r="N8" s="75">
        <v>1086.9642500000004</v>
      </c>
      <c r="O8" s="72"/>
      <c r="P8" s="72"/>
      <c r="Q8" s="72"/>
      <c r="R8" s="72"/>
      <c r="S8" s="72"/>
      <c r="T8" s="72"/>
      <c r="U8" s="74"/>
      <c r="W8" s="92"/>
    </row>
    <row r="9" spans="2:23">
      <c r="B9" s="2" t="s">
        <v>43</v>
      </c>
      <c r="C9" s="7"/>
      <c r="D9" s="23">
        <f>SUM(D10:D13)</f>
        <v>1961.43703</v>
      </c>
      <c r="E9" s="23">
        <f t="shared" ref="E9:U9" si="3">SUM(E10:E13)</f>
        <v>1868.4744629999998</v>
      </c>
      <c r="F9" s="23">
        <f t="shared" si="3"/>
        <v>1860.0480449999998</v>
      </c>
      <c r="G9" s="23">
        <f>SUM(G10:G13)</f>
        <v>1812.059659</v>
      </c>
      <c r="H9" s="23">
        <f t="shared" si="3"/>
        <v>1819.1721110000001</v>
      </c>
      <c r="I9" s="23">
        <f t="shared" si="3"/>
        <v>1750.657635</v>
      </c>
      <c r="J9" s="23">
        <f t="shared" si="3"/>
        <v>1598.5639200000001</v>
      </c>
      <c r="K9" s="46">
        <f t="shared" si="3"/>
        <v>1381.2487119999998</v>
      </c>
      <c r="L9" s="47">
        <f t="shared" si="3"/>
        <v>1364.655064</v>
      </c>
      <c r="M9" s="23">
        <f t="shared" si="3"/>
        <v>1362.4433260000001</v>
      </c>
      <c r="N9" s="23">
        <f>SUM(N10:N13)</f>
        <v>1142.5984169999999</v>
      </c>
      <c r="O9" s="68">
        <f>SUM(O10:O13)</f>
        <v>1143.9134143309343</v>
      </c>
      <c r="P9" s="68">
        <f t="shared" si="3"/>
        <v>1138.9409331693482</v>
      </c>
      <c r="Q9" s="68">
        <f t="shared" si="3"/>
        <v>1098.8398566828184</v>
      </c>
      <c r="R9" s="68">
        <f t="shared" si="3"/>
        <v>995.63770383131725</v>
      </c>
      <c r="S9" s="68">
        <f>SUM(S10:S13)</f>
        <v>945.27018261133685</v>
      </c>
      <c r="T9" s="68">
        <f t="shared" si="3"/>
        <v>903.3054131092938</v>
      </c>
      <c r="U9" s="69">
        <f t="shared" si="3"/>
        <v>830.4538524583254</v>
      </c>
      <c r="W9" s="29">
        <f>SUM(L9:U9)</f>
        <v>10926.058163193375</v>
      </c>
    </row>
    <row r="10" spans="2:23">
      <c r="B10" s="5"/>
      <c r="C10" s="7" t="s">
        <v>44</v>
      </c>
      <c r="D10" s="23">
        <v>1191.5743468364781</v>
      </c>
      <c r="E10" s="63">
        <v>1100.2482417078281</v>
      </c>
      <c r="F10" s="63">
        <v>1091.5447136067664</v>
      </c>
      <c r="G10" s="63">
        <v>1047.1830822857144</v>
      </c>
      <c r="H10" s="63">
        <v>1036.3452953903134</v>
      </c>
      <c r="I10" s="63">
        <v>964.73609869043366</v>
      </c>
      <c r="J10" s="63">
        <v>822.92329690196084</v>
      </c>
      <c r="K10" s="64">
        <v>696.50681033628314</v>
      </c>
      <c r="L10" s="65">
        <v>708.23114075467458</v>
      </c>
      <c r="M10" s="63">
        <v>724.77697938051745</v>
      </c>
      <c r="N10" s="63">
        <v>545.91127363503642</v>
      </c>
      <c r="O10" s="70">
        <v>546.09471326509288</v>
      </c>
      <c r="P10" s="70">
        <v>529.47986770256819</v>
      </c>
      <c r="Q10" s="70">
        <v>476.28870874753426</v>
      </c>
      <c r="R10" s="70">
        <v>397.233973966858</v>
      </c>
      <c r="S10" s="70">
        <v>361.98602086623896</v>
      </c>
      <c r="T10" s="70">
        <v>335.01175309031299</v>
      </c>
      <c r="U10" s="71">
        <v>296.90112348109034</v>
      </c>
      <c r="W10" s="29">
        <f t="shared" ref="W10:W14" si="4">SUM(L10:U10)</f>
        <v>4921.9155548899234</v>
      </c>
    </row>
    <row r="11" spans="2:23">
      <c r="C11" s="7" t="s">
        <v>45</v>
      </c>
      <c r="D11" s="23">
        <v>716.37578616352198</v>
      </c>
      <c r="E11" s="23">
        <v>713.39360529217174</v>
      </c>
      <c r="F11" s="23">
        <v>711.39489739323335</v>
      </c>
      <c r="G11" s="23">
        <v>703.40228571428577</v>
      </c>
      <c r="H11" s="23">
        <v>718.40968660968679</v>
      </c>
      <c r="I11" s="23">
        <v>718.42721330956647</v>
      </c>
      <c r="J11" s="23">
        <v>707.46274509803925</v>
      </c>
      <c r="K11" s="46">
        <v>659.48672566371692</v>
      </c>
      <c r="L11" s="47">
        <v>628.47045624532541</v>
      </c>
      <c r="M11" s="23">
        <v>588.44824961948257</v>
      </c>
      <c r="N11" s="23">
        <v>543.49635036496352</v>
      </c>
      <c r="O11" s="68">
        <v>496.20710354464956</v>
      </c>
      <c r="P11" s="68">
        <v>474.74930095337908</v>
      </c>
      <c r="Q11" s="68">
        <v>455.82220883177428</v>
      </c>
      <c r="R11" s="68">
        <v>431.35521899710534</v>
      </c>
      <c r="S11" s="68">
        <v>415.84908394109863</v>
      </c>
      <c r="T11" s="68">
        <v>400.70654878624202</v>
      </c>
      <c r="U11" s="69">
        <v>365.99158518706463</v>
      </c>
      <c r="W11" s="29">
        <f t="shared" si="4"/>
        <v>4801.0961064710855</v>
      </c>
    </row>
    <row r="12" spans="2:23">
      <c r="C12" s="7" t="s">
        <v>46</v>
      </c>
      <c r="D12" s="23">
        <v>53.486896999999999</v>
      </c>
      <c r="E12" s="23">
        <v>54.832616000000002</v>
      </c>
      <c r="F12" s="23">
        <v>57.108434000000003</v>
      </c>
      <c r="G12" s="23">
        <v>61.474291000000001</v>
      </c>
      <c r="H12" s="23">
        <v>64.417129000000003</v>
      </c>
      <c r="I12" s="23">
        <v>67.494322999999994</v>
      </c>
      <c r="J12" s="23">
        <v>68.177878000000007</v>
      </c>
      <c r="K12" s="46">
        <v>25.255175999999999</v>
      </c>
      <c r="L12" s="47">
        <v>27.953467</v>
      </c>
      <c r="M12" s="63">
        <v>49.218097</v>
      </c>
      <c r="N12" s="63">
        <v>53.190792999999999</v>
      </c>
      <c r="O12" s="70">
        <v>59.688130819456283</v>
      </c>
      <c r="P12" s="70">
        <v>61.357259125282646</v>
      </c>
      <c r="Q12" s="70">
        <v>61.991610829978626</v>
      </c>
      <c r="R12" s="70">
        <v>61.971994520694423</v>
      </c>
      <c r="S12" s="70">
        <v>62.127940378710527</v>
      </c>
      <c r="T12" s="70">
        <v>62.056055355584334</v>
      </c>
      <c r="U12" s="71">
        <v>61.79929327217598</v>
      </c>
      <c r="W12" s="29">
        <f t="shared" si="4"/>
        <v>561.35464130188279</v>
      </c>
    </row>
    <row r="13" spans="2:23">
      <c r="C13" s="7" t="s">
        <v>47</v>
      </c>
      <c r="D13" s="48"/>
      <c r="E13" s="48"/>
      <c r="F13" s="48"/>
      <c r="G13" s="48"/>
      <c r="H13" s="48"/>
      <c r="I13" s="48"/>
      <c r="J13" s="48"/>
      <c r="K13" s="48"/>
      <c r="L13" s="48"/>
      <c r="M13" s="48"/>
      <c r="N13" s="48"/>
      <c r="O13" s="68">
        <v>41.923466701735521</v>
      </c>
      <c r="P13" s="68">
        <v>73.354505388118554</v>
      </c>
      <c r="Q13" s="68">
        <v>104.73732827353118</v>
      </c>
      <c r="R13" s="68">
        <v>105.07651634665947</v>
      </c>
      <c r="S13" s="68">
        <v>105.30713742528879</v>
      </c>
      <c r="T13" s="68">
        <v>105.53105587715446</v>
      </c>
      <c r="U13" s="69">
        <v>105.76185051799452</v>
      </c>
      <c r="W13" s="29">
        <f t="shared" si="4"/>
        <v>641.69186053048247</v>
      </c>
    </row>
    <row r="14" spans="2:23">
      <c r="B14" s="2" t="s">
        <v>48</v>
      </c>
      <c r="C14" s="13"/>
      <c r="D14" s="48"/>
      <c r="E14" s="48"/>
      <c r="F14" s="48"/>
      <c r="G14" s="48"/>
      <c r="H14" s="59">
        <v>8.4826999999999986E-2</v>
      </c>
      <c r="I14" s="59">
        <v>3.6559000000000008E-2</v>
      </c>
      <c r="J14" s="59">
        <v>3.3497999999999972E-2</v>
      </c>
      <c r="K14" s="60">
        <v>9.2812000000000006E-2</v>
      </c>
      <c r="L14" s="61">
        <v>0.18048900000000007</v>
      </c>
      <c r="M14" s="62">
        <v>2.271499999999993E-2</v>
      </c>
      <c r="N14" s="62">
        <v>2.3675000000000002E-2</v>
      </c>
      <c r="O14" s="72"/>
      <c r="P14" s="72"/>
      <c r="Q14" s="72"/>
      <c r="R14" s="72"/>
      <c r="S14" s="72"/>
      <c r="T14" s="72"/>
      <c r="U14" s="74"/>
      <c r="W14" s="29">
        <f t="shared" si="4"/>
        <v>0.226879</v>
      </c>
    </row>
    <row r="15" spans="2:23" customFormat="1" ht="14.25">
      <c r="D15" s="54"/>
      <c r="E15" s="54"/>
      <c r="F15" s="54"/>
      <c r="G15" s="54"/>
      <c r="H15" s="54"/>
      <c r="I15" s="54"/>
      <c r="J15" s="54"/>
      <c r="K15" s="54"/>
      <c r="L15" s="54"/>
      <c r="M15" s="54"/>
      <c r="N15" s="54"/>
    </row>
    <row r="16" spans="2:23" customFormat="1" ht="14.25"/>
    <row r="17" spans="2:23">
      <c r="B17" s="17" t="s">
        <v>14</v>
      </c>
      <c r="C17" s="18"/>
      <c r="D17" s="19"/>
      <c r="E17" s="19"/>
      <c r="F17" s="19"/>
      <c r="G17" s="19"/>
      <c r="H17" s="19"/>
      <c r="I17" s="19"/>
      <c r="J17" s="19"/>
      <c r="K17" s="18"/>
      <c r="L17" s="20"/>
      <c r="M17" s="19"/>
      <c r="N17" s="19"/>
      <c r="O17" s="19"/>
      <c r="P17" s="19"/>
      <c r="Q17" s="19"/>
      <c r="R17" s="19"/>
      <c r="S17" s="19"/>
      <c r="T17" s="19"/>
      <c r="U17" s="18"/>
      <c r="W17" s="27"/>
    </row>
    <row r="18" spans="2:23">
      <c r="B18" s="1" t="s">
        <v>34</v>
      </c>
      <c r="C18" s="21"/>
      <c r="D18" s="8">
        <f>+D19+D20+D21</f>
        <v>2116.4353249999999</v>
      </c>
      <c r="E18" s="8">
        <f t="shared" ref="E18:U18" si="5">+E19+E20+E21</f>
        <v>2087.3851140000002</v>
      </c>
      <c r="F18" s="8">
        <f t="shared" si="5"/>
        <v>2055.877422</v>
      </c>
      <c r="G18" s="8">
        <f t="shared" si="5"/>
        <v>2007.093903</v>
      </c>
      <c r="H18" s="8">
        <f t="shared" si="5"/>
        <v>1968.634037</v>
      </c>
      <c r="I18" s="8">
        <f t="shared" si="5"/>
        <v>1929.1762859999999</v>
      </c>
      <c r="J18" s="8">
        <f t="shared" si="5"/>
        <v>1890.3604189999999</v>
      </c>
      <c r="K18" s="9">
        <f t="shared" si="5"/>
        <v>1854.4504440000001</v>
      </c>
      <c r="L18" s="15">
        <f t="shared" si="5"/>
        <v>1601.2848009302324</v>
      </c>
      <c r="M18" s="8">
        <f t="shared" si="5"/>
        <v>1557.5685309534881</v>
      </c>
      <c r="N18" s="8">
        <f>+N19+N20+N21</f>
        <v>1513.852260976744</v>
      </c>
      <c r="O18" s="66">
        <f>+O19+O20+O21</f>
        <v>1413.615274</v>
      </c>
      <c r="P18" s="66">
        <f t="shared" si="5"/>
        <v>1324.2979310000001</v>
      </c>
      <c r="Q18" s="66">
        <f t="shared" si="5"/>
        <v>1207.9805880000001</v>
      </c>
      <c r="R18" s="66">
        <f t="shared" si="5"/>
        <v>1118.6632450000002</v>
      </c>
      <c r="S18" s="66">
        <f t="shared" si="5"/>
        <v>1027.2687544883722</v>
      </c>
      <c r="T18" s="66">
        <f t="shared" si="5"/>
        <v>935.87426397674437</v>
      </c>
      <c r="U18" s="67">
        <f t="shared" si="5"/>
        <v>844.47977346511641</v>
      </c>
      <c r="W18" s="29">
        <f t="shared" ref="W18:W26" si="6">SUM(L18:U18)</f>
        <v>12544.885422790698</v>
      </c>
    </row>
    <row r="19" spans="2:23">
      <c r="C19" s="7" t="s">
        <v>8</v>
      </c>
      <c r="D19" s="23">
        <v>2084.301856</v>
      </c>
      <c r="E19" s="23">
        <v>2046.0376100000001</v>
      </c>
      <c r="F19" s="23">
        <v>2007.7733639999999</v>
      </c>
      <c r="G19" s="23">
        <v>1969.5091179999999</v>
      </c>
      <c r="H19" s="23">
        <v>1931.2448730000001</v>
      </c>
      <c r="I19" s="23">
        <v>1892.9806269999999</v>
      </c>
      <c r="J19" s="23">
        <v>1854.716381</v>
      </c>
      <c r="K19" s="46">
        <v>1816.452135</v>
      </c>
      <c r="L19" s="47">
        <v>1571.583007</v>
      </c>
      <c r="M19" s="23">
        <v>1528.5794919999998</v>
      </c>
      <c r="N19" s="23">
        <v>1485.5759769999997</v>
      </c>
      <c r="O19" s="68">
        <v>1307.6517449999999</v>
      </c>
      <c r="P19" s="68">
        <v>1223.5994202272727</v>
      </c>
      <c r="Q19" s="68">
        <v>1112.5470954545456</v>
      </c>
      <c r="R19" s="68">
        <v>1028.4947706818184</v>
      </c>
      <c r="S19" s="68">
        <v>942.48774068181842</v>
      </c>
      <c r="T19" s="68">
        <v>856.48071068181844</v>
      </c>
      <c r="U19" s="69">
        <v>770.47368068181845</v>
      </c>
      <c r="W19" s="29">
        <f t="shared" si="6"/>
        <v>11827.473639409091</v>
      </c>
    </row>
    <row r="20" spans="2:23">
      <c r="C20" s="7" t="s">
        <v>6</v>
      </c>
      <c r="D20" s="23">
        <v>32.133468999999998</v>
      </c>
      <c r="E20" s="23">
        <v>41.347504000000001</v>
      </c>
      <c r="F20" s="23">
        <v>48.104058000000002</v>
      </c>
      <c r="G20" s="23">
        <v>37.584784999999997</v>
      </c>
      <c r="H20" s="23">
        <v>37.389164000000001</v>
      </c>
      <c r="I20" s="23">
        <v>36.195658999999999</v>
      </c>
      <c r="J20" s="23">
        <v>35.644038000000002</v>
      </c>
      <c r="K20" s="46">
        <v>37.998308999999999</v>
      </c>
      <c r="L20" s="47">
        <v>29.701793930232558</v>
      </c>
      <c r="M20" s="23">
        <v>28.989038953488372</v>
      </c>
      <c r="N20" s="23">
        <v>28.276283976744185</v>
      </c>
      <c r="O20" s="68">
        <v>27.563528999999999</v>
      </c>
      <c r="P20" s="68">
        <v>26.170417</v>
      </c>
      <c r="Q20" s="68">
        <v>24.777305000000002</v>
      </c>
      <c r="R20" s="68">
        <v>23.384193000000003</v>
      </c>
      <c r="S20" s="68">
        <v>21.958683046511631</v>
      </c>
      <c r="T20" s="68">
        <v>20.533173093023258</v>
      </c>
      <c r="U20" s="69">
        <v>19.107663139534885</v>
      </c>
      <c r="W20" s="29">
        <f t="shared" si="6"/>
        <v>250.46208013953492</v>
      </c>
    </row>
    <row r="21" spans="2:23">
      <c r="C21" s="7" t="s">
        <v>7</v>
      </c>
      <c r="D21" s="48"/>
      <c r="E21" s="48"/>
      <c r="F21" s="48"/>
      <c r="G21" s="48"/>
      <c r="H21" s="48"/>
      <c r="I21" s="48"/>
      <c r="J21" s="48"/>
      <c r="K21" s="49"/>
      <c r="L21" s="50"/>
      <c r="M21" s="48"/>
      <c r="N21" s="48"/>
      <c r="O21" s="68">
        <v>78.400000000000006</v>
      </c>
      <c r="P21" s="68">
        <v>74.52809377272726</v>
      </c>
      <c r="Q21" s="68">
        <v>70.656187545454515</v>
      </c>
      <c r="R21" s="68">
        <v>66.784281318181769</v>
      </c>
      <c r="S21" s="68">
        <v>62.822330760042213</v>
      </c>
      <c r="T21" s="68">
        <v>58.860380201902657</v>
      </c>
      <c r="U21" s="69">
        <v>54.898429643763102</v>
      </c>
      <c r="W21" s="29">
        <f t="shared" si="6"/>
        <v>466.94970324207156</v>
      </c>
    </row>
    <row r="22" spans="2:23">
      <c r="B22" s="1" t="s">
        <v>52</v>
      </c>
      <c r="C22" s="21"/>
      <c r="D22" s="8">
        <f t="shared" ref="D22:T22" si="7">SUM(D23:D26)</f>
        <v>2282.8287170010835</v>
      </c>
      <c r="E22" s="8">
        <f t="shared" si="7"/>
        <v>1679.1735560772452</v>
      </c>
      <c r="F22" s="8">
        <f t="shared" si="7"/>
        <v>1594.3217901534067</v>
      </c>
      <c r="G22" s="8">
        <f t="shared" si="7"/>
        <v>1592.3592042295679</v>
      </c>
      <c r="H22" s="8">
        <f t="shared" si="7"/>
        <v>1763.6765400000004</v>
      </c>
      <c r="I22" s="8">
        <f t="shared" si="7"/>
        <v>1689.7296109999991</v>
      </c>
      <c r="J22" s="8">
        <f t="shared" si="7"/>
        <v>1292.95201</v>
      </c>
      <c r="K22" s="9">
        <f t="shared" si="7"/>
        <v>1545.7688760000005</v>
      </c>
      <c r="L22" s="15">
        <f t="shared" si="7"/>
        <v>1160.8607430000002</v>
      </c>
      <c r="M22" s="8">
        <f t="shared" si="7"/>
        <v>1032.000849</v>
      </c>
      <c r="N22" s="8">
        <f>SUM(N23:N26)</f>
        <v>1063.9060470000004</v>
      </c>
      <c r="O22" s="66">
        <f>SUM(O23:O26)</f>
        <v>1177.7831931199994</v>
      </c>
      <c r="P22" s="66">
        <f t="shared" si="7"/>
        <v>1084.7715802968742</v>
      </c>
      <c r="Q22" s="66">
        <f t="shared" si="7"/>
        <v>964.53792415488556</v>
      </c>
      <c r="R22" s="66">
        <f t="shared" si="7"/>
        <v>888.49359492605231</v>
      </c>
      <c r="S22" s="66">
        <f t="shared" si="7"/>
        <v>792.59475448837236</v>
      </c>
      <c r="T22" s="66">
        <f t="shared" si="7"/>
        <v>705.87426397674437</v>
      </c>
      <c r="U22" s="67">
        <f>SUM(U23:U26)</f>
        <v>818.47977346511652</v>
      </c>
      <c r="W22" s="29">
        <f t="shared" si="6"/>
        <v>9689.3027234280453</v>
      </c>
    </row>
    <row r="23" spans="2:23">
      <c r="C23" s="73" t="s">
        <v>51</v>
      </c>
      <c r="D23" s="23">
        <v>1108.3979999999999</v>
      </c>
      <c r="E23" s="23">
        <v>617.84950000000003</v>
      </c>
      <c r="F23" s="23">
        <v>632.72550000000001</v>
      </c>
      <c r="G23" s="23">
        <v>715.28949999999998</v>
      </c>
      <c r="H23" s="23">
        <v>951.19550000000027</v>
      </c>
      <c r="I23" s="23">
        <v>915.74999999999955</v>
      </c>
      <c r="J23" s="23">
        <v>588.54</v>
      </c>
      <c r="K23" s="46">
        <v>778.50500000000011</v>
      </c>
      <c r="L23" s="47">
        <v>590.16628700000001</v>
      </c>
      <c r="M23" s="23">
        <v>475.17521300000044</v>
      </c>
      <c r="N23" s="23">
        <v>517.58699999999953</v>
      </c>
      <c r="O23" s="68">
        <v>610.12683629577327</v>
      </c>
      <c r="P23" s="68">
        <v>560.98541600055046</v>
      </c>
      <c r="Q23" s="68">
        <v>509.94801668316143</v>
      </c>
      <c r="R23" s="68">
        <v>465.45928706660277</v>
      </c>
      <c r="S23" s="68">
        <v>428.05067910534456</v>
      </c>
      <c r="T23" s="68">
        <v>426.7980184217501</v>
      </c>
      <c r="U23" s="69">
        <v>597.60775725177086</v>
      </c>
      <c r="W23" s="29">
        <f t="shared" si="6"/>
        <v>5181.9045108249538</v>
      </c>
    </row>
    <row r="24" spans="2:23">
      <c r="C24" s="73" t="s">
        <v>50</v>
      </c>
      <c r="D24" s="23">
        <v>1013.544024</v>
      </c>
      <c r="E24" s="23">
        <v>939.59069799999997</v>
      </c>
      <c r="F24" s="23">
        <v>879.01626699999997</v>
      </c>
      <c r="G24" s="23">
        <v>833.64301599999999</v>
      </c>
      <c r="H24" s="23">
        <v>801.95477200000005</v>
      </c>
      <c r="I24" s="23">
        <v>759.26846299999943</v>
      </c>
      <c r="J24" s="23">
        <v>688.23981000000003</v>
      </c>
      <c r="K24" s="46">
        <v>738.64079000000038</v>
      </c>
      <c r="L24" s="47">
        <v>552.2913410000001</v>
      </c>
      <c r="M24" s="23">
        <v>542.39805999999953</v>
      </c>
      <c r="N24" s="23">
        <v>539.10525900000084</v>
      </c>
      <c r="O24" s="68">
        <v>567.65635682422612</v>
      </c>
      <c r="P24" s="68">
        <v>523.7861642963237</v>
      </c>
      <c r="Q24" s="68">
        <v>454.58990747172419</v>
      </c>
      <c r="R24" s="68">
        <v>423.0343078594496</v>
      </c>
      <c r="S24" s="68">
        <v>364.5440753830278</v>
      </c>
      <c r="T24" s="68">
        <v>279.07624555499427</v>
      </c>
      <c r="U24" s="69">
        <v>220.8720162133456</v>
      </c>
      <c r="W24" s="29">
        <f t="shared" si="6"/>
        <v>4467.3537336030913</v>
      </c>
    </row>
    <row r="25" spans="2:23">
      <c r="C25" s="73" t="s">
        <v>36</v>
      </c>
      <c r="D25" s="51"/>
      <c r="E25" s="51"/>
      <c r="F25" s="51"/>
      <c r="G25" s="51"/>
      <c r="H25" s="51"/>
      <c r="I25" s="51"/>
      <c r="J25" s="51"/>
      <c r="K25" s="52"/>
      <c r="L25" s="53"/>
      <c r="M25" s="23">
        <v>14.427576</v>
      </c>
      <c r="N25" s="23">
        <v>7.2137879999999992</v>
      </c>
      <c r="O25" s="68">
        <v>0</v>
      </c>
      <c r="P25" s="68">
        <v>0</v>
      </c>
      <c r="Q25" s="68">
        <v>0</v>
      </c>
      <c r="R25" s="68">
        <v>0</v>
      </c>
      <c r="S25" s="68">
        <v>0</v>
      </c>
      <c r="T25" s="68">
        <v>0</v>
      </c>
      <c r="U25" s="69">
        <v>0</v>
      </c>
      <c r="W25" s="29">
        <f t="shared" si="6"/>
        <v>21.641363999999999</v>
      </c>
    </row>
    <row r="26" spans="2:23">
      <c r="C26" s="73" t="s">
        <v>37</v>
      </c>
      <c r="D26" s="23">
        <v>160.88669300108376</v>
      </c>
      <c r="E26" s="23">
        <v>121.73335807724519</v>
      </c>
      <c r="F26" s="23">
        <v>82.580023153406614</v>
      </c>
      <c r="G26" s="23">
        <v>43.426688229568057</v>
      </c>
      <c r="H26" s="23">
        <v>10.526267999999959</v>
      </c>
      <c r="I26" s="23">
        <v>14.711148000000037</v>
      </c>
      <c r="J26" s="23">
        <v>16.172199999999975</v>
      </c>
      <c r="K26" s="46">
        <v>28.623086000000001</v>
      </c>
      <c r="L26" s="47">
        <v>18.403115000000014</v>
      </c>
      <c r="M26" s="23">
        <v>0</v>
      </c>
      <c r="N26" s="23">
        <v>0</v>
      </c>
      <c r="O26" s="68">
        <v>0</v>
      </c>
      <c r="P26" s="68">
        <v>0</v>
      </c>
      <c r="Q26" s="68">
        <v>0</v>
      </c>
      <c r="R26" s="68">
        <v>0</v>
      </c>
      <c r="S26" s="68">
        <v>0</v>
      </c>
      <c r="T26" s="68">
        <v>0</v>
      </c>
      <c r="U26" s="69">
        <v>0</v>
      </c>
      <c r="W26" s="29">
        <f t="shared" si="6"/>
        <v>18.403115000000014</v>
      </c>
    </row>
    <row r="27" spans="2:23">
      <c r="O27" s="81"/>
    </row>
    <row r="28" spans="2:23">
      <c r="O28" s="81"/>
      <c r="P28" s="81"/>
    </row>
    <row r="29" spans="2:23">
      <c r="B29" s="17" t="s">
        <v>12</v>
      </c>
      <c r="C29" s="18"/>
      <c r="D29" s="19"/>
      <c r="E29" s="78"/>
      <c r="F29" s="78"/>
      <c r="G29" s="78"/>
      <c r="H29" s="78"/>
      <c r="I29" s="78"/>
      <c r="J29" s="78"/>
      <c r="K29" s="79"/>
      <c r="L29" s="80"/>
      <c r="M29" s="78"/>
      <c r="N29" s="78"/>
      <c r="O29" s="19"/>
      <c r="P29" s="19"/>
      <c r="Q29" s="19"/>
      <c r="R29" s="19"/>
      <c r="S29" s="19"/>
      <c r="T29" s="19"/>
      <c r="U29" s="18"/>
      <c r="W29" s="27"/>
    </row>
    <row r="30" spans="2:23">
      <c r="B30" s="1" t="s">
        <v>1</v>
      </c>
      <c r="C30" s="21"/>
      <c r="D30" s="43">
        <v>2195.2537765397797</v>
      </c>
      <c r="E30" s="43">
        <v>2060.7854856170252</v>
      </c>
      <c r="F30" s="43">
        <v>1852.1676647704321</v>
      </c>
      <c r="G30" s="43">
        <v>1693.941501</v>
      </c>
      <c r="H30" s="43">
        <v>1654.6112019999996</v>
      </c>
      <c r="I30" s="43">
        <v>1654.9464279999993</v>
      </c>
      <c r="J30" s="43">
        <v>1385.5327700000003</v>
      </c>
      <c r="K30" s="43">
        <v>1578.809030000004</v>
      </c>
      <c r="L30" s="45">
        <v>1449.2507859999987</v>
      </c>
      <c r="M30" s="43">
        <v>1134.8313420000004</v>
      </c>
      <c r="N30" s="8">
        <v>1111.7731390000004</v>
      </c>
      <c r="O30" s="66">
        <f>N30+O31</f>
        <v>1145.6429177890655</v>
      </c>
      <c r="P30" s="66">
        <f t="shared" ref="P30:T30" si="8">O30+P31</f>
        <v>1091.4735649165914</v>
      </c>
      <c r="Q30" s="66">
        <f t="shared" si="8"/>
        <v>957.17163238865851</v>
      </c>
      <c r="R30" s="66">
        <f t="shared" si="8"/>
        <v>850.02752348339357</v>
      </c>
      <c r="S30" s="66">
        <f t="shared" si="8"/>
        <v>697.35209536042908</v>
      </c>
      <c r="T30" s="66">
        <f t="shared" si="8"/>
        <v>499.92094622787965</v>
      </c>
      <c r="U30" s="67">
        <f>T30+U31</f>
        <v>487.94686723467078</v>
      </c>
      <c r="W30" s="29">
        <f>SUM(L30:U30)</f>
        <v>9425.3908144006873</v>
      </c>
    </row>
    <row r="31" spans="2:23">
      <c r="C31" s="7" t="s">
        <v>53</v>
      </c>
      <c r="D31" s="23">
        <f t="shared" ref="D31:K31" si="9">D22-D8</f>
        <v>374.87858400108348</v>
      </c>
      <c r="E31" s="23">
        <f>E22-E8</f>
        <v>-134.4682909227547</v>
      </c>
      <c r="F31" s="23">
        <f t="shared" si="9"/>
        <v>-208.61782084659308</v>
      </c>
      <c r="G31" s="23">
        <f t="shared" si="9"/>
        <v>-158.22616377043209</v>
      </c>
      <c r="H31" s="23">
        <f>H22-H8</f>
        <v>-39.330299000000423</v>
      </c>
      <c r="I31" s="23">
        <f t="shared" si="9"/>
        <v>0.33522599999969316</v>
      </c>
      <c r="J31" s="23">
        <f t="shared" si="9"/>
        <v>-269.41365799999971</v>
      </c>
      <c r="K31" s="46">
        <f t="shared" si="9"/>
        <v>193.27625999999987</v>
      </c>
      <c r="L31" s="47">
        <f t="shared" ref="L31:M31" si="10">L22-L8</f>
        <v>-129.55824400000051</v>
      </c>
      <c r="M31" s="23">
        <f t="shared" si="10"/>
        <v>-314.41944399999829</v>
      </c>
      <c r="N31" s="10">
        <f>N22-N8</f>
        <v>-23.058203000000049</v>
      </c>
      <c r="O31" s="68">
        <f>O22-O7</f>
        <v>33.869778789065094</v>
      </c>
      <c r="P31" s="68">
        <f t="shared" ref="P31:T31" si="11">P22-P7</f>
        <v>-54.169352872474064</v>
      </c>
      <c r="Q31" s="68">
        <f t="shared" si="11"/>
        <v>-134.30193252793288</v>
      </c>
      <c r="R31" s="68">
        <f t="shared" si="11"/>
        <v>-107.14410890526494</v>
      </c>
      <c r="S31" s="68">
        <f t="shared" si="11"/>
        <v>-152.67542812296449</v>
      </c>
      <c r="T31" s="68">
        <f t="shared" si="11"/>
        <v>-197.43114913254942</v>
      </c>
      <c r="U31" s="69">
        <f>U22-U7</f>
        <v>-11.974078993208877</v>
      </c>
      <c r="W31" s="29">
        <f>SUM(L31:U31)</f>
        <v>-1090.8621627653283</v>
      </c>
    </row>
    <row r="32" spans="2:23">
      <c r="B32" s="2" t="s">
        <v>9</v>
      </c>
      <c r="C32" s="7"/>
      <c r="D32" s="51"/>
      <c r="E32" s="51"/>
      <c r="F32" s="51"/>
      <c r="G32" s="51"/>
      <c r="H32" s="51"/>
      <c r="I32" s="51"/>
      <c r="J32" s="10">
        <f>900+J34-J35</f>
        <v>1297.1335065599997</v>
      </c>
      <c r="K32" s="11">
        <f t="shared" ref="K32:U32" si="12">J33+K34-K35+K40+K38+K39</f>
        <v>1924.5690336399994</v>
      </c>
      <c r="L32" s="16">
        <f t="shared" si="12"/>
        <v>2632.6996266399992</v>
      </c>
      <c r="M32" s="10">
        <f t="shared" si="12"/>
        <v>3001.2491343199999</v>
      </c>
      <c r="N32" s="10">
        <f>M33+N34-N35+N40+N38+N39</f>
        <v>808.77998043999946</v>
      </c>
      <c r="O32" s="68">
        <f t="shared" si="12"/>
        <v>670.55000227999949</v>
      </c>
      <c r="P32" s="68">
        <f t="shared" si="12"/>
        <v>669.53513566312517</v>
      </c>
      <c r="Q32" s="68">
        <f t="shared" si="12"/>
        <v>669.46072181844761</v>
      </c>
      <c r="R32" s="68">
        <f t="shared" si="12"/>
        <v>613.70625407394709</v>
      </c>
      <c r="S32" s="68">
        <f t="shared" si="12"/>
        <v>600</v>
      </c>
      <c r="T32" s="68">
        <f t="shared" si="12"/>
        <v>600</v>
      </c>
      <c r="U32" s="69">
        <f t="shared" si="12"/>
        <v>400</v>
      </c>
      <c r="W32" s="29">
        <f>SUM(L32:U32)</f>
        <v>10665.980855235517</v>
      </c>
    </row>
    <row r="33" spans="2:23" s="10" customFormat="1">
      <c r="B33" s="1" t="s">
        <v>15</v>
      </c>
      <c r="C33" s="21"/>
      <c r="D33" s="51"/>
      <c r="E33" s="51"/>
      <c r="F33" s="51"/>
      <c r="G33" s="51"/>
      <c r="H33" s="51"/>
      <c r="I33" s="51"/>
      <c r="J33" s="8">
        <f>J32+J36-J38-J37</f>
        <v>1297.1335065599997</v>
      </c>
      <c r="K33" s="9">
        <f>K32+K36-K37</f>
        <v>1924.5690336399994</v>
      </c>
      <c r="L33" s="8">
        <f>L32+L36-L37</f>
        <v>2632.6996266399992</v>
      </c>
      <c r="M33" s="8">
        <f>M32+M36-M37</f>
        <v>486.11334731999978</v>
      </c>
      <c r="N33" s="8">
        <f>N32+N36-N37</f>
        <v>400.03513643999946</v>
      </c>
      <c r="O33" s="66">
        <f>O32+O36-O37</f>
        <v>400</v>
      </c>
      <c r="P33" s="66">
        <f t="shared" ref="P33:U33" si="13">P32+P36-P37</f>
        <v>400</v>
      </c>
      <c r="Q33" s="66">
        <f t="shared" si="13"/>
        <v>400</v>
      </c>
      <c r="R33" s="66">
        <f t="shared" si="13"/>
        <v>400</v>
      </c>
      <c r="S33" s="66">
        <f>S32+S36-S37</f>
        <v>400</v>
      </c>
      <c r="T33" s="66">
        <f>T32+T36-T37</f>
        <v>400</v>
      </c>
      <c r="U33" s="67">
        <f t="shared" si="13"/>
        <v>400</v>
      </c>
      <c r="W33" s="29">
        <f t="shared" ref="W33:W40" si="14">SUM(L33:U33)</f>
        <v>6318.8481103999984</v>
      </c>
    </row>
    <row r="34" spans="2:23">
      <c r="C34" s="7" t="s">
        <v>2</v>
      </c>
      <c r="D34" s="51"/>
      <c r="E34" s="51"/>
      <c r="F34" s="51"/>
      <c r="G34" s="51"/>
      <c r="H34" s="51"/>
      <c r="I34" s="51"/>
      <c r="J34" s="84">
        <f t="shared" ref="J34:M34" si="15">IF(J49&gt;0.0001,MAX(J49,200),0)</f>
        <v>397.13350655999977</v>
      </c>
      <c r="K34" s="85">
        <f>IF(K49&gt;0.0001,MAX(K49,200),0)</f>
        <v>375.63405007999984</v>
      </c>
      <c r="L34" s="86">
        <f t="shared" si="15"/>
        <v>323.12561499999993</v>
      </c>
      <c r="M34" s="86">
        <f t="shared" si="15"/>
        <v>368.54950768000049</v>
      </c>
      <c r="N34" s="86">
        <f>IF(N49&gt;0.0001,MAX(N49,200),0)</f>
        <v>322.66663311999974</v>
      </c>
      <c r="O34" s="82">
        <f t="shared" ref="O34:T34" si="16">IF(O49&gt;0.0001,MAX(O49,200),0)</f>
        <v>270.51486584000003</v>
      </c>
      <c r="P34" s="82">
        <f>IF(P49&gt;0.0001,MAX(P49,200),0)</f>
        <v>269.53513566312523</v>
      </c>
      <c r="Q34" s="82">
        <f t="shared" si="16"/>
        <v>269.46072181844761</v>
      </c>
      <c r="R34" s="82">
        <f t="shared" si="16"/>
        <v>213.70625407394709</v>
      </c>
      <c r="S34" s="82">
        <f t="shared" si="16"/>
        <v>200</v>
      </c>
      <c r="T34" s="82">
        <f t="shared" si="16"/>
        <v>200</v>
      </c>
      <c r="U34" s="83">
        <f>IF(U49&gt;0.0001,MAX(U49,200),0)</f>
        <v>0</v>
      </c>
      <c r="W34" s="29">
        <f t="shared" si="14"/>
        <v>2437.5587331955203</v>
      </c>
    </row>
    <row r="35" spans="2:23">
      <c r="C35" s="7" t="s">
        <v>3</v>
      </c>
      <c r="D35" s="51"/>
      <c r="E35" s="51"/>
      <c r="F35" s="51"/>
      <c r="G35" s="51"/>
      <c r="H35" s="51"/>
      <c r="I35" s="51"/>
      <c r="J35" s="87">
        <f t="shared" ref="J35:M35" si="17">IF(J50&gt;0.0001,100,0)</f>
        <v>0</v>
      </c>
      <c r="K35" s="85">
        <f t="shared" si="17"/>
        <v>0</v>
      </c>
      <c r="L35" s="88">
        <f t="shared" si="17"/>
        <v>0</v>
      </c>
      <c r="M35" s="84">
        <f t="shared" si="17"/>
        <v>0</v>
      </c>
      <c r="N35" s="86">
        <f>IF(N50&gt;0.0001,100,0)</f>
        <v>0</v>
      </c>
      <c r="O35" s="82">
        <f t="shared" ref="O35:U35" si="18">IF(O50&gt;0.0001,100,0)</f>
        <v>0</v>
      </c>
      <c r="P35" s="82">
        <f t="shared" si="18"/>
        <v>0</v>
      </c>
      <c r="Q35" s="82">
        <f t="shared" si="18"/>
        <v>0</v>
      </c>
      <c r="R35" s="82">
        <f t="shared" si="18"/>
        <v>0</v>
      </c>
      <c r="S35" s="82">
        <f t="shared" si="18"/>
        <v>0</v>
      </c>
      <c r="T35" s="82">
        <f t="shared" si="18"/>
        <v>0</v>
      </c>
      <c r="U35" s="83">
        <f t="shared" si="18"/>
        <v>0</v>
      </c>
      <c r="W35" s="29">
        <f t="shared" si="14"/>
        <v>0</v>
      </c>
    </row>
    <row r="36" spans="2:23">
      <c r="C36" s="7" t="s">
        <v>4</v>
      </c>
      <c r="D36" s="51"/>
      <c r="E36" s="51"/>
      <c r="F36" s="51"/>
      <c r="G36" s="51"/>
      <c r="H36" s="51"/>
      <c r="I36" s="51"/>
      <c r="J36" s="51"/>
      <c r="K36" s="52"/>
      <c r="L36" s="53"/>
      <c r="M36" s="23">
        <v>-2515.1357870000002</v>
      </c>
      <c r="N36" s="23">
        <v>-381.744844</v>
      </c>
      <c r="O36" s="68">
        <f>IF(O32-O37&gt;400,400-(O32-O37),0)</f>
        <v>-270.55000227999949</v>
      </c>
      <c r="P36" s="68">
        <f t="shared" ref="P36:T36" si="19">IF(P32-P37&gt;400,400-(P32-P37),0)</f>
        <v>-269.53513566312517</v>
      </c>
      <c r="Q36" s="68">
        <f t="shared" si="19"/>
        <v>-269.46072181844761</v>
      </c>
      <c r="R36" s="68">
        <f t="shared" si="19"/>
        <v>-213.70625407394709</v>
      </c>
      <c r="S36" s="68">
        <f t="shared" si="19"/>
        <v>-200</v>
      </c>
      <c r="T36" s="68">
        <f t="shared" si="19"/>
        <v>-200</v>
      </c>
      <c r="U36" s="69">
        <f>IF(U32-U37&gt;400,400-(U32-U37),0)</f>
        <v>0</v>
      </c>
      <c r="W36" s="29">
        <f t="shared" si="14"/>
        <v>-4320.1327448355196</v>
      </c>
    </row>
    <row r="37" spans="2:23">
      <c r="C37" s="7" t="s">
        <v>55</v>
      </c>
      <c r="D37" s="51"/>
      <c r="E37" s="51"/>
      <c r="F37" s="51"/>
      <c r="G37" s="51"/>
      <c r="H37" s="51"/>
      <c r="I37" s="51"/>
      <c r="J37" s="51"/>
      <c r="K37" s="52"/>
      <c r="L37" s="53"/>
      <c r="M37" s="48"/>
      <c r="N37" s="23">
        <v>27</v>
      </c>
      <c r="O37" s="72"/>
      <c r="P37" s="72"/>
      <c r="Q37" s="72"/>
      <c r="R37" s="72"/>
      <c r="S37" s="72"/>
      <c r="T37" s="72"/>
      <c r="U37" s="74"/>
      <c r="W37" s="29">
        <f t="shared" si="14"/>
        <v>27</v>
      </c>
    </row>
    <row r="38" spans="2:23">
      <c r="C38" s="7" t="s">
        <v>57</v>
      </c>
      <c r="D38" s="51"/>
      <c r="E38" s="51"/>
      <c r="F38" s="51"/>
      <c r="G38" s="51"/>
      <c r="H38" s="51"/>
      <c r="I38" s="51"/>
      <c r="J38" s="51"/>
      <c r="K38" s="46">
        <v>-50</v>
      </c>
      <c r="L38" s="50"/>
      <c r="M38" s="48"/>
      <c r="N38" s="48"/>
      <c r="O38" s="72"/>
      <c r="P38" s="72"/>
      <c r="Q38" s="72"/>
      <c r="R38" s="72"/>
      <c r="S38" s="72"/>
      <c r="T38" s="72"/>
      <c r="U38" s="74"/>
      <c r="W38" s="29">
        <f t="shared" si="14"/>
        <v>0</v>
      </c>
    </row>
    <row r="39" spans="2:23">
      <c r="C39" s="7" t="s">
        <v>56</v>
      </c>
      <c r="D39" s="51"/>
      <c r="E39" s="51"/>
      <c r="F39" s="51"/>
      <c r="G39" s="51"/>
      <c r="H39" s="51"/>
      <c r="I39" s="51"/>
      <c r="J39" s="51"/>
      <c r="K39" s="52"/>
      <c r="L39" s="23">
        <v>-200</v>
      </c>
      <c r="M39" s="48"/>
      <c r="N39" s="48"/>
      <c r="O39" s="72"/>
      <c r="P39" s="72"/>
      <c r="Q39" s="72"/>
      <c r="R39" s="72"/>
      <c r="S39" s="72"/>
      <c r="T39" s="72"/>
      <c r="U39" s="74"/>
      <c r="W39" s="29">
        <f t="shared" si="14"/>
        <v>-200</v>
      </c>
    </row>
    <row r="40" spans="2:23">
      <c r="C40" s="7" t="s">
        <v>35</v>
      </c>
      <c r="D40" s="51"/>
      <c r="E40" s="51"/>
      <c r="F40" s="51"/>
      <c r="G40" s="51"/>
      <c r="H40" s="51"/>
      <c r="I40" s="51"/>
      <c r="J40" s="51"/>
      <c r="K40" s="46">
        <v>301.80147699999998</v>
      </c>
      <c r="L40" s="23">
        <v>585.00497800000005</v>
      </c>
      <c r="M40" s="48"/>
      <c r="N40" s="48"/>
      <c r="O40" s="72"/>
      <c r="P40" s="72"/>
      <c r="Q40" s="72"/>
      <c r="R40" s="72"/>
      <c r="S40" s="72"/>
      <c r="T40" s="72"/>
      <c r="U40" s="74"/>
      <c r="W40" s="29">
        <f t="shared" si="14"/>
        <v>585.00497800000005</v>
      </c>
    </row>
    <row r="41" spans="2:23" customFormat="1" ht="14.25">
      <c r="C41" s="2"/>
    </row>
    <row r="42" spans="2:23">
      <c r="C42" s="22"/>
      <c r="L42" s="81"/>
      <c r="N42" s="24"/>
      <c r="O42" s="24"/>
      <c r="P42" s="24"/>
      <c r="Q42" s="24"/>
      <c r="R42" s="24"/>
      <c r="S42" s="24"/>
      <c r="T42" s="24"/>
      <c r="U42" s="24"/>
    </row>
    <row r="43" spans="2:23">
      <c r="C43" s="56" t="s">
        <v>38</v>
      </c>
      <c r="D43" s="51"/>
      <c r="E43" s="51"/>
      <c r="F43" s="51"/>
      <c r="G43" s="51"/>
      <c r="H43" s="51"/>
      <c r="I43" s="51"/>
      <c r="J43" s="57">
        <v>0.24</v>
      </c>
      <c r="K43" s="57">
        <v>0.24</v>
      </c>
      <c r="L43" s="57">
        <v>0.24</v>
      </c>
      <c r="M43" s="57">
        <v>0.24</v>
      </c>
      <c r="N43" s="57">
        <v>0.24</v>
      </c>
      <c r="O43" s="57">
        <v>0.24</v>
      </c>
      <c r="P43" s="57">
        <v>0.24</v>
      </c>
      <c r="Q43" s="57">
        <v>0.24</v>
      </c>
      <c r="R43" s="57">
        <v>0.24</v>
      </c>
      <c r="S43" s="57">
        <v>0.24</v>
      </c>
      <c r="T43" s="57">
        <v>0.24</v>
      </c>
      <c r="U43" s="57">
        <v>0.24</v>
      </c>
    </row>
    <row r="44" spans="2:23">
      <c r="C44" s="56" t="s">
        <v>39</v>
      </c>
      <c r="D44" s="51"/>
      <c r="E44" s="51"/>
      <c r="F44" s="51"/>
      <c r="G44" s="51"/>
      <c r="H44" s="51"/>
      <c r="I44" s="51"/>
      <c r="J44" s="58">
        <v>-100</v>
      </c>
      <c r="K44" s="58">
        <v>-100</v>
      </c>
      <c r="L44" s="58">
        <v>-100</v>
      </c>
      <c r="M44" s="58">
        <v>-100</v>
      </c>
      <c r="N44" s="58">
        <v>-100</v>
      </c>
      <c r="O44" s="58">
        <v>-100</v>
      </c>
      <c r="P44" s="58">
        <v>-100</v>
      </c>
      <c r="Q44" s="58">
        <v>-100</v>
      </c>
      <c r="R44" s="58">
        <v>-100</v>
      </c>
      <c r="S44" s="58">
        <v>-100</v>
      </c>
      <c r="T44" s="58">
        <v>-100</v>
      </c>
      <c r="U44" s="58">
        <v>-100</v>
      </c>
    </row>
    <row r="45" spans="2:23">
      <c r="C45" s="56" t="s">
        <v>40</v>
      </c>
      <c r="D45" s="51"/>
      <c r="E45" s="51"/>
      <c r="F45" s="51"/>
      <c r="G45" s="51"/>
      <c r="H45" s="51"/>
      <c r="I45" s="51"/>
      <c r="J45" s="58">
        <v>400</v>
      </c>
      <c r="K45" s="58">
        <v>400</v>
      </c>
      <c r="L45" s="58">
        <v>400</v>
      </c>
      <c r="M45" s="58">
        <v>400</v>
      </c>
      <c r="N45" s="58">
        <v>400</v>
      </c>
      <c r="O45" s="58">
        <v>400</v>
      </c>
      <c r="P45" s="58">
        <v>400</v>
      </c>
      <c r="Q45" s="58">
        <v>400</v>
      </c>
      <c r="R45" s="58">
        <v>400</v>
      </c>
      <c r="S45" s="58">
        <v>400</v>
      </c>
      <c r="T45" s="58">
        <v>400</v>
      </c>
      <c r="U45" s="58">
        <v>400</v>
      </c>
    </row>
    <row r="46" spans="2:23">
      <c r="C46" s="56" t="s">
        <v>41</v>
      </c>
      <c r="D46" s="51"/>
      <c r="E46" s="51"/>
      <c r="F46" s="51"/>
      <c r="G46" s="51"/>
      <c r="H46" s="51"/>
      <c r="I46" s="51"/>
      <c r="J46" s="58">
        <v>833</v>
      </c>
      <c r="K46" s="58">
        <v>833</v>
      </c>
      <c r="L46" s="58">
        <v>833</v>
      </c>
      <c r="M46" s="58">
        <v>833</v>
      </c>
      <c r="N46" s="58">
        <v>833</v>
      </c>
      <c r="O46" s="58">
        <v>833</v>
      </c>
      <c r="P46" s="58">
        <v>833</v>
      </c>
      <c r="Q46" s="58">
        <v>833</v>
      </c>
      <c r="R46" s="58">
        <v>833</v>
      </c>
      <c r="S46" s="58">
        <v>833</v>
      </c>
      <c r="T46" s="58">
        <v>833</v>
      </c>
      <c r="U46" s="58">
        <v>833</v>
      </c>
    </row>
    <row r="47" spans="2:23">
      <c r="C47" s="56" t="s">
        <v>42</v>
      </c>
      <c r="D47" s="51"/>
      <c r="E47" s="51"/>
      <c r="F47" s="51"/>
      <c r="G47" s="51"/>
      <c r="H47" s="51"/>
      <c r="I47" s="51"/>
      <c r="J47" s="58">
        <v>1096</v>
      </c>
      <c r="K47" s="58">
        <v>1096</v>
      </c>
      <c r="L47" s="58">
        <v>1096</v>
      </c>
      <c r="M47" s="58">
        <v>1096</v>
      </c>
      <c r="N47" s="58">
        <v>1096</v>
      </c>
      <c r="O47" s="58">
        <v>1096</v>
      </c>
      <c r="P47" s="58">
        <v>1096</v>
      </c>
      <c r="Q47" s="58">
        <v>1096</v>
      </c>
      <c r="R47" s="58">
        <v>1096</v>
      </c>
      <c r="S47" s="58">
        <v>1096</v>
      </c>
      <c r="T47" s="58">
        <v>1096</v>
      </c>
      <c r="U47" s="58">
        <v>1096</v>
      </c>
    </row>
    <row r="49" spans="3:21">
      <c r="C49" s="89" t="s">
        <v>59</v>
      </c>
      <c r="D49" s="51"/>
      <c r="E49" s="51"/>
      <c r="F49" s="51"/>
      <c r="G49" s="51"/>
      <c r="H49" s="51"/>
      <c r="I49" s="51"/>
      <c r="J49" s="91">
        <f>IF(H$30&gt;J$47,(2/3)*J$43*H$30,IF(AND(H$30&gt;=J$46,H$30&lt;J$47),(2/3)*(H$30-J$46),0))+IF(I$30&gt;J$47,(1/3)*J$43*I$30,IF(AND(I$30&gt;=J$46,I$30&lt;J$47),(1/3)*(I$30-J$46),0))</f>
        <v>397.13350655999977</v>
      </c>
      <c r="K49" s="91">
        <f t="shared" ref="K49:M49" si="20">IF(I$30&gt;K$47,(2/3)*K$43*I$30,IF(AND(I$30&gt;=K$46,I$30&lt;K$47),(2/3)*(I$30-K$46),0))+IF(J$30&gt;K$47,(1/3)*K$43*J$30,IF(AND(J$30&gt;=K$46,J$30&lt;K$47),(1/3)*(J$30-K$46),0))</f>
        <v>375.63405007999984</v>
      </c>
      <c r="L49" s="91">
        <v>323.12561499999993</v>
      </c>
      <c r="M49" s="91">
        <f t="shared" si="20"/>
        <v>368.54950768000049</v>
      </c>
      <c r="N49" s="91">
        <f>IF(L$30&gt;N$47,(2/3)*N$43*L$30,IF(AND(L$30&gt;=N$46,L$30&lt;N$47),(2/3)*(L$30-N$46),0))+IF(M$30&gt;N$47,(1/3)*N$43*M$30,IF(AND(M$30&gt;=N$46,M$30&lt;N$47),(1/3)*(M$30-N$46),0))</f>
        <v>322.66663311999974</v>
      </c>
      <c r="O49" s="91">
        <f>IF(M$30&gt;O$47,(2/3)*O$43*M$30,IF(AND(M$30&gt;=O$46,M$30&lt;O$47),(2/3)*(M$30-O$46),0))+IF(N$30&gt;O$47,(1/3)*O$43*N$30,IF(AND(N$30&gt;=O$46,N$30&lt;O$47),(1/3)*(N$30-O$46),0))</f>
        <v>270.51486584000003</v>
      </c>
      <c r="P49" s="91">
        <f t="shared" ref="P49:T49" si="21">IF(N$30&gt;P$47,(2/3)*P$43*N$30,IF(AND(N$30&gt;=P$46,N$30&lt;P$47),(2/3)*(N$30-P$46),0))+IF(O$30&gt;P$47,(1/3)*P$43*O$30,IF(AND(O$30&gt;=P$46,O$30&lt;P$47),(1/3)*(O$30-P$46),0))</f>
        <v>269.53513566312523</v>
      </c>
      <c r="Q49" s="91">
        <f t="shared" si="21"/>
        <v>269.46072181844761</v>
      </c>
      <c r="R49" s="91">
        <f t="shared" si="21"/>
        <v>213.70625407394709</v>
      </c>
      <c r="S49" s="91">
        <f t="shared" si="21"/>
        <v>88.456929420236861</v>
      </c>
      <c r="T49" s="91">
        <f t="shared" si="21"/>
        <v>11.351682322262377</v>
      </c>
      <c r="U49" s="91">
        <f>IF(S$30&gt;U$47,(2/3)*U$43*S$30,IF(AND(S$30&gt;=U$46,S$30&lt;U$47),(2/3)*(S$30-U$46),0))+IF(T$30&gt;U$47,(1/3)*U$43*T$30,IF(AND(T$30&gt;=U$46,T$30&lt;U$47),(1/3)*(T$30-U$46),0))</f>
        <v>0</v>
      </c>
    </row>
    <row r="50" spans="3:21">
      <c r="C50" s="90" t="s">
        <v>58</v>
      </c>
      <c r="D50" s="51"/>
      <c r="E50" s="51"/>
      <c r="F50" s="51"/>
      <c r="G50" s="51"/>
      <c r="H50" s="51"/>
      <c r="I50" s="51"/>
      <c r="J50" s="91">
        <f t="shared" ref="J50:M50" si="22">(IF(H$30&lt;J$45,(2/3)*ABS(J$44),0)+IF(I$30&lt;J$45,(1/3)*ABS(J$44),0))</f>
        <v>0</v>
      </c>
      <c r="K50" s="91">
        <f t="shared" si="22"/>
        <v>0</v>
      </c>
      <c r="L50" s="91">
        <f t="shared" si="22"/>
        <v>0</v>
      </c>
      <c r="M50" s="91">
        <f t="shared" si="22"/>
        <v>0</v>
      </c>
      <c r="N50" s="91">
        <f>(IF(L$30&lt;N$45,(2/3)*ABS(N$44),0)+IF(M$30&lt;N$45,(1/3)*ABS(N$44),0))</f>
        <v>0</v>
      </c>
      <c r="O50" s="91">
        <f t="shared" ref="O50:U50" si="23">(IF(M$30&lt;O$45,(2/3)*ABS(O$44),0)+IF(N$30&lt;O$45,(1/3)*ABS(O$44),0))</f>
        <v>0</v>
      </c>
      <c r="P50" s="91">
        <f t="shared" si="23"/>
        <v>0</v>
      </c>
      <c r="Q50" s="91">
        <f t="shared" si="23"/>
        <v>0</v>
      </c>
      <c r="R50" s="91">
        <f t="shared" si="23"/>
        <v>0</v>
      </c>
      <c r="S50" s="91">
        <f t="shared" si="23"/>
        <v>0</v>
      </c>
      <c r="T50" s="91">
        <f t="shared" si="23"/>
        <v>0</v>
      </c>
      <c r="U50" s="91">
        <f t="shared" si="23"/>
        <v>0</v>
      </c>
    </row>
    <row r="53" spans="3:21">
      <c r="L53" s="81"/>
    </row>
    <row r="54" spans="3:21">
      <c r="O54" s="81">
        <f>O18-O7</f>
        <v>269.7018596690657</v>
      </c>
      <c r="P54" s="81">
        <f t="shared" ref="P54:U54" si="24">P18-P7</f>
        <v>185.35699783065184</v>
      </c>
      <c r="Q54" s="81">
        <f t="shared" si="24"/>
        <v>109.14073131718169</v>
      </c>
      <c r="R54" s="81">
        <f t="shared" si="24"/>
        <v>123.02554116868293</v>
      </c>
      <c r="S54" s="81">
        <f t="shared" si="24"/>
        <v>81.998571877035374</v>
      </c>
      <c r="T54" s="81">
        <f t="shared" si="24"/>
        <v>32.568850867450578</v>
      </c>
      <c r="U54" s="81">
        <f t="shared" si="24"/>
        <v>14.025921006791009</v>
      </c>
    </row>
  </sheetData>
  <mergeCells count="3">
    <mergeCell ref="D2:K2"/>
    <mergeCell ref="L2:U2"/>
    <mergeCell ref="O5:U5"/>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a679687-70c9-4c6a-b916-22fb3f1e9e23">
      <Terms xmlns="http://schemas.microsoft.com/office/infopath/2007/PartnerControls"/>
    </lcf76f155ced4ddcb4097134ff3c332f>
    <TaxCatchAll xmlns="dfb75ef7-c82e-4410-8df8-bbd45a3fbdf2" xsi:nil="true"/>
    <MediaLengthInSeconds xmlns="28763c67-4ca5-4df3-a41e-d7f28bb28368" xsi:nil="true"/>
    <SharedWithUsers xmlns="8b5d5d6b-53dc-45ed-8147-d260621cfede">
      <UserInfo>
        <DisplayName/>
        <AccountId xsi:nil="true"/>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D45E8470DF1654DB1ABC19C960D14DF" ma:contentTypeVersion="46" ma:contentTypeDescription="Create a new document." ma:contentTypeScope="" ma:versionID="dc01b847dcd1a18be8a05771b8f3be73">
  <xsd:schema xmlns:xsd="http://www.w3.org/2001/XMLSchema" xmlns:xs="http://www.w3.org/2001/XMLSchema" xmlns:p="http://schemas.microsoft.com/office/2006/metadata/properties" xmlns:ns2="ca679687-70c9-4c6a-b916-22fb3f1e9e23" xmlns:ns3="28763c67-4ca5-4df3-a41e-d7f28bb28368" xmlns:ns4="8b5d5d6b-53dc-45ed-8147-d260621cfede" xmlns:ns5="dfb75ef7-c82e-4410-8df8-bbd45a3fbdf2" targetNamespace="http://schemas.microsoft.com/office/2006/metadata/properties" ma:root="true" ma:fieldsID="e44da76a6187829b04259858eb324258" ns2:_="" ns3:_="" ns4:_="" ns5:_="">
    <xsd:import namespace="ca679687-70c9-4c6a-b916-22fb3f1e9e23"/>
    <xsd:import namespace="28763c67-4ca5-4df3-a41e-d7f28bb28368"/>
    <xsd:import namespace="8b5d5d6b-53dc-45ed-8147-d260621cfede"/>
    <xsd:import namespace="dfb75ef7-c82e-4410-8df8-bbd45a3fbdf2"/>
    <xsd:element name="properties">
      <xsd:complexType>
        <xsd:sequence>
          <xsd:element name="documentManagement">
            <xsd:complexType>
              <xsd:all>
                <xsd:element ref="ns2:MediaServiceMetadata" minOccurs="0"/>
                <xsd:element ref="ns2:MediaServiceFastMetadata" minOccurs="0"/>
                <xsd:element ref="ns2:MediaServiceGenerationTime" minOccurs="0"/>
                <xsd:element ref="ns2:MediaServiceEventHashCode" minOccurs="0"/>
                <xsd:element ref="ns3:MediaServiceDateTaken" minOccurs="0"/>
                <xsd:element ref="ns3:MediaServiceLocation" minOccurs="0"/>
                <xsd:element ref="ns2:MediaServiceOCR" minOccurs="0"/>
                <xsd:element ref="ns3:MediaServiceAutoKeyPoints" minOccurs="0"/>
                <xsd:element ref="ns3:MediaServiceKeyPoints" minOccurs="0"/>
                <xsd:element ref="ns4:SharedWithUsers" minOccurs="0"/>
                <xsd:element ref="ns4:SharedWithDetails" minOccurs="0"/>
                <xsd:element ref="ns2:lcf76f155ced4ddcb4097134ff3c332f" minOccurs="0"/>
                <xsd:element ref="ns5:TaxCatchAll" minOccurs="0"/>
                <xsd:element ref="ns3:MediaLengthInSeconds"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679687-70c9-4c6a-b916-22fb3f1e9e23" elementFormDefault="qualified">
    <xsd:import namespace="http://schemas.microsoft.com/office/2006/documentManagement/types"/>
    <xsd:import namespace="http://schemas.microsoft.com/office/infopath/2007/PartnerControls"/>
    <xsd:element name="MediaServiceMetadata" ma:index="5" nillable="true" ma:displayName="MediaServiceMetadata" ma:hidden="true" ma:internalName="MediaServiceMetadata" ma:readOnly="true">
      <xsd:simpleType>
        <xsd:restriction base="dms:Note"/>
      </xsd:simpleType>
    </xsd:element>
    <xsd:element name="MediaServiceFastMetadata" ma:index="6" nillable="true" ma:displayName="MediaServiceFastMetadata" ma:hidden="true" ma:internalName="MediaServiceFastMetadata" ma:readOnly="true">
      <xsd:simpleType>
        <xsd:restriction base="dms:Note"/>
      </xsd:simpleType>
    </xsd:element>
    <xsd:element name="MediaServiceGenerationTime" ma:index="7" nillable="true" ma:displayName="MediaServiceGenerationTime" ma:hidden="true" ma:internalName="MediaServiceGenerationTime" ma:readOnly="true">
      <xsd:simpleType>
        <xsd:restriction base="dms:Text"/>
      </xsd:simpleType>
    </xsd:element>
    <xsd:element name="MediaServiceEventHashCode" ma:index="8" nillable="true" ma:displayName="MediaServiceEventHashCode" ma:hidden="true" ma:internalName="MediaServiceEventHashCode"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76f79bde-b34b-4e33-a562-f79c102b9a25"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8763c67-4ca5-4df3-a41e-d7f28bb28368" elementFormDefault="qualified">
    <xsd:import namespace="http://schemas.microsoft.com/office/2006/documentManagement/types"/>
    <xsd:import namespace="http://schemas.microsoft.com/office/infopath/2007/PartnerControls"/>
    <xsd:element name="MediaServiceDateTaken" ma:index="9" nillable="true" ma:displayName="MediaServiceDateTaken" ma:hidden="true" ma:internalName="MediaServiceDateTaken" ma:readOnly="true">
      <xsd:simpleType>
        <xsd:restriction base="dms:Text"/>
      </xsd:simpleType>
    </xsd:element>
    <xsd:element name="MediaServiceLocation" ma:index="10" nillable="true" ma:displayName="Location" ma:internalName="MediaServiceLocation" ma:readOnly="true">
      <xsd:simpleType>
        <xsd:restriction base="dms:Text"/>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b5d5d6b-53dc-45ed-8147-d260621cfede"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fb75ef7-c82e-4410-8df8-bbd45a3fbdf2"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c3df5bc1-bee8-4a69-8e55-6a2b581083c2}" ma:internalName="TaxCatchAll" ma:showField="CatchAllData" ma:web="dfb75ef7-c82e-4410-8df8-bbd45a3fbdf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2"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B48AC88-143A-46D1-8EB3-414B48553990}">
  <ds:schemaRefs>
    <ds:schemaRef ds:uri="http://schemas.microsoft.com/sharepoint/v3/contenttype/forms"/>
  </ds:schemaRefs>
</ds:datastoreItem>
</file>

<file path=customXml/itemProps2.xml><?xml version="1.0" encoding="utf-8"?>
<ds:datastoreItem xmlns:ds="http://schemas.openxmlformats.org/officeDocument/2006/customXml" ds:itemID="{D99EE113-64CE-44B9-9DF6-F8A7F6AB88C1}">
  <ds:schemaRefs>
    <ds:schemaRef ds:uri="http://schemas.microsoft.com/office/2006/metadata/properties"/>
    <ds:schemaRef ds:uri="http://schemas.microsoft.com/office/infopath/2007/PartnerControls"/>
    <ds:schemaRef ds:uri="ca679687-70c9-4c6a-b916-22fb3f1e9e23"/>
    <ds:schemaRef ds:uri="dfb75ef7-c82e-4410-8df8-bbd45a3fbdf2"/>
    <ds:schemaRef ds:uri="28763c67-4ca5-4df3-a41e-d7f28bb28368"/>
    <ds:schemaRef ds:uri="8b5d5d6b-53dc-45ed-8147-d260621cfede"/>
  </ds:schemaRefs>
</ds:datastoreItem>
</file>

<file path=customXml/itemProps3.xml><?xml version="1.0" encoding="utf-8"?>
<ds:datastoreItem xmlns:ds="http://schemas.openxmlformats.org/officeDocument/2006/customXml" ds:itemID="{28ED3918-81F1-4A0B-ABA3-4FC20DEE62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679687-70c9-4c6a-b916-22fb3f1e9e23"/>
    <ds:schemaRef ds:uri="28763c67-4ca5-4df3-a41e-d7f28bb28368"/>
    <ds:schemaRef ds:uri="8b5d5d6b-53dc-45ed-8147-d260621cfede"/>
    <ds:schemaRef ds:uri="dfb75ef7-c82e-4410-8df8-bbd45a3fbd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Assumptions</vt:lpstr>
      <vt:lpstr>Charts</vt:lpstr>
      <vt:lpstr>ETS balance - Jan 25</vt:lpstr>
    </vt:vector>
  </TitlesOfParts>
  <Company>S&amp;P Global Platts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EU ETS Long-Term Market Balances</dc:title>
  <dc:creator>Platts Analytics</dc:creator>
  <cp:lastModifiedBy>GREGOIRE Charles</cp:lastModifiedBy>
  <dcterms:created xsi:type="dcterms:W3CDTF">2020-12-08T22:22:47Z</dcterms:created>
  <dcterms:modified xsi:type="dcterms:W3CDTF">2025-10-07T13:15:22Z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0x010100CD45E8470DF1654DB1ABC19C960D14DF</vt:lpwstr>
  </property>
  <property fmtid="{D5CDD505-2E9C-101B-9397-08002B2CF9AE}" pid="3" name="xd_ProgID">
    <vt:lpwstr/>
  </property>
  <property fmtid="{D5CDD505-2E9C-101B-9397-08002B2CF9AE}" pid="4" name="MediaServiceImageTags">
    <vt:lpwstr/>
  </property>
  <property fmtid="{D5CDD505-2E9C-101B-9397-08002B2CF9AE}" pid="5" name="_ColorHex">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_ColorTag">
    <vt:lpwstr/>
  </property>
  <property fmtid="{D5CDD505-2E9C-101B-9397-08002B2CF9AE}" pid="10" name="TriggerFlowInfo">
    <vt:lpwstr/>
  </property>
  <property fmtid="{D5CDD505-2E9C-101B-9397-08002B2CF9AE}" pid="11" name="xd_Signature">
    <vt:bool>false</vt:bool>
  </property>
  <property fmtid="{D5CDD505-2E9C-101B-9397-08002B2CF9AE}" pid="12" name="GUID">
    <vt:lpwstr>3fa4bc71-97e9-46ec-99c4-2853b0421338</vt:lpwstr>
  </property>
  <property fmtid="{D5CDD505-2E9C-101B-9397-08002B2CF9AE}" pid="13" name="_Emoji">
    <vt:lpwstr/>
  </property>
  <property fmtid="{D5CDD505-2E9C-101B-9397-08002B2CF9AE}" pid="14" name="{A44787D4-0540-4523-9961-78E4036D8C6D}">
    <vt:lpwstr>{BA5C71C9-FA10-4CFC-9477-AE5DE2BDAE22}</vt:lpwstr>
  </property>
  <property fmtid="{D5CDD505-2E9C-101B-9397-08002B2CF9AE}" pid="15" name="MSIP_Label_6267e522-0091-4d88-9989-f382df9eb3cc_Enabled">
    <vt:lpwstr>true</vt:lpwstr>
  </property>
  <property fmtid="{D5CDD505-2E9C-101B-9397-08002B2CF9AE}" pid="16" name="MSIP_Label_6267e522-0091-4d88-9989-f382df9eb3cc_SetDate">
    <vt:lpwstr>2025-10-02T13:03:44Z</vt:lpwstr>
  </property>
  <property fmtid="{D5CDD505-2E9C-101B-9397-08002B2CF9AE}" pid="17" name="MSIP_Label_6267e522-0091-4d88-9989-f382df9eb3cc_Method">
    <vt:lpwstr>Privileged</vt:lpwstr>
  </property>
  <property fmtid="{D5CDD505-2E9C-101B-9397-08002B2CF9AE}" pid="18" name="MSIP_Label_6267e522-0091-4d88-9989-f382df9eb3cc_Name">
    <vt:lpwstr>General</vt:lpwstr>
  </property>
  <property fmtid="{D5CDD505-2E9C-101B-9397-08002B2CF9AE}" pid="19" name="MSIP_Label_6267e522-0091-4d88-9989-f382df9eb3cc_SiteId">
    <vt:lpwstr>8f3e36ea-8039-4b40-81a7-7dc0599e8645</vt:lpwstr>
  </property>
  <property fmtid="{D5CDD505-2E9C-101B-9397-08002B2CF9AE}" pid="20" name="MSIP_Label_6267e522-0091-4d88-9989-f382df9eb3cc_ActionId">
    <vt:lpwstr>3fdb94e8-742b-43b9-85be-830fde87caea</vt:lpwstr>
  </property>
  <property fmtid="{D5CDD505-2E9C-101B-9397-08002B2CF9AE}" pid="21" name="MSIP_Label_6267e522-0091-4d88-9989-f382df9eb3cc_ContentBits">
    <vt:lpwstr>0</vt:lpwstr>
  </property>
</Properties>
</file>