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7.xml" ContentType="application/vnd.openxmlformats-officedocument.spreadsheetml.comment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22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Fiche PIC" sheetId="1" state="visible" r:id="rId2"/>
    <sheet name="Réunions" sheetId="2" state="visible" r:id="rId3"/>
    <sheet name="Journal de Bord" sheetId="3" state="visible" r:id="rId4"/>
    <sheet name="Tableau de Bord" sheetId="4" state="visible" r:id="rId5"/>
    <sheet name="Indicateurs" sheetId="5" state="visible" r:id="rId6"/>
    <sheet name="Actions " sheetId="6" state="visible" r:id="rId7"/>
    <sheet name="OTP" sheetId="7" state="visible" r:id="rId8"/>
    <sheet name="SPRINT" sheetId="8" state="visible" r:id="rId9"/>
    <sheet name="Jalons" sheetId="9" state="visible" r:id="rId10"/>
    <sheet name="PFR" sheetId="10" state="visible" r:id="rId11"/>
    <sheet name="Satisfaction Equipe" sheetId="11" state="visible" r:id="rId12"/>
    <sheet name="Tests" sheetId="12" state="visible" r:id="rId13"/>
    <sheet name="Anomalies" sheetId="13" state="visible" r:id="rId14"/>
    <sheet name="NC" sheetId="14" state="visible" r:id="rId15"/>
    <sheet name="Faits tech." sheetId="15" state="visible" r:id="rId16"/>
    <sheet name="CR Activités" sheetId="16" state="visible" r:id="rId17"/>
    <sheet name="Calendriers" sheetId="17" state="visible" r:id="rId18"/>
  </sheets>
  <definedNames>
    <definedName function="false" hidden="false" name="Conséquence" vbProcedure="false">#REF!</definedName>
    <definedName function="false" hidden="false" name="Gravité" vbProcedure="false">#REF!</definedName>
    <definedName function="false" hidden="false" name="Historique" vbProcedure="false">Backlog4[]</definedName>
    <definedName function="false" hidden="false" name="Nature" vbProcedure="false">#REF!</definedName>
    <definedName function="false" hidden="false" name="Probabilité" vbProcedure="false">#REF!</definedName>
    <definedName function="false" hidden="false" name="Tendance" vbProcedure="false">#REF!</definedName>
    <definedName function="false" hidden="false" localSheetId="7" name="_xlnm.Extract" vbProcedure="false">SPRINT!$H:$H</definedName>
    <definedName function="false" hidden="false" localSheetId="12" name="_xlnm.Extract" vbProcedure="false">Anomalies!$G:$G</definedName>
    <definedName function="false" hidden="false" localSheetId="13" name="Historique" vbProcedure="false">Backlog42[]</definedName>
    <definedName function="false" hidden="false" localSheetId="13" name="_xlnm.Extract" vbProcedure="false">NC!$G:$G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3" authorId="0">
      <text>
        <r>
          <rPr>
            <sz val="12"/>
            <color rgb="FF000000"/>
            <rFont val="Calibri"/>
            <family val="2"/>
            <charset val="1"/>
          </rPr>
          <t xml:space="preserve">Patrick Giroux:
</t>
        </r>
        <r>
          <rPr>
            <sz val="10"/>
            <color rgb="FF000000"/>
            <rFont val="Tahoma"/>
            <family val="2"/>
            <charset val="1"/>
          </rPr>
          <t xml:space="preserve">A reporter dans le tableau à la date correspondante</t>
        </r>
      </text>
    </comment>
    <comment ref="J24" authorId="0">
      <text>
        <r>
          <rPr>
            <sz val="12"/>
            <color rgb="FF000000"/>
            <rFont val="Calibri"/>
            <family val="2"/>
            <charset val="1"/>
          </rPr>
          <t xml:space="preserve">Patrick Giroux:
</t>
        </r>
        <r>
          <rPr>
            <sz val="10"/>
            <color rgb="FF000000"/>
            <rFont val="Tahoma"/>
            <family val="2"/>
            <charset val="1"/>
          </rPr>
          <t xml:space="preserve">A reporter dans le tableau à la date correspondante</t>
        </r>
      </text>
    </comment>
    <comment ref="J25" authorId="0">
      <text>
        <r>
          <rPr>
            <sz val="12"/>
            <color rgb="FF000000"/>
            <rFont val="Calibri"/>
            <family val="2"/>
            <charset val="1"/>
          </rPr>
          <t xml:space="preserve">Patrick Giroux:
</t>
        </r>
        <r>
          <rPr>
            <sz val="10"/>
            <color rgb="FF000000"/>
            <rFont val="Tahoma"/>
            <family val="2"/>
            <charset val="1"/>
          </rPr>
          <t xml:space="preserve">A reporter dans le tableau à la date correspondante</t>
        </r>
      </text>
    </comment>
    <comment ref="K23" authorId="0">
      <text>
        <r>
          <rPr>
            <sz val="12"/>
            <color rgb="FF000000"/>
            <rFont val="Calibri"/>
            <family val="2"/>
            <charset val="1"/>
          </rPr>
          <t xml:space="preserve">Patrick Giroux:
</t>
        </r>
        <r>
          <rPr>
            <sz val="10"/>
            <color rgb="FF000000"/>
            <rFont val="Tahoma"/>
            <family val="2"/>
            <charset val="1"/>
          </rPr>
          <t xml:space="preserve">A reporter dans le tableau à la date correspondante</t>
        </r>
      </text>
    </comment>
    <comment ref="K24" authorId="0">
      <text>
        <r>
          <rPr>
            <sz val="12"/>
            <color rgb="FF000000"/>
            <rFont val="Calibri"/>
            <family val="2"/>
            <charset val="1"/>
          </rPr>
          <t xml:space="preserve">Patrick Giroux:
</t>
        </r>
        <r>
          <rPr>
            <sz val="10"/>
            <color rgb="FF000000"/>
            <rFont val="Tahoma"/>
            <family val="2"/>
            <charset val="1"/>
          </rPr>
          <t xml:space="preserve">A reporter dans le tableau à la date correspondante</t>
        </r>
      </text>
    </comment>
    <comment ref="K25" authorId="0">
      <text>
        <r>
          <rPr>
            <sz val="12"/>
            <color rgb="FF000000"/>
            <rFont val="Calibri"/>
            <family val="2"/>
            <charset val="1"/>
          </rPr>
          <t xml:space="preserve">Patrick Giroux:
</t>
        </r>
        <r>
          <rPr>
            <sz val="10"/>
            <color rgb="FF000000"/>
            <rFont val="Tahoma"/>
            <family val="2"/>
            <charset val="1"/>
          </rPr>
          <t xml:space="preserve">A reporter dans le tableau à la date correspondante</t>
        </r>
      </text>
    </comment>
    <comment ref="N23" authorId="0">
      <text>
        <r>
          <rPr>
            <sz val="12"/>
            <color rgb="FF000000"/>
            <rFont val="Calibri"/>
            <family val="2"/>
            <charset val="1"/>
          </rPr>
          <t xml:space="preserve">Patrick Giroux:
</t>
        </r>
        <r>
          <rPr>
            <sz val="10"/>
            <color rgb="FF000000"/>
            <rFont val="Tahoma"/>
            <family val="2"/>
            <charset val="1"/>
          </rPr>
          <t xml:space="preserve">A reporter dans le tableau à la date correspondante</t>
        </r>
      </text>
    </comment>
    <comment ref="N24" authorId="0">
      <text>
        <r>
          <rPr>
            <sz val="12"/>
            <color rgb="FF000000"/>
            <rFont val="Calibri"/>
            <family val="2"/>
            <charset val="1"/>
          </rPr>
          <t xml:space="preserve">Patrick Giroux:
</t>
        </r>
        <r>
          <rPr>
            <sz val="10"/>
            <color rgb="FF000000"/>
            <rFont val="Tahoma"/>
            <family val="2"/>
            <charset val="1"/>
          </rPr>
          <t xml:space="preserve">A reporter dans le tableau à la date correspondante</t>
        </r>
      </text>
    </comment>
    <comment ref="N25" authorId="0">
      <text>
        <r>
          <rPr>
            <sz val="12"/>
            <color rgb="FF000000"/>
            <rFont val="Calibri"/>
            <family val="2"/>
            <charset val="1"/>
          </rPr>
          <t xml:space="preserve">Patrick Giroux:
</t>
        </r>
        <r>
          <rPr>
            <sz val="10"/>
            <color rgb="FF000000"/>
            <rFont val="Tahoma"/>
            <family val="2"/>
            <charset val="1"/>
          </rPr>
          <t xml:space="preserve">A reporter dans le tableau à la date correspondante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Patrick GIROUX:</t>
        </r>
      </text>
    </comment>
  </commentList>
</comments>
</file>

<file path=xl/sharedStrings.xml><?xml version="1.0" encoding="utf-8"?>
<sst xmlns="http://schemas.openxmlformats.org/spreadsheetml/2006/main" count="914" uniqueCount="575">
  <si>
    <t xml:space="preserve">FICHE PIC / INFORMATIONS GENERALES</t>
  </si>
  <si>
    <t xml:space="preserve">Nom du Projet</t>
  </si>
  <si>
    <t xml:space="preserve">&lt;Nom du Projet&gt;</t>
  </si>
  <si>
    <t xml:space="preserve">Equipe</t>
  </si>
  <si>
    <t xml:space="preserve">Chef(fe) PIC</t>
  </si>
  <si>
    <t xml:space="preserve">&lt;Prénom Nom du Chef PIC&gt;</t>
  </si>
  <si>
    <t xml:space="preserve">NOM</t>
  </si>
  <si>
    <t xml:space="preserve">Rôle semestre 1</t>
  </si>
  <si>
    <t xml:space="preserve">h/sem</t>
  </si>
  <si>
    <t xml:space="preserve">Rôle Semestre 2</t>
  </si>
  <si>
    <t xml:space="preserve">Date de début:</t>
  </si>
  <si>
    <t xml:space="preserve">Anne</t>
  </si>
  <si>
    <t xml:space="preserve">Développeuse</t>
  </si>
  <si>
    <t xml:space="preserve">Mobilité</t>
  </si>
  <si>
    <t xml:space="preserve">Date de fin:</t>
  </si>
  <si>
    <t xml:space="preserve">Jean</t>
  </si>
  <si>
    <t xml:space="preserve">Chef PIC</t>
  </si>
  <si>
    <t xml:space="preserve">Date de mise à jour:</t>
  </si>
  <si>
    <t xml:space="preserve">Louise</t>
  </si>
  <si>
    <t xml:space="preserve">Adjointe CP</t>
  </si>
  <si>
    <t xml:space="preserve">Cheffe PIC</t>
  </si>
  <si>
    <t xml:space="preserve">=</t>
  </si>
  <si>
    <t xml:space="preserve">Entreprise:</t>
  </si>
  <si>
    <t xml:space="preserve">Marie</t>
  </si>
  <si>
    <t xml:space="preserve">Scrum Master</t>
  </si>
  <si>
    <t xml:space="preserve">Salle PIC: </t>
  </si>
  <si>
    <t xml:space="preserve">Paul</t>
  </si>
  <si>
    <t xml:space="preserve">Développeur</t>
  </si>
  <si>
    <t xml:space="preserve">Product Owner</t>
  </si>
  <si>
    <t xml:space="preserve">@mail:</t>
  </si>
  <si>
    <t xml:space="preserve">picasi-n@insa-rouen.fr</t>
  </si>
  <si>
    <t xml:space="preserve">Pierre</t>
  </si>
  <si>
    <t xml:space="preserve">Tuteur pédagogique:</t>
  </si>
  <si>
    <t xml:space="preserve">Victor</t>
  </si>
  <si>
    <t xml:space="preserve">Developpeur</t>
  </si>
  <si>
    <t xml:space="preserve">Tuteur Gestion de Projet:</t>
  </si>
  <si>
    <t xml:space="preserve">Antoine</t>
  </si>
  <si>
    <t xml:space="preserve">Tuteur Communication:</t>
  </si>
  <si>
    <t xml:space="preserve">Nom du client:</t>
  </si>
  <si>
    <t xml:space="preserve">@client:</t>
  </si>
  <si>
    <t xml:space="preserve">TOTAL</t>
  </si>
  <si>
    <t xml:space="preserve">Nb semaines:</t>
  </si>
  <si>
    <t xml:space="preserve">Charge totale (en heures):</t>
  </si>
  <si>
    <r>
      <rPr>
        <b val="true"/>
        <sz val="11"/>
        <color rgb="FF000000"/>
        <rFont val="Arial"/>
        <family val="2"/>
        <charset val="1"/>
      </rPr>
      <t xml:space="preserve">Résumé du sujet:</t>
    </r>
    <r>
      <rPr>
        <sz val="11"/>
        <color rgb="FF000000"/>
        <rFont val="Arial"/>
        <family val="2"/>
        <charset val="1"/>
      </rPr>
      <t xml:space="preserve"> </t>
    </r>
  </si>
  <si>
    <t xml:space="preserve">Technologies mises en œuvre : </t>
  </si>
  <si>
    <t xml:space="preserve">Commentaires</t>
  </si>
  <si>
    <t xml:space="preserve">Méthode retenue:</t>
  </si>
  <si>
    <t xml:space="preserve">Outils mis en oeuvre:</t>
  </si>
  <si>
    <t xml:space="preserve">Communication interne:</t>
  </si>
  <si>
    <t xml:space="preserve">Communication client:</t>
  </si>
  <si>
    <t xml:space="preserve">Communication tuteurs:</t>
  </si>
  <si>
    <t xml:space="preserve">Planification et suivi : </t>
  </si>
  <si>
    <t xml:space="preserve">GitLab</t>
  </si>
  <si>
    <t xml:space="preserve">Développement:</t>
  </si>
  <si>
    <t xml:space="preserve">Gestion de la documentation : </t>
  </si>
  <si>
    <t xml:space="preserve">Nuage</t>
  </si>
  <si>
    <t xml:space="preserve">Gestion de versions :</t>
  </si>
  <si>
    <t xml:space="preserve">Git</t>
  </si>
  <si>
    <t xml:space="preserve">Gestion de tickets :</t>
  </si>
  <si>
    <t xml:space="preserve">Intégration continue:</t>
  </si>
  <si>
    <t xml:space="preserve">Déploiement:</t>
  </si>
  <si>
    <t xml:space="preserve">Tests :</t>
  </si>
  <si>
    <t xml:space="preserve">autres:</t>
  </si>
  <si>
    <t xml:space="preserve">REUNIONS</t>
  </si>
  <si>
    <t xml:space="preserve">Types Réunions</t>
  </si>
  <si>
    <t xml:space="preserve">Interne</t>
  </si>
  <si>
    <t xml:space="preserve">Date</t>
  </si>
  <si>
    <t xml:space="preserve">Type</t>
  </si>
  <si>
    <t xml:space="preserve">Ordre du jour</t>
  </si>
  <si>
    <t xml:space="preserve">Durée</t>
  </si>
  <si>
    <t xml:space="preserve">Lien vers Compte-rendu</t>
  </si>
  <si>
    <t xml:space="preserve">Client</t>
  </si>
  <si>
    <t xml:space="preserve">Tutorat Gestion Projet</t>
  </si>
  <si>
    <t xml:space="preserve">Présentations + Briefing</t>
  </si>
  <si>
    <t xml:space="preserve">45'</t>
  </si>
  <si>
    <t xml:space="preserve">Tutorat Pédagogique</t>
  </si>
  <si>
    <t xml:space="preserve">Revue actions + GitLab + Tableau de Bord</t>
  </si>
  <si>
    <t xml:space="preserve">Tutorat Qualité</t>
  </si>
  <si>
    <t xml:space="preserve">TdB + Rédaction PMP</t>
  </si>
  <si>
    <t xml:space="preserve">TdB + Portefeuille des risques</t>
  </si>
  <si>
    <t xml:space="preserve">Revue</t>
  </si>
  <si>
    <t xml:space="preserve">Autre</t>
  </si>
  <si>
    <t xml:space="preserve">FAITS MARQUANTS / DECISIONS</t>
  </si>
  <si>
    <t xml:space="preserve">Types Evénements</t>
  </si>
  <si>
    <t xml:space="preserve">Source</t>
  </si>
  <si>
    <t xml:space="preserve">Description</t>
  </si>
  <si>
    <t xml:space="preserve">Événement interne</t>
  </si>
  <si>
    <t xml:space="preserve">Décision</t>
  </si>
  <si>
    <t xml:space="preserve">Réunion du 22/01/2024</t>
  </si>
  <si>
    <t xml:space="preserve">Discord sera utilisé préférentiellement pour les visio conférences.</t>
  </si>
  <si>
    <t xml:space="preserve">Événement externe</t>
  </si>
  <si>
    <t xml:space="preserve">GitLab et Nuage seront utilisés pour le PIC.</t>
  </si>
  <si>
    <t xml:space="preserve">Livraison</t>
  </si>
  <si>
    <t xml:space="preserve">Réception du jeux de données JD1</t>
  </si>
  <si>
    <t xml:space="preserve">Congés/Journée banalisée</t>
  </si>
  <si>
    <t xml:space="preserve">Mise à jour PF des risques</t>
  </si>
  <si>
    <t xml:space="preserve">Calendrier</t>
  </si>
  <si>
    <t xml:space="preserve">Vacances d'hiver</t>
  </si>
  <si>
    <t xml:space="preserve">TABLEAU DE BORD DU</t>
  </si>
  <si>
    <t xml:space="preserve">SPRINT EN COURS</t>
  </si>
  <si>
    <t xml:space="preserve">SANTE DU PIC</t>
  </si>
  <si>
    <t xml:space="preserve">COMMENTAIRE</t>
  </si>
  <si>
    <t xml:space="preserve">N°</t>
  </si>
  <si>
    <t xml:space="preserve">Date début</t>
  </si>
  <si>
    <t xml:space="preserve">Date Fin</t>
  </si>
  <si>
    <t xml:space="preserve">Durée en jours</t>
  </si>
  <si>
    <t xml:space="preserve">Nb jours restants</t>
  </si>
  <si>
    <t xml:space="preserve">Pas de problème particulier à signaler.</t>
  </si>
  <si>
    <t xml:space="preserve">Note sur 10</t>
  </si>
  <si>
    <t xml:space="preserve">mineur</t>
  </si>
  <si>
    <t xml:space="preserve">MAJEUR</t>
  </si>
  <si>
    <t xml:space="preserve">CRITIQUE</t>
  </si>
  <si>
    <t xml:space="preserve">Age moyen :</t>
  </si>
  <si>
    <t xml:space="preserve">Age max: </t>
  </si>
  <si>
    <t xml:space="preserve">Délai moyen de correction :</t>
  </si>
  <si>
    <t xml:space="preserve">Indicateur</t>
  </si>
  <si>
    <t xml:space="preserve">Performance mesurée</t>
  </si>
  <si>
    <t xml:space="preserve">Origine des données</t>
  </si>
  <si>
    <t xml:space="preserve">Métrique</t>
  </si>
  <si>
    <t xml:space="preserve">Fréquence</t>
  </si>
  <si>
    <t xml:space="preserve">Suivi des Actions en cours</t>
  </si>
  <si>
    <t xml:space="preserve">Capacité des membres de l'équipe à traiter les actions qui leur sont assignées.</t>
  </si>
  <si>
    <t xml:space="preserve">Onglet Jalons ou outil de planification et suivi</t>
  </si>
  <si>
    <t xml:space="preserve">Evolution de l'age moyen des actions ouvertes - Evolution  ouvertures &amp; fermetures / semaine</t>
  </si>
  <si>
    <t xml:space="preserve">Hebdo</t>
  </si>
  <si>
    <t xml:space="preserve">Efficacité</t>
  </si>
  <si>
    <t xml:space="preserve">Diagramme à 45°</t>
  </si>
  <si>
    <t xml:space="preserve">Capacité à respecter le planning prévisionnel</t>
  </si>
  <si>
    <t xml:space="preserve">Evolution des délais prévus</t>
  </si>
  <si>
    <t xml:space="preserve">Burn-down chart</t>
  </si>
  <si>
    <t xml:space="preserve">Capacité à absorber la charge de travail prévue</t>
  </si>
  <si>
    <t xml:space="preserve">Evolution de la charge de travail restante </t>
  </si>
  <si>
    <t xml:space="preserve">Traitement des anomalies</t>
  </si>
  <si>
    <t xml:space="preserve">Capacité à corriger rapidement les anomalies</t>
  </si>
  <si>
    <t xml:space="preserve">Onglet Anomalies</t>
  </si>
  <si>
    <t xml:space="preserve">Evolution du nombre d'anomalies; calcul de l'age et du délai de correction des anomalies</t>
  </si>
  <si>
    <t xml:space="preserve">Traitement des non conformités</t>
  </si>
  <si>
    <t xml:space="preserve">Capacité à corriger rapidement les non conformités</t>
  </si>
  <si>
    <t xml:space="preserve">Onglet NC</t>
  </si>
  <si>
    <t xml:space="preserve">Evolution du nombre de non conformités ; calcul de l'age et du délai de correction des NC</t>
  </si>
  <si>
    <t xml:space="preserve">Vélocité</t>
  </si>
  <si>
    <t xml:space="preserve">Capacité de production</t>
  </si>
  <si>
    <t xml:space="preserve">Onglet Backlog ou outil de planification et  suivi</t>
  </si>
  <si>
    <t xml:space="preserve">Nombre de story points prévus et réalisés pour chaque sprint</t>
  </si>
  <si>
    <t xml:space="preserve">Couverture de tests</t>
  </si>
  <si>
    <t xml:space="preserve">Capacité à vérifier la conformité des produits</t>
  </si>
  <si>
    <t xml:space="preserve">Onglet Tests ou outil de tests</t>
  </si>
  <si>
    <t xml:space="preserve">Evolution du pourcentage de fonctionnalités ou de lignes de code testées </t>
  </si>
  <si>
    <t xml:space="preserve">Efficience</t>
  </si>
  <si>
    <t xml:space="preserve">Répartition de l'effort/lots</t>
  </si>
  <si>
    <t xml:space="preserve">Capacité à respecter la distribution de l'effort (le budget) défini par l'OTP</t>
  </si>
  <si>
    <t xml:space="preserve">Onglet OTP ou outil de panificiation et suivi</t>
  </si>
  <si>
    <t xml:space="preserve">Consommation en pourcentage de la charge allouée à chaque lot de travaux.</t>
  </si>
  <si>
    <t xml:space="preserve">Rentabilité de l'effort de test</t>
  </si>
  <si>
    <t xml:space="preserve">Capacité à définir des tests permettant de détecter les défauts résiduels.</t>
  </si>
  <si>
    <t xml:space="preserve">Evolution du Nbre d’anomalies rapportées / Nbre de tests réalisés ;</t>
  </si>
  <si>
    <t xml:space="preserve">Effort consommé</t>
  </si>
  <si>
    <t xml:space="preserve">Capacité à maintenir un rythme de travail durable</t>
  </si>
  <si>
    <t xml:space="preserve">Onglet CR activités</t>
  </si>
  <si>
    <t xml:space="preserve">Ecart moyen entre la durée hebdomadaire théorique de travail et le temps effectivement consacré au PIC.</t>
  </si>
  <si>
    <t xml:space="preserve">Satisfaction de l'équipe</t>
  </si>
  <si>
    <t xml:space="preserve">Capacité à maintenir l'ambiance et le niveau de motivation de l'équipe</t>
  </si>
  <si>
    <t xml:space="preserve">Onglet satisfaction de l'équipe</t>
  </si>
  <si>
    <t xml:space="preserve">Résultats d'enquête auprès des membre de l'équipe PIC.</t>
  </si>
  <si>
    <t xml:space="preserve">1/Sprint</t>
  </si>
  <si>
    <t xml:space="preserve">Couverture fonctionnelle</t>
  </si>
  <si>
    <t xml:space="preserve">Capacité de réponse aux besoins exprimés</t>
  </si>
  <si>
    <t xml:space="preserve">Nombre d’exigences ou US satisfaites (ou livrées)/ Nombre d’exigences ou US exprimées ;</t>
  </si>
  <si>
    <t xml:space="preserve">Répartition de l'effort/membres</t>
  </si>
  <si>
    <t xml:space="preserve">Capacité à partager harmonieusement le travail.</t>
  </si>
  <si>
    <t xml:space="preserve">Effort hebdomadaire moyen de chaque membre de l'équipe</t>
  </si>
  <si>
    <t xml:space="preserve">Profil des riques</t>
  </si>
  <si>
    <t xml:space="preserve">Capacité à maitriser les risques ( adéquation du plan de réduction des risques ).</t>
  </si>
  <si>
    <t xml:space="preserve">Onglet Risques ou Portefeuille de risques</t>
  </si>
  <si>
    <t xml:space="preserve">Evolution de la criticité des risques majeurs</t>
  </si>
  <si>
    <t xml:space="preserve">Pertinence</t>
  </si>
  <si>
    <t xml:space="preserve">Satisfaction client</t>
  </si>
  <si>
    <t xml:space="preserve">Capacité à apporter des réponses satisfaisantes pour le client</t>
  </si>
  <si>
    <t xml:space="preserve">Résultat d'enquête de satisfaction auprès du client</t>
  </si>
  <si>
    <t xml:space="preserve">bi-mestriel</t>
  </si>
  <si>
    <t xml:space="preserve">REGISTRE D'ACTIONS</t>
  </si>
  <si>
    <t xml:space="preserve">O</t>
  </si>
  <si>
    <t xml:space="preserve">F</t>
  </si>
  <si>
    <t xml:space="preserve">Export GitLab</t>
  </si>
  <si>
    <t xml:space="preserve">Statut</t>
  </si>
  <si>
    <t xml:space="preserve">Date ouverture</t>
  </si>
  <si>
    <t xml:space="preserve">Origine</t>
  </si>
  <si>
    <t xml:space="preserve">Intitulé</t>
  </si>
  <si>
    <t xml:space="preserve">Porteur</t>
  </si>
  <si>
    <t xml:space="preserve">Deadline</t>
  </si>
  <si>
    <t xml:space="preserve">Date cloture</t>
  </si>
  <si>
    <t xml:space="preserve">Commentaire</t>
  </si>
  <si>
    <t xml:space="preserve">Age</t>
  </si>
  <si>
    <t xml:space="preserve">Title</t>
  </si>
  <si>
    <t xml:space="preserve">Issue ID</t>
  </si>
  <si>
    <t xml:space="preserve">State</t>
  </si>
  <si>
    <t xml:space="preserve">Assignee</t>
  </si>
  <si>
    <t xml:space="preserve">Assignee Username</t>
  </si>
  <si>
    <t xml:space="preserve">Confidential</t>
  </si>
  <si>
    <t xml:space="preserve">Locked</t>
  </si>
  <si>
    <t xml:space="preserve">Due Date</t>
  </si>
  <si>
    <t xml:space="preserve">Created At (UTC)</t>
  </si>
  <si>
    <t xml:space="preserve">Updated At (UTC)</t>
  </si>
  <si>
    <t xml:space="preserve">Closed At (UTC)</t>
  </si>
  <si>
    <t xml:space="preserve">Time Estimate</t>
  </si>
  <si>
    <t xml:space="preserve">Time Spent</t>
  </si>
  <si>
    <t xml:space="preserve">TGP</t>
  </si>
  <si>
    <t xml:space="preserve">Tous</t>
  </si>
  <si>
    <t xml:space="preserve">Trouver un nom pour le PIC</t>
  </si>
  <si>
    <t xml:space="preserve">Open</t>
  </si>
  <si>
    <t xml:space="preserve">No</t>
  </si>
  <si>
    <t xml:space="preserve">Prendre connaissance du RAQ 2.6</t>
  </si>
  <si>
    <t xml:space="preserve">Mettre en place une plate-forme de travail collaboratif</t>
  </si>
  <si>
    <t xml:space="preserve">Programmer la réunion de démarrage avec le client</t>
  </si>
  <si>
    <t xml:space="preserve">Formaliser la compréhension du besoin</t>
  </si>
  <si>
    <t xml:space="preserve">Etablir une liste de questions à poser au client</t>
  </si>
  <si>
    <t xml:space="preserve">Etudier les méthodes et outils de gestion de projet</t>
  </si>
  <si>
    <t xml:space="preserve">Définir les modalités du tableau de bord hebdo.</t>
  </si>
  <si>
    <t xml:space="preserve">Mettre en place le registre d'actions</t>
  </si>
  <si>
    <t xml:space="preserve">Définir l'organisation de l'équipe</t>
  </si>
  <si>
    <t xml:space="preserve">Définir la WBS du PIC</t>
  </si>
  <si>
    <t xml:space="preserve">Choisir une méthode de gestion de projet</t>
  </si>
  <si>
    <t xml:space="preserve">Décision récente</t>
  </si>
  <si>
    <t xml:space="preserve">OUVERTES</t>
  </si>
  <si>
    <t xml:space="preserve">EN RETARD</t>
  </si>
  <si>
    <t xml:space="preserve">FERMEES</t>
  </si>
  <si>
    <t xml:space="preserve">AGE MOYEN</t>
  </si>
  <si>
    <t xml:space="preserve">OTP: DIMENSIONNEMENT DES LOTS DE TRAVAUX</t>
  </si>
  <si>
    <t xml:space="preserve">Budget global en heures:</t>
  </si>
  <si>
    <t xml:space="preserve">sur</t>
  </si>
  <si>
    <t xml:space="preserve">semaines</t>
  </si>
  <si>
    <t xml:space="preserve">ID</t>
  </si>
  <si>
    <t xml:space="preserve">Définition</t>
  </si>
  <si>
    <t xml:space="preserve">Effort alloué (%)</t>
  </si>
  <si>
    <t xml:space="preserve">Effort alloué (h)</t>
  </si>
  <si>
    <t xml:space="preserve">Consommé(h)</t>
  </si>
  <si>
    <t xml:space="preserve">RAF Prévu</t>
  </si>
  <si>
    <t xml:space="preserve">RAF Révisé</t>
  </si>
  <si>
    <t xml:space="preserve">% Consommé</t>
  </si>
  <si>
    <t xml:space="preserve">% Avancement</t>
  </si>
  <si>
    <t xml:space="preserve">Révision</t>
  </si>
  <si>
    <t xml:space="preserve">WP0</t>
  </si>
  <si>
    <t xml:space="preserve">Management général</t>
  </si>
  <si>
    <t xml:space="preserve">WP1</t>
  </si>
  <si>
    <t xml:space="preserve">Définition du produit</t>
  </si>
  <si>
    <t xml:space="preserve">WP2</t>
  </si>
  <si>
    <t xml:space="preserve">Développement Front End</t>
  </si>
  <si>
    <t xml:space="preserve">WP3</t>
  </si>
  <si>
    <t xml:space="preserve">Développement Back End</t>
  </si>
  <si>
    <t xml:space="preserve">WP4</t>
  </si>
  <si>
    <t xml:space="preserve">Intégration/Validation/Livraison</t>
  </si>
  <si>
    <t xml:space="preserve">WP5</t>
  </si>
  <si>
    <t xml:space="preserve">Auto-Formation, Tutorats</t>
  </si>
  <si>
    <t xml:space="preserve">INFOS SUR LE SPRINT</t>
  </si>
  <si>
    <t xml:space="preserve">Jour courant du Sprint: </t>
  </si>
  <si>
    <t xml:space="preserve">Champ</t>
  </si>
  <si>
    <t xml:space="preserve">Valeurs</t>
  </si>
  <si>
    <t xml:space="preserve">Date de début</t>
  </si>
  <si>
    <t xml:space="preserve">Durée du sprint (nette)</t>
  </si>
  <si>
    <t xml:space="preserve">Durée du sprint (brute)</t>
  </si>
  <si>
    <t xml:space="preserve">Nombre d'items dans le sprint </t>
  </si>
  <si>
    <t xml:space="preserve">Congés et journées banalisées</t>
  </si>
  <si>
    <t xml:space="preserve">Total des story points</t>
  </si>
  <si>
    <t xml:space="preserve">Taille de l'équipe</t>
  </si>
  <si>
    <t xml:space="preserve">Story points ouverts</t>
  </si>
  <si>
    <t xml:space="preserve">Heures disponibles pour l'équipe</t>
  </si>
  <si>
    <t xml:space="preserve">items clos</t>
  </si>
  <si>
    <t xml:space="preserve">Date de fin du sprint</t>
  </si>
  <si>
    <t xml:space="preserve">BACKLOG DE SPRINT</t>
  </si>
  <si>
    <t xml:space="preserve">Début du sprint</t>
  </si>
  <si>
    <t xml:space="preserve">Durée du sprint en jours</t>
  </si>
  <si>
    <t xml:space="preserve">Sprint ID</t>
  </si>
  <si>
    <t xml:space="preserve">Backlog Item ID</t>
  </si>
  <si>
    <t xml:space="preserve">StoryPoints</t>
  </si>
  <si>
    <t xml:space="preserve">Item</t>
  </si>
  <si>
    <t xml:space="preserve">Assigné à </t>
  </si>
  <si>
    <t xml:space="preserve">Terminé le </t>
  </si>
  <si>
    <t xml:space="preserve">Jour de sprint</t>
  </si>
  <si>
    <t xml:space="preserve">SP terminés</t>
  </si>
  <si>
    <t xml:space="preserve">Milestone</t>
  </si>
  <si>
    <t xml:space="preserve">Weight</t>
  </si>
  <si>
    <t xml:space="preserve">Labels</t>
  </si>
  <si>
    <t xml:space="preserve">Epic ID</t>
  </si>
  <si>
    <t xml:space="preserve">Epic Title</t>
  </si>
  <si>
    <t xml:space="preserve">TERMINE</t>
  </si>
  <si>
    <t xml:space="preserve">A FAIRE</t>
  </si>
  <si>
    <t xml:space="preserve">Ouvrir un compte</t>
  </si>
  <si>
    <t xml:space="preserve">Sprint 1</t>
  </si>
  <si>
    <t xml:space="preserve">Backlog,In Progress,User Story,priority::1</t>
  </si>
  <si>
    <t xml:space="preserve">Gérer les utilisateurs</t>
  </si>
  <si>
    <t xml:space="preserve">OUVERT</t>
  </si>
  <si>
    <t xml:space="preserve">Parcourir le catalogue</t>
  </si>
  <si>
    <t xml:space="preserve">Backlog,User Story,priority::1</t>
  </si>
  <si>
    <t xml:space="preserve">Commander sur le Web</t>
  </si>
  <si>
    <t xml:space="preserve">Sylvie</t>
  </si>
  <si>
    <t xml:space="preserve">EN COURS</t>
  </si>
  <si>
    <t xml:space="preserve">Référencer un fournisseur</t>
  </si>
  <si>
    <t xml:space="preserve">Backlog,User Story,priority::3</t>
  </si>
  <si>
    <t xml:space="preserve">Approvisionner les produits</t>
  </si>
  <si>
    <t xml:space="preserve">Mise en place de la gestion de documentation</t>
  </si>
  <si>
    <t xml:space="preserve">Backlog,Technical Story</t>
  </si>
  <si>
    <t xml:space="preserve">Mise en place du repository de développement.</t>
  </si>
  <si>
    <t xml:space="preserve">Backlog,In Progress,Technical Story</t>
  </si>
  <si>
    <t xml:space="preserve">Commander</t>
  </si>
  <si>
    <t xml:space="preserve">Backlog,User Story</t>
  </si>
  <si>
    <t xml:space="preserve">S'identifier</t>
  </si>
  <si>
    <t xml:space="preserve">Choisir mode de paiement</t>
  </si>
  <si>
    <t xml:space="preserve">Storypoints</t>
  </si>
  <si>
    <t xml:space="preserve">Moyenne SP / jour</t>
  </si>
  <si>
    <t xml:space="preserve">Courbe idéale</t>
  </si>
  <si>
    <t xml:space="preserve">Courbe réelle</t>
  </si>
  <si>
    <t xml:space="preserve">Story Points consommés</t>
  </si>
  <si>
    <t xml:space="preserve">Théorique</t>
  </si>
  <si>
    <t xml:space="preserve">Prévu</t>
  </si>
  <si>
    <t xml:space="preserve">Réalisé</t>
  </si>
  <si>
    <t xml:space="preserve">Sprint 2</t>
  </si>
  <si>
    <t xml:space="preserve">Sprint 3</t>
  </si>
  <si>
    <t xml:space="preserve">Sprint 4</t>
  </si>
  <si>
    <t xml:space="preserve">Sprint 5</t>
  </si>
  <si>
    <t xml:space="preserve">Sprint 6</t>
  </si>
  <si>
    <t xml:space="preserve">Sprint 7</t>
  </si>
  <si>
    <t xml:space="preserve">Sprint 8</t>
  </si>
  <si>
    <t xml:space="preserve">AVANCEMENT / JALONS</t>
  </si>
  <si>
    <t xml:space="preserve">Jalon</t>
  </si>
  <si>
    <t xml:space="preserve">J1</t>
  </si>
  <si>
    <t xml:space="preserve">Fin de définition</t>
  </si>
  <si>
    <t xml:space="preserve">J2</t>
  </si>
  <si>
    <t xml:space="preserve">Release 1</t>
  </si>
  <si>
    <t xml:space="preserve">J3</t>
  </si>
  <si>
    <t xml:space="preserve">Release 2</t>
  </si>
  <si>
    <t xml:space="preserve">J4</t>
  </si>
  <si>
    <t xml:space="preserve">Release 3</t>
  </si>
  <si>
    <t xml:space="preserve">J5</t>
  </si>
  <si>
    <t xml:space="preserve">Release 4</t>
  </si>
  <si>
    <t xml:space="preserve">J6</t>
  </si>
  <si>
    <t xml:space="preserve">Livraison finale</t>
  </si>
  <si>
    <t xml:space="preserve">Fin</t>
  </si>
  <si>
    <t xml:space="preserve">Fin du Projet</t>
  </si>
  <si>
    <t xml:space="preserve">Diagonale</t>
  </si>
  <si>
    <t xml:space="preserve">Seuils Probabilité</t>
  </si>
  <si>
    <t xml:space="preserve">PORTEFEUILLE DES RISQUES</t>
  </si>
  <si>
    <t xml:space="preserve">Impossible à improbable</t>
  </si>
  <si>
    <t xml:space="preserve">&lt;</t>
  </si>
  <si>
    <t xml:space="preserve">Peu probable</t>
  </si>
  <si>
    <t xml:space="preserve">&gt;</t>
  </si>
  <si>
    <t xml:space="preserve">Date de création</t>
  </si>
  <si>
    <t xml:space="preserve">Probable</t>
  </si>
  <si>
    <t xml:space="preserve">Seuils Criticité</t>
  </si>
  <si>
    <t xml:space="preserve">Très probable à certain</t>
  </si>
  <si>
    <t xml:space="preserve">Modéré</t>
  </si>
  <si>
    <t xml:space="preserve">Date de version</t>
  </si>
  <si>
    <t xml:space="preserve">Seuil Coût</t>
  </si>
  <si>
    <t xml:space="preserve">Critique</t>
  </si>
  <si>
    <t xml:space="preserve">Acceptable</t>
  </si>
  <si>
    <t xml:space="preserve">Très critique</t>
  </si>
  <si>
    <t xml:space="preserve">Version</t>
  </si>
  <si>
    <t xml:space="preserve">V1.2</t>
  </si>
  <si>
    <t xml:space="preserve">Significatif</t>
  </si>
  <si>
    <t xml:space="preserve">Elevé</t>
  </si>
  <si>
    <t xml:space="preserve">Excessif</t>
  </si>
  <si>
    <t xml:space="preserve">Evolution</t>
  </si>
  <si>
    <t xml:space="preserve">Visibilité</t>
  </si>
  <si>
    <t xml:space="preserve">Date d'apparition</t>
  </si>
  <si>
    <t xml:space="preserve">Nature de risque</t>
  </si>
  <si>
    <t xml:space="preserve">Conséquence si avéré</t>
  </si>
  <si>
    <t xml:space="preserve">Responsable</t>
  </si>
  <si>
    <t xml:space="preserve">Facteurs de risque</t>
  </si>
  <si>
    <t xml:space="preserve">Coût</t>
  </si>
  <si>
    <t xml:space="preserve">Probabilité</t>
  </si>
  <si>
    <t xml:space="preserve">Criticité</t>
  </si>
  <si>
    <t xml:space="preserve">Actions préventives (réduction de la probabilité)</t>
  </si>
  <si>
    <t xml:space="preserve">Facteur Reduc. Proba</t>
  </si>
  <si>
    <t xml:space="preserve">Actions correctives (réduction du coût)</t>
  </si>
  <si>
    <t xml:space="preserve">R6</t>
  </si>
  <si>
    <t xml:space="preserve">Ext.</t>
  </si>
  <si>
    <t xml:space="preserve">Technique</t>
  </si>
  <si>
    <t xml:space="preserve">Disponibilité tardive des données</t>
  </si>
  <si>
    <t xml:space="preserve">Délai</t>
  </si>
  <si>
    <t xml:space="preserve">Jacques</t>
  </si>
  <si>
    <t xml:space="preserve">Les données indispensables sont en cours de collecte chez le client. La signature d'un accord de confidentialité est nécessaire pour pouvoir les utiliser.</t>
  </si>
  <si>
    <t xml:space="preserve">Courrier de sensibilisation au client - Suivi de l'action - Relances + Implication précoce des services juridiques.</t>
  </si>
  <si>
    <t xml:space="preserve">Utilisation d'un dataset similaire en accès libre</t>
  </si>
  <si>
    <t xml:space="preserve">R4</t>
  </si>
  <si>
    <t xml:space="preserve">Int.</t>
  </si>
  <si>
    <t xml:space="preserve">Humain</t>
  </si>
  <si>
    <t xml:space="preserve">Mauvaise communication au sein de l'équipe</t>
  </si>
  <si>
    <t xml:space="preserve">Qualité</t>
  </si>
  <si>
    <t xml:space="preserve">Les membres n'ont encore jamais travaillé ensemble. Certains membres sont introvertis ou individualistes.</t>
  </si>
  <si>
    <t xml:space="preserve">Organisation de réunions fréquentes (daily meeting).+ Travail en binôme chaque fois que possible.</t>
  </si>
  <si>
    <t xml:space="preserve">Sujet à aborder de façon systémartique pendant  les réunions de rétrospective de sprint.</t>
  </si>
  <si>
    <t xml:space="preserve">R5</t>
  </si>
  <si>
    <t xml:space="preserve">Mauvaises performances de prédiction</t>
  </si>
  <si>
    <t xml:space="preserve">Les résultats des premiers tests ne sont pas satisfaisants. </t>
  </si>
  <si>
    <t xml:space="preserve">Nettoyer les données. Extraire de nouvelles caractéristiques. Faire appel à l'expertise d'un enseignant.</t>
  </si>
  <si>
    <t xml:space="preserve">Changer d'algorithme</t>
  </si>
  <si>
    <t xml:space="preserve">R3</t>
  </si>
  <si>
    <t xml:space="preserve">Ressources de calcul insuiffisantes</t>
  </si>
  <si>
    <t xml:space="preserve">Les algorithmes envisagés nécessitent une grande puissance de calcul. L'accès à la plate-forme du client est impossible pour le PIC.</t>
  </si>
  <si>
    <t xml:space="preserve">Prévoir une étude systématique pour l'évaluation des besoins induits par un algorithme envisagé.</t>
  </si>
  <si>
    <t xml:space="preserve">Recours à une solution de cloud computing privé (Etude de faisabilité + budget prévisionnel).</t>
  </si>
  <si>
    <t xml:space="preserve">R7</t>
  </si>
  <si>
    <t xml:space="preserve">Dérive des objectifs</t>
  </si>
  <si>
    <t xml:space="preserve">Périmètre</t>
  </si>
  <si>
    <t xml:space="preserve">Définition du sujet peu précise et "à tiroirs" . Client assez versatile.</t>
  </si>
  <si>
    <t xml:space="preserve">Elaboration précoce d'un- document de spécification soumis à l'approbation du c lient. Gestion rigoureuse des demandes d'évolutions.</t>
  </si>
  <si>
    <t xml:space="preserve">Définition d'un backlog produit priorisé avec rapport valeur/coût (l'ajout d'une nouvelle US peut entrainer la suppression d'une US existante).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</si>
  <si>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</si>
  <si>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</si>
  <si>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</si>
  <si>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</si>
  <si>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</si>
  <si>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</si>
  <si>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</si>
  <si>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</si>
  <si>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</si>
  <si>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</si>
  <si>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                       Cout
Proba   </t>
  </si>
  <si>
    <t xml:space="preserve">R23</t>
  </si>
  <si>
    <t xml:space="preserve">Impossiible à improbable</t>
  </si>
  <si>
    <t xml:space="preserve">R2</t>
  </si>
  <si>
    <t xml:space="preserve">R1</t>
  </si>
  <si>
    <t xml:space="preserve">R8</t>
  </si>
  <si>
    <t xml:space="preserve">R9</t>
  </si>
  <si>
    <t xml:space="preserve">R3                     R7</t>
  </si>
  <si>
    <t xml:space="preserve">R6                 R4</t>
  </si>
  <si>
    <t xml:space="preserve">R24</t>
  </si>
  <si>
    <t xml:space="preserve">Perception  …</t>
  </si>
  <si>
    <t xml:space="preserve">Etudiant</t>
  </si>
  <si>
    <t xml:space="preserve">… de l'ambiance générale dans l'équipe</t>
  </si>
  <si>
    <t xml:space="preserve">Echelle</t>
  </si>
  <si>
    <t xml:space="preserve">Excellente/Très sympa</t>
  </si>
  <si>
    <t xml:space="preserve">Assez agréable</t>
  </si>
  <si>
    <t xml:space="preserve">Supportable</t>
  </si>
  <si>
    <t xml:space="preserve">Tendue</t>
  </si>
  <si>
    <t xml:space="preserve">Conflictuelle</t>
  </si>
  <si>
    <t xml:space="preserve">Ne se prononce pas</t>
  </si>
  <si>
    <t xml:space="preserve">… de l'intérêt du travail en cours</t>
  </si>
  <si>
    <t xml:space="preserve">Passionnant/Captivant</t>
  </si>
  <si>
    <t xml:space="preserve">Satisfaisant</t>
  </si>
  <si>
    <t xml:space="preserve">Ennuyeux</t>
  </si>
  <si>
    <t xml:space="preserve">Décourageant/Inutile</t>
  </si>
  <si>
    <t xml:space="preserve">… du temps  consacré au PIC</t>
  </si>
  <si>
    <t xml:space="preserve">Optimal</t>
  </si>
  <si>
    <t xml:space="preserve">Adapté</t>
  </si>
  <si>
    <t xml:space="preserve">Soutenable</t>
  </si>
  <si>
    <t xml:space="preserve">Trop long</t>
  </si>
  <si>
    <t xml:space="preserve">Insoutenable</t>
  </si>
  <si>
    <t xml:space="preserve">… de son propre rôle au sein de l'équipe</t>
  </si>
  <si>
    <t xml:space="preserve">Primordial</t>
  </si>
  <si>
    <t xml:space="preserve">Important</t>
  </si>
  <si>
    <t xml:space="preserve">Utile mais pas essentiel</t>
  </si>
  <si>
    <t xml:space="preserve">Secondaire</t>
  </si>
  <si>
    <t xml:space="preserve">Inutile</t>
  </si>
  <si>
    <t xml:space="preserve">&gt;17</t>
  </si>
  <si>
    <t xml:space="preserve">Sérénité / Tout va bien</t>
  </si>
  <si>
    <t xml:space="preserve">&gt;14</t>
  </si>
  <si>
    <t xml:space="preserve">Confiance / Rien de grave</t>
  </si>
  <si>
    <t xml:space="preserve">&gt;11</t>
  </si>
  <si>
    <t xml:space="preserve">Vigilance / Des petits soucis</t>
  </si>
  <si>
    <t xml:space="preserve">&gt;8</t>
  </si>
  <si>
    <t xml:space="preserve">Inquiétude / Il faut agir</t>
  </si>
  <si>
    <t xml:space="preserve">≤8</t>
  </si>
  <si>
    <t xml:space="preserve">Crise / Au secours !</t>
  </si>
  <si>
    <t xml:space="preserve">MOYENNE</t>
  </si>
  <si>
    <t xml:space="preserve">SEUIL</t>
  </si>
  <si>
    <t xml:space="preserve">COUVERTURE DE TESTS</t>
  </si>
  <si>
    <t xml:space="preserve">Mesures de test</t>
  </si>
  <si>
    <t xml:space="preserve">Tests OK</t>
  </si>
  <si>
    <t xml:space="preserve"> </t>
  </si>
  <si>
    <t xml:space="preserve">Tests NOK</t>
  </si>
  <si>
    <t xml:space="preserve">Nb Tests joués</t>
  </si>
  <si>
    <t xml:space="preserve">Couverture estimée</t>
  </si>
  <si>
    <t xml:space="preserve">Tests absents</t>
  </si>
  <si>
    <t xml:space="preserve">LISTE DES ANOMALIES</t>
  </si>
  <si>
    <t xml:space="preserve">Gravité</t>
  </si>
  <si>
    <t xml:space="preserve">Titre</t>
  </si>
  <si>
    <t xml:space="preserve">Ouvert le </t>
  </si>
  <si>
    <t xml:space="preserve">Fermé le </t>
  </si>
  <si>
    <t xml:space="preserve">Jour ouvert</t>
  </si>
  <si>
    <t xml:space="preserve">Jour ferme</t>
  </si>
  <si>
    <t xml:space="preserve">Age Max.</t>
  </si>
  <si>
    <t xml:space="preserve">AgeMoyen</t>
  </si>
  <si>
    <t xml:space="preserve">Délai Moyen de Correction</t>
  </si>
  <si>
    <t xml:space="preserve">Erreur de format</t>
  </si>
  <si>
    <t xml:space="preserve">Erreur de label</t>
  </si>
  <si>
    <t xml:space="preserve">Non respect de la charte graphique</t>
  </si>
  <si>
    <t xml:space="preserve">Faute d'orthographe</t>
  </si>
  <si>
    <t xml:space="preserve">Erreur de calcul</t>
  </si>
  <si>
    <t xml:space="preserve">Fonction indisponible</t>
  </si>
  <si>
    <t xml:space="preserve">Erreur dans les disponibilités</t>
  </si>
  <si>
    <t xml:space="preserve">Message d'erreur pas clair</t>
  </si>
  <si>
    <t xml:space="preserve">Plantage lors de la commande</t>
  </si>
  <si>
    <t xml:space="preserve">Jour N°</t>
  </si>
  <si>
    <t xml:space="preserve">LISTE DES NON CONFORMITES</t>
  </si>
  <si>
    <t xml:space="preserve">Nom de document incorrect</t>
  </si>
  <si>
    <t xml:space="preserve">Formulation risque pas claire</t>
  </si>
  <si>
    <t xml:space="preserve">PMP: Erreur dans le budget</t>
  </si>
  <si>
    <t xml:space="preserve">PMP: Organisation à corriger</t>
  </si>
  <si>
    <t xml:space="preserve">PMP: Phrase pas claire</t>
  </si>
  <si>
    <t xml:space="preserve">CR non validé</t>
  </si>
  <si>
    <t xml:space="preserve">PMP: Référence incorrecte</t>
  </si>
  <si>
    <t xml:space="preserve">Livraison non conforme au RAQ</t>
  </si>
  <si>
    <t xml:space="preserve">INCIDENTS (TICKETS OUVERTS)</t>
  </si>
  <si>
    <t xml:space="preserve">Nombre</t>
  </si>
  <si>
    <t xml:space="preserve">Age moyen (en jours)</t>
  </si>
  <si>
    <t xml:space="preserve">Sprints</t>
  </si>
  <si>
    <t xml:space="preserve">Anomalies mineures</t>
  </si>
  <si>
    <t xml:space="preserve">Anomalies Majeures</t>
  </si>
  <si>
    <t xml:space="preserve">Anomalies Critiques</t>
  </si>
  <si>
    <t xml:space="preserve">NC mineures</t>
  </si>
  <si>
    <t xml:space="preserve">NC Majeures</t>
  </si>
  <si>
    <t xml:space="preserve">NC Critiques</t>
  </si>
  <si>
    <t xml:space="preserve">RA/NFC mineurs ouverts</t>
  </si>
  <si>
    <t xml:space="preserve">RA/NFC majeurs ouverts</t>
  </si>
  <si>
    <t xml:space="preserve">RA/NFC Critiques ouverts</t>
  </si>
  <si>
    <t xml:space="preserve">Sprint 1 RA</t>
  </si>
  <si>
    <t xml:space="preserve">1</t>
  </si>
  <si>
    <t xml:space="preserve">Sprint 1 FNC</t>
  </si>
  <si>
    <t xml:space="preserve">Sprint 2 RA</t>
  </si>
  <si>
    <t xml:space="preserve">4</t>
  </si>
  <si>
    <t xml:space="preserve">Sprint 2 FNC</t>
  </si>
  <si>
    <t xml:space="preserve">6</t>
  </si>
  <si>
    <t xml:space="preserve">Sprint 3 RA</t>
  </si>
  <si>
    <t xml:space="preserve">Sprint 3 FNC</t>
  </si>
  <si>
    <t xml:space="preserve">Sprint 4 RA</t>
  </si>
  <si>
    <t xml:space="preserve">Sprint 4 FNC</t>
  </si>
  <si>
    <t xml:space="preserve">REPARTITION DU TEMPS PASSE PAR WORK PACKAGE</t>
  </si>
  <si>
    <t xml:space="preserve">A</t>
  </si>
  <si>
    <t xml:space="preserve">Temps passé en heures dans la Semaine du …</t>
  </si>
  <si>
    <t xml:space="preserve">Work Packages</t>
  </si>
  <si>
    <t xml:space="preserve">Total</t>
  </si>
  <si>
    <t xml:space="preserve">Dernière semaine</t>
  </si>
  <si>
    <t xml:space="preserve">TOTAL à reporter</t>
  </si>
  <si>
    <t xml:space="preserve">     Semaine : 19 au 22 Février</t>
  </si>
  <si>
    <t xml:space="preserve">Nom :</t>
  </si>
  <si>
    <t xml:space="preserve">MARTIN</t>
  </si>
  <si>
    <t xml:space="preserve">Prénom : Paul</t>
  </si>
  <si>
    <t xml:space="preserve">Id Tâche</t>
  </si>
  <si>
    <t xml:space="preserve">Libellé tâche</t>
  </si>
  <si>
    <t xml:space="preserve">WP</t>
  </si>
  <si>
    <t xml:space="preserve">Tps passé</t>
  </si>
  <si>
    <t xml:space="preserve">RAF</t>
  </si>
  <si>
    <t xml:space="preserve">Commentaire/Justif.</t>
  </si>
  <si>
    <t xml:space="preserve">#77</t>
  </si>
  <si>
    <t xml:space="preserve">Mise à jour TdB S7</t>
  </si>
  <si>
    <t xml:space="preserve">Rapport d’analyse livré</t>
  </si>
  <si>
    <t xml:space="preserve">#78</t>
  </si>
  <si>
    <t xml:space="preserve">Mise à jour du Prodcuct backlog</t>
  </si>
  <si>
    <t xml:space="preserve">Rédaction détaillée des US du Sprint 2</t>
  </si>
  <si>
    <t xml:space="preserve">#81</t>
  </si>
  <si>
    <t xml:space="preserve">Auto-formation PostgreSQL</t>
  </si>
  <si>
    <t xml:space="preserve">#84</t>
  </si>
  <si>
    <t xml:space="preserve">Implémentation BD</t>
  </si>
  <si>
    <t xml:space="preserve">Codage LDD</t>
  </si>
  <si>
    <t xml:space="preserve">-</t>
  </si>
  <si>
    <t xml:space="preserve">Absence</t>
  </si>
  <si>
    <t xml:space="preserve">Maladie</t>
  </si>
  <si>
    <t xml:space="preserve">A titre indicatif:</t>
  </si>
  <si>
    <t xml:space="preserve">Salaire Minimum Brut Mensuel d'un ingénieur INSA (1):</t>
  </si>
  <si>
    <t xml:space="preserve">Taux horaire chargé: </t>
  </si>
  <si>
    <t xml:space="preserve">- Expression du besoin (spécifications, user stories, etc.)</t>
  </si>
  <si>
    <t xml:space="preserve">Valorisation du temps passé:</t>
  </si>
  <si>
    <t xml:space="preserve">2 - Conception, Études techniques</t>
  </si>
  <si>
    <t xml:space="preserve">(1) : https://www.letudiant.fr/palmares/palmares-des-ecoles-d-ingenieurs/insa-rouen.html</t>
  </si>
  <si>
    <t xml:space="preserve">3 - Développement (codage et tests unitaires)</t>
  </si>
  <si>
    <t xml:space="preserve">4 - Intégration, Validation &amp; Qualification</t>
  </si>
  <si>
    <t xml:space="preserve">5 - Correction d'anomalies et refactoring </t>
  </si>
  <si>
    <t xml:space="preserve">6 - Assurance Qualité</t>
  </si>
  <si>
    <t xml:space="preserve">7 - Management, Gestion de projet</t>
  </si>
  <si>
    <t xml:space="preserve">8 - Administration Système</t>
  </si>
  <si>
    <t xml:space="preserve">9 - Formation / Essais / Tutorats</t>
  </si>
  <si>
    <t xml:space="preserve">Calendrier du projet</t>
  </si>
  <si>
    <t xml:space="preserve">Calendrier du Sprint en cours</t>
  </si>
  <si>
    <t xml:space="preserve">Travail/Congés</t>
  </si>
  <si>
    <t xml:space="preserve"># jour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</si>
</sst>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dd/mm/yy;@"/>
    <numFmt numFmtId="166" formatCode="dd/mm/yyyy"/>
    <numFmt numFmtId="167" formatCode="@"/>
    <numFmt numFmtId="168" formatCode="General"/>
    <numFmt numFmtId="169" formatCode="0"/>
    <numFmt numFmtId="170" formatCode="0.0%"/>
    <numFmt numFmtId="171" formatCode="0%"/>
    <numFmt numFmtId="172" formatCode="#,##0.0"/>
    <numFmt numFmtId="173" formatCode="dd/mm/yy"/>
    <numFmt numFmtId="174" formatCode="dd/mm/yy\ hh:mm"/>
    <numFmt numFmtId="175" formatCode="0.0"/>
    <numFmt numFmtId="176" formatCode="0.00\ %"/>
    <numFmt numFmtId="177" formatCode="d/m/yy;@"/>
    <numFmt numFmtId="178" formatCode="0\ %"/>
    <numFmt numFmtId="179" formatCode="0.00000"/>
    <numFmt numFmtId="180" formatCode="0.00"/>
    <numFmt numFmtId="181" formatCode="0;\-0;;@"/>
    <numFmt numFmtId="182" formatCode="#,##0.00&quot; €&quot;"/>
    <numFmt numFmtId="183" formatCode="[$-F800]dddd&quot;, &quot;mmmm\ dd&quot;, &quot;yyyy"/>
  </numFmts>
  <fonts count="9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 val="true"/>
      <sz val="48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6"/>
      <color rgb="FF000000"/>
      <name val="Calibri"/>
      <family val="2"/>
      <charset val="1"/>
    </font>
    <font>
      <sz val="26"/>
      <color rgb="FF000000"/>
      <name val="Calibri"/>
      <family val="2"/>
      <charset val="1"/>
    </font>
    <font>
      <b val="true"/>
      <sz val="22"/>
      <color rgb="FFFFFFFF"/>
      <name val="Calibri"/>
      <family val="2"/>
      <charset val="1"/>
    </font>
    <font>
      <b val="true"/>
      <sz val="12"/>
      <color rgb="FF70AD47"/>
      <name val="Calibri"/>
      <family val="2"/>
      <charset val="1"/>
    </font>
    <font>
      <b val="true"/>
      <sz val="12"/>
      <color rgb="FFFFC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6"/>
      <color rgb="FFD9D9D9"/>
      <name val="Calibri"/>
      <family val="2"/>
    </font>
    <font>
      <sz val="11"/>
      <color rgb="FFBFBFBF"/>
      <name val="Calibri"/>
      <family val="2"/>
    </font>
    <font>
      <b val="true"/>
      <sz val="11"/>
      <color rgb="FFBFBFBF"/>
      <name val="Calibri"/>
      <family val="2"/>
    </font>
    <font>
      <b val="true"/>
      <sz val="14"/>
      <color rgb="FFBFBFBF"/>
      <name val="Calibri"/>
      <family val="2"/>
    </font>
    <font>
      <sz val="12"/>
      <color rgb="FFBFBFBF"/>
      <name val="Calibri"/>
      <family val="2"/>
    </font>
    <font>
      <b val="true"/>
      <sz val="9"/>
      <color rgb="FFD9D9D9"/>
      <name val="Calibri"/>
      <family val="2"/>
    </font>
    <font>
      <sz val="14"/>
      <color rgb="FFD9D9D9"/>
      <name val="Calibri"/>
      <family val="2"/>
    </font>
    <font>
      <sz val="9"/>
      <color rgb="FFBFBFBF"/>
      <name val="Calibri"/>
      <family val="2"/>
    </font>
    <font>
      <sz val="9"/>
      <color rgb="FFD9D9D9"/>
      <name val="Calibri"/>
      <family val="2"/>
    </font>
    <font>
      <b val="true"/>
      <sz val="16"/>
      <color rgb="FFF2F2F2"/>
      <name val="Calibri"/>
      <family val="2"/>
    </font>
    <font>
      <b val="true"/>
      <sz val="11"/>
      <color rgb="FF2F5597"/>
      <name val="Calibri"/>
      <family val="2"/>
    </font>
    <font>
      <b val="true"/>
      <sz val="11"/>
      <color rgb="FFD9D9D9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2"/>
      <color rgb="FFFF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6"/>
      <name val="Arial"/>
      <family val="2"/>
      <charset val="1"/>
    </font>
    <font>
      <b val="true"/>
      <sz val="10"/>
      <color rgb="FF000000"/>
      <name val="Helvetica Neue"/>
      <family val="2"/>
      <charset val="1"/>
    </font>
    <font>
      <sz val="10"/>
      <name val="Arial"/>
      <family val="2"/>
      <charset val="1"/>
    </font>
    <font>
      <sz val="10"/>
      <color rgb="FF000000"/>
      <name val="Helvetica Neue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222222"/>
      <name val="Arial"/>
      <family val="2"/>
      <charset val="1"/>
    </font>
    <font>
      <sz val="12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</font>
    <font>
      <sz val="11"/>
      <color rgb="FF244D80"/>
      <name val="Arial"/>
      <family val="2"/>
    </font>
    <font>
      <sz val="11"/>
      <color rgb="FFEF9D3E"/>
      <name val="Arial"/>
      <family val="2"/>
    </font>
    <font>
      <sz val="11"/>
      <color rgb="FFE54747"/>
      <name val="Arial"/>
      <family val="2"/>
    </font>
    <font>
      <sz val="11"/>
      <color rgb="FF000000"/>
      <name val="Calibri"/>
      <family val="0"/>
    </font>
    <font>
      <sz val="12"/>
      <color rgb="FF000000"/>
      <name val="Calibri"/>
      <family val="0"/>
    </font>
    <font>
      <b val="true"/>
      <sz val="11"/>
      <color rgb="FFFFFFFF"/>
      <name val="Calibri (Corps)"/>
      <family val="0"/>
      <charset val="1"/>
    </font>
    <font>
      <b val="true"/>
      <sz val="20"/>
      <color rgb="FF62BD8A"/>
      <name val="Candara"/>
      <family val="2"/>
      <charset val="1"/>
    </font>
    <font>
      <sz val="11"/>
      <color rgb="FF000000"/>
      <name val="Candara"/>
      <family val="2"/>
      <charset val="1"/>
    </font>
    <font>
      <b val="true"/>
      <sz val="11"/>
      <color rgb="FF000000"/>
      <name val="Candara"/>
      <family val="2"/>
      <charset val="1"/>
    </font>
    <font>
      <b val="true"/>
      <u val="single"/>
      <sz val="20"/>
      <color rgb="FF000000"/>
      <name val="Candara"/>
      <family val="2"/>
      <charset val="1"/>
    </font>
    <font>
      <b val="true"/>
      <sz val="11"/>
      <color rgb="FF385724"/>
      <name val="Calibri"/>
      <family val="2"/>
      <charset val="1"/>
    </font>
    <font>
      <b val="true"/>
      <sz val="11"/>
      <color rgb="FF806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b val="true"/>
      <sz val="11"/>
      <color rgb="FF439B69"/>
      <name val="Candara"/>
      <family val="2"/>
      <charset val="1"/>
    </font>
    <font>
      <b val="true"/>
      <sz val="11"/>
      <color rgb="FF9411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ndara"/>
      <family val="2"/>
      <charset val="1"/>
    </font>
    <font>
      <sz val="11"/>
      <color rgb="FF439B69"/>
      <name val="Candara"/>
      <family val="2"/>
      <charset val="1"/>
    </font>
    <font>
      <sz val="11"/>
      <color rgb="FFFF0000"/>
      <name val="Candara"/>
      <family val="2"/>
      <charset val="1"/>
    </font>
    <font>
      <b val="true"/>
      <sz val="12"/>
      <color rgb="FF000000"/>
      <name val="Candara"/>
      <family val="2"/>
      <charset val="1"/>
    </font>
    <font>
      <sz val="11"/>
      <color rgb="FFD9D9D9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b val="true"/>
      <i val="true"/>
      <sz val="12"/>
      <color rgb="FF000000"/>
      <name val="Candara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B050"/>
      <name val="Calibri"/>
      <family val="2"/>
      <charset val="1"/>
    </font>
    <font>
      <sz val="12"/>
      <color rgb="FFFFC000"/>
      <name val="Calibri"/>
      <family val="2"/>
      <charset val="1"/>
    </font>
    <font>
      <sz val="14"/>
      <color rgb="FF595959"/>
      <name val="Calibri"/>
      <family val="2"/>
    </font>
    <font>
      <b val="true"/>
      <sz val="9"/>
      <color rgb="FF000000"/>
      <name val="Courier New"/>
      <family val="1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10.5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color rgb="FFFF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4473C4"/>
        <bgColor rgb="FF2D5598"/>
      </patternFill>
    </fill>
    <fill>
      <patternFill patternType="solid">
        <fgColor rgb="FF2D5598"/>
        <bgColor rgb="FF234A7E"/>
      </patternFill>
    </fill>
    <fill>
      <patternFill patternType="solid">
        <fgColor rgb="FF8FAADC"/>
        <bgColor rgb="FFADAAAA"/>
      </patternFill>
    </fill>
    <fill>
      <patternFill patternType="solid">
        <fgColor rgb="FFFFFF00"/>
        <bgColor rgb="FFFFD321"/>
      </patternFill>
    </fill>
    <fill>
      <patternFill patternType="solid">
        <fgColor rgb="FF000000"/>
        <bgColor rgb="FF232323"/>
      </patternFill>
    </fill>
    <fill>
      <patternFill patternType="solid">
        <fgColor rgb="FFBFBFBF"/>
        <bgColor rgb="FFCCCCCC"/>
      </patternFill>
    </fill>
    <fill>
      <patternFill patternType="solid">
        <fgColor rgb="FF2D2D2D"/>
        <bgColor rgb="FF232323"/>
      </patternFill>
    </fill>
    <fill>
      <patternFill patternType="mediumGray">
        <fgColor rgb="FF234A7E"/>
        <bgColor rgb="FF2D2D2D"/>
      </patternFill>
    </fill>
    <fill>
      <patternFill patternType="solid">
        <fgColor rgb="FFFFFFFF"/>
        <bgColor rgb="FFEEF4FA"/>
      </patternFill>
    </fill>
    <fill>
      <patternFill patternType="solid">
        <fgColor rgb="FFED7D31"/>
        <bgColor rgb="FFEF9D3E"/>
      </patternFill>
    </fill>
    <fill>
      <patternFill patternType="solid">
        <fgColor rgb="FFB2CCDC"/>
        <bgColor rgb="FFA8D6E9"/>
      </patternFill>
    </fill>
    <fill>
      <patternFill patternType="darkGray">
        <fgColor rgb="FF234A7E"/>
        <bgColor rgb="FF2D5598"/>
      </patternFill>
    </fill>
    <fill>
      <patternFill patternType="solid">
        <fgColor rgb="FFEF9D3E"/>
        <bgColor rgb="FFFF9900"/>
      </patternFill>
    </fill>
    <fill>
      <patternFill patternType="solid">
        <fgColor rgb="FFE54747"/>
        <bgColor rgb="FFFF3333"/>
      </patternFill>
    </fill>
    <fill>
      <patternFill patternType="solid">
        <fgColor rgb="FFE7E6E6"/>
        <bgColor rgb="FFDBE5F1"/>
      </patternFill>
    </fill>
    <fill>
      <patternFill patternType="darkGray">
        <fgColor rgb="FFC6EECA"/>
        <bgColor rgb="FFD9D9D9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DFAEB4"/>
        <bgColor rgb="FFF4B183"/>
      </patternFill>
    </fill>
    <fill>
      <patternFill patternType="solid">
        <fgColor rgb="FFC00000"/>
        <bgColor rgb="FF9B0103"/>
      </patternFill>
    </fill>
    <fill>
      <patternFill patternType="solid">
        <fgColor rgb="FF63BC84"/>
        <bgColor rgb="FF99CC66"/>
      </patternFill>
    </fill>
    <fill>
      <patternFill patternType="solid">
        <fgColor rgb="FFFFC7CE"/>
        <bgColor rgb="FFF5CAC3"/>
      </patternFill>
    </fill>
    <fill>
      <patternFill patternType="solid">
        <fgColor rgb="FFA9D18E"/>
        <bgColor rgb="FF99CC66"/>
      </patternFill>
    </fill>
    <fill>
      <patternFill patternType="solid">
        <fgColor rgb="FFF4B183"/>
        <bgColor rgb="FFDFAEB4"/>
      </patternFill>
    </fill>
    <fill>
      <patternFill patternType="solid">
        <fgColor rgb="FFFF0000"/>
        <bgColor rgb="FFC00000"/>
      </patternFill>
    </fill>
    <fill>
      <patternFill patternType="solid">
        <fgColor rgb="FFF28482"/>
        <bgColor rgb="FFFF8080"/>
      </patternFill>
    </fill>
    <fill>
      <patternFill patternType="solid">
        <fgColor rgb="FFF7EDE2"/>
        <bgColor rgb="FFF2F2F2"/>
      </patternFill>
    </fill>
    <fill>
      <patternFill patternType="solid">
        <fgColor rgb="FFA8D6E9"/>
        <bgColor rgb="FFB2CCDC"/>
      </patternFill>
    </fill>
    <fill>
      <patternFill patternType="solid">
        <fgColor rgb="FFF5CAC3"/>
        <bgColor rgb="FFFFC7CE"/>
      </patternFill>
    </fill>
    <fill>
      <patternFill patternType="solid">
        <fgColor rgb="FF006633"/>
        <bgColor rgb="FF006100"/>
      </patternFill>
    </fill>
    <fill>
      <patternFill patternType="solid">
        <fgColor rgb="FF99CC66"/>
        <bgColor rgb="FFA9D18E"/>
      </patternFill>
    </fill>
    <fill>
      <patternFill patternType="solid">
        <fgColor rgb="FFFFD321"/>
        <bgColor rgb="FFFFC000"/>
      </patternFill>
    </fill>
    <fill>
      <patternFill patternType="solid">
        <fgColor rgb="FFFF9300"/>
        <bgColor rgb="FFFF9900"/>
      </patternFill>
    </fill>
    <fill>
      <patternFill patternType="solid">
        <fgColor rgb="FFFF3333"/>
        <bgColor rgb="FFE54747"/>
      </patternFill>
    </fill>
    <fill>
      <patternFill patternType="solid">
        <fgColor rgb="FF002060"/>
        <bgColor rgb="FF232323"/>
      </patternFill>
    </fill>
    <fill>
      <patternFill patternType="solid">
        <fgColor rgb="FF818181"/>
        <bgColor rgb="FF4C8E45"/>
      </patternFill>
    </fill>
    <fill>
      <patternFill patternType="solid">
        <fgColor rgb="FFD9D9D9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DAE3F3"/>
        <bgColor rgb="FFDBE5F1"/>
      </patternFill>
    </fill>
    <fill>
      <patternFill patternType="solid">
        <fgColor rgb="FFADAAAA"/>
        <bgColor rgb="FFBFBFBF"/>
      </patternFill>
    </fill>
    <fill>
      <patternFill patternType="solid">
        <fgColor rgb="FFDBE5F1"/>
        <bgColor rgb="FFDAE3F3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>
        <color rgb="FF63BC84"/>
      </left>
      <right style="thin">
        <color rgb="FF63BC84"/>
      </right>
      <top style="thin">
        <color rgb="FF63BC84"/>
      </top>
      <bottom style="thin">
        <color rgb="FF63BC84"/>
      </bottom>
      <diagonal/>
    </border>
    <border diagonalUp="false" diagonalDown="false">
      <left style="thin">
        <color rgb="FF63BC84"/>
      </left>
      <right/>
      <top style="thin">
        <color rgb="FF63BC84"/>
      </top>
      <bottom style="thin">
        <color rgb="FF63BC84"/>
      </bottom>
      <diagonal/>
    </border>
    <border diagonalUp="false" diagonalDown="false">
      <left/>
      <right style="thin">
        <color rgb="FF63BC84"/>
      </right>
      <top style="thin">
        <color rgb="FF63BC84"/>
      </top>
      <bottom style="thin">
        <color rgb="FF63BC84"/>
      </bottom>
      <diagonal/>
    </border>
    <border diagonalUp="false" diagonalDown="false">
      <left/>
      <right style="thin">
        <color rgb="FF63BC84"/>
      </right>
      <top/>
      <bottom style="thin">
        <color rgb="FF63BC84"/>
      </bottom>
      <diagonal/>
    </border>
    <border diagonalUp="false" diagonalDown="false">
      <left/>
      <right/>
      <top/>
      <bottom style="thin">
        <color rgb="FF63BC84"/>
      </bottom>
      <diagonal/>
    </border>
    <border diagonalUp="false" diagonalDown="false">
      <left style="thin">
        <color rgb="FF63BC84"/>
      </left>
      <right style="thin">
        <color rgb="FF63BC84"/>
      </right>
      <top style="thin">
        <color rgb="FF63BC84"/>
      </top>
      <bottom style="thin">
        <color rgb="FF63BC84"/>
      </bottom>
      <diagonal/>
    </border>
    <border diagonalUp="false" diagonalDown="false">
      <left/>
      <right style="thin">
        <color rgb="FFFFFFFF"/>
      </right>
      <top style="thin">
        <color rgb="FF63BC84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63BC84"/>
      </top>
      <bottom/>
      <diagonal/>
    </border>
    <border diagonalUp="false" diagonalDown="false">
      <left style="thin">
        <color rgb="FFFFFFFF"/>
      </left>
      <right/>
      <top/>
      <bottom style="thin"/>
      <diagonal/>
    </border>
    <border diagonalUp="false" diagonalDown="true">
      <left style="thin"/>
      <right style="thin"/>
      <top style="thin"/>
      <bottom style="thin"/>
      <diagonal style="thin"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>
        <color rgb="FFFF0000"/>
      </left>
      <right/>
      <top style="medium">
        <color rgb="FFFF0000"/>
      </top>
      <bottom/>
      <diagonal/>
    </border>
    <border diagonalUp="false" diagonalDown="false">
      <left/>
      <right/>
      <top style="medium">
        <color rgb="FFFF0000"/>
      </top>
      <bottom/>
      <diagonal/>
    </border>
    <border diagonalUp="false" diagonalDown="false">
      <left/>
      <right style="medium">
        <color rgb="FFFF0000"/>
      </right>
      <top style="medium">
        <color rgb="FFFF0000"/>
      </top>
      <bottom/>
      <diagonal/>
    </border>
    <border diagonalUp="false" diagonalDown="false">
      <left style="medium">
        <color rgb="FFFF0000"/>
      </left>
      <right/>
      <top/>
      <bottom/>
      <diagonal/>
    </border>
    <border diagonalUp="false" diagonalDown="false">
      <left/>
      <right style="medium">
        <color rgb="FFFF0000"/>
      </right>
      <top/>
      <bottom/>
      <diagonal/>
    </border>
    <border diagonalUp="false" diagonalDown="false">
      <left style="medium">
        <color rgb="FFFF0000"/>
      </left>
      <right/>
      <top/>
      <bottom style="medium">
        <color rgb="FFFF0000"/>
      </bottom>
      <diagonal/>
    </border>
    <border diagonalUp="false" diagonalDown="false">
      <left/>
      <right/>
      <top/>
      <bottom style="medium">
        <color rgb="FFFF0000"/>
      </bottom>
      <diagonal/>
    </border>
    <border diagonalUp="false" diagonalDown="false">
      <left/>
      <right style="medium">
        <color rgb="FFFF0000"/>
      </right>
      <top/>
      <bottom style="medium">
        <color rgb="FFFF000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7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7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8" fillId="7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8" fillId="7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8" fillId="7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8" fillId="7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8" fillId="7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1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9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1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60" fillId="3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60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11" fillId="3" borderId="3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7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1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3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5" fillId="17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14" fillId="1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18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1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14" fillId="1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8" fillId="1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9" fillId="1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9" fillId="10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3" fillId="19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10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7" fillId="1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10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3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1" fillId="21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4" fillId="1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3" fillId="19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6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7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4" fillId="1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4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2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22" borderId="4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7" fillId="2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2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2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1" fillId="3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6" fillId="2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77" fillId="2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8" fillId="2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10" borderId="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2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2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2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2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2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1" fillId="2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1" fillId="2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81" fillId="2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81" fillId="2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29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1" fillId="3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1" fillId="3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1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2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2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2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1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1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81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3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7" fontId="6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7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3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3" fillId="36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4" fillId="36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8" fillId="36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3" fillId="37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4" fillId="37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8" fillId="37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3" fillId="3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4" fillId="3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3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1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39" borderId="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39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8" fillId="3" borderId="2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5" fillId="16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8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1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4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6" fillId="4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5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1" fontId="87" fillId="5" borderId="5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0" fillId="5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86" fillId="4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47" fillId="5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9" fillId="5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59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11" fillId="3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6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83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19"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BFBFBF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9D9D9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3333"/>
        </patternFill>
      </fill>
    </dxf>
    <dxf>
      <font>
        <color rgb="FF000000"/>
      </font>
      <fill>
        <patternFill>
          <bgColor rgb="FF006633"/>
        </patternFill>
      </fill>
    </dxf>
    <dxf>
      <font>
        <color rgb="FF000000"/>
      </font>
      <fill>
        <patternFill>
          <bgColor rgb="FF99CC66"/>
        </patternFill>
      </fill>
    </dxf>
    <dxf>
      <font>
        <color rgb="FF000000"/>
      </font>
      <fill>
        <patternFill>
          <bgColor rgb="FFFFD320"/>
        </patternFill>
      </fill>
    </dxf>
    <dxf>
      <font>
        <color rgb="FF000000"/>
      </font>
      <fill>
        <patternFill>
          <bgColor rgb="FFED7D31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name val="Lucida Sans"/>
        <charset val="1"/>
        <family val="2"/>
      </font>
      <fill>
        <patternFill>
          <bgColor rgb="FFCCCCCC"/>
        </patternFill>
      </fill>
    </dxf>
    <dxf>
      <font>
        <name val="Lucida Sans"/>
        <charset val="1"/>
        <family val="2"/>
      </font>
      <fill>
        <patternFill>
          <bgColor rgb="FFFF3333"/>
        </patternFill>
      </fill>
    </dxf>
    <dxf>
      <font>
        <name val="Lucida Sans"/>
        <charset val="1"/>
        <family val="2"/>
      </font>
      <fill>
        <patternFill>
          <bgColor rgb="FFFF9900"/>
        </patternFill>
      </fill>
    </dxf>
    <dxf>
      <font>
        <name val="Lucida Sans"/>
        <charset val="1"/>
        <family val="2"/>
      </font>
      <fill>
        <patternFill>
          <bgColor rgb="FFFFD320"/>
        </patternFill>
      </fill>
    </dxf>
    <dxf>
      <font>
        <name val="Lucida Sans"/>
        <charset val="1"/>
        <family val="2"/>
      </font>
      <fill>
        <patternFill>
          <bgColor rgb="FF99CC66"/>
        </patternFill>
      </fill>
    </dxf>
    <dxf>
      <font>
        <name val="Lucida Sans"/>
        <charset val="1"/>
        <family val="2"/>
      </font>
      <fill>
        <patternFill>
          <bgColor rgb="FF006633"/>
        </patternFill>
      </fill>
    </dxf>
    <dxf>
      <font>
        <name val="Lucida Sans"/>
        <charset val="1"/>
        <family val="2"/>
        <color rgb="FFEEF4FA"/>
      </font>
      <fill>
        <patternFill>
          <bgColor rgb="FFEEF4FA"/>
        </patternFill>
      </fill>
    </dxf>
    <dxf>
      <font>
        <color rgb="FF000000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D9D9D9"/>
      <rgbColor rgb="FFE7E6E6"/>
      <rgbColor rgb="FFFFFF00"/>
      <rgbColor rgb="FFF28482"/>
      <rgbColor rgb="FFA9D18E"/>
      <rgbColor rgb="FF9B0103"/>
      <rgbColor rgb="FF006100"/>
      <rgbColor rgb="FFFFE699"/>
      <rgbColor rgb="FFEF9D3E"/>
      <rgbColor rgb="FFFF9300"/>
      <rgbColor rgb="FF006633"/>
      <rgbColor rgb="FFBFBFBF"/>
      <rgbColor rgb="FF818181"/>
      <rgbColor rgb="FF8FAADC"/>
      <rgbColor rgb="FFE54747"/>
      <rgbColor rgb="FFF7EDE2"/>
      <rgbColor rgb="FFEEF4FA"/>
      <rgbColor rgb="FFDAE3F3"/>
      <rgbColor rgb="FFFF8080"/>
      <rgbColor rgb="FF2D5598"/>
      <rgbColor rgb="FFD0CECE"/>
      <rgbColor rgb="FFFFEB9C"/>
      <rgbColor rgb="FFF4B183"/>
      <rgbColor rgb="FFFFD321"/>
      <rgbColor rgb="FFC6EECA"/>
      <rgbColor rgb="FFFFC7CE"/>
      <rgbColor rgb="FFC00000"/>
      <rgbColor rgb="FF00B099"/>
      <rgbColor rgb="FFF2F2F2"/>
      <rgbColor rgb="FFB2CCDC"/>
      <rgbColor rgb="FFE2F0D9"/>
      <rgbColor rgb="FFCCFFCC"/>
      <rgbColor rgb="FFFFFF99"/>
      <rgbColor rgb="FFA8D6E9"/>
      <rgbColor rgb="FFDFAEB4"/>
      <rgbColor rgb="FFCCCCCC"/>
      <rgbColor rgb="FFF5CAC3"/>
      <rgbColor rgb="FF4473C4"/>
      <rgbColor rgb="FF63BC84"/>
      <rgbColor rgb="FF99CC66"/>
      <rgbColor rgb="FFFFC000"/>
      <rgbColor rgb="FFFF9900"/>
      <rgbColor rgb="FFED7D31"/>
      <rgbColor rgb="FF4B583E"/>
      <rgbColor rgb="FFADAAAA"/>
      <rgbColor rgb="FF002060"/>
      <rgbColor rgb="FF4C8E45"/>
      <rgbColor rgb="FFDBE5F1"/>
      <rgbColor rgb="FF232323"/>
      <rgbColor rgb="FF965800"/>
      <rgbColor rgb="FFFF3333"/>
      <rgbColor rgb="FF234A7E"/>
      <rgbColor rgb="FF2D2D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6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600" spc="-1" strike="noStrike">
                <a:solidFill>
                  <a:srgbClr val="d9d9d9"/>
                </a:solidFill>
                <a:latin typeface="Calibri"/>
              </a:rPr>
              <a:t>Evolution DE LA CRITICITE des risques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7489085413635"/>
          <c:y val="0.138322301769553"/>
          <c:w val="0.929251091458636"/>
          <c:h val="0.470687559097663"/>
        </c:manualLayout>
      </c:layout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Très critique</c:v>
                </c:pt>
              </c:strCache>
            </c:strRef>
          </c:tx>
          <c:spPr>
            <a:solidFill>
              <a:srgbClr val="a9d18e">
                <a:alpha val="50000"/>
              </a:srgbClr>
            </a:solidFill>
            <a:ln w="2556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Critique</c:v>
                </c:pt>
              </c:strCache>
            </c:strRef>
          </c:tx>
          <c:spPr>
            <a:solidFill>
              <a:srgbClr val="ffd966">
                <a:alpha val="50000"/>
              </a:srgbClr>
            </a:solidFill>
            <a:ln w="2556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1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axId val="46811876"/>
        <c:axId val="80520028"/>
      </c:areaChart>
      <c:lineChart>
        <c:grouping val="stacke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R6:Disponibilité tardive des données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</c:f>
              <c:numCache>
                <c:formatCode>General</c:formatCode>
                <c:ptCount val="12"/>
                <c:pt idx="0">
                  <c:v>375</c:v>
                </c:pt>
                <c:pt idx="1">
                  <c:v>375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R4:Mauvaise communication au sein de l'équipe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3</c:f>
              <c:numCache>
                <c:formatCode>General</c:formatCode>
                <c:ptCount val="12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250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R5:Mauvaises performances de prédiction</c:v>
                </c:pt>
              </c:strCache>
            </c:strRef>
          </c:tx>
          <c:spPr>
            <a:solidFill>
              <a:srgbClr val="ff0000"/>
            </a:solidFill>
            <a:ln cap="rnd" w="2232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4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R3:Ressources de calcul insuiffisantes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5</c:f>
              <c:numCache>
                <c:formatCode>General</c:formatCode>
                <c:ptCount val="12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R7:Dérive des objectifs</c:v>
                </c:pt>
              </c:strCache>
            </c:strRef>
          </c:tx>
          <c:spPr>
            <a:solidFill>
              <a:srgbClr val="5b9bd5"/>
            </a:solidFill>
            <a:ln cap="rnd" w="2232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6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811876"/>
        <c:axId val="80520028"/>
      </c:lineChart>
      <c:dateAx>
        <c:axId val="46811876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fr-FR" sz="11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fr-FR" sz="1100" spc="-1" strike="noStrike">
                    <a:solidFill>
                      <a:srgbClr val="bfbfbf"/>
                    </a:solidFill>
                    <a:latin typeface="Calibri"/>
                  </a:rPr>
                  <a:t>DATES DE MISE A JOUR</a:t>
                </a:r>
              </a:p>
            </c:rich>
          </c:tx>
          <c:layout>
            <c:manualLayout>
              <c:xMode val="edge"/>
              <c:yMode val="edge"/>
              <c:x val="0.400033583342662"/>
              <c:y val="0.753816020532217"/>
            </c:manualLayout>
          </c:layout>
          <c:overlay val="0"/>
          <c:spPr>
            <a:noFill/>
            <a:ln w="0">
              <a:noFill/>
            </a:ln>
          </c:spPr>
        </c:title>
        <c:numFmt formatCode="m/d/yy" sourceLinked="0"/>
        <c:majorTickMark val="none"/>
        <c:minorTickMark val="none"/>
        <c:tickLblPos val="nextTo"/>
        <c:spPr>
          <a:ln w="6480">
            <a:noFill/>
          </a:ln>
        </c:spPr>
        <c:txPr>
          <a:bodyPr rot="-2700000"/>
          <a:lstStyle/>
          <a:p>
            <a:pPr>
              <a:defRPr b="0" sz="11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0520028"/>
        <c:crosses val="autoZero"/>
        <c:auto val="1"/>
        <c:lblOffset val="100"/>
        <c:baseTimeUnit val="days"/>
        <c:majorUnit val="7"/>
        <c:majorTimeUnit val="days"/>
        <c:noMultiLvlLbl val="0"/>
      </c:dateAx>
      <c:valAx>
        <c:axId val="80520028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fr-FR" sz="14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fr-FR" sz="1400" spc="-1" strike="noStrike">
                    <a:solidFill>
                      <a:srgbClr val="bfbfbf"/>
                    </a:solidFill>
                    <a:latin typeface="Calibri"/>
                  </a:rPr>
                  <a:t>CRITICITE</a:t>
                </a:r>
              </a:p>
            </c:rich>
          </c:tx>
          <c:layout>
            <c:manualLayout>
              <c:xMode val="edge"/>
              <c:yMode val="edge"/>
              <c:x val="0.0134893093025859"/>
              <c:y val="0.072132919086856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6811876"/>
        <c:crosses val="autoZero"/>
        <c:crossBetween val="between"/>
      </c:valAx>
      <c:spPr>
        <a:solidFill>
          <a:srgbClr val="ff7e79">
            <a:alpha val="75000"/>
          </a:srgbClr>
        </a:solidFill>
        <a:ln w="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00804944421844284"/>
          <c:y val="0.809103722329344"/>
          <c:w val="0.942204440186372"/>
          <c:h val="0.18865090711202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6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600" spc="-1" strike="noStrike">
                <a:solidFill>
                  <a:srgbClr val="d9d9d9"/>
                </a:solidFill>
                <a:latin typeface="Calibri"/>
              </a:rPr>
              <a:t>EVOLUTION DE LA Couverture de test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6609147260848"/>
          <c:y val="0.178778873429691"/>
          <c:w val="0.846707991288323"/>
          <c:h val="0.540659192219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Tests!$A$4</c:f>
              <c:strCache>
                <c:ptCount val="1"/>
                <c:pt idx="0">
                  <c:v>Tests OK</c:v>
                </c:pt>
              </c:strCache>
            </c:strRef>
          </c:tx>
          <c:spPr>
            <a:solidFill>
              <a:srgbClr val="00b050"/>
            </a:solidFill>
            <a:ln w="0">
              <a:solidFill>
                <a:srgbClr val="00b05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Tests!$B$3:$M$3</c:f>
              <c:strCache>
                <c:ptCount val="12"/>
                <c:pt idx="0">
                  <c:v>22/01/24</c:v>
                </c:pt>
                <c:pt idx="1">
                  <c:v>29/01/24</c:v>
                </c:pt>
                <c:pt idx="2">
                  <c:v>05/02/24</c:v>
                </c:pt>
                <c:pt idx="3">
                  <c:v>12/02/24</c:v>
                </c:pt>
                <c:pt idx="4">
                  <c:v>19/02/24</c:v>
                </c:pt>
                <c:pt idx="5">
                  <c:v>26/02/24</c:v>
                </c:pt>
                <c:pt idx="6">
                  <c:v>04/03/24</c:v>
                </c:pt>
                <c:pt idx="7">
                  <c:v>11/03/24</c:v>
                </c:pt>
                <c:pt idx="8">
                  <c:v>18/03/24</c:v>
                </c:pt>
                <c:pt idx="9">
                  <c:v>25/03/24</c:v>
                </c:pt>
                <c:pt idx="10">
                  <c:v>01/04/24</c:v>
                </c:pt>
                <c:pt idx="11">
                  <c:v>08/04/24</c:v>
                </c:pt>
              </c:strCache>
            </c:strRef>
          </c:cat>
          <c:val>
            <c:numRef>
              <c:f>Tests!$B$4:$M$4</c:f>
              <c:numCache>
                <c:formatCode>General</c:formatCode>
                <c:ptCount val="12"/>
                <c:pt idx="0">
                  <c:v>10</c:v>
                </c:pt>
                <c:pt idx="1">
                  <c:v>40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Tests!$A$5</c:f>
              <c:strCache>
                <c:ptCount val="1"/>
                <c:pt idx="0">
                  <c:v>Tests NOK</c:v>
                </c:pt>
              </c:strCache>
            </c:strRef>
          </c:tx>
          <c:spPr>
            <a:solidFill>
              <a:srgbClr val="ff0000"/>
            </a:solidFill>
            <a:ln cap="sq" w="0">
              <a:solidFill>
                <a:srgbClr val="ff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Tests!$B$3:$M$3</c:f>
              <c:strCache>
                <c:ptCount val="12"/>
                <c:pt idx="0">
                  <c:v>22/01/24</c:v>
                </c:pt>
                <c:pt idx="1">
                  <c:v>29/01/24</c:v>
                </c:pt>
                <c:pt idx="2">
                  <c:v>05/02/24</c:v>
                </c:pt>
                <c:pt idx="3">
                  <c:v>12/02/24</c:v>
                </c:pt>
                <c:pt idx="4">
                  <c:v>19/02/24</c:v>
                </c:pt>
                <c:pt idx="5">
                  <c:v>26/02/24</c:v>
                </c:pt>
                <c:pt idx="6">
                  <c:v>04/03/24</c:v>
                </c:pt>
                <c:pt idx="7">
                  <c:v>11/03/24</c:v>
                </c:pt>
                <c:pt idx="8">
                  <c:v>18/03/24</c:v>
                </c:pt>
                <c:pt idx="9">
                  <c:v>25/03/24</c:v>
                </c:pt>
                <c:pt idx="10">
                  <c:v>01/04/24</c:v>
                </c:pt>
                <c:pt idx="11">
                  <c:v>08/04/24</c:v>
                </c:pt>
              </c:strCache>
            </c:strRef>
          </c:cat>
          <c:val>
            <c:numRef>
              <c:f>Tests!$B$5:$M$5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"Cas non testés"</c:f>
              <c:strCache>
                <c:ptCount val="1"/>
                <c:pt idx="0">
                  <c:v>Cas non testés</c:v>
                </c:pt>
              </c:strCache>
            </c:strRef>
          </c:tx>
          <c:spPr>
            <a:solidFill>
              <a:srgbClr val="00b0f0"/>
            </a:solidFill>
            <a:ln w="0">
              <a:solidFill>
                <a:srgbClr val="00b0f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Tests!$B$3:$M$3</c:f>
              <c:strCache>
                <c:ptCount val="12"/>
                <c:pt idx="0">
                  <c:v>22/01/24</c:v>
                </c:pt>
                <c:pt idx="1">
                  <c:v>29/01/24</c:v>
                </c:pt>
                <c:pt idx="2">
                  <c:v>05/02/24</c:v>
                </c:pt>
                <c:pt idx="3">
                  <c:v>12/02/24</c:v>
                </c:pt>
                <c:pt idx="4">
                  <c:v>19/02/24</c:v>
                </c:pt>
                <c:pt idx="5">
                  <c:v>26/02/24</c:v>
                </c:pt>
                <c:pt idx="6">
                  <c:v>04/03/24</c:v>
                </c:pt>
                <c:pt idx="7">
                  <c:v>11/03/24</c:v>
                </c:pt>
                <c:pt idx="8">
                  <c:v>18/03/24</c:v>
                </c:pt>
                <c:pt idx="9">
                  <c:v>25/03/24</c:v>
                </c:pt>
                <c:pt idx="10">
                  <c:v>01/04/24</c:v>
                </c:pt>
                <c:pt idx="11">
                  <c:v>08/04/24</c:v>
                </c:pt>
              </c:strCache>
            </c:strRef>
          </c:cat>
          <c:val>
            <c:numRef>
              <c:f>Tests!$B$8:$M$8</c:f>
              <c:numCache>
                <c:formatCode>General</c:formatCode>
                <c:ptCount val="12"/>
                <c:pt idx="0">
                  <c:v>30</c:v>
                </c:pt>
                <c:pt idx="1">
                  <c:v>36.6666666666667</c:v>
                </c:pt>
                <c:pt idx="2">
                  <c:v>30</c:v>
                </c:pt>
              </c:numCache>
            </c:numRef>
          </c:val>
        </c:ser>
        <c:gapWidth val="75"/>
        <c:overlap val="100"/>
        <c:axId val="51368906"/>
        <c:axId val="45542293"/>
      </c:barChart>
      <c:catAx>
        <c:axId val="513689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14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0" lang="fr-FR" sz="1400" spc="-1" strike="noStrike">
                    <a:solidFill>
                      <a:srgbClr val="d9d9d9"/>
                    </a:solidFill>
                    <a:latin typeface="Calibri"/>
                  </a:rPr>
                  <a:t>Dates de mise à jour</a:t>
                </a:r>
              </a:p>
            </c:rich>
          </c:tx>
          <c:layout>
            <c:manualLayout>
              <c:xMode val="edge"/>
              <c:yMode val="edge"/>
              <c:x val="0.373206008823365"/>
              <c:y val="0.838173713359449"/>
            </c:manualLayout>
          </c:layout>
          <c:overlay val="0"/>
          <c:spPr>
            <a:noFill/>
            <a:ln w="0">
              <a:noFill/>
            </a:ln>
          </c:spPr>
        </c:title>
        <c:numFmt formatCode="m/d/yy" sourceLinked="0"/>
        <c:majorTickMark val="none"/>
        <c:minorTickMark val="none"/>
        <c:tickLblPos val="nextTo"/>
        <c:spPr>
          <a:ln w="972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5542293"/>
        <c:crosses val="autoZero"/>
        <c:auto val="1"/>
        <c:lblAlgn val="ctr"/>
        <c:lblOffset val="100"/>
        <c:noMultiLvlLbl val="0"/>
      </c:catAx>
      <c:valAx>
        <c:axId val="45542293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prstDash val="sysDot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fr-FR" sz="14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0" lang="fr-FR" sz="1400" spc="-1" strike="noStrike">
                    <a:solidFill>
                      <a:srgbClr val="d9d9d9"/>
                    </a:solidFill>
                    <a:latin typeface="Calibri"/>
                  </a:rPr>
                  <a:t>Nbre de tests</a:t>
                </a:r>
              </a:p>
            </c:rich>
          </c:tx>
          <c:layout>
            <c:manualLayout>
              <c:xMode val="edge"/>
              <c:yMode val="edge"/>
              <c:x val="0.030602557659016"/>
              <c:y val="0.10326894502228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136890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404040"/>
    </a:solidFill>
    <a:ln w="9360">
      <a:solidFill>
        <a:srgbClr val="bfbfbf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fr-FR" sz="1600" spc="97" strike="noStrike">
                <a:solidFill>
                  <a:srgbClr val="f2f2f2"/>
                </a:solidFill>
                <a:latin typeface="Calibri"/>
              </a:rPr>
              <a:t>SUIVI BUDGETAIRE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OTP!$E$5</c:f>
              <c:strCache>
                <c:ptCount val="1"/>
                <c:pt idx="0">
                  <c:v>Consommé(h)</c:v>
                </c:pt>
              </c:strCache>
            </c:strRef>
          </c:tx>
          <c:spPr>
            <a:solidFill>
              <a:srgbClr val="54823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OTP!$A$6:$A$11</c:f>
              <c:strCache>
                <c:ptCount val="6"/>
                <c:pt idx="0">
                  <c:v>WP0</c:v>
                </c:pt>
                <c:pt idx="1">
                  <c:v>WP1</c:v>
                </c:pt>
                <c:pt idx="2">
                  <c:v>WP2</c:v>
                </c:pt>
                <c:pt idx="3">
                  <c:v>WP3</c:v>
                </c:pt>
                <c:pt idx="4">
                  <c:v>WP4</c:v>
                </c:pt>
                <c:pt idx="5">
                  <c:v>WP5</c:v>
                </c:pt>
              </c:strCache>
            </c:strRef>
          </c:cat>
          <c:val>
            <c:numRef>
              <c:f>OTP!$E$6:$E$11</c:f>
              <c:numCache>
                <c:formatCode>General</c:formatCode>
                <c:ptCount val="6"/>
                <c:pt idx="0">
                  <c:v>93</c:v>
                </c:pt>
                <c:pt idx="1">
                  <c:v>400</c:v>
                </c:pt>
                <c:pt idx="2">
                  <c:v>24</c:v>
                </c:pt>
                <c:pt idx="3">
                  <c:v>24</c:v>
                </c:pt>
                <c:pt idx="4">
                  <c:v>29</c:v>
                </c:pt>
                <c:pt idx="5">
                  <c:v>108</c:v>
                </c:pt>
              </c:numCache>
            </c:numRef>
          </c:val>
        </c:ser>
        <c:ser>
          <c:idx val="1"/>
          <c:order val="1"/>
          <c:tx>
            <c:strRef>
              <c:f>OTP!$F$5</c:f>
              <c:strCache>
                <c:ptCount val="1"/>
                <c:pt idx="0">
                  <c:v>RAF Prévu</c:v>
                </c:pt>
              </c:strCache>
            </c:strRef>
          </c:tx>
          <c:spPr>
            <a:solidFill>
              <a:srgbClr val="99cc66"/>
            </a:solidFill>
            <a:ln w="1260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OTP!$A$6:$A$11</c:f>
              <c:strCache>
                <c:ptCount val="6"/>
                <c:pt idx="0">
                  <c:v>WP0</c:v>
                </c:pt>
                <c:pt idx="1">
                  <c:v>WP1</c:v>
                </c:pt>
                <c:pt idx="2">
                  <c:v>WP2</c:v>
                </c:pt>
                <c:pt idx="3">
                  <c:v>WP3</c:v>
                </c:pt>
                <c:pt idx="4">
                  <c:v>WP4</c:v>
                </c:pt>
                <c:pt idx="5">
                  <c:v>WP5</c:v>
                </c:pt>
              </c:strCache>
            </c:strRef>
          </c:cat>
          <c:val>
            <c:numRef>
              <c:f>OTP!$F$6:$F$11</c:f>
              <c:numCache>
                <c:formatCode>General</c:formatCode>
                <c:ptCount val="6"/>
                <c:pt idx="0">
                  <c:v>477</c:v>
                </c:pt>
                <c:pt idx="1">
                  <c:v>170</c:v>
                </c:pt>
                <c:pt idx="2">
                  <c:v>736</c:v>
                </c:pt>
                <c:pt idx="3">
                  <c:v>926</c:v>
                </c:pt>
                <c:pt idx="4">
                  <c:v>541</c:v>
                </c:pt>
                <c:pt idx="5">
                  <c:v>272</c:v>
                </c:pt>
              </c:numCache>
            </c:numRef>
          </c:val>
        </c:ser>
        <c:ser>
          <c:idx val="2"/>
          <c:order val="2"/>
          <c:tx>
            <c:strRef>
              <c:f>OTP!$J$5</c:f>
              <c:strCache>
                <c:ptCount val="1"/>
                <c:pt idx="0">
                  <c:v>Révision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OTP!$A$6:$A$11</c:f>
              <c:strCache>
                <c:ptCount val="6"/>
                <c:pt idx="0">
                  <c:v>WP0</c:v>
                </c:pt>
                <c:pt idx="1">
                  <c:v>WP1</c:v>
                </c:pt>
                <c:pt idx="2">
                  <c:v>WP2</c:v>
                </c:pt>
                <c:pt idx="3">
                  <c:v>WP3</c:v>
                </c:pt>
                <c:pt idx="4">
                  <c:v>WP4</c:v>
                </c:pt>
                <c:pt idx="5">
                  <c:v>WP5</c:v>
                </c:pt>
              </c:strCache>
            </c:strRef>
          </c:cat>
          <c:val>
            <c:numRef>
              <c:f>OTP!$J$6:$J$12</c:f>
              <c:numCache>
                <c:formatCode>General</c:formatCode>
                <c:ptCount val="7"/>
                <c:pt idx="0">
                  <c:v>36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"% Consommé"</c:f>
              <c:strCache>
                <c:ptCount val="1"/>
                <c:pt idx="0">
                  <c:v>% Consommé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numFmt formatCode="0.0%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2f5597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OTP!$A$6:$A$11</c:f>
              <c:strCache>
                <c:ptCount val="6"/>
                <c:pt idx="0">
                  <c:v>WP0</c:v>
                </c:pt>
                <c:pt idx="1">
                  <c:v>WP1</c:v>
                </c:pt>
                <c:pt idx="2">
                  <c:v>WP2</c:v>
                </c:pt>
                <c:pt idx="3">
                  <c:v>WP3</c:v>
                </c:pt>
                <c:pt idx="4">
                  <c:v>WP4</c:v>
                </c:pt>
                <c:pt idx="5">
                  <c:v>WP5</c:v>
                </c:pt>
              </c:strCache>
            </c:strRef>
          </c:cat>
          <c:val>
            <c:numRef>
              <c:f>OTP!$H$6:$H$12</c:f>
              <c:numCache>
                <c:formatCode>General</c:formatCode>
                <c:ptCount val="7"/>
                <c:pt idx="0">
                  <c:v>0.163157894736842</c:v>
                </c:pt>
                <c:pt idx="1">
                  <c:v>0.701754385964912</c:v>
                </c:pt>
                <c:pt idx="2">
                  <c:v>0.0315789473684211</c:v>
                </c:pt>
                <c:pt idx="3">
                  <c:v>0.0252631578947368</c:v>
                </c:pt>
                <c:pt idx="4">
                  <c:v>0.0508771929824561</c:v>
                </c:pt>
                <c:pt idx="5">
                  <c:v>0.284210526315789</c:v>
                </c:pt>
              </c:numCache>
            </c:numRef>
          </c:val>
        </c:ser>
        <c:gapWidth val="30"/>
        <c:overlap val="100"/>
        <c:axId val="49110025"/>
        <c:axId val="87687839"/>
      </c:barChart>
      <c:catAx>
        <c:axId val="491100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7687839"/>
        <c:crosses val="autoZero"/>
        <c:auto val="1"/>
        <c:lblAlgn val="ctr"/>
        <c:lblOffset val="100"/>
        <c:noMultiLvlLbl val="0"/>
      </c:catAx>
      <c:valAx>
        <c:axId val="8768783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Heures</a:t>
                </a:r>
              </a:p>
            </c:rich>
          </c:tx>
          <c:layout>
            <c:manualLayout>
              <c:xMode val="edge"/>
              <c:yMode val="edge"/>
              <c:x val="0.0819524292638936"/>
              <c:y val="0.03899871803522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91100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fr-FR" sz="1600" spc="97" strike="noStrike">
                <a:solidFill>
                  <a:srgbClr val="f2f2f2"/>
                </a:solidFill>
                <a:latin typeface="Calibri"/>
              </a:rPr>
              <a:t>EVOLUTION DE LA SATISFACTION DE L'EQUIPE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7229862475442"/>
          <c:y val="0.152958639767897"/>
          <c:w val="0.731462250912153"/>
          <c:h val="0.671682072734633"/>
        </c:manualLayout>
      </c:layout>
      <c:lineChart>
        <c:grouping val="standard"/>
        <c:varyColors val="0"/>
        <c:ser>
          <c:idx val="0"/>
          <c:order val="0"/>
          <c:tx>
            <c:strRef>
              <c:f>'Satisfaction Equipe'!$B$40</c:f>
              <c:strCache>
                <c:ptCount val="1"/>
                <c:pt idx="0">
                  <c:v>Anne</c:v>
                </c:pt>
              </c:strCache>
            </c:strRef>
          </c:tx>
          <c:spPr>
            <a:solidFill>
              <a:srgbClr val="4472c4"/>
            </a:solidFill>
            <a:ln cap="rnd" w="2556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Equipe'!$C$40:$S$40</c:f>
              <c:numCache>
                <c:formatCode>General</c:formatCode>
                <c:ptCount val="17"/>
                <c:pt idx="0">
                  <c:v>18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'Satisfaction Equipe'!$B$41</c:f>
              <c:strCache>
                <c:ptCount val="1"/>
                <c:pt idx="0">
                  <c:v>Jean</c:v>
                </c:pt>
              </c:strCache>
            </c:strRef>
          </c:tx>
          <c:spPr>
            <a:solidFill>
              <a:srgbClr val="ed7d31"/>
            </a:solidFill>
            <a:ln cap="rnd"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Equipe'!$C$41:$S$41</c:f>
              <c:numCache>
                <c:formatCode>General</c:formatCode>
                <c:ptCount val="17"/>
                <c:pt idx="0">
                  <c:v>18</c:v>
                </c:pt>
                <c:pt idx="1">
                  <c:v>18</c:v>
                </c:pt>
                <c:pt idx="2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'Satisfaction Equipe'!$B$42</c:f>
              <c:strCache>
                <c:ptCount val="1"/>
                <c:pt idx="0">
                  <c:v>Louise</c:v>
                </c:pt>
              </c:strCache>
            </c:strRef>
          </c:tx>
          <c:spPr>
            <a:solidFill>
              <a:srgbClr val="00b0f0"/>
            </a:solidFill>
            <a:ln cap="rnd" w="2556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Equipe'!$C$42:$S$42</c:f>
              <c:numCache>
                <c:formatCode>General</c:formatCode>
                <c:ptCount val="17"/>
                <c:pt idx="0">
                  <c:v>17</c:v>
                </c:pt>
                <c:pt idx="1">
                  <c:v>18</c:v>
                </c:pt>
                <c:pt idx="2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'Satisfaction Equipe'!$B$43</c:f>
              <c:strCache>
                <c:ptCount val="1"/>
                <c:pt idx="0">
                  <c:v>Marie</c:v>
                </c:pt>
              </c:strCache>
            </c:strRef>
          </c:tx>
          <c:spPr>
            <a:solidFill>
              <a:srgbClr val="ffc000"/>
            </a:solidFill>
            <a:ln cap="rnd" w="2556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Equipe'!$C$43:$S$43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'Satisfaction Equipe'!$B$44</c:f>
              <c:strCache>
                <c:ptCount val="1"/>
                <c:pt idx="0">
                  <c:v>Paul</c:v>
                </c:pt>
              </c:strCache>
            </c:strRef>
          </c:tx>
          <c:spPr>
            <a:solidFill>
              <a:srgbClr val="5b9bd5"/>
            </a:solidFill>
            <a:ln cap="rnd"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Equipe'!$C$44:$S$44</c:f>
              <c:numCache>
                <c:formatCode>General</c:formatCode>
                <c:ptCount val="17"/>
                <c:pt idx="0">
                  <c:v>16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'Satisfaction Equipe'!$B$45</c:f>
              <c:strCache>
                <c:ptCount val="1"/>
                <c:pt idx="0">
                  <c:v>Pierre</c:v>
                </c:pt>
              </c:strCache>
            </c:strRef>
          </c:tx>
          <c:spPr>
            <a:solidFill>
              <a:srgbClr val="70ad47"/>
            </a:solidFill>
            <a:ln cap="rnd" w="2556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Equipe'!$C$45:$S$45</c:f>
              <c:numCache>
                <c:formatCode>General</c:formatCode>
                <c:ptCount val="17"/>
                <c:pt idx="0">
                  <c:v>18</c:v>
                </c:pt>
                <c:pt idx="1">
                  <c:v>15</c:v>
                </c:pt>
                <c:pt idx="2">
                  <c:v>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'Satisfaction Equipe'!$B$46</c:f>
              <c:strCache>
                <c:ptCount val="1"/>
                <c:pt idx="0">
                  <c:v>Victor</c:v>
                </c:pt>
              </c:strCache>
            </c:strRef>
          </c:tx>
          <c:spPr>
            <a:solidFill>
              <a:srgbClr val="d9d9d9"/>
            </a:solidFill>
            <a:ln cap="rnd" w="25560">
              <a:solidFill>
                <a:srgbClr val="d9d9d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Equipe'!$C$46:$S$46</c:f>
              <c:numCache>
                <c:formatCode>General</c:formatCode>
                <c:ptCount val="1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'Satisfaction Equipe'!$B$47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e480e"/>
            </a:solidFill>
            <a:ln cap="rnd" w="34920">
              <a:solidFill>
                <a:srgbClr val="9e480e"/>
              </a:solidFill>
              <a:round/>
            </a:ln>
          </c:spPr>
          <c:marker>
            <c:symbol val="circle"/>
            <c:size val="6"/>
            <c:spPr>
              <a:solidFill>
                <a:srgbClr val="9e480e"/>
              </a:solidFill>
            </c:spPr>
          </c:marker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Equipe'!$C$47:$S$47</c:f>
              <c:numCache>
                <c:formatCode>General</c:formatCode>
                <c:ptCount val="0"/>
              </c:numCache>
            </c:numRef>
          </c:val>
          <c:smooth val="0"/>
        </c:ser>
        <c:ser>
          <c:idx val="8"/>
          <c:order val="8"/>
          <c:tx>
            <c:strRef>
              <c:f>'Satisfaction Equipe'!$B$48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rgbClr val="ff0000"/>
            </a:solidFill>
            <a:ln cap="rnd" w="633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Equipe'!$C$48:$S$48</c:f>
              <c:numCache>
                <c:formatCode>General</c:formatCode>
                <c:ptCount val="17"/>
                <c:pt idx="0">
                  <c:v>17.1428571428571</c:v>
                </c:pt>
                <c:pt idx="1">
                  <c:v>16.7142857142857</c:v>
                </c:pt>
                <c:pt idx="2">
                  <c:v>15.8571428571429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'Satisfaction Equipe'!$B$49</c:f>
              <c:strCache>
                <c:ptCount val="1"/>
                <c:pt idx="0">
                  <c:v>SEUIL</c:v>
                </c:pt>
              </c:strCache>
            </c:strRef>
          </c:tx>
          <c:spPr>
            <a:solidFill>
              <a:srgbClr val="c00000"/>
            </a:solidFill>
            <a:ln cap="rnd" w="34920">
              <a:solidFill>
                <a:srgbClr val="c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'Satisfaction Equipe'!$C$39:$S$39</c:f>
              <c:numCache>
                <c:formatCode>dd/mm/yy</c:formatCode>
                <c:ptCount val="17"/>
                <c:pt idx="0">
                  <c:v>27/01/24</c:v>
                </c:pt>
                <c:pt idx="1">
                  <c:v>03/02/24</c:v>
                </c:pt>
                <c:pt idx="2">
                  <c:v>10/02/24</c:v>
                </c:pt>
                <c:pt idx="3">
                  <c:v>17/02/24</c:v>
                </c:pt>
                <c:pt idx="4">
                  <c:v>24/02/24</c:v>
                </c:pt>
                <c:pt idx="5">
                  <c:v>02/03/24</c:v>
                </c:pt>
                <c:pt idx="6">
                  <c:v>09/03/24</c:v>
                </c:pt>
                <c:pt idx="7">
                  <c:v>16/03/24</c:v>
                </c:pt>
                <c:pt idx="8">
                  <c:v>23/03/24</c:v>
                </c:pt>
                <c:pt idx="9">
                  <c:v>30/03/24</c:v>
                </c:pt>
                <c:pt idx="10">
                  <c:v>06/04/24</c:v>
                </c:pt>
                <c:pt idx="11">
                  <c:v>13/04/24</c:v>
                </c:pt>
                <c:pt idx="12">
                  <c:v>20/04/24</c:v>
                </c:pt>
                <c:pt idx="13">
                  <c:v>27/04/24</c:v>
                </c:pt>
                <c:pt idx="14">
                  <c:v>04/05/24</c:v>
                </c:pt>
                <c:pt idx="15">
                  <c:v>11/05/24</c:v>
                </c:pt>
                <c:pt idx="16">
                  <c:v>18/05/24</c:v>
                </c:pt>
              </c:numCache>
            </c:numRef>
          </c:cat>
          <c:val>
            <c:numRef>
              <c:f>'Satisfaction Equipe'!$C$49:$S$49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514295"/>
        <c:axId val="33722092"/>
      </c:lineChart>
      <c:dateAx>
        <c:axId val="99514295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3722092"/>
        <c:crosses val="autoZero"/>
        <c:auto val="1"/>
        <c:lblOffset val="100"/>
        <c:baseTimeUnit val="days"/>
        <c:noMultiLvlLbl val="0"/>
      </c:dateAx>
      <c:valAx>
        <c:axId val="33722092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NOTE SUR 20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9514295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fr-FR" sz="1600" spc="97" strike="noStrike">
                <a:solidFill>
                  <a:srgbClr val="f2f2f2"/>
                </a:solidFill>
                <a:latin typeface="Calibri"/>
              </a:rPr>
              <a:t>DIAGRAMME A 45°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Jalons!$B$4</c:f>
              <c:strCache>
                <c:ptCount val="1"/>
                <c:pt idx="0">
                  <c:v>Fin de définition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Jalons!$C$3:$P$3</c:f>
              <c:numCache>
                <c:formatCode>dd/mm/yy;@</c:formatCode>
                <c:ptCount val="14"/>
                <c:pt idx="0">
                  <c:v>26/01/24</c:v>
                </c:pt>
                <c:pt idx="1">
                  <c:v>02/02/24</c:v>
                </c:pt>
                <c:pt idx="2">
                  <c:v>09/02/24</c:v>
                </c:pt>
                <c:pt idx="3">
                  <c:v>16/02/24</c:v>
                </c:pt>
                <c:pt idx="4">
                  <c:v>23/02/24</c:v>
                </c:pt>
                <c:pt idx="5">
                  <c:v>01/03/24</c:v>
                </c:pt>
                <c:pt idx="6">
                  <c:v>08/03/24</c:v>
                </c:pt>
                <c:pt idx="7">
                  <c:v>15/03/24</c:v>
                </c:pt>
                <c:pt idx="8">
                  <c:v>22/03/24</c:v>
                </c:pt>
                <c:pt idx="9">
                  <c:v>29/03/24</c:v>
                </c:pt>
                <c:pt idx="10">
                  <c:v>05/04/24</c:v>
                </c:pt>
                <c:pt idx="11">
                  <c:v>12/04/24</c:v>
                </c:pt>
                <c:pt idx="12">
                  <c:v>19/04/24</c:v>
                </c:pt>
                <c:pt idx="13">
                  <c:v>26/04/24</c:v>
                </c:pt>
              </c:numCache>
            </c:numRef>
          </c:cat>
          <c:val>
            <c:numRef>
              <c:f>Jalons!$C$4:$P$4</c:f>
              <c:numCache>
                <c:formatCode>General</c:formatCode>
                <c:ptCount val="14"/>
                <c:pt idx="0">
                  <c:v>45366</c:v>
                </c:pt>
                <c:pt idx="1">
                  <c:v>45366</c:v>
                </c:pt>
                <c:pt idx="2">
                  <c:v>45366</c:v>
                </c:pt>
                <c:pt idx="3">
                  <c:v>45373</c:v>
                </c:pt>
                <c:pt idx="4">
                  <c:v>45373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Jalons!$B$5</c:f>
              <c:strCache>
                <c:ptCount val="1"/>
                <c:pt idx="0">
                  <c:v>Release 1</c:v>
                </c:pt>
              </c:strCache>
            </c:strRef>
          </c:tx>
          <c:spPr>
            <a:solidFill>
              <a:srgbClr val="a5a5a5"/>
            </a:solidFill>
            <a:ln cap="rnd" w="34920">
              <a:solidFill>
                <a:srgbClr val="a5a5a5"/>
              </a:solidFill>
              <a:round/>
            </a:ln>
          </c:spPr>
          <c:marker>
            <c:symbol val="circle"/>
            <c:size val="6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Jalons!$C$3:$P$3</c:f>
              <c:numCache>
                <c:formatCode>dd/mm/yy;@</c:formatCode>
                <c:ptCount val="14"/>
                <c:pt idx="0">
                  <c:v>26/01/24</c:v>
                </c:pt>
                <c:pt idx="1">
                  <c:v>02/02/24</c:v>
                </c:pt>
                <c:pt idx="2">
                  <c:v>09/02/24</c:v>
                </c:pt>
                <c:pt idx="3">
                  <c:v>16/02/24</c:v>
                </c:pt>
                <c:pt idx="4">
                  <c:v>23/02/24</c:v>
                </c:pt>
                <c:pt idx="5">
                  <c:v>01/03/24</c:v>
                </c:pt>
                <c:pt idx="6">
                  <c:v>08/03/24</c:v>
                </c:pt>
                <c:pt idx="7">
                  <c:v>15/03/24</c:v>
                </c:pt>
                <c:pt idx="8">
                  <c:v>22/03/24</c:v>
                </c:pt>
                <c:pt idx="9">
                  <c:v>29/03/24</c:v>
                </c:pt>
                <c:pt idx="10">
                  <c:v>05/04/24</c:v>
                </c:pt>
                <c:pt idx="11">
                  <c:v>12/04/24</c:v>
                </c:pt>
                <c:pt idx="12">
                  <c:v>19/04/24</c:v>
                </c:pt>
                <c:pt idx="13">
                  <c:v>26/04/24</c:v>
                </c:pt>
              </c:numCache>
            </c:numRef>
          </c:cat>
          <c:val>
            <c:numRef>
              <c:f>Jalons!$C$5:$P$5</c:f>
              <c:numCache>
                <c:formatCode>General</c:formatCode>
                <c:ptCount val="14"/>
                <c:pt idx="0">
                  <c:v>45380</c:v>
                </c:pt>
                <c:pt idx="1">
                  <c:v>45380</c:v>
                </c:pt>
                <c:pt idx="2">
                  <c:v>45380</c:v>
                </c:pt>
                <c:pt idx="3">
                  <c:v>45380</c:v>
                </c:pt>
                <c:pt idx="4">
                  <c:v>45387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Jalons!$B$6</c:f>
              <c:strCache>
                <c:ptCount val="1"/>
                <c:pt idx="0">
                  <c:v>Release 2</c:v>
                </c:pt>
              </c:strCache>
            </c:strRef>
          </c:tx>
          <c:spPr>
            <a:solidFill>
              <a:srgbClr val="ffc000"/>
            </a:solidFill>
            <a:ln cap="rnd" w="34920">
              <a:solidFill>
                <a:srgbClr val="ffc000"/>
              </a:solidFill>
              <a:round/>
            </a:ln>
          </c:spPr>
          <c:marker>
            <c:symbol val="circle"/>
            <c:size val="6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Jalons!$C$3:$P$3</c:f>
              <c:numCache>
                <c:formatCode>dd/mm/yy;@</c:formatCode>
                <c:ptCount val="14"/>
                <c:pt idx="0">
                  <c:v>26/01/24</c:v>
                </c:pt>
                <c:pt idx="1">
                  <c:v>02/02/24</c:v>
                </c:pt>
                <c:pt idx="2">
                  <c:v>09/02/24</c:v>
                </c:pt>
                <c:pt idx="3">
                  <c:v>16/02/24</c:v>
                </c:pt>
                <c:pt idx="4">
                  <c:v>23/02/24</c:v>
                </c:pt>
                <c:pt idx="5">
                  <c:v>01/03/24</c:v>
                </c:pt>
                <c:pt idx="6">
                  <c:v>08/03/24</c:v>
                </c:pt>
                <c:pt idx="7">
                  <c:v>15/03/24</c:v>
                </c:pt>
                <c:pt idx="8">
                  <c:v>22/03/24</c:v>
                </c:pt>
                <c:pt idx="9">
                  <c:v>29/03/24</c:v>
                </c:pt>
                <c:pt idx="10">
                  <c:v>05/04/24</c:v>
                </c:pt>
                <c:pt idx="11">
                  <c:v>12/04/24</c:v>
                </c:pt>
                <c:pt idx="12">
                  <c:v>19/04/24</c:v>
                </c:pt>
                <c:pt idx="13">
                  <c:v>26/04/24</c:v>
                </c:pt>
              </c:numCache>
            </c:numRef>
          </c:cat>
          <c:val>
            <c:numRef>
              <c:f>Jalons!$C$6:$P$6</c:f>
              <c:numCache>
                <c:formatCode>General</c:formatCode>
                <c:ptCount val="14"/>
                <c:pt idx="0">
                  <c:v>45401</c:v>
                </c:pt>
                <c:pt idx="1">
                  <c:v>45401</c:v>
                </c:pt>
                <c:pt idx="2">
                  <c:v>45401</c:v>
                </c:pt>
                <c:pt idx="3">
                  <c:v>45401</c:v>
                </c:pt>
                <c:pt idx="4">
                  <c:v>45401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3351"/>
        <c:axId val="66133819"/>
      </c:lineChart>
      <c:lineChart>
        <c:grouping val="standard"/>
        <c:varyColors val="0"/>
        <c:ser>
          <c:idx val="3"/>
          <c:order val="3"/>
          <c:tx>
            <c:strRef>
              <c:f>Jalons!$B$12</c:f>
              <c:strCache>
                <c:ptCount val="1"/>
                <c:pt idx="0">
                  <c:v>Diagonale</c:v>
                </c:pt>
              </c:strCache>
            </c:strRef>
          </c:tx>
          <c:spPr>
            <a:solidFill>
              <a:srgbClr val="a6a6a6"/>
            </a:solidFill>
            <a:ln cap="rnd" w="34920">
              <a:solidFill>
                <a:srgbClr val="a6a6a6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Jalons!$C$3:$P$3</c:f>
              <c:numCache>
                <c:formatCode>dd/mm/yy;@</c:formatCode>
                <c:ptCount val="14"/>
                <c:pt idx="0">
                  <c:v>26/01/24</c:v>
                </c:pt>
                <c:pt idx="1">
                  <c:v>02/02/24</c:v>
                </c:pt>
                <c:pt idx="2">
                  <c:v>09/02/24</c:v>
                </c:pt>
                <c:pt idx="3">
                  <c:v>16/02/24</c:v>
                </c:pt>
                <c:pt idx="4">
                  <c:v>23/02/24</c:v>
                </c:pt>
                <c:pt idx="5">
                  <c:v>01/03/24</c:v>
                </c:pt>
                <c:pt idx="6">
                  <c:v>08/03/24</c:v>
                </c:pt>
                <c:pt idx="7">
                  <c:v>15/03/24</c:v>
                </c:pt>
                <c:pt idx="8">
                  <c:v>22/03/24</c:v>
                </c:pt>
                <c:pt idx="9">
                  <c:v>29/03/24</c:v>
                </c:pt>
                <c:pt idx="10">
                  <c:v>05/04/24</c:v>
                </c:pt>
                <c:pt idx="11">
                  <c:v>12/04/24</c:v>
                </c:pt>
                <c:pt idx="12">
                  <c:v>19/04/24</c:v>
                </c:pt>
                <c:pt idx="13">
                  <c:v>26/04/24</c:v>
                </c:pt>
              </c:numCache>
            </c:numRef>
          </c:cat>
          <c:val>
            <c:numRef>
              <c:f>Jalons!$C$12:$P$12</c:f>
              <c:numCache>
                <c:formatCode>General</c:formatCode>
                <c:ptCount val="14"/>
                <c:pt idx="0">
                  <c:v>45317</c:v>
                </c:pt>
                <c:pt idx="1">
                  <c:v>45324</c:v>
                </c:pt>
                <c:pt idx="2">
                  <c:v>45331</c:v>
                </c:pt>
                <c:pt idx="3">
                  <c:v>45338</c:v>
                </c:pt>
                <c:pt idx="4">
                  <c:v>45345</c:v>
                </c:pt>
                <c:pt idx="5">
                  <c:v>45352</c:v>
                </c:pt>
                <c:pt idx="6">
                  <c:v>45359</c:v>
                </c:pt>
                <c:pt idx="7">
                  <c:v>45366</c:v>
                </c:pt>
                <c:pt idx="8">
                  <c:v>45373</c:v>
                </c:pt>
                <c:pt idx="9">
                  <c:v>45380</c:v>
                </c:pt>
                <c:pt idx="10">
                  <c:v>45387</c:v>
                </c:pt>
                <c:pt idx="11">
                  <c:v>45394</c:v>
                </c:pt>
                <c:pt idx="12">
                  <c:v>45401</c:v>
                </c:pt>
                <c:pt idx="13">
                  <c:v>45408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200819"/>
        <c:axId val="23933767"/>
      </c:lineChart>
      <c:dateAx>
        <c:axId val="5933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FR" sz="11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1100" spc="-1" strike="noStrike">
                    <a:solidFill>
                      <a:srgbClr val="d9d9d9"/>
                    </a:solidFill>
                    <a:latin typeface="Calibri"/>
                  </a:rPr>
                  <a:t>DATES DE MISE A JOUR DES PREVISIONS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dd/mm/yy;@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6133819"/>
        <c:crosses val="autoZero"/>
        <c:auto val="1"/>
        <c:lblOffset val="100"/>
        <c:baseTimeUnit val="days"/>
        <c:noMultiLvlLbl val="0"/>
      </c:dateAx>
      <c:valAx>
        <c:axId val="66133819"/>
        <c:scaling>
          <c:orientation val="minMax"/>
          <c:min val="45317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DATES DE FIN PREVISIONNELLE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dd/mm/yy;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93351"/>
        <c:crosses val="autoZero"/>
        <c:crossBetween val="between"/>
        <c:majorUnit val="7"/>
        <c:minorUnit val="7"/>
      </c:valAx>
      <c:dateAx>
        <c:axId val="822008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933767"/>
        <c:auto val="1"/>
        <c:lblOffset val="100"/>
        <c:baseTimeUnit val="days"/>
        <c:noMultiLvlLbl val="0"/>
      </c:dateAx>
      <c:valAx>
        <c:axId val="23933767"/>
        <c:scaling>
          <c:orientation val="minMax"/>
        </c:scaling>
        <c:delete val="1"/>
        <c:axPos val="r"/>
        <c:numFmt formatCode="dd/mm/yy;@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200819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fr-FR" sz="1600" spc="97" strike="noStrike">
                <a:solidFill>
                  <a:srgbClr val="f2f2f2"/>
                </a:solidFill>
                <a:latin typeface="Calibri"/>
              </a:rPr>
              <a:t>SUIVI DES ACTIONS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1118325310646"/>
          <c:y val="0.12576749207206"/>
          <c:w val="0.805720362700101"/>
          <c:h val="0.677484650158559"/>
        </c:manualLayout>
      </c:layout>
      <c:barChart>
        <c:barDir val="col"/>
        <c:grouping val="percentStacked"/>
        <c:varyColors val="0"/>
        <c:ser>
          <c:idx val="0"/>
          <c:order val="0"/>
          <c:spPr>
            <a:gradFill>
              <a:gsLst>
                <a:gs pos="0">
                  <a:srgbClr val="ffc54b"/>
                </a:gs>
                <a:gs pos="100000">
                  <a:srgbClr val="ffbf00"/>
                </a:gs>
              </a:gsLst>
              <a:lin ang="5400000"/>
            </a:gradFill>
            <a:ln w="0">
              <a:noFill/>
            </a:ln>
          </c:spPr>
          <c:invertIfNegative val="0"/>
        </c:ser>
        <c:ser>
          <c:idx val="1"/>
          <c:order val="1"/>
          <c:tx>
            <c:strRef>
              <c:f>label 0</c:f>
              <c:strCache>
                <c:ptCount val="1"/>
                <c:pt idx="0">
                  <c:v>OUVERTES</c:v>
                </c:pt>
              </c:strCache>
            </c:strRef>
          </c:tx>
          <c:spPr>
            <a:solidFill>
              <a:srgbClr val="ff93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1</c:f>
              <c:strCache>
                <c:ptCount val="1"/>
                <c:pt idx="0">
                  <c:v>EN RETARD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3"/>
          <c:order val="3"/>
          <c:tx>
            <c:strRef>
              <c:f>label 2</c:f>
              <c:strCache>
                <c:ptCount val="1"/>
                <c:pt idx="0">
                  <c:v>FERMEES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label 3</c:f>
              <c:strCache>
                <c:ptCount val="1"/>
                <c:pt idx="0">
                  <c:v>Age moyen (en jours)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numFmt formatCode="#,##0.0" sourceLinked="0"/>
            <c:spPr>
              <a:solidFill>
                <a:srgbClr val="B4C7E7"/>
              </a:solidFill>
            </c:spPr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12"/>
                <c:pt idx="0">
                  <c:v>7</c:v>
                </c:pt>
                <c:pt idx="1">
                  <c:v>12</c:v>
                </c:pt>
                <c:pt idx="2">
                  <c:v>10.5</c:v>
                </c:pt>
                <c:pt idx="3">
                  <c:v>8.9</c:v>
                </c:pt>
                <c:pt idx="4">
                  <c:v>12</c:v>
                </c:pt>
                <c:pt idx="5">
                  <c:v>16.2</c:v>
                </c:pt>
                <c:pt idx="6">
                  <c:v>21</c:v>
                </c:pt>
                <c:pt idx="7">
                  <c:v>27</c:v>
                </c:pt>
                <c:pt idx="8">
                  <c:v>30.5</c:v>
                </c:pt>
                <c:pt idx="9">
                  <c:v>34</c:v>
                </c:pt>
              </c:numCache>
            </c:numRef>
          </c:val>
        </c:ser>
        <c:gapWidth val="92"/>
        <c:overlap val="100"/>
        <c:axId val="78083283"/>
        <c:axId val="1969351"/>
      </c:barChart>
      <c:catAx>
        <c:axId val="78083283"/>
        <c:scaling>
          <c:orientation val="minMax"/>
        </c:scaling>
        <c:delete val="1"/>
        <c:axPos val="t"/>
        <c:numFmt formatCode="[$-409]mm/d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9351"/>
        <c:auto val="1"/>
        <c:lblAlgn val="ctr"/>
        <c:lblOffset val="100"/>
        <c:noMultiLvlLbl val="0"/>
      </c:catAx>
      <c:valAx>
        <c:axId val="196935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808328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fr-FR" sz="1600" spc="97" strike="noStrike">
                <a:solidFill>
                  <a:srgbClr val="f2f2f2"/>
                </a:solidFill>
                <a:latin typeface="Calibri"/>
              </a:rPr>
              <a:t>ANOMALIES RESIDUELLES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Anomalies!$D$29</c:f>
              <c:strCache>
                <c:ptCount val="1"/>
                <c:pt idx="0">
                  <c:v>mineur</c:v>
                </c:pt>
              </c:strCache>
            </c:strRef>
          </c:tx>
          <c:spPr>
            <a:solidFill>
              <a:srgbClr val="70ad47"/>
            </a:solidFill>
            <a:ln cap="rnd" w="50760">
              <a:solidFill>
                <a:srgbClr val="70ad47"/>
              </a:solidFill>
              <a:round/>
            </a:ln>
          </c:spPr>
          <c:marker>
            <c:symbol val="none"/>
          </c:marker>
          <c:dPt>
            <c:idx val="30"/>
            <c:marker>
              <c:symbol val="none"/>
            </c:marker>
          </c:dPt>
          <c:dLbls>
            <c:dLbl>
              <c:idx val="3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Anomalies!$B$30:$B$71</c:f>
              <c:numCache>
                <c:formatCode>m/d/yy</c:formatCode>
                <c:ptCount val="42"/>
                <c:pt idx="0">
                  <c:v>22/01/2024</c:v>
                </c:pt>
                <c:pt idx="1">
                  <c:v>23/01/2024</c:v>
                </c:pt>
                <c:pt idx="2">
                  <c:v>24/01/2024</c:v>
                </c:pt>
                <c:pt idx="3">
                  <c:v>25/01/2024</c:v>
                </c:pt>
                <c:pt idx="4">
                  <c:v>26/01/2024</c:v>
                </c:pt>
                <c:pt idx="5">
                  <c:v>29/01/2024</c:v>
                </c:pt>
                <c:pt idx="6">
                  <c:v>30/01/2024</c:v>
                </c:pt>
                <c:pt idx="7">
                  <c:v>31/01/2024</c:v>
                </c:pt>
                <c:pt idx="8">
                  <c:v>01/02/2024</c:v>
                </c:pt>
                <c:pt idx="9">
                  <c:v>02/02/2024</c:v>
                </c:pt>
                <c:pt idx="10">
                  <c:v>05/02/2024</c:v>
                </c:pt>
                <c:pt idx="11">
                  <c:v>06/02/2024</c:v>
                </c:pt>
                <c:pt idx="12">
                  <c:v>07/02/2024</c:v>
                </c:pt>
                <c:pt idx="13">
                  <c:v>08/02/2024</c:v>
                </c:pt>
                <c:pt idx="14">
                  <c:v>09/02/2024</c:v>
                </c:pt>
                <c:pt idx="15">
                  <c:v>12/02/2024</c:v>
                </c:pt>
                <c:pt idx="16">
                  <c:v>13/02/2024</c:v>
                </c:pt>
                <c:pt idx="17">
                  <c:v>14/02/2024</c:v>
                </c:pt>
                <c:pt idx="18">
                  <c:v>15/02/2024</c:v>
                </c:pt>
                <c:pt idx="19">
                  <c:v>16/02/2024</c:v>
                </c:pt>
                <c:pt idx="20">
                  <c:v>17/02/2024</c:v>
                </c:pt>
                <c:pt idx="21">
                  <c:v>18/02/2024</c:v>
                </c:pt>
                <c:pt idx="22">
                  <c:v>19/02/2024</c:v>
                </c:pt>
                <c:pt idx="23">
                  <c:v>20/02/2024</c:v>
                </c:pt>
                <c:pt idx="24">
                  <c:v>21/02/2024</c:v>
                </c:pt>
                <c:pt idx="25">
                  <c:v>22/02/2024</c:v>
                </c:pt>
                <c:pt idx="26">
                  <c:v>23/02/2024</c:v>
                </c:pt>
                <c:pt idx="27">
                  <c:v>04/03/2024</c:v>
                </c:pt>
                <c:pt idx="28">
                  <c:v>05/03/2024</c:v>
                </c:pt>
                <c:pt idx="29">
                  <c:v>06/03/2024</c:v>
                </c:pt>
                <c:pt idx="30">
                  <c:v>07/03/2024</c:v>
                </c:pt>
                <c:pt idx="31">
                  <c:v>08/03/2024</c:v>
                </c:pt>
                <c:pt idx="32">
                  <c:v>11/03/2024</c:v>
                </c:pt>
                <c:pt idx="33">
                  <c:v>12/03/2024</c:v>
                </c:pt>
                <c:pt idx="34">
                  <c:v>13/03/2024</c:v>
                </c:pt>
                <c:pt idx="35">
                  <c:v>14/03/2024</c:v>
                </c:pt>
                <c:pt idx="36">
                  <c:v>15/03/2024</c:v>
                </c:pt>
                <c:pt idx="37">
                  <c:v>18/03/2024</c:v>
                </c:pt>
                <c:pt idx="38">
                  <c:v>19/03/2024</c:v>
                </c:pt>
                <c:pt idx="39">
                  <c:v>20/03/2024</c:v>
                </c:pt>
                <c:pt idx="40">
                  <c:v>21/03/2024</c:v>
                </c:pt>
                <c:pt idx="41">
                  <c:v>22/03/2024</c:v>
                </c:pt>
              </c:numCache>
            </c:numRef>
          </c:cat>
          <c:val>
            <c:numRef>
              <c:f>Anomalies!$D$30:$D$71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Anomalies!$E$29</c:f>
              <c:strCache>
                <c:ptCount val="1"/>
                <c:pt idx="0">
                  <c:v>MAJEUR</c:v>
                </c:pt>
              </c:strCache>
            </c:strRef>
          </c:tx>
          <c:spPr>
            <a:solidFill>
              <a:srgbClr val="ffc000"/>
            </a:solidFill>
            <a:ln cap="rnd" w="5076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Anomalies!$B$30:$B$71</c:f>
              <c:numCache>
                <c:formatCode>m/d/yy</c:formatCode>
                <c:ptCount val="42"/>
                <c:pt idx="0">
                  <c:v>22/01/2024</c:v>
                </c:pt>
                <c:pt idx="1">
                  <c:v>23/01/2024</c:v>
                </c:pt>
                <c:pt idx="2">
                  <c:v>24/01/2024</c:v>
                </c:pt>
                <c:pt idx="3">
                  <c:v>25/01/2024</c:v>
                </c:pt>
                <c:pt idx="4">
                  <c:v>26/01/2024</c:v>
                </c:pt>
                <c:pt idx="5">
                  <c:v>29/01/2024</c:v>
                </c:pt>
                <c:pt idx="6">
                  <c:v>30/01/2024</c:v>
                </c:pt>
                <c:pt idx="7">
                  <c:v>31/01/2024</c:v>
                </c:pt>
                <c:pt idx="8">
                  <c:v>01/02/2024</c:v>
                </c:pt>
                <c:pt idx="9">
                  <c:v>02/02/2024</c:v>
                </c:pt>
                <c:pt idx="10">
                  <c:v>05/02/2024</c:v>
                </c:pt>
                <c:pt idx="11">
                  <c:v>06/02/2024</c:v>
                </c:pt>
                <c:pt idx="12">
                  <c:v>07/02/2024</c:v>
                </c:pt>
                <c:pt idx="13">
                  <c:v>08/02/2024</c:v>
                </c:pt>
                <c:pt idx="14">
                  <c:v>09/02/2024</c:v>
                </c:pt>
                <c:pt idx="15">
                  <c:v>12/02/2024</c:v>
                </c:pt>
                <c:pt idx="16">
                  <c:v>13/02/2024</c:v>
                </c:pt>
                <c:pt idx="17">
                  <c:v>14/02/2024</c:v>
                </c:pt>
                <c:pt idx="18">
                  <c:v>15/02/2024</c:v>
                </c:pt>
                <c:pt idx="19">
                  <c:v>16/02/2024</c:v>
                </c:pt>
                <c:pt idx="20">
                  <c:v>17/02/2024</c:v>
                </c:pt>
                <c:pt idx="21">
                  <c:v>18/02/2024</c:v>
                </c:pt>
                <c:pt idx="22">
                  <c:v>19/02/2024</c:v>
                </c:pt>
                <c:pt idx="23">
                  <c:v>20/02/2024</c:v>
                </c:pt>
                <c:pt idx="24">
                  <c:v>21/02/2024</c:v>
                </c:pt>
                <c:pt idx="25">
                  <c:v>22/02/2024</c:v>
                </c:pt>
                <c:pt idx="26">
                  <c:v>23/02/2024</c:v>
                </c:pt>
                <c:pt idx="27">
                  <c:v>04/03/2024</c:v>
                </c:pt>
                <c:pt idx="28">
                  <c:v>05/03/2024</c:v>
                </c:pt>
                <c:pt idx="29">
                  <c:v>06/03/2024</c:v>
                </c:pt>
                <c:pt idx="30">
                  <c:v>07/03/2024</c:v>
                </c:pt>
                <c:pt idx="31">
                  <c:v>08/03/2024</c:v>
                </c:pt>
                <c:pt idx="32">
                  <c:v>11/03/2024</c:v>
                </c:pt>
                <c:pt idx="33">
                  <c:v>12/03/2024</c:v>
                </c:pt>
                <c:pt idx="34">
                  <c:v>13/03/2024</c:v>
                </c:pt>
                <c:pt idx="35">
                  <c:v>14/03/2024</c:v>
                </c:pt>
                <c:pt idx="36">
                  <c:v>15/03/2024</c:v>
                </c:pt>
                <c:pt idx="37">
                  <c:v>18/03/2024</c:v>
                </c:pt>
                <c:pt idx="38">
                  <c:v>19/03/2024</c:v>
                </c:pt>
                <c:pt idx="39">
                  <c:v>20/03/2024</c:v>
                </c:pt>
                <c:pt idx="40">
                  <c:v>21/03/2024</c:v>
                </c:pt>
                <c:pt idx="41">
                  <c:v>22/03/2024</c:v>
                </c:pt>
              </c:numCache>
            </c:numRef>
          </c:cat>
          <c:val>
            <c:numRef>
              <c:f>Anomalies!$E$30:$E$71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Anomalies!$F$29</c:f>
              <c:strCache>
                <c:ptCount val="1"/>
                <c:pt idx="0">
                  <c:v>CRITIQUE</c:v>
                </c:pt>
              </c:strCache>
            </c:strRef>
          </c:tx>
          <c:spPr>
            <a:solidFill>
              <a:srgbClr val="ff0000"/>
            </a:solidFill>
            <a:ln cap="rnd" w="633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Anomalies!$B$30:$B$71</c:f>
              <c:numCache>
                <c:formatCode>m/d/yy</c:formatCode>
                <c:ptCount val="42"/>
                <c:pt idx="0">
                  <c:v>22/01/2024</c:v>
                </c:pt>
                <c:pt idx="1">
                  <c:v>23/01/2024</c:v>
                </c:pt>
                <c:pt idx="2">
                  <c:v>24/01/2024</c:v>
                </c:pt>
                <c:pt idx="3">
                  <c:v>25/01/2024</c:v>
                </c:pt>
                <c:pt idx="4">
                  <c:v>26/01/2024</c:v>
                </c:pt>
                <c:pt idx="5">
                  <c:v>29/01/2024</c:v>
                </c:pt>
                <c:pt idx="6">
                  <c:v>30/01/2024</c:v>
                </c:pt>
                <c:pt idx="7">
                  <c:v>31/01/2024</c:v>
                </c:pt>
                <c:pt idx="8">
                  <c:v>01/02/2024</c:v>
                </c:pt>
                <c:pt idx="9">
                  <c:v>02/02/2024</c:v>
                </c:pt>
                <c:pt idx="10">
                  <c:v>05/02/2024</c:v>
                </c:pt>
                <c:pt idx="11">
                  <c:v>06/02/2024</c:v>
                </c:pt>
                <c:pt idx="12">
                  <c:v>07/02/2024</c:v>
                </c:pt>
                <c:pt idx="13">
                  <c:v>08/02/2024</c:v>
                </c:pt>
                <c:pt idx="14">
                  <c:v>09/02/2024</c:v>
                </c:pt>
                <c:pt idx="15">
                  <c:v>12/02/2024</c:v>
                </c:pt>
                <c:pt idx="16">
                  <c:v>13/02/2024</c:v>
                </c:pt>
                <c:pt idx="17">
                  <c:v>14/02/2024</c:v>
                </c:pt>
                <c:pt idx="18">
                  <c:v>15/02/2024</c:v>
                </c:pt>
                <c:pt idx="19">
                  <c:v>16/02/2024</c:v>
                </c:pt>
                <c:pt idx="20">
                  <c:v>17/02/2024</c:v>
                </c:pt>
                <c:pt idx="21">
                  <c:v>18/02/2024</c:v>
                </c:pt>
                <c:pt idx="22">
                  <c:v>19/02/2024</c:v>
                </c:pt>
                <c:pt idx="23">
                  <c:v>20/02/2024</c:v>
                </c:pt>
                <c:pt idx="24">
                  <c:v>21/02/2024</c:v>
                </c:pt>
                <c:pt idx="25">
                  <c:v>22/02/2024</c:v>
                </c:pt>
                <c:pt idx="26">
                  <c:v>23/02/2024</c:v>
                </c:pt>
                <c:pt idx="27">
                  <c:v>04/03/2024</c:v>
                </c:pt>
                <c:pt idx="28">
                  <c:v>05/03/2024</c:v>
                </c:pt>
                <c:pt idx="29">
                  <c:v>06/03/2024</c:v>
                </c:pt>
                <c:pt idx="30">
                  <c:v>07/03/2024</c:v>
                </c:pt>
                <c:pt idx="31">
                  <c:v>08/03/2024</c:v>
                </c:pt>
                <c:pt idx="32">
                  <c:v>11/03/2024</c:v>
                </c:pt>
                <c:pt idx="33">
                  <c:v>12/03/2024</c:v>
                </c:pt>
                <c:pt idx="34">
                  <c:v>13/03/2024</c:v>
                </c:pt>
                <c:pt idx="35">
                  <c:v>14/03/2024</c:v>
                </c:pt>
                <c:pt idx="36">
                  <c:v>15/03/2024</c:v>
                </c:pt>
                <c:pt idx="37">
                  <c:v>18/03/2024</c:v>
                </c:pt>
                <c:pt idx="38">
                  <c:v>19/03/2024</c:v>
                </c:pt>
                <c:pt idx="39">
                  <c:v>20/03/2024</c:v>
                </c:pt>
                <c:pt idx="40">
                  <c:v>21/03/2024</c:v>
                </c:pt>
                <c:pt idx="41">
                  <c:v>22/03/2024</c:v>
                </c:pt>
              </c:numCache>
            </c:numRef>
          </c:cat>
          <c:val>
            <c:numRef>
              <c:f>Anomalies!$F$30:$F$71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596421"/>
        <c:axId val="98190215"/>
      </c:lineChart>
      <c:dateAx>
        <c:axId val="605964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Date de relevé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m/d/yy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 rot="-2700000"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8190215"/>
        <c:crosses val="autoZero"/>
        <c:auto val="1"/>
        <c:lblOffset val="100"/>
        <c:baseTimeUnit val="days"/>
        <c:noMultiLvlLbl val="0"/>
      </c:dateAx>
      <c:valAx>
        <c:axId val="98190215"/>
        <c:scaling>
          <c:orientation val="minMax"/>
          <c:max val="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NB ANOMALIES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0596421"/>
        <c:crosses val="autoZero"/>
        <c:crossBetween val="between"/>
        <c:majorUnit val="1"/>
      </c:valAx>
      <c:spPr>
        <a:noFill/>
        <a:ln w="0">
          <a:noFill/>
        </a:ln>
      </c:spPr>
    </c:plotArea>
    <c:plotVisOnly val="0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de-DE" sz="1600" spc="97" strike="noStrike">
                <a:solidFill>
                  <a:srgbClr val="f2f2f2"/>
                </a:solidFill>
                <a:latin typeface="Calibri"/>
              </a:rPr>
              <a:t>Burn down chart du sprint en cours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Storypoints complétés</c:v>
                </c:pt>
              </c:strCache>
            </c:strRef>
          </c:tx>
          <c:spPr>
            <a:gradFill>
              <a:gsLst>
                <a:gs pos="0">
                  <a:srgbClr val="ffc54b"/>
                </a:gs>
                <a:gs pos="100000">
                  <a:srgbClr val="ffbf00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75"/>
        <c:overlap val="0"/>
        <c:axId val="77411952"/>
        <c:axId val="19670116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Courbe réelle</c:v>
                </c:pt>
              </c:strCache>
            </c:strRef>
          </c:tx>
          <c:spPr>
            <a:solidFill>
              <a:srgbClr val="ff0000"/>
            </a:solidFill>
            <a:ln cap="rnd" w="34920">
              <a:solidFill>
                <a:srgbClr val="ff0000"/>
              </a:solidFill>
              <a:round/>
            </a:ln>
          </c:spPr>
          <c:marker>
            <c:symbol val="x"/>
            <c:size val="9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1</c:f>
              <c:numCache>
                <c:formatCode>General</c:formatCode>
                <c:ptCount val="14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45</c:v>
                </c:pt>
                <c:pt idx="6">
                  <c:v>45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34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411952"/>
        <c:axId val="19670116"/>
      </c:line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Courbe idéale</c:v>
                </c:pt>
              </c:strCache>
            </c:strRef>
          </c:tx>
          <c:spPr>
            <a:solidFill>
              <a:srgbClr val="d9d9d9"/>
            </a:solidFill>
            <a:ln cap="rnd" w="34920">
              <a:solidFill>
                <a:srgbClr val="d9d9d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</c:f>
              <c:numCache>
                <c:formatCode>General</c:formatCode>
                <c:ptCount val="14"/>
                <c:pt idx="0">
                  <c:v>57</c:v>
                </c:pt>
                <c:pt idx="1">
                  <c:v>52.6153846153846</c:v>
                </c:pt>
                <c:pt idx="2">
                  <c:v>48.2307692307692</c:v>
                </c:pt>
                <c:pt idx="3">
                  <c:v>43.8461538461539</c:v>
                </c:pt>
                <c:pt idx="4">
                  <c:v>39.4615384615385</c:v>
                </c:pt>
                <c:pt idx="5">
                  <c:v>35.0769230769231</c:v>
                </c:pt>
                <c:pt idx="6">
                  <c:v>30.6923076923077</c:v>
                </c:pt>
                <c:pt idx="7">
                  <c:v>26.3076923076923</c:v>
                </c:pt>
                <c:pt idx="8">
                  <c:v>21.9230769230769</c:v>
                </c:pt>
                <c:pt idx="9">
                  <c:v>17.5384615384615</c:v>
                </c:pt>
                <c:pt idx="10">
                  <c:v>13.1538461538461</c:v>
                </c:pt>
                <c:pt idx="11">
                  <c:v>8.76923076923077</c:v>
                </c:pt>
                <c:pt idx="12">
                  <c:v>4.38461538461538</c:v>
                </c:pt>
                <c:pt idx="1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88927"/>
        <c:axId val="52247576"/>
      </c:lineChart>
      <c:catAx>
        <c:axId val="77411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FR" sz="11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1100" spc="-1" strike="noStrike">
                    <a:solidFill>
                      <a:srgbClr val="d9d9d9"/>
                    </a:solidFill>
                    <a:latin typeface="Calibri"/>
                  </a:rPr>
                  <a:t>JOUR DE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9670116"/>
        <c:crosses val="autoZero"/>
        <c:auto val="1"/>
        <c:lblAlgn val="ctr"/>
        <c:lblOffset val="100"/>
        <c:noMultiLvlLbl val="0"/>
      </c:catAx>
      <c:valAx>
        <c:axId val="196701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7411952"/>
        <c:crosses val="autoZero"/>
        <c:crossBetween val="between"/>
      </c:valAx>
      <c:catAx>
        <c:axId val="5188927"/>
        <c:scaling>
          <c:orientation val="minMax"/>
        </c:scaling>
        <c:delete val="1"/>
        <c:axPos val="t"/>
        <c:numFmt formatCode="[$-409]mm/d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247576"/>
        <c:auto val="1"/>
        <c:lblAlgn val="ctr"/>
        <c:lblOffset val="100"/>
        <c:noMultiLvlLbl val="0"/>
      </c:catAx>
      <c:valAx>
        <c:axId val="522475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88927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0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fr-FR" sz="1600" spc="97" strike="noStrike">
                <a:solidFill>
                  <a:srgbClr val="f2f2f2"/>
                </a:solidFill>
                <a:latin typeface="Calibri"/>
              </a:rPr>
              <a:t>NON CONFORMITES RESIDUELLES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NC!$D$29</c:f>
              <c:strCache>
                <c:ptCount val="1"/>
                <c:pt idx="0">
                  <c:v>mineur</c:v>
                </c:pt>
              </c:strCache>
            </c:strRef>
          </c:tx>
          <c:spPr>
            <a:solidFill>
              <a:srgbClr val="70ad47"/>
            </a:solidFill>
            <a:ln cap="rnd" w="50760">
              <a:solidFill>
                <a:srgbClr val="70ad47"/>
              </a:solidFill>
              <a:round/>
            </a:ln>
          </c:spPr>
          <c:marker>
            <c:symbol val="none"/>
          </c:marker>
          <c:dPt>
            <c:idx val="30"/>
            <c:marker>
              <c:symbol val="none"/>
            </c:marker>
          </c:dPt>
          <c:dLbls>
            <c:dLbl>
              <c:idx val="3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NC!$B$30:$B$71</c:f>
              <c:numCache>
                <c:formatCode>m/d/yy</c:formatCode>
                <c:ptCount val="42"/>
                <c:pt idx="0">
                  <c:v>22/01/2024</c:v>
                </c:pt>
                <c:pt idx="1">
                  <c:v>23/01/2024</c:v>
                </c:pt>
                <c:pt idx="2">
                  <c:v>24/01/2024</c:v>
                </c:pt>
                <c:pt idx="3">
                  <c:v>25/01/2024</c:v>
                </c:pt>
                <c:pt idx="4">
                  <c:v>26/01/2024</c:v>
                </c:pt>
                <c:pt idx="5">
                  <c:v>29/01/2024</c:v>
                </c:pt>
                <c:pt idx="6">
                  <c:v>30/01/2024</c:v>
                </c:pt>
                <c:pt idx="7">
                  <c:v>31/01/2024</c:v>
                </c:pt>
                <c:pt idx="8">
                  <c:v>01/02/2024</c:v>
                </c:pt>
                <c:pt idx="9">
                  <c:v>02/02/2024</c:v>
                </c:pt>
                <c:pt idx="10">
                  <c:v>05/02/2024</c:v>
                </c:pt>
                <c:pt idx="11">
                  <c:v>06/02/2024</c:v>
                </c:pt>
                <c:pt idx="12">
                  <c:v>07/02/2024</c:v>
                </c:pt>
                <c:pt idx="13">
                  <c:v>08/02/2024</c:v>
                </c:pt>
                <c:pt idx="14">
                  <c:v>09/02/2024</c:v>
                </c:pt>
                <c:pt idx="15">
                  <c:v>12/02/2024</c:v>
                </c:pt>
                <c:pt idx="16">
                  <c:v>13/02/2024</c:v>
                </c:pt>
                <c:pt idx="17">
                  <c:v>14/02/2024</c:v>
                </c:pt>
                <c:pt idx="18">
                  <c:v>15/02/2024</c:v>
                </c:pt>
                <c:pt idx="19">
                  <c:v>16/02/2024</c:v>
                </c:pt>
                <c:pt idx="20">
                  <c:v>17/02/2024</c:v>
                </c:pt>
                <c:pt idx="21">
                  <c:v>18/02/2024</c:v>
                </c:pt>
                <c:pt idx="22">
                  <c:v>19/02/2024</c:v>
                </c:pt>
                <c:pt idx="23">
                  <c:v>20/02/2024</c:v>
                </c:pt>
                <c:pt idx="24">
                  <c:v>21/02/2024</c:v>
                </c:pt>
                <c:pt idx="25">
                  <c:v>22/02/2024</c:v>
                </c:pt>
                <c:pt idx="26">
                  <c:v>23/02/2024</c:v>
                </c:pt>
                <c:pt idx="27">
                  <c:v>04/03/2024</c:v>
                </c:pt>
                <c:pt idx="28">
                  <c:v>05/03/2024</c:v>
                </c:pt>
                <c:pt idx="29">
                  <c:v>06/03/2024</c:v>
                </c:pt>
                <c:pt idx="30">
                  <c:v>07/03/2024</c:v>
                </c:pt>
                <c:pt idx="31">
                  <c:v>08/03/2024</c:v>
                </c:pt>
                <c:pt idx="32">
                  <c:v>11/03/2024</c:v>
                </c:pt>
                <c:pt idx="33">
                  <c:v>12/03/2024</c:v>
                </c:pt>
                <c:pt idx="34">
                  <c:v>13/03/2024</c:v>
                </c:pt>
                <c:pt idx="35">
                  <c:v>14/03/2024</c:v>
                </c:pt>
                <c:pt idx="36">
                  <c:v>15/03/2024</c:v>
                </c:pt>
                <c:pt idx="37">
                  <c:v>18/03/2024</c:v>
                </c:pt>
                <c:pt idx="38">
                  <c:v>19/03/2024</c:v>
                </c:pt>
                <c:pt idx="39">
                  <c:v>20/03/2024</c:v>
                </c:pt>
                <c:pt idx="40">
                  <c:v>21/03/2024</c:v>
                </c:pt>
                <c:pt idx="41">
                  <c:v>22/03/2024</c:v>
                </c:pt>
              </c:numCache>
            </c:numRef>
          </c:cat>
          <c:val>
            <c:numRef>
              <c:f>NC!$D$30:$D$71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NC!$E$29</c:f>
              <c:strCache>
                <c:ptCount val="1"/>
                <c:pt idx="0">
                  <c:v>MAJEUR</c:v>
                </c:pt>
              </c:strCache>
            </c:strRef>
          </c:tx>
          <c:spPr>
            <a:solidFill>
              <a:srgbClr val="ffc000"/>
            </a:solidFill>
            <a:ln cap="rnd" w="5076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NC!$B$30:$B$71</c:f>
              <c:numCache>
                <c:formatCode>m/d/yy</c:formatCode>
                <c:ptCount val="42"/>
                <c:pt idx="0">
                  <c:v>22/01/2024</c:v>
                </c:pt>
                <c:pt idx="1">
                  <c:v>23/01/2024</c:v>
                </c:pt>
                <c:pt idx="2">
                  <c:v>24/01/2024</c:v>
                </c:pt>
                <c:pt idx="3">
                  <c:v>25/01/2024</c:v>
                </c:pt>
                <c:pt idx="4">
                  <c:v>26/01/2024</c:v>
                </c:pt>
                <c:pt idx="5">
                  <c:v>29/01/2024</c:v>
                </c:pt>
                <c:pt idx="6">
                  <c:v>30/01/2024</c:v>
                </c:pt>
                <c:pt idx="7">
                  <c:v>31/01/2024</c:v>
                </c:pt>
                <c:pt idx="8">
                  <c:v>01/02/2024</c:v>
                </c:pt>
                <c:pt idx="9">
                  <c:v>02/02/2024</c:v>
                </c:pt>
                <c:pt idx="10">
                  <c:v>05/02/2024</c:v>
                </c:pt>
                <c:pt idx="11">
                  <c:v>06/02/2024</c:v>
                </c:pt>
                <c:pt idx="12">
                  <c:v>07/02/2024</c:v>
                </c:pt>
                <c:pt idx="13">
                  <c:v>08/02/2024</c:v>
                </c:pt>
                <c:pt idx="14">
                  <c:v>09/02/2024</c:v>
                </c:pt>
                <c:pt idx="15">
                  <c:v>12/02/2024</c:v>
                </c:pt>
                <c:pt idx="16">
                  <c:v>13/02/2024</c:v>
                </c:pt>
                <c:pt idx="17">
                  <c:v>14/02/2024</c:v>
                </c:pt>
                <c:pt idx="18">
                  <c:v>15/02/2024</c:v>
                </c:pt>
                <c:pt idx="19">
                  <c:v>16/02/2024</c:v>
                </c:pt>
                <c:pt idx="20">
                  <c:v>17/02/2024</c:v>
                </c:pt>
                <c:pt idx="21">
                  <c:v>18/02/2024</c:v>
                </c:pt>
                <c:pt idx="22">
                  <c:v>19/02/2024</c:v>
                </c:pt>
                <c:pt idx="23">
                  <c:v>20/02/2024</c:v>
                </c:pt>
                <c:pt idx="24">
                  <c:v>21/02/2024</c:v>
                </c:pt>
                <c:pt idx="25">
                  <c:v>22/02/2024</c:v>
                </c:pt>
                <c:pt idx="26">
                  <c:v>23/02/2024</c:v>
                </c:pt>
                <c:pt idx="27">
                  <c:v>04/03/2024</c:v>
                </c:pt>
                <c:pt idx="28">
                  <c:v>05/03/2024</c:v>
                </c:pt>
                <c:pt idx="29">
                  <c:v>06/03/2024</c:v>
                </c:pt>
                <c:pt idx="30">
                  <c:v>07/03/2024</c:v>
                </c:pt>
                <c:pt idx="31">
                  <c:v>08/03/2024</c:v>
                </c:pt>
                <c:pt idx="32">
                  <c:v>11/03/2024</c:v>
                </c:pt>
                <c:pt idx="33">
                  <c:v>12/03/2024</c:v>
                </c:pt>
                <c:pt idx="34">
                  <c:v>13/03/2024</c:v>
                </c:pt>
                <c:pt idx="35">
                  <c:v>14/03/2024</c:v>
                </c:pt>
                <c:pt idx="36">
                  <c:v>15/03/2024</c:v>
                </c:pt>
                <c:pt idx="37">
                  <c:v>18/03/2024</c:v>
                </c:pt>
                <c:pt idx="38">
                  <c:v>19/03/2024</c:v>
                </c:pt>
                <c:pt idx="39">
                  <c:v>20/03/2024</c:v>
                </c:pt>
                <c:pt idx="40">
                  <c:v>21/03/2024</c:v>
                </c:pt>
                <c:pt idx="41">
                  <c:v>22/03/2024</c:v>
                </c:pt>
              </c:numCache>
            </c:numRef>
          </c:cat>
          <c:val>
            <c:numRef>
              <c:f>NC!$E$30:$E$71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NC!$F$29</c:f>
              <c:strCache>
                <c:ptCount val="1"/>
                <c:pt idx="0">
                  <c:v>CRITIQUE</c:v>
                </c:pt>
              </c:strCache>
            </c:strRef>
          </c:tx>
          <c:spPr>
            <a:solidFill>
              <a:srgbClr val="ff0000"/>
            </a:solidFill>
            <a:ln cap="rnd" w="633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NC!$B$30:$B$71</c:f>
              <c:numCache>
                <c:formatCode>m/d/yy</c:formatCode>
                <c:ptCount val="42"/>
                <c:pt idx="0">
                  <c:v>22/01/2024</c:v>
                </c:pt>
                <c:pt idx="1">
                  <c:v>23/01/2024</c:v>
                </c:pt>
                <c:pt idx="2">
                  <c:v>24/01/2024</c:v>
                </c:pt>
                <c:pt idx="3">
                  <c:v>25/01/2024</c:v>
                </c:pt>
                <c:pt idx="4">
                  <c:v>26/01/2024</c:v>
                </c:pt>
                <c:pt idx="5">
                  <c:v>29/01/2024</c:v>
                </c:pt>
                <c:pt idx="6">
                  <c:v>30/01/2024</c:v>
                </c:pt>
                <c:pt idx="7">
                  <c:v>31/01/2024</c:v>
                </c:pt>
                <c:pt idx="8">
                  <c:v>01/02/2024</c:v>
                </c:pt>
                <c:pt idx="9">
                  <c:v>02/02/2024</c:v>
                </c:pt>
                <c:pt idx="10">
                  <c:v>05/02/2024</c:v>
                </c:pt>
                <c:pt idx="11">
                  <c:v>06/02/2024</c:v>
                </c:pt>
                <c:pt idx="12">
                  <c:v>07/02/2024</c:v>
                </c:pt>
                <c:pt idx="13">
                  <c:v>08/02/2024</c:v>
                </c:pt>
                <c:pt idx="14">
                  <c:v>09/02/2024</c:v>
                </c:pt>
                <c:pt idx="15">
                  <c:v>12/02/2024</c:v>
                </c:pt>
                <c:pt idx="16">
                  <c:v>13/02/2024</c:v>
                </c:pt>
                <c:pt idx="17">
                  <c:v>14/02/2024</c:v>
                </c:pt>
                <c:pt idx="18">
                  <c:v>15/02/2024</c:v>
                </c:pt>
                <c:pt idx="19">
                  <c:v>16/02/2024</c:v>
                </c:pt>
                <c:pt idx="20">
                  <c:v>17/02/2024</c:v>
                </c:pt>
                <c:pt idx="21">
                  <c:v>18/02/2024</c:v>
                </c:pt>
                <c:pt idx="22">
                  <c:v>19/02/2024</c:v>
                </c:pt>
                <c:pt idx="23">
                  <c:v>20/02/2024</c:v>
                </c:pt>
                <c:pt idx="24">
                  <c:v>21/02/2024</c:v>
                </c:pt>
                <c:pt idx="25">
                  <c:v>22/02/2024</c:v>
                </c:pt>
                <c:pt idx="26">
                  <c:v>23/02/2024</c:v>
                </c:pt>
                <c:pt idx="27">
                  <c:v>04/03/2024</c:v>
                </c:pt>
                <c:pt idx="28">
                  <c:v>05/03/2024</c:v>
                </c:pt>
                <c:pt idx="29">
                  <c:v>06/03/2024</c:v>
                </c:pt>
                <c:pt idx="30">
                  <c:v>07/03/2024</c:v>
                </c:pt>
                <c:pt idx="31">
                  <c:v>08/03/2024</c:v>
                </c:pt>
                <c:pt idx="32">
                  <c:v>11/03/2024</c:v>
                </c:pt>
                <c:pt idx="33">
                  <c:v>12/03/2024</c:v>
                </c:pt>
                <c:pt idx="34">
                  <c:v>13/03/2024</c:v>
                </c:pt>
                <c:pt idx="35">
                  <c:v>14/03/2024</c:v>
                </c:pt>
                <c:pt idx="36">
                  <c:v>15/03/2024</c:v>
                </c:pt>
                <c:pt idx="37">
                  <c:v>18/03/2024</c:v>
                </c:pt>
                <c:pt idx="38">
                  <c:v>19/03/2024</c:v>
                </c:pt>
                <c:pt idx="39">
                  <c:v>20/03/2024</c:v>
                </c:pt>
                <c:pt idx="40">
                  <c:v>21/03/2024</c:v>
                </c:pt>
                <c:pt idx="41">
                  <c:v>22/03/2024</c:v>
                </c:pt>
              </c:numCache>
            </c:numRef>
          </c:cat>
          <c:val>
            <c:numRef>
              <c:f>NC!$F$30:$F$71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361209"/>
        <c:axId val="2735812"/>
      </c:lineChart>
      <c:dateAx>
        <c:axId val="873612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Date de relevé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m/d/yy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 rot="-2700000"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735812"/>
        <c:crosses val="autoZero"/>
        <c:auto val="1"/>
        <c:lblOffset val="100"/>
        <c:baseTimeUnit val="days"/>
        <c:noMultiLvlLbl val="0"/>
      </c:dateAx>
      <c:valAx>
        <c:axId val="2735812"/>
        <c:scaling>
          <c:orientation val="minMax"/>
          <c:max val="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NB ANOMALIES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7361209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0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fr-FR" sz="1600" spc="97" strike="noStrike">
                <a:solidFill>
                  <a:srgbClr val="f2f2f2"/>
                </a:solidFill>
                <a:latin typeface="Calibri"/>
              </a:rPr>
              <a:t>EVOLUTION DE LA VELOCITE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SPRINT!$H$47</c:f>
              <c:strCache>
                <c:ptCount val="1"/>
                <c:pt idx="0">
                  <c:v>Théorique</c:v>
                </c:pt>
              </c:strCache>
            </c:strRef>
          </c:tx>
          <c:spPr>
            <a:solidFill>
              <a:srgbClr val="808080"/>
            </a:solidFill>
            <a:ln cap="rnd" w="34920">
              <a:solidFill>
                <a:srgbClr val="80808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SPRINT!$G$48:$G$57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SPRINT!$H$48:$H$57</c:f>
              <c:numCache>
                <c:formatCode>General</c:formatCode>
                <c:ptCount val="10"/>
                <c:pt idx="0">
                  <c:v>80</c:v>
                </c:pt>
                <c:pt idx="1">
                  <c:v>88</c:v>
                </c:pt>
                <c:pt idx="2">
                  <c:v>94.6</c:v>
                </c:pt>
                <c:pt idx="3">
                  <c:v>99.33</c:v>
                </c:pt>
                <c:pt idx="4">
                  <c:v>101.81325</c:v>
                </c:pt>
                <c:pt idx="5">
                  <c:v>101.81325</c:v>
                </c:pt>
                <c:pt idx="6">
                  <c:v>101.81325</c:v>
                </c:pt>
                <c:pt idx="7">
                  <c:v>101.81325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SPRINT!$I$47</c:f>
              <c:strCache>
                <c:ptCount val="1"/>
                <c:pt idx="0">
                  <c:v>Prévu</c:v>
                </c:pt>
              </c:strCache>
            </c:strRef>
          </c:tx>
          <c:spPr>
            <a:solidFill>
              <a:srgbClr val="00b050"/>
            </a:solidFill>
            <a:ln cap="rnd" w="34920">
              <a:solidFill>
                <a:srgbClr val="00b050"/>
              </a:solidFill>
              <a:round/>
            </a:ln>
          </c:spPr>
          <c:marker>
            <c:symbol val="square"/>
            <c:size val="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SPRINT!$G$48:$G$57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SPRINT!$I$48:$I$57</c:f>
              <c:numCache>
                <c:formatCode>General</c:formatCode>
                <c:ptCount val="10"/>
                <c:pt idx="0">
                  <c:v>80</c:v>
                </c:pt>
                <c:pt idx="1">
                  <c:v>87</c:v>
                </c:pt>
                <c:pt idx="2">
                  <c:v>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SPRINT!$J$47</c:f>
              <c:strCache>
                <c:ptCount val="1"/>
                <c:pt idx="0">
                  <c:v>Réalisé</c:v>
                </c:pt>
              </c:strCache>
            </c:strRef>
          </c:tx>
          <c:spPr>
            <a:solidFill>
              <a:srgbClr val="ff0000"/>
            </a:solidFill>
            <a:ln cap="rnd" w="34920">
              <a:solidFill>
                <a:srgbClr val="ff0000"/>
              </a:solidFill>
              <a:round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SPRINT!$G$48:$G$57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SPRINT!$J$48:$J$57</c:f>
              <c:numCache>
                <c:formatCode>General</c:formatCode>
                <c:ptCount val="10"/>
                <c:pt idx="0">
                  <c:v>78</c:v>
                </c:pt>
                <c:pt idx="1">
                  <c:v>82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56705499"/>
        <c:axId val="92946314"/>
      </c:lineChart>
      <c:catAx>
        <c:axId val="567054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2946314"/>
        <c:crosses val="autoZero"/>
        <c:auto val="1"/>
        <c:lblAlgn val="ctr"/>
        <c:lblOffset val="100"/>
        <c:noMultiLvlLbl val="0"/>
      </c:catAx>
      <c:valAx>
        <c:axId val="9294631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FR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fr-FR" sz="9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67054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92221360"/>
        <c:axId val="75243322"/>
      </c:barChart>
      <c:catAx>
        <c:axId val="92221360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75243322"/>
        <c:auto val="1"/>
        <c:lblAlgn val="ctr"/>
        <c:lblOffset val="100"/>
        <c:noMultiLvlLbl val="0"/>
      </c:catAx>
      <c:valAx>
        <c:axId val="75243322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2221360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793800</xdr:colOff>
      <xdr:row>0</xdr:row>
      <xdr:rowOff>158760</xdr:rowOff>
    </xdr:from>
    <xdr:to>
      <xdr:col>4</xdr:col>
      <xdr:colOff>4761000</xdr:colOff>
      <xdr:row>0</xdr:row>
      <xdr:rowOff>755280</xdr:rowOff>
    </xdr:to>
    <xdr:sp>
      <xdr:nvSpPr>
        <xdr:cNvPr id="0" name="Textfeld 1"/>
        <xdr:cNvSpPr/>
      </xdr:nvSpPr>
      <xdr:spPr>
        <a:xfrm>
          <a:off x="793800" y="158760"/>
          <a:ext cx="10645200" cy="59652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Entrer ici les réunions de projet qui sont programmées dans un but particulier (cf. Types de réunion) et donnant lieu à la rédaction d'un compte-rendu.</a:t>
          </a:r>
          <a:endParaRPr b="0" lang="fr-FR" sz="1100" spc="-1" strike="noStrike">
            <a:latin typeface="Calibri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Les réunions journalières ou récurrentes peuvent ne pas apparaitre dans le tableau.</a:t>
          </a:r>
          <a:endParaRPr b="0" lang="fr-FR" sz="1100" spc="-1" strike="noStrike">
            <a:latin typeface="Calibri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280440</xdr:colOff>
      <xdr:row>14</xdr:row>
      <xdr:rowOff>147600</xdr:rowOff>
    </xdr:from>
    <xdr:to>
      <xdr:col>6</xdr:col>
      <xdr:colOff>162000</xdr:colOff>
      <xdr:row>14</xdr:row>
      <xdr:rowOff>634680</xdr:rowOff>
    </xdr:to>
    <xdr:sp>
      <xdr:nvSpPr>
        <xdr:cNvPr id="46" name="Gerade Verbindung mit Pfeil 7"/>
        <xdr:cNvSpPr/>
      </xdr:nvSpPr>
      <xdr:spPr>
        <a:xfrm flipH="1" flipV="1">
          <a:off x="5865120" y="3778920"/>
          <a:ext cx="939240" cy="487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177120</xdr:colOff>
      <xdr:row>14</xdr:row>
      <xdr:rowOff>384120</xdr:rowOff>
    </xdr:from>
    <xdr:to>
      <xdr:col>11</xdr:col>
      <xdr:colOff>488160</xdr:colOff>
      <xdr:row>14</xdr:row>
      <xdr:rowOff>1082160</xdr:rowOff>
    </xdr:to>
    <xdr:sp>
      <xdr:nvSpPr>
        <xdr:cNvPr id="47" name="Textfeld 6"/>
        <xdr:cNvSpPr/>
      </xdr:nvSpPr>
      <xdr:spPr>
        <a:xfrm>
          <a:off x="6820200" y="4016160"/>
          <a:ext cx="2955960" cy="69804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Reporter chaque semaine les valeurs de la colonne "</a:t>
          </a:r>
          <a:r>
            <a:rPr b="0" lang="de-DE" sz="1100" spc="-1" strike="noStrike">
              <a:solidFill>
                <a:srgbClr val="ff0000"/>
              </a:solidFill>
              <a:latin typeface="Arial"/>
            </a:rPr>
            <a:t>Total à reporter</a:t>
          </a:r>
          <a:r>
            <a:rPr b="0" lang="de-DE" sz="1100" spc="-1" strike="noStrike">
              <a:solidFill>
                <a:srgbClr val="000000"/>
              </a:solidFill>
              <a:latin typeface="Arial"/>
            </a:rPr>
            <a:t>"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10</xdr:col>
      <xdr:colOff>487440</xdr:colOff>
      <xdr:row>14</xdr:row>
      <xdr:rowOff>1092960</xdr:rowOff>
    </xdr:from>
    <xdr:to>
      <xdr:col>12</xdr:col>
      <xdr:colOff>88200</xdr:colOff>
      <xdr:row>14</xdr:row>
      <xdr:rowOff>1485360</xdr:rowOff>
    </xdr:to>
    <xdr:sp>
      <xdr:nvSpPr>
        <xdr:cNvPr id="48" name="Gerade Verbindung mit Pfeil 7"/>
        <xdr:cNvSpPr/>
      </xdr:nvSpPr>
      <xdr:spPr>
        <a:xfrm>
          <a:off x="9246600" y="4725000"/>
          <a:ext cx="658440" cy="392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ff000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74880</xdr:rowOff>
    </xdr:from>
    <xdr:to>
      <xdr:col>3</xdr:col>
      <xdr:colOff>6006600</xdr:colOff>
      <xdr:row>0</xdr:row>
      <xdr:rowOff>671400</xdr:rowOff>
    </xdr:to>
    <xdr:sp>
      <xdr:nvSpPr>
        <xdr:cNvPr id="1" name="Textfeld 1"/>
        <xdr:cNvSpPr/>
      </xdr:nvSpPr>
      <xdr:spPr>
        <a:xfrm>
          <a:off x="915480" y="74880"/>
          <a:ext cx="9966960" cy="59652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Entrer ici les faits marquants c'est à dire les événements importants qui ont une incidence positive ou négative sur le déroulement du projet.</a:t>
          </a:r>
          <a:endParaRPr b="0" lang="fr-FR" sz="1100" spc="-1" strike="noStrike">
            <a:latin typeface="Calibri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Ce tableau peut être considéré comme le journal de bord du projet.</a:t>
          </a:r>
          <a:endParaRPr b="0" lang="fr-FR" sz="1100" spc="-1" strike="noStrike">
            <a:latin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234000</xdr:colOff>
      <xdr:row>33</xdr:row>
      <xdr:rowOff>5040</xdr:rowOff>
    </xdr:from>
    <xdr:to>
      <xdr:col>8</xdr:col>
      <xdr:colOff>75600</xdr:colOff>
      <xdr:row>59</xdr:row>
      <xdr:rowOff>51840</xdr:rowOff>
    </xdr:to>
    <xdr:graphicFrame>
      <xdr:nvGraphicFramePr>
        <xdr:cNvPr id="2" name="Graphique 6"/>
        <xdr:cNvGraphicFramePr/>
      </xdr:nvGraphicFramePr>
      <xdr:xfrm>
        <a:off x="234000" y="8514000"/>
        <a:ext cx="6431400" cy="532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197280</xdr:colOff>
      <xdr:row>33</xdr:row>
      <xdr:rowOff>3600</xdr:rowOff>
    </xdr:from>
    <xdr:to>
      <xdr:col>15</xdr:col>
      <xdr:colOff>858600</xdr:colOff>
      <xdr:row>59</xdr:row>
      <xdr:rowOff>50400</xdr:rowOff>
    </xdr:to>
    <xdr:graphicFrame>
      <xdr:nvGraphicFramePr>
        <xdr:cNvPr id="3" name="Graphique 2"/>
        <xdr:cNvGraphicFramePr/>
      </xdr:nvGraphicFramePr>
      <xdr:xfrm>
        <a:off x="6787080" y="8512560"/>
        <a:ext cx="6446160" cy="532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116640</xdr:colOff>
      <xdr:row>6</xdr:row>
      <xdr:rowOff>51840</xdr:rowOff>
    </xdr:from>
    <xdr:to>
      <xdr:col>38</xdr:col>
      <xdr:colOff>751680</xdr:colOff>
      <xdr:row>32</xdr:row>
      <xdr:rowOff>104040</xdr:rowOff>
    </xdr:to>
    <xdr:graphicFrame>
      <xdr:nvGraphicFramePr>
        <xdr:cNvPr id="4" name="Graphique 1"/>
        <xdr:cNvGraphicFramePr/>
      </xdr:nvGraphicFramePr>
      <xdr:xfrm>
        <a:off x="26491320" y="3074400"/>
        <a:ext cx="6386760" cy="53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127080</xdr:colOff>
      <xdr:row>33</xdr:row>
      <xdr:rowOff>2520</xdr:rowOff>
    </xdr:from>
    <xdr:to>
      <xdr:col>38</xdr:col>
      <xdr:colOff>788400</xdr:colOff>
      <xdr:row>59</xdr:row>
      <xdr:rowOff>54720</xdr:rowOff>
    </xdr:to>
    <xdr:graphicFrame>
      <xdr:nvGraphicFramePr>
        <xdr:cNvPr id="5" name="Graphique 5"/>
        <xdr:cNvGraphicFramePr/>
      </xdr:nvGraphicFramePr>
      <xdr:xfrm>
        <a:off x="26501760" y="8511480"/>
        <a:ext cx="6413040" cy="53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209520</xdr:colOff>
      <xdr:row>6</xdr:row>
      <xdr:rowOff>11880</xdr:rowOff>
    </xdr:from>
    <xdr:to>
      <xdr:col>15</xdr:col>
      <xdr:colOff>870840</xdr:colOff>
      <xdr:row>32</xdr:row>
      <xdr:rowOff>64080</xdr:rowOff>
    </xdr:to>
    <xdr:graphicFrame>
      <xdr:nvGraphicFramePr>
        <xdr:cNvPr id="6" name="Graphique 5"/>
        <xdr:cNvGraphicFramePr/>
      </xdr:nvGraphicFramePr>
      <xdr:xfrm>
        <a:off x="6799320" y="3034440"/>
        <a:ext cx="6446160" cy="53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244440</xdr:colOff>
      <xdr:row>6</xdr:row>
      <xdr:rowOff>2880</xdr:rowOff>
    </xdr:from>
    <xdr:to>
      <xdr:col>8</xdr:col>
      <xdr:colOff>86040</xdr:colOff>
      <xdr:row>32</xdr:row>
      <xdr:rowOff>55080</xdr:rowOff>
    </xdr:to>
    <xdr:graphicFrame>
      <xdr:nvGraphicFramePr>
        <xdr:cNvPr id="7" name="Graphique 8"/>
        <xdr:cNvGraphicFramePr/>
      </xdr:nvGraphicFramePr>
      <xdr:xfrm>
        <a:off x="244440" y="3025440"/>
        <a:ext cx="6431400" cy="53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5760</xdr:colOff>
      <xdr:row>33</xdr:row>
      <xdr:rowOff>3240</xdr:rowOff>
    </xdr:from>
    <xdr:to>
      <xdr:col>23</xdr:col>
      <xdr:colOff>24120</xdr:colOff>
      <xdr:row>54</xdr:row>
      <xdr:rowOff>15480</xdr:rowOff>
    </xdr:to>
    <xdr:graphicFrame>
      <xdr:nvGraphicFramePr>
        <xdr:cNvPr id="8" name="Graphique 11"/>
        <xdr:cNvGraphicFramePr/>
      </xdr:nvGraphicFramePr>
      <xdr:xfrm>
        <a:off x="13361040" y="8512200"/>
        <a:ext cx="6448320" cy="42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14040</xdr:colOff>
      <xdr:row>6</xdr:row>
      <xdr:rowOff>27000</xdr:rowOff>
    </xdr:from>
    <xdr:to>
      <xdr:col>23</xdr:col>
      <xdr:colOff>48240</xdr:colOff>
      <xdr:row>32</xdr:row>
      <xdr:rowOff>79200</xdr:rowOff>
    </xdr:to>
    <xdr:graphicFrame>
      <xdr:nvGraphicFramePr>
        <xdr:cNvPr id="9" name="Diagramm 14"/>
        <xdr:cNvGraphicFramePr/>
      </xdr:nvGraphicFramePr>
      <xdr:xfrm>
        <a:off x="13369320" y="3049560"/>
        <a:ext cx="6464160" cy="53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138600</xdr:colOff>
      <xdr:row>33</xdr:row>
      <xdr:rowOff>5760</xdr:rowOff>
    </xdr:from>
    <xdr:to>
      <xdr:col>31</xdr:col>
      <xdr:colOff>12240</xdr:colOff>
      <xdr:row>54</xdr:row>
      <xdr:rowOff>15840</xdr:rowOff>
    </xdr:to>
    <xdr:graphicFrame>
      <xdr:nvGraphicFramePr>
        <xdr:cNvPr id="10" name="Graphique 3"/>
        <xdr:cNvGraphicFramePr/>
      </xdr:nvGraphicFramePr>
      <xdr:xfrm>
        <a:off x="19923840" y="8514720"/>
        <a:ext cx="6463080" cy="42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23</xdr:col>
      <xdr:colOff>144720</xdr:colOff>
      <xdr:row>6</xdr:row>
      <xdr:rowOff>32040</xdr:rowOff>
    </xdr:from>
    <xdr:to>
      <xdr:col>31</xdr:col>
      <xdr:colOff>18360</xdr:colOff>
      <xdr:row>32</xdr:row>
      <xdr:rowOff>84240</xdr:rowOff>
    </xdr:to>
    <xdr:graphicFrame>
      <xdr:nvGraphicFramePr>
        <xdr:cNvPr id="11" name="Graphique 2"/>
        <xdr:cNvGraphicFramePr/>
      </xdr:nvGraphicFramePr>
      <xdr:xfrm>
        <a:off x="19929960" y="3054600"/>
        <a:ext cx="6463080" cy="53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291960</xdr:colOff>
      <xdr:row>3</xdr:row>
      <xdr:rowOff>101520</xdr:rowOff>
    </xdr:from>
    <xdr:to>
      <xdr:col>6</xdr:col>
      <xdr:colOff>659880</xdr:colOff>
      <xdr:row>3</xdr:row>
      <xdr:rowOff>960480</xdr:rowOff>
    </xdr:to>
    <xdr:sp>
      <xdr:nvSpPr>
        <xdr:cNvPr id="12" name="Textfeld 1"/>
        <xdr:cNvSpPr/>
      </xdr:nvSpPr>
      <xdr:spPr>
        <a:xfrm>
          <a:off x="291960" y="355320"/>
          <a:ext cx="5397120" cy="85896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Entrez ici au fil de l'eau les actions qui sont décidées pendant les réunions et allouées à un ou plusieurs membres de l'équipe. Mettre là jour chaque semaine le statut (Ouvert/Fermé), la deadline et la date de clôture pour chacune des actions.</a:t>
          </a:r>
          <a:endParaRPr b="0" lang="fr-FR" sz="1100" spc="-1" strike="noStrike">
            <a:latin typeface="Calibri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Ceci peut également être géré dans un tableau Kanban.</a:t>
          </a:r>
          <a:endParaRPr b="0" lang="fr-FR" sz="1100" spc="-1" strike="noStrike">
            <a:latin typeface="Calibr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647640</xdr:colOff>
      <xdr:row>15</xdr:row>
      <xdr:rowOff>50760</xdr:rowOff>
    </xdr:from>
    <xdr:to>
      <xdr:col>4</xdr:col>
      <xdr:colOff>888480</xdr:colOff>
      <xdr:row>17</xdr:row>
      <xdr:rowOff>37800</xdr:rowOff>
    </xdr:to>
    <xdr:sp>
      <xdr:nvSpPr>
        <xdr:cNvPr id="13" name="Textfeld 1"/>
        <xdr:cNvSpPr/>
      </xdr:nvSpPr>
      <xdr:spPr>
        <a:xfrm>
          <a:off x="4775040" y="3517560"/>
          <a:ext cx="4020120" cy="58392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Entrez ici votre vélocité actuelle en StoryPoints à partir de votre dernier sprint. La vélocité correspond au nombre de storypoints que vous avez complétés au sprint précédent. 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3</xdr:col>
      <xdr:colOff>101520</xdr:colOff>
      <xdr:row>15</xdr:row>
      <xdr:rowOff>349200</xdr:rowOff>
    </xdr:from>
    <xdr:to>
      <xdr:col>3</xdr:col>
      <xdr:colOff>647280</xdr:colOff>
      <xdr:row>17</xdr:row>
      <xdr:rowOff>139320</xdr:rowOff>
    </xdr:to>
    <xdr:sp>
      <xdr:nvSpPr>
        <xdr:cNvPr id="14" name="Gerade Verbindung mit Pfeil 2"/>
        <xdr:cNvSpPr/>
      </xdr:nvSpPr>
      <xdr:spPr>
        <a:xfrm flipH="1">
          <a:off x="4228920" y="3816000"/>
          <a:ext cx="545760" cy="387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152280</xdr:colOff>
      <xdr:row>37</xdr:row>
      <xdr:rowOff>76320</xdr:rowOff>
    </xdr:from>
    <xdr:to>
      <xdr:col>3</xdr:col>
      <xdr:colOff>507600</xdr:colOff>
      <xdr:row>41</xdr:row>
      <xdr:rowOff>12600</xdr:rowOff>
    </xdr:to>
    <xdr:sp>
      <xdr:nvSpPr>
        <xdr:cNvPr id="15" name="Textfeld 6"/>
        <xdr:cNvSpPr/>
      </xdr:nvSpPr>
      <xdr:spPr>
        <a:xfrm>
          <a:off x="1700280" y="8204040"/>
          <a:ext cx="2934720" cy="6984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Filtrez </a:t>
          </a:r>
          <a:r>
            <a:rPr b="1" lang="de-DE" sz="1100" spc="-1" strike="noStrike">
              <a:solidFill>
                <a:srgbClr val="000000"/>
              </a:solidFill>
              <a:latin typeface="Arial"/>
            </a:rPr>
            <a:t>toujours</a:t>
          </a:r>
          <a:r>
            <a:rPr b="0" lang="de-DE" sz="1100" spc="-1" strike="noStrike">
              <a:solidFill>
                <a:srgbClr val="000000"/>
              </a:solidFill>
              <a:latin typeface="Arial"/>
            </a:rPr>
            <a:t> le sprint actuel à l'aide de l'identifiant Sprint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0</xdr:col>
      <xdr:colOff>787320</xdr:colOff>
      <xdr:row>32</xdr:row>
      <xdr:rowOff>139680</xdr:rowOff>
    </xdr:from>
    <xdr:to>
      <xdr:col>1</xdr:col>
      <xdr:colOff>723600</xdr:colOff>
      <xdr:row>36</xdr:row>
      <xdr:rowOff>190080</xdr:rowOff>
    </xdr:to>
    <xdr:sp>
      <xdr:nvSpPr>
        <xdr:cNvPr id="16" name="Gerade Verbindung mit Pfeil 7"/>
        <xdr:cNvSpPr/>
      </xdr:nvSpPr>
      <xdr:spPr>
        <a:xfrm flipH="1" flipV="1">
          <a:off x="786240" y="7314120"/>
          <a:ext cx="1484280" cy="812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711360</xdr:colOff>
      <xdr:row>37</xdr:row>
      <xdr:rowOff>76320</xdr:rowOff>
    </xdr:from>
    <xdr:to>
      <xdr:col>4</xdr:col>
      <xdr:colOff>215640</xdr:colOff>
      <xdr:row>41</xdr:row>
      <xdr:rowOff>12600</xdr:rowOff>
    </xdr:to>
    <xdr:sp>
      <xdr:nvSpPr>
        <xdr:cNvPr id="17" name="Textfeld 10"/>
        <xdr:cNvSpPr/>
      </xdr:nvSpPr>
      <xdr:spPr>
        <a:xfrm>
          <a:off x="4838760" y="8204040"/>
          <a:ext cx="3283560" cy="6984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244d80"/>
              </a:solidFill>
              <a:latin typeface="Arial"/>
            </a:rPr>
            <a:t>Décrivez</a:t>
          </a:r>
          <a:r>
            <a:rPr b="0" lang="de-DE" sz="1100" spc="-1" strike="noStrike">
              <a:solidFill>
                <a:srgbClr val="000000"/>
              </a:solidFill>
              <a:latin typeface="Arial"/>
            </a:rPr>
            <a:t> votre item du backlog, </a:t>
          </a:r>
          <a:r>
            <a:rPr b="0" lang="de-DE" sz="1100" spc="-1" strike="noStrike">
              <a:solidFill>
                <a:srgbClr val="ef9d3e"/>
              </a:solidFill>
              <a:latin typeface="Arial"/>
            </a:rPr>
            <a:t>estimez</a:t>
          </a:r>
          <a:r>
            <a:rPr b="0" lang="de-DE" sz="1100" spc="-1" strike="noStrike">
              <a:solidFill>
                <a:srgbClr val="000000"/>
              </a:solidFill>
              <a:latin typeface="Arial"/>
            </a:rPr>
            <a:t> le nombre de Storypoints associés et </a:t>
          </a:r>
          <a:r>
            <a:rPr b="0" lang="de-DE" sz="1100" spc="-1" strike="noStrike">
              <a:solidFill>
                <a:srgbClr val="e54747"/>
              </a:solidFill>
              <a:latin typeface="Arial"/>
            </a:rPr>
            <a:t>assignez l'item à un responsable</a:t>
          </a:r>
          <a:r>
            <a:rPr b="0" lang="de-DE" sz="1100" spc="-1" strike="noStrike">
              <a:solidFill>
                <a:srgbClr val="000000"/>
              </a:solidFill>
              <a:latin typeface="Arial"/>
            </a:rPr>
            <a:t>.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4</xdr:col>
      <xdr:colOff>68760</xdr:colOff>
      <xdr:row>32</xdr:row>
      <xdr:rowOff>88920</xdr:rowOff>
    </xdr:from>
    <xdr:to>
      <xdr:col>4</xdr:col>
      <xdr:colOff>418680</xdr:colOff>
      <xdr:row>37</xdr:row>
      <xdr:rowOff>25200</xdr:rowOff>
    </xdr:to>
    <xdr:sp>
      <xdr:nvSpPr>
        <xdr:cNvPr id="18" name="Gerade Verbindung mit Pfeil 11"/>
        <xdr:cNvSpPr/>
      </xdr:nvSpPr>
      <xdr:spPr>
        <a:xfrm flipV="1">
          <a:off x="7975440" y="7263360"/>
          <a:ext cx="349920" cy="888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e54747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2197080</xdr:colOff>
      <xdr:row>32</xdr:row>
      <xdr:rowOff>76320</xdr:rowOff>
    </xdr:from>
    <xdr:to>
      <xdr:col>3</xdr:col>
      <xdr:colOff>2209320</xdr:colOff>
      <xdr:row>36</xdr:row>
      <xdr:rowOff>190080</xdr:rowOff>
    </xdr:to>
    <xdr:sp>
      <xdr:nvSpPr>
        <xdr:cNvPr id="19" name="Gerade Verbindung mit Pfeil 12"/>
        <xdr:cNvSpPr/>
      </xdr:nvSpPr>
      <xdr:spPr>
        <a:xfrm flipH="1" flipV="1">
          <a:off x="6324480" y="7250760"/>
          <a:ext cx="12240" cy="875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101520</xdr:colOff>
      <xdr:row>32</xdr:row>
      <xdr:rowOff>152280</xdr:rowOff>
    </xdr:from>
    <xdr:to>
      <xdr:col>3</xdr:col>
      <xdr:colOff>1333080</xdr:colOff>
      <xdr:row>36</xdr:row>
      <xdr:rowOff>190080</xdr:rowOff>
    </xdr:to>
    <xdr:sp>
      <xdr:nvSpPr>
        <xdr:cNvPr id="20" name="Gerade Verbindung mit Pfeil 13"/>
        <xdr:cNvSpPr/>
      </xdr:nvSpPr>
      <xdr:spPr>
        <a:xfrm flipH="1" flipV="1">
          <a:off x="4228200" y="7327440"/>
          <a:ext cx="1231560" cy="799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ef9d3e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196920</xdr:colOff>
      <xdr:row>37</xdr:row>
      <xdr:rowOff>88920</xdr:rowOff>
    </xdr:from>
    <xdr:to>
      <xdr:col>10</xdr:col>
      <xdr:colOff>152280</xdr:colOff>
      <xdr:row>41</xdr:row>
      <xdr:rowOff>25200</xdr:rowOff>
    </xdr:to>
    <xdr:sp>
      <xdr:nvSpPr>
        <xdr:cNvPr id="21" name="Textfeld 9"/>
        <xdr:cNvSpPr/>
      </xdr:nvSpPr>
      <xdr:spPr>
        <a:xfrm>
          <a:off x="9354600" y="8216640"/>
          <a:ext cx="5502960" cy="6984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Entrez ici la date de complétion d'un item dès que possible.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10</xdr:col>
      <xdr:colOff>355680</xdr:colOff>
      <xdr:row>25</xdr:row>
      <xdr:rowOff>63360</xdr:rowOff>
    </xdr:from>
    <xdr:to>
      <xdr:col>10</xdr:col>
      <xdr:colOff>380880</xdr:colOff>
      <xdr:row>27</xdr:row>
      <xdr:rowOff>75600</xdr:rowOff>
    </xdr:to>
    <xdr:sp>
      <xdr:nvSpPr>
        <xdr:cNvPr id="22" name="Gerade Verbindung mit Pfeil 14"/>
        <xdr:cNvSpPr/>
      </xdr:nvSpPr>
      <xdr:spPr>
        <a:xfrm flipH="1" flipV="1">
          <a:off x="15060960" y="5904360"/>
          <a:ext cx="25200" cy="393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685800</xdr:colOff>
      <xdr:row>27</xdr:row>
      <xdr:rowOff>101520</xdr:rowOff>
    </xdr:from>
    <xdr:to>
      <xdr:col>11</xdr:col>
      <xdr:colOff>394560</xdr:colOff>
      <xdr:row>32</xdr:row>
      <xdr:rowOff>113760</xdr:rowOff>
    </xdr:to>
    <xdr:sp>
      <xdr:nvSpPr>
        <xdr:cNvPr id="23" name="Textfeld 11"/>
        <xdr:cNvSpPr/>
      </xdr:nvSpPr>
      <xdr:spPr>
        <a:xfrm>
          <a:off x="14539320" y="6324480"/>
          <a:ext cx="1411920" cy="96444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Vous pouvez définir le statut des tâches ici 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3</xdr:col>
      <xdr:colOff>2260440</xdr:colOff>
      <xdr:row>174</xdr:row>
      <xdr:rowOff>101520</xdr:rowOff>
    </xdr:from>
    <xdr:to>
      <xdr:col>3</xdr:col>
      <xdr:colOff>2272680</xdr:colOff>
      <xdr:row>178</xdr:row>
      <xdr:rowOff>50400</xdr:rowOff>
    </xdr:to>
    <xdr:sp>
      <xdr:nvSpPr>
        <xdr:cNvPr id="24" name="Gerade Verbindung mit Pfeil 14"/>
        <xdr:cNvSpPr/>
      </xdr:nvSpPr>
      <xdr:spPr>
        <a:xfrm flipH="1" flipV="1">
          <a:off x="6387840" y="35826480"/>
          <a:ext cx="12240" cy="761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1308240</xdr:colOff>
      <xdr:row>33</xdr:row>
      <xdr:rowOff>0</xdr:rowOff>
    </xdr:from>
    <xdr:to>
      <xdr:col>6</xdr:col>
      <xdr:colOff>1320480</xdr:colOff>
      <xdr:row>36</xdr:row>
      <xdr:rowOff>190080</xdr:rowOff>
    </xdr:to>
    <xdr:sp>
      <xdr:nvSpPr>
        <xdr:cNvPr id="25" name="Gerade Verbindung mit Pfeil 14"/>
        <xdr:cNvSpPr/>
      </xdr:nvSpPr>
      <xdr:spPr>
        <a:xfrm flipH="1" flipV="1">
          <a:off x="11317680" y="7365240"/>
          <a:ext cx="12240" cy="761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262440</xdr:colOff>
      <xdr:row>0</xdr:row>
      <xdr:rowOff>0</xdr:rowOff>
    </xdr:from>
    <xdr:to>
      <xdr:col>13</xdr:col>
      <xdr:colOff>191880</xdr:colOff>
      <xdr:row>8</xdr:row>
      <xdr:rowOff>93240</xdr:rowOff>
    </xdr:to>
    <xdr:sp>
      <xdr:nvSpPr>
        <xdr:cNvPr id="26" name="Textfeld 1"/>
        <xdr:cNvSpPr/>
      </xdr:nvSpPr>
      <xdr:spPr>
        <a:xfrm>
          <a:off x="10271880" y="0"/>
          <a:ext cx="6754320" cy="203616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Entrez ici aun fl de l'eau les donnés du sprint en cours. N’oubliez pas de vérifier que les informations sont constamment à jour !</a:t>
          </a:r>
          <a:br/>
          <a:br/>
          <a:r>
            <a:rPr b="0" lang="en-US" sz="1100" spc="-1" strike="noStrike">
              <a:solidFill>
                <a:srgbClr val="000000"/>
              </a:solidFill>
              <a:latin typeface="Calibri"/>
            </a:rPr>
            <a:t>Informations générales :</a:t>
          </a:r>
          <a:br/>
          <a:r>
            <a:rPr b="0" lang="en-US" sz="1200" spc="-1" strike="noStrike">
              <a:solidFill>
                <a:srgbClr val="000000"/>
              </a:solidFill>
              <a:latin typeface="Calibri"/>
            </a:rPr>
            <a:t>-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Date de début</a:t>
          </a:r>
          <a:br/>
          <a:r>
            <a:rPr b="0" lang="en-US" sz="1200" spc="-1" strike="noStrike">
              <a:solidFill>
                <a:srgbClr val="000000"/>
              </a:solidFill>
              <a:latin typeface="Calibri"/>
            </a:rPr>
            <a:t>-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Durée du sprint (précisez le nombre  de jours calendaires )</a:t>
          </a:r>
          <a:br/>
          <a:r>
            <a:rPr b="0" lang="en-US" sz="1200" spc="-1" strike="noStrike">
              <a:solidFill>
                <a:srgbClr val="000000"/>
              </a:solidFill>
              <a:latin typeface="Calibri"/>
            </a:rPr>
            <a:t>-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Jours de congés et journées banalisées</a:t>
          </a:r>
          <a:endParaRPr b="0" lang="fr-FR" sz="1100" spc="-1" strike="noStrike">
            <a:latin typeface="Calibri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- Taille de l' équipe</a:t>
          </a:r>
          <a:br/>
          <a:r>
            <a:rPr b="0" lang="en-US" sz="1200" spc="-1" strike="noStrike">
              <a:solidFill>
                <a:srgbClr val="000000"/>
              </a:solidFill>
              <a:latin typeface="Calibri"/>
            </a:rPr>
            <a:t>- Effort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maximal de l’équipe pour les jours travaillés</a:t>
          </a:r>
          <a:br/>
          <a:r>
            <a:rPr b="0" lang="en-US" sz="1200" spc="-1" strike="noStrike">
              <a:solidFill>
                <a:srgbClr val="000000"/>
              </a:solidFill>
              <a:latin typeface="Calibri"/>
            </a:rPr>
            <a:t>-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Heures de travail quotidiennes</a:t>
          </a:r>
          <a:endParaRPr b="0" lang="fr-FR" sz="1100" spc="-1" strike="noStrike">
            <a:latin typeface="Calibri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- Nombre d'histoires dans le sprint en cours</a:t>
          </a:r>
          <a:br/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5</xdr:col>
      <xdr:colOff>49320</xdr:colOff>
      <xdr:row>3</xdr:row>
      <xdr:rowOff>91800</xdr:rowOff>
    </xdr:from>
    <xdr:to>
      <xdr:col>6</xdr:col>
      <xdr:colOff>261360</xdr:colOff>
      <xdr:row>4</xdr:row>
      <xdr:rowOff>151560</xdr:rowOff>
    </xdr:to>
    <xdr:sp>
      <xdr:nvSpPr>
        <xdr:cNvPr id="27" name="Gerade Verbindung mit Pfeil 3"/>
        <xdr:cNvSpPr/>
      </xdr:nvSpPr>
      <xdr:spPr>
        <a:xfrm flipH="1">
          <a:off x="9207000" y="1018800"/>
          <a:ext cx="1063800" cy="262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800280</xdr:colOff>
      <xdr:row>1</xdr:row>
      <xdr:rowOff>50760</xdr:rowOff>
    </xdr:from>
    <xdr:to>
      <xdr:col>8</xdr:col>
      <xdr:colOff>101520</xdr:colOff>
      <xdr:row>1</xdr:row>
      <xdr:rowOff>570960</xdr:rowOff>
    </xdr:to>
    <xdr:sp>
      <xdr:nvSpPr>
        <xdr:cNvPr id="28" name="Textfeld 1"/>
        <xdr:cNvSpPr/>
      </xdr:nvSpPr>
      <xdr:spPr>
        <a:xfrm>
          <a:off x="800280" y="355320"/>
          <a:ext cx="7179480" cy="5202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Entrez ici chaque semaine la date (ré)estimée de chacun des jalons du projet (fin de tâche, fin de sprint, livraisons, revues, etc.)</a:t>
          </a:r>
          <a:endParaRPr b="0" lang="fr-FR" sz="1100" spc="-1" strike="noStrike">
            <a:latin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230760</xdr:colOff>
      <xdr:row>20</xdr:row>
      <xdr:rowOff>88920</xdr:rowOff>
    </xdr:from>
    <xdr:to>
      <xdr:col>1</xdr:col>
      <xdr:colOff>320040</xdr:colOff>
      <xdr:row>24</xdr:row>
      <xdr:rowOff>25200</xdr:rowOff>
    </xdr:to>
    <xdr:sp>
      <xdr:nvSpPr>
        <xdr:cNvPr id="29" name="Textfeld 6"/>
        <xdr:cNvSpPr/>
      </xdr:nvSpPr>
      <xdr:spPr>
        <a:xfrm>
          <a:off x="230760" y="4089240"/>
          <a:ext cx="1172520" cy="6984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Préciser la criticité de l'anomalie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0</xdr:col>
      <xdr:colOff>808560</xdr:colOff>
      <xdr:row>16</xdr:row>
      <xdr:rowOff>12960</xdr:rowOff>
    </xdr:from>
    <xdr:to>
      <xdr:col>1</xdr:col>
      <xdr:colOff>282240</xdr:colOff>
      <xdr:row>20</xdr:row>
      <xdr:rowOff>88920</xdr:rowOff>
    </xdr:to>
    <xdr:sp>
      <xdr:nvSpPr>
        <xdr:cNvPr id="30" name="Gerade Verbindung mit Pfeil 7"/>
        <xdr:cNvSpPr/>
      </xdr:nvSpPr>
      <xdr:spPr>
        <a:xfrm flipV="1">
          <a:off x="808200" y="3251160"/>
          <a:ext cx="556920" cy="838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1154520</xdr:colOff>
      <xdr:row>20</xdr:row>
      <xdr:rowOff>76320</xdr:rowOff>
    </xdr:from>
    <xdr:to>
      <xdr:col>2</xdr:col>
      <xdr:colOff>3219480</xdr:colOff>
      <xdr:row>24</xdr:row>
      <xdr:rowOff>12600</xdr:rowOff>
    </xdr:to>
    <xdr:sp>
      <xdr:nvSpPr>
        <xdr:cNvPr id="31" name="Textfeld 10"/>
        <xdr:cNvSpPr/>
      </xdr:nvSpPr>
      <xdr:spPr>
        <a:xfrm>
          <a:off x="2237760" y="4076640"/>
          <a:ext cx="3238200" cy="6984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244d80"/>
              </a:solidFill>
              <a:latin typeface="Arial"/>
            </a:rPr>
            <a:t>Donner le titre de </a:t>
          </a:r>
          <a:r>
            <a:rPr b="0" lang="de-DE" sz="1100" spc="-1" strike="noStrike">
              <a:solidFill>
                <a:srgbClr val="000000"/>
              </a:solidFill>
              <a:latin typeface="Arial"/>
            </a:rPr>
            <a:t>l'anomalie.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2</xdr:col>
      <xdr:colOff>949320</xdr:colOff>
      <xdr:row>16</xdr:row>
      <xdr:rowOff>38520</xdr:rowOff>
    </xdr:from>
    <xdr:to>
      <xdr:col>2</xdr:col>
      <xdr:colOff>1320840</xdr:colOff>
      <xdr:row>20</xdr:row>
      <xdr:rowOff>89640</xdr:rowOff>
    </xdr:to>
    <xdr:sp>
      <xdr:nvSpPr>
        <xdr:cNvPr id="32" name="Gerade Verbindung mit Pfeil 11"/>
        <xdr:cNvSpPr/>
      </xdr:nvSpPr>
      <xdr:spPr>
        <a:xfrm flipH="1" flipV="1">
          <a:off x="3205800" y="3276000"/>
          <a:ext cx="371520" cy="813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e54747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1037160</xdr:colOff>
      <xdr:row>20</xdr:row>
      <xdr:rowOff>114480</xdr:rowOff>
    </xdr:from>
    <xdr:to>
      <xdr:col>12</xdr:col>
      <xdr:colOff>474120</xdr:colOff>
      <xdr:row>24</xdr:row>
      <xdr:rowOff>50760</xdr:rowOff>
    </xdr:to>
    <xdr:sp>
      <xdr:nvSpPr>
        <xdr:cNvPr id="33" name="Textfeld 9"/>
        <xdr:cNvSpPr/>
      </xdr:nvSpPr>
      <xdr:spPr>
        <a:xfrm>
          <a:off x="6583680" y="4114800"/>
          <a:ext cx="7796880" cy="6984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Entrer ici la date de fermeture de l'anomalie.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14</xdr:col>
      <xdr:colOff>355680</xdr:colOff>
      <xdr:row>8</xdr:row>
      <xdr:rowOff>63360</xdr:rowOff>
    </xdr:from>
    <xdr:to>
      <xdr:col>14</xdr:col>
      <xdr:colOff>380880</xdr:colOff>
      <xdr:row>10</xdr:row>
      <xdr:rowOff>75600</xdr:rowOff>
    </xdr:to>
    <xdr:sp>
      <xdr:nvSpPr>
        <xdr:cNvPr id="34" name="Gerade Verbindung mit Pfeil 14"/>
        <xdr:cNvSpPr/>
      </xdr:nvSpPr>
      <xdr:spPr>
        <a:xfrm flipH="1" flipV="1">
          <a:off x="16003800" y="1777680"/>
          <a:ext cx="25200" cy="393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10</xdr:row>
      <xdr:rowOff>101520</xdr:rowOff>
    </xdr:from>
    <xdr:to>
      <xdr:col>15</xdr:col>
      <xdr:colOff>394560</xdr:colOff>
      <xdr:row>15</xdr:row>
      <xdr:rowOff>113760</xdr:rowOff>
    </xdr:to>
    <xdr:sp>
      <xdr:nvSpPr>
        <xdr:cNvPr id="35" name="Textfeld 11"/>
        <xdr:cNvSpPr/>
      </xdr:nvSpPr>
      <xdr:spPr>
        <a:xfrm>
          <a:off x="15648120" y="2196720"/>
          <a:ext cx="1245960" cy="9648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Vous pouvez définir ici la gravité de l'anomalie.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4</xdr:col>
      <xdr:colOff>487440</xdr:colOff>
      <xdr:row>15</xdr:row>
      <xdr:rowOff>128160</xdr:rowOff>
    </xdr:from>
    <xdr:to>
      <xdr:col>5</xdr:col>
      <xdr:colOff>705240</xdr:colOff>
      <xdr:row>20</xdr:row>
      <xdr:rowOff>102240</xdr:rowOff>
    </xdr:to>
    <xdr:sp>
      <xdr:nvSpPr>
        <xdr:cNvPr id="36" name="Gerade Verbindung mit Pfeil 14"/>
        <xdr:cNvSpPr/>
      </xdr:nvSpPr>
      <xdr:spPr>
        <a:xfrm flipH="1" flipV="1">
          <a:off x="7143480" y="3175920"/>
          <a:ext cx="1172160" cy="926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230760</xdr:colOff>
      <xdr:row>23</xdr:row>
      <xdr:rowOff>77040</xdr:rowOff>
    </xdr:from>
    <xdr:to>
      <xdr:col>1</xdr:col>
      <xdr:colOff>320040</xdr:colOff>
      <xdr:row>27</xdr:row>
      <xdr:rowOff>12600</xdr:rowOff>
    </xdr:to>
    <xdr:sp>
      <xdr:nvSpPr>
        <xdr:cNvPr id="37" name="Textfeld 6"/>
        <xdr:cNvSpPr/>
      </xdr:nvSpPr>
      <xdr:spPr>
        <a:xfrm>
          <a:off x="230760" y="4649040"/>
          <a:ext cx="1172520" cy="69732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Préciser la gravité de la non conformité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0</xdr:col>
      <xdr:colOff>808560</xdr:colOff>
      <xdr:row>16</xdr:row>
      <xdr:rowOff>12960</xdr:rowOff>
    </xdr:from>
    <xdr:to>
      <xdr:col>1</xdr:col>
      <xdr:colOff>282240</xdr:colOff>
      <xdr:row>23</xdr:row>
      <xdr:rowOff>76680</xdr:rowOff>
    </xdr:to>
    <xdr:sp>
      <xdr:nvSpPr>
        <xdr:cNvPr id="38" name="Gerade Verbindung mit Pfeil 7"/>
        <xdr:cNvSpPr/>
      </xdr:nvSpPr>
      <xdr:spPr>
        <a:xfrm flipV="1">
          <a:off x="808200" y="3251160"/>
          <a:ext cx="556920" cy="1397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1154520</xdr:colOff>
      <xdr:row>24</xdr:row>
      <xdr:rowOff>76320</xdr:rowOff>
    </xdr:from>
    <xdr:to>
      <xdr:col>2</xdr:col>
      <xdr:colOff>3219480</xdr:colOff>
      <xdr:row>25</xdr:row>
      <xdr:rowOff>190080</xdr:rowOff>
    </xdr:to>
    <xdr:sp>
      <xdr:nvSpPr>
        <xdr:cNvPr id="39" name="Textfeld 10"/>
        <xdr:cNvSpPr/>
      </xdr:nvSpPr>
      <xdr:spPr>
        <a:xfrm>
          <a:off x="2237760" y="4838760"/>
          <a:ext cx="3238200" cy="3042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244d80"/>
              </a:solidFill>
              <a:latin typeface="Arial"/>
            </a:rPr>
            <a:t>Donner le titre de </a:t>
          </a:r>
          <a:r>
            <a:rPr b="0" lang="de-DE" sz="1100" spc="-1" strike="noStrike">
              <a:solidFill>
                <a:srgbClr val="000000"/>
              </a:solidFill>
              <a:latin typeface="Arial"/>
            </a:rPr>
            <a:t>la non conformité.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2</xdr:col>
      <xdr:colOff>949320</xdr:colOff>
      <xdr:row>16</xdr:row>
      <xdr:rowOff>38520</xdr:rowOff>
    </xdr:from>
    <xdr:to>
      <xdr:col>2</xdr:col>
      <xdr:colOff>1320840</xdr:colOff>
      <xdr:row>24</xdr:row>
      <xdr:rowOff>89640</xdr:rowOff>
    </xdr:to>
    <xdr:sp>
      <xdr:nvSpPr>
        <xdr:cNvPr id="40" name="Gerade Verbindung mit Pfeil 11"/>
        <xdr:cNvSpPr/>
      </xdr:nvSpPr>
      <xdr:spPr>
        <a:xfrm flipH="1" flipV="1">
          <a:off x="3205440" y="3276720"/>
          <a:ext cx="371520" cy="1575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e54747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1037160</xdr:colOff>
      <xdr:row>24</xdr:row>
      <xdr:rowOff>114480</xdr:rowOff>
    </xdr:from>
    <xdr:to>
      <xdr:col>12</xdr:col>
      <xdr:colOff>474120</xdr:colOff>
      <xdr:row>25</xdr:row>
      <xdr:rowOff>190080</xdr:rowOff>
    </xdr:to>
    <xdr:sp>
      <xdr:nvSpPr>
        <xdr:cNvPr id="41" name="Textfeld 9"/>
        <xdr:cNvSpPr/>
      </xdr:nvSpPr>
      <xdr:spPr>
        <a:xfrm>
          <a:off x="6583680" y="4876920"/>
          <a:ext cx="7796880" cy="26604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Arial"/>
            </a:rPr>
            <a:t>Entrer ici la date de fermeture de la non conformité.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14</xdr:col>
      <xdr:colOff>355680</xdr:colOff>
      <xdr:row>8</xdr:row>
      <xdr:rowOff>63360</xdr:rowOff>
    </xdr:from>
    <xdr:to>
      <xdr:col>14</xdr:col>
      <xdr:colOff>380880</xdr:colOff>
      <xdr:row>10</xdr:row>
      <xdr:rowOff>75600</xdr:rowOff>
    </xdr:to>
    <xdr:sp>
      <xdr:nvSpPr>
        <xdr:cNvPr id="42" name="Gerade Verbindung mit Pfeil 14"/>
        <xdr:cNvSpPr/>
      </xdr:nvSpPr>
      <xdr:spPr>
        <a:xfrm flipH="1" flipV="1">
          <a:off x="16003800" y="1777680"/>
          <a:ext cx="25200" cy="393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10</xdr:row>
      <xdr:rowOff>101520</xdr:rowOff>
    </xdr:from>
    <xdr:to>
      <xdr:col>15</xdr:col>
      <xdr:colOff>394560</xdr:colOff>
      <xdr:row>15</xdr:row>
      <xdr:rowOff>113760</xdr:rowOff>
    </xdr:to>
    <xdr:sp>
      <xdr:nvSpPr>
        <xdr:cNvPr id="43" name="Textfeld 11"/>
        <xdr:cNvSpPr/>
      </xdr:nvSpPr>
      <xdr:spPr>
        <a:xfrm>
          <a:off x="15648120" y="2196720"/>
          <a:ext cx="1245960" cy="964800"/>
        </a:xfrm>
        <a:prstGeom prst="rect">
          <a:avLst/>
        </a:prstGeom>
        <a:solidFill>
          <a:srgbClr val="ffff00"/>
        </a:solidFill>
        <a:ln w="28575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Vous pouvez définir ici la gravité de la non conformité.</a:t>
          </a:r>
          <a:endParaRPr b="0" lang="fr-FR" sz="1100" spc="-1" strike="noStrike">
            <a:latin typeface="Calibri"/>
          </a:endParaRPr>
        </a:p>
      </xdr:txBody>
    </xdr:sp>
    <xdr:clientData/>
  </xdr:twoCellAnchor>
  <xdr:twoCellAnchor editAs="twoCell">
    <xdr:from>
      <xdr:col>4</xdr:col>
      <xdr:colOff>487440</xdr:colOff>
      <xdr:row>15</xdr:row>
      <xdr:rowOff>128160</xdr:rowOff>
    </xdr:from>
    <xdr:to>
      <xdr:col>5</xdr:col>
      <xdr:colOff>705240</xdr:colOff>
      <xdr:row>24</xdr:row>
      <xdr:rowOff>102240</xdr:rowOff>
    </xdr:to>
    <xdr:sp>
      <xdr:nvSpPr>
        <xdr:cNvPr id="44" name="Gerade Verbindung mit Pfeil 14"/>
        <xdr:cNvSpPr/>
      </xdr:nvSpPr>
      <xdr:spPr>
        <a:xfrm flipH="1" flipV="1">
          <a:off x="7143480" y="3175200"/>
          <a:ext cx="1172160" cy="1688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244d8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508320</xdr:colOff>
      <xdr:row>2</xdr:row>
      <xdr:rowOff>705960</xdr:rowOff>
    </xdr:from>
    <xdr:to>
      <xdr:col>24</xdr:col>
      <xdr:colOff>406440</xdr:colOff>
      <xdr:row>12</xdr:row>
      <xdr:rowOff>19800</xdr:rowOff>
    </xdr:to>
    <xdr:graphicFrame>
      <xdr:nvGraphicFramePr>
        <xdr:cNvPr id="45" name="Graphique 1"/>
        <xdr:cNvGraphicFramePr/>
      </xdr:nvGraphicFramePr>
      <xdr:xfrm>
        <a:off x="10359360" y="1239120"/>
        <a:ext cx="4535640" cy="28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acklog" displayName="Backlog" ref="A20:I34" headerRowCount="1" totalsRowCount="1" totalsRowShown="1">
  <autoFilter ref="A20:I34"/>
  <tableColumns count="9">
    <tableColumn id="1" name="Sprint ID"/>
    <tableColumn id="2" name="Backlog Item ID"/>
    <tableColumn id="3" name="StoryPoints"/>
    <tableColumn id="4" name="Item"/>
    <tableColumn id="5" name="Assigné à "/>
    <tableColumn id="6" name="Statut"/>
    <tableColumn id="7" name="Terminé le "/>
    <tableColumn id="8" name="Jour de sprint"/>
    <tableColumn id="9" name="SP terminés"/>
  </tableColumns>
</table>
</file>

<file path=xl/tables/table2.xml><?xml version="1.0" encoding="utf-8"?>
<table xmlns="http://schemas.openxmlformats.org/spreadsheetml/2006/main" id="2" name="Backlog4" displayName="Backlog4" ref="A3:M17" headerRowCount="1" totalsRowCount="1" totalsRowShown="1">
  <autoFilter ref="A3:M17"/>
  <tableColumns count="13">
    <tableColumn id="1" name="ID"/>
    <tableColumn id="2" name="Gravité"/>
    <tableColumn id="3" name="Titre"/>
    <tableColumn id="4" name="Ouvert le "/>
    <tableColumn id="5" name="Fermé le "/>
    <tableColumn id="6" name="Jour ouvert"/>
    <tableColumn id="7" name="Jour ferme"/>
    <tableColumn id="8" name="Statut"/>
    <tableColumn id="9" name="Age"/>
    <tableColumn id="10" name="Délai"/>
    <tableColumn id="11" name="mineur"/>
    <tableColumn id="12" name="MAJEUR"/>
    <tableColumn id="13" name="CRITIQUE"/>
  </tableColumns>
</table>
</file>

<file path=xl/tables/table3.xml><?xml version="1.0" encoding="utf-8"?>
<table xmlns="http://schemas.openxmlformats.org/spreadsheetml/2006/main" id="3" name="Backlog42" displayName="Backlog42" ref="A3:M21" headerRowCount="1" totalsRowCount="1" totalsRowShown="1">
  <autoFilter ref="A3:M21"/>
  <tableColumns count="13">
    <tableColumn id="1" name="ID"/>
    <tableColumn id="2" name="Gravité"/>
    <tableColumn id="3" name="Titre"/>
    <tableColumn id="4" name="Ouvert le "/>
    <tableColumn id="5" name="Fermé le "/>
    <tableColumn id="6" name="Jour ouvert"/>
    <tableColumn id="7" name="Jour ferme"/>
    <tableColumn id="8" name="Statut"/>
    <tableColumn id="9" name="Age"/>
    <tableColumn id="10" name="Délai"/>
    <tableColumn id="11" name="mineur"/>
    <tableColumn id="12" name="MAJEUR"/>
    <tableColumn id="13" name="CRITIQUE"/>
  </tableColumns>
</table>
</file>

<file path=xl/tables/table4.xml><?xml version="1.0" encoding="utf-8"?>
<table xmlns="http://schemas.openxmlformats.org/spreadsheetml/2006/main" id="4" name="Tabelle36" displayName="Tabelle36" ref="A4:B10" headerRowCount="1" totalsRowCount="0" totalsRowShown="0">
  <autoFilter ref="A4:B10"/>
  <tableColumns count="2">
    <tableColumn id="1" name="Champ"/>
    <tableColumn id="2" name="Valeurs"/>
  </tableColumns>
</table>
</file>

<file path=xl/tables/table5.xml><?xml version="1.0" encoding="utf-8"?>
<table xmlns="http://schemas.openxmlformats.org/spreadsheetml/2006/main" id="5" name="Tabelle47" displayName="Tabelle47" ref="D5:E8" headerRowCount="0" totalsRowCount="0" totalsRowShown="0">
  <tableColumns count="2">
    <tableColumn id="1" name="Spalte1"/>
    <tableColumn id="2" name="Spalt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icasi-n@insa-rouen.fr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.xml"/><Relationship Id="rId3" Type="http://schemas.openxmlformats.org/officeDocument/2006/relationships/table" Target="../tables/table4.xml"/><Relationship Id="rId4" Type="http://schemas.openxmlformats.org/officeDocument/2006/relationships/table" Target="../tables/table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48235"/>
    <pageSetUpPr fitToPage="false"/>
  </sheetPr>
  <dimension ref="A1:K3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6.16"/>
    <col collapsed="false" customWidth="true" hidden="false" outlineLevel="0" max="3" min="3" style="0" width="11.17"/>
    <col collapsed="false" customWidth="true" hidden="false" outlineLevel="0" max="4" min="4" style="0" width="24.83"/>
    <col collapsed="false" customWidth="true" hidden="false" outlineLevel="0" max="5" min="5" style="0" width="17.5"/>
    <col collapsed="false" customWidth="true" hidden="false" outlineLevel="0" max="6" min="6" style="0" width="6.16"/>
    <col collapsed="false" customWidth="true" hidden="false" outlineLevel="0" max="7" min="7" style="0" width="17.67"/>
    <col collapsed="false" customWidth="true" hidden="false" outlineLevel="0" max="8" min="8" style="0" width="6"/>
  </cols>
  <sheetData>
    <row r="1" customFormat="false" ht="20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3" customFormat="false" ht="16" hidden="false" customHeight="false" outlineLevel="0" collapsed="false">
      <c r="A3" s="2" t="s">
        <v>1</v>
      </c>
      <c r="B3" s="3" t="s">
        <v>2</v>
      </c>
      <c r="D3" s="4" t="s">
        <v>3</v>
      </c>
      <c r="E3" s="4"/>
      <c r="F3" s="4"/>
      <c r="G3" s="4"/>
      <c r="H3" s="4"/>
    </row>
    <row r="4" customFormat="false" ht="16" hidden="false" customHeight="false" outlineLevel="0" collapsed="false">
      <c r="A4" s="2" t="s">
        <v>4</v>
      </c>
      <c r="B4" s="3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8</v>
      </c>
    </row>
    <row r="5" customFormat="false" ht="19" hidden="false" customHeight="false" outlineLevel="0" collapsed="false">
      <c r="A5" s="2" t="s">
        <v>10</v>
      </c>
      <c r="B5" s="6" t="n">
        <v>45313</v>
      </c>
      <c r="D5" s="7" t="s">
        <v>11</v>
      </c>
      <c r="E5" s="8" t="s">
        <v>12</v>
      </c>
      <c r="F5" s="8" t="n">
        <v>25</v>
      </c>
      <c r="G5" s="9" t="s">
        <v>13</v>
      </c>
      <c r="H5" s="8"/>
    </row>
    <row r="6" customFormat="false" ht="19" hidden="false" customHeight="false" outlineLevel="0" collapsed="false">
      <c r="A6" s="2" t="s">
        <v>14</v>
      </c>
      <c r="B6" s="6" t="n">
        <v>45667</v>
      </c>
      <c r="D6" s="7" t="s">
        <v>15</v>
      </c>
      <c r="E6" s="8" t="s">
        <v>16</v>
      </c>
      <c r="F6" s="8" t="n">
        <v>27</v>
      </c>
      <c r="G6" s="9" t="s">
        <v>13</v>
      </c>
      <c r="H6" s="8"/>
    </row>
    <row r="7" customFormat="false" ht="19" hidden="false" customHeight="false" outlineLevel="0" collapsed="false">
      <c r="A7" s="2" t="s">
        <v>17</v>
      </c>
      <c r="B7" s="10" t="n">
        <v>45377</v>
      </c>
      <c r="D7" s="7" t="s">
        <v>18</v>
      </c>
      <c r="E7" s="8" t="s">
        <v>19</v>
      </c>
      <c r="F7" s="8" t="n">
        <v>25</v>
      </c>
      <c r="G7" s="9" t="s">
        <v>20</v>
      </c>
      <c r="H7" s="8" t="n">
        <v>27</v>
      </c>
      <c r="K7" s="0" t="s">
        <v>21</v>
      </c>
    </row>
    <row r="8" customFormat="false" ht="16" hidden="false" customHeight="false" outlineLevel="0" collapsed="false">
      <c r="A8" s="2" t="s">
        <v>22</v>
      </c>
      <c r="D8" s="7" t="s">
        <v>23</v>
      </c>
      <c r="E8" s="11" t="s">
        <v>24</v>
      </c>
      <c r="F8" s="8" t="n">
        <v>25</v>
      </c>
      <c r="G8" s="8"/>
      <c r="H8" s="8" t="n">
        <v>25</v>
      </c>
    </row>
    <row r="9" customFormat="false" ht="16" hidden="false" customHeight="false" outlineLevel="0" collapsed="false">
      <c r="A9" s="2" t="s">
        <v>25</v>
      </c>
      <c r="D9" s="12" t="s">
        <v>26</v>
      </c>
      <c r="E9" s="8" t="s">
        <v>27</v>
      </c>
      <c r="F9" s="8" t="n">
        <v>25</v>
      </c>
      <c r="G9" s="8" t="s">
        <v>28</v>
      </c>
      <c r="H9" s="8" t="n">
        <v>25</v>
      </c>
    </row>
    <row r="10" customFormat="false" ht="16" hidden="false" customHeight="false" outlineLevel="0" collapsed="false">
      <c r="A10" s="2" t="s">
        <v>29</v>
      </c>
      <c r="B10" s="13" t="s">
        <v>30</v>
      </c>
      <c r="D10" s="12" t="s">
        <v>31</v>
      </c>
      <c r="E10" s="8" t="s">
        <v>28</v>
      </c>
      <c r="F10" s="8" t="n">
        <v>25</v>
      </c>
      <c r="G10" s="8"/>
      <c r="H10" s="8" t="n">
        <v>25</v>
      </c>
    </row>
    <row r="11" customFormat="false" ht="16" hidden="false" customHeight="false" outlineLevel="0" collapsed="false">
      <c r="A11" s="2" t="s">
        <v>32</v>
      </c>
      <c r="D11" s="7" t="s">
        <v>33</v>
      </c>
      <c r="E11" s="9" t="s">
        <v>13</v>
      </c>
      <c r="F11" s="8"/>
      <c r="G11" s="8" t="s">
        <v>34</v>
      </c>
      <c r="H11" s="8" t="n">
        <v>25</v>
      </c>
    </row>
    <row r="12" customFormat="false" ht="16" hidden="false" customHeight="false" outlineLevel="0" collapsed="false">
      <c r="A12" s="2" t="s">
        <v>35</v>
      </c>
      <c r="D12" s="12" t="s">
        <v>36</v>
      </c>
      <c r="E12" s="9" t="s">
        <v>13</v>
      </c>
      <c r="F12" s="8"/>
      <c r="G12" s="8" t="s">
        <v>24</v>
      </c>
      <c r="H12" s="8" t="n">
        <v>25</v>
      </c>
    </row>
    <row r="13" customFormat="false" ht="16" hidden="false" customHeight="false" outlineLevel="0" collapsed="false">
      <c r="A13" s="2" t="s">
        <v>37</v>
      </c>
      <c r="D13" s="7"/>
      <c r="E13" s="14"/>
      <c r="F13" s="14"/>
      <c r="G13" s="14"/>
      <c r="H13" s="8"/>
    </row>
    <row r="14" customFormat="false" ht="16" hidden="false" customHeight="false" outlineLevel="0" collapsed="false">
      <c r="A14" s="2" t="s">
        <v>38</v>
      </c>
      <c r="D14" s="12"/>
      <c r="E14" s="8"/>
      <c r="F14" s="8"/>
      <c r="G14" s="8"/>
      <c r="H14" s="8"/>
    </row>
    <row r="15" customFormat="false" ht="17" hidden="false" customHeight="false" outlineLevel="0" collapsed="false">
      <c r="A15" s="2" t="s">
        <v>39</v>
      </c>
      <c r="E15" s="15" t="s">
        <v>40</v>
      </c>
      <c r="F15" s="16" t="n">
        <f aca="false">SUM(F5:F14)</f>
        <v>152</v>
      </c>
      <c r="G15" s="15" t="s">
        <v>40</v>
      </c>
      <c r="H15" s="16" t="n">
        <f aca="false">SUM(H5:H14)</f>
        <v>152</v>
      </c>
    </row>
    <row r="16" customFormat="false" ht="17" hidden="false" customHeight="false" outlineLevel="0" collapsed="false">
      <c r="A16" s="2"/>
      <c r="D16" s="0" t="s">
        <v>41</v>
      </c>
      <c r="F16" s="0" t="n">
        <v>12</v>
      </c>
      <c r="H16" s="0" t="n">
        <v>14</v>
      </c>
      <c r="I16" s="17" t="n">
        <f aca="false">F16+H16</f>
        <v>26</v>
      </c>
    </row>
    <row r="17" customFormat="false" ht="17" hidden="false" customHeight="false" outlineLevel="0" collapsed="false">
      <c r="A17" s="2"/>
      <c r="D17" s="0" t="s">
        <v>42</v>
      </c>
      <c r="F17" s="0" t="n">
        <f aca="false">F15*F16</f>
        <v>1824</v>
      </c>
      <c r="H17" s="0" t="n">
        <f aca="false">H15*H16</f>
        <v>2128</v>
      </c>
      <c r="I17" s="17" t="n">
        <f aca="false">F17+H17</f>
        <v>3952</v>
      </c>
    </row>
    <row r="18" customFormat="false" ht="64" hidden="false" customHeight="true" outlineLevel="0" collapsed="false">
      <c r="A18" s="18" t="s">
        <v>43</v>
      </c>
      <c r="B18" s="19"/>
      <c r="C18" s="19"/>
      <c r="D18" s="19"/>
      <c r="E18" s="19"/>
      <c r="F18" s="19"/>
      <c r="G18" s="19"/>
      <c r="H18" s="19"/>
    </row>
    <row r="19" customFormat="false" ht="16" hidden="false" customHeight="false" outlineLevel="0" collapsed="false">
      <c r="A19" s="20"/>
      <c r="B19" s="21"/>
      <c r="C19" s="21"/>
      <c r="D19" s="21"/>
      <c r="E19" s="21"/>
      <c r="F19" s="21"/>
      <c r="G19" s="21"/>
      <c r="H19" s="21"/>
    </row>
    <row r="20" customFormat="false" ht="30" hidden="false" customHeight="false" outlineLevel="0" collapsed="false">
      <c r="A20" s="22" t="s">
        <v>44</v>
      </c>
      <c r="B20" s="23"/>
      <c r="C20" s="23"/>
      <c r="D20" s="23"/>
      <c r="E20" s="23"/>
      <c r="F20" s="23"/>
      <c r="G20" s="23"/>
      <c r="H20" s="23"/>
    </row>
    <row r="21" customFormat="false" ht="16" hidden="false" customHeight="false" outlineLevel="0" collapsed="false">
      <c r="A21" s="24"/>
      <c r="B21" s="25"/>
      <c r="C21" s="25"/>
      <c r="D21" s="25"/>
      <c r="E21" s="25"/>
      <c r="F21" s="25"/>
      <c r="G21" s="25"/>
      <c r="H21" s="25"/>
    </row>
    <row r="22" customFormat="false" ht="16" hidden="false" customHeight="false" outlineLevel="0" collapsed="false">
      <c r="A22" s="26"/>
      <c r="C22" s="27" t="s">
        <v>45</v>
      </c>
      <c r="D22" s="27"/>
      <c r="E22" s="27"/>
      <c r="F22" s="27"/>
      <c r="G22" s="27"/>
      <c r="H22" s="27"/>
    </row>
    <row r="23" customFormat="false" ht="16" hidden="false" customHeight="false" outlineLevel="0" collapsed="false">
      <c r="A23" s="28" t="s">
        <v>46</v>
      </c>
      <c r="B23" s="8"/>
      <c r="C23" s="29"/>
      <c r="D23" s="29"/>
      <c r="E23" s="29"/>
      <c r="F23" s="29"/>
      <c r="G23" s="29"/>
      <c r="H23" s="29"/>
    </row>
    <row r="24" customFormat="false" ht="16" hidden="false" customHeight="false" outlineLevel="0" collapsed="false">
      <c r="A24" s="28" t="s">
        <v>47</v>
      </c>
      <c r="B24" s="8"/>
      <c r="C24" s="29"/>
      <c r="D24" s="29"/>
      <c r="E24" s="29"/>
      <c r="F24" s="29"/>
      <c r="G24" s="29"/>
      <c r="H24" s="29"/>
    </row>
    <row r="25" customFormat="false" ht="16" hidden="false" customHeight="false" outlineLevel="0" collapsed="false">
      <c r="A25" s="30" t="s">
        <v>48</v>
      </c>
      <c r="B25" s="8"/>
      <c r="C25" s="29"/>
      <c r="D25" s="29"/>
      <c r="E25" s="29"/>
      <c r="F25" s="29"/>
      <c r="G25" s="29"/>
      <c r="H25" s="29"/>
    </row>
    <row r="26" customFormat="false" ht="16" hidden="false" customHeight="false" outlineLevel="0" collapsed="false">
      <c r="A26" s="30" t="s">
        <v>49</v>
      </c>
      <c r="B26" s="8"/>
      <c r="C26" s="29"/>
      <c r="D26" s="29"/>
      <c r="E26" s="29"/>
      <c r="F26" s="29"/>
      <c r="G26" s="29"/>
      <c r="H26" s="29"/>
    </row>
    <row r="27" customFormat="false" ht="16" hidden="false" customHeight="false" outlineLevel="0" collapsed="false">
      <c r="A27" s="30" t="s">
        <v>50</v>
      </c>
      <c r="B27" s="8"/>
      <c r="C27" s="29"/>
      <c r="D27" s="29"/>
      <c r="E27" s="29"/>
      <c r="F27" s="29"/>
      <c r="G27" s="29"/>
      <c r="H27" s="29"/>
    </row>
    <row r="28" customFormat="false" ht="18" hidden="false" customHeight="true" outlineLevel="0" collapsed="false">
      <c r="A28" s="30" t="s">
        <v>51</v>
      </c>
      <c r="B28" s="8" t="s">
        <v>52</v>
      </c>
      <c r="C28" s="29"/>
      <c r="D28" s="29"/>
      <c r="E28" s="29"/>
      <c r="F28" s="29"/>
      <c r="G28" s="29"/>
      <c r="H28" s="29"/>
    </row>
    <row r="29" customFormat="false" ht="18" hidden="false" customHeight="true" outlineLevel="0" collapsed="false">
      <c r="A29" s="30" t="s">
        <v>53</v>
      </c>
      <c r="B29" s="8" t="s">
        <v>52</v>
      </c>
      <c r="C29" s="29"/>
      <c r="D29" s="29"/>
      <c r="E29" s="29"/>
      <c r="F29" s="29"/>
      <c r="G29" s="29"/>
      <c r="H29" s="29"/>
    </row>
    <row r="30" customFormat="false" ht="16" hidden="false" customHeight="false" outlineLevel="0" collapsed="false">
      <c r="A30" s="30" t="s">
        <v>54</v>
      </c>
      <c r="B30" s="8" t="s">
        <v>55</v>
      </c>
      <c r="C30" s="29"/>
      <c r="D30" s="29"/>
      <c r="E30" s="29"/>
      <c r="F30" s="29"/>
      <c r="G30" s="29"/>
      <c r="H30" s="29"/>
    </row>
    <row r="31" customFormat="false" ht="16" hidden="false" customHeight="false" outlineLevel="0" collapsed="false">
      <c r="A31" s="30" t="s">
        <v>56</v>
      </c>
      <c r="B31" s="8" t="s">
        <v>57</v>
      </c>
      <c r="C31" s="29"/>
      <c r="D31" s="29"/>
      <c r="E31" s="29"/>
      <c r="F31" s="29"/>
      <c r="G31" s="29"/>
      <c r="H31" s="29"/>
    </row>
    <row r="32" customFormat="false" ht="16" hidden="false" customHeight="false" outlineLevel="0" collapsed="false">
      <c r="A32" s="30" t="s">
        <v>58</v>
      </c>
      <c r="B32" s="8" t="s">
        <v>52</v>
      </c>
      <c r="C32" s="29"/>
      <c r="D32" s="29"/>
      <c r="E32" s="29"/>
      <c r="F32" s="29"/>
      <c r="G32" s="29"/>
      <c r="H32" s="29"/>
    </row>
    <row r="33" customFormat="false" ht="16" hidden="false" customHeight="false" outlineLevel="0" collapsed="false">
      <c r="A33" s="30" t="s">
        <v>59</v>
      </c>
      <c r="B33" s="8" t="s">
        <v>52</v>
      </c>
      <c r="C33" s="29"/>
      <c r="D33" s="29"/>
      <c r="E33" s="29"/>
      <c r="F33" s="29"/>
      <c r="G33" s="29"/>
      <c r="H33" s="29"/>
    </row>
    <row r="34" customFormat="false" ht="16" hidden="false" customHeight="false" outlineLevel="0" collapsed="false">
      <c r="A34" s="30" t="s">
        <v>60</v>
      </c>
      <c r="B34" s="8"/>
      <c r="C34" s="29"/>
      <c r="D34" s="29"/>
      <c r="E34" s="29"/>
      <c r="F34" s="29"/>
      <c r="G34" s="29"/>
      <c r="H34" s="29"/>
    </row>
    <row r="35" customFormat="false" ht="16" hidden="false" customHeight="false" outlineLevel="0" collapsed="false">
      <c r="A35" s="30" t="s">
        <v>61</v>
      </c>
      <c r="B35" s="8"/>
      <c r="C35" s="29"/>
      <c r="D35" s="29"/>
      <c r="E35" s="29"/>
      <c r="F35" s="29"/>
      <c r="G35" s="29"/>
      <c r="H35" s="29"/>
    </row>
    <row r="36" customFormat="false" ht="16" hidden="false" customHeight="false" outlineLevel="0" collapsed="false">
      <c r="A36" s="30" t="s">
        <v>62</v>
      </c>
      <c r="B36" s="8"/>
      <c r="C36" s="29"/>
      <c r="D36" s="29"/>
      <c r="E36" s="29"/>
      <c r="F36" s="29"/>
      <c r="G36" s="29"/>
      <c r="H36" s="29"/>
    </row>
  </sheetData>
  <mergeCells count="19">
    <mergeCell ref="A1:H1"/>
    <mergeCell ref="D3:H3"/>
    <mergeCell ref="B18:H18"/>
    <mergeCell ref="B20:H20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</mergeCells>
  <hyperlinks>
    <hyperlink ref="B10" r:id="rId1" display="picasi-n@insa-rouen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A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2" min="1" style="0" width="5.83"/>
    <col collapsed="false" customWidth="true" hidden="false" outlineLevel="0" max="3" min="3" style="0" width="11"/>
    <col collapsed="false" customWidth="true" hidden="false" outlineLevel="0" max="4" min="4" style="0" width="15.66"/>
    <col collapsed="false" customWidth="true" hidden="false" outlineLevel="0" max="5" min="5" style="0" width="34"/>
    <col collapsed="false" customWidth="true" hidden="true" outlineLevel="0" max="6" min="6" style="0" width="34"/>
    <col collapsed="false" customWidth="true" hidden="false" outlineLevel="0" max="7" min="7" style="0" width="12.17"/>
    <col collapsed="false" customWidth="true" hidden="false" outlineLevel="0" max="8" min="8" style="0" width="11.67"/>
    <col collapsed="false" customWidth="true" hidden="false" outlineLevel="0" max="9" min="9" style="0" width="32.83"/>
    <col collapsed="false" customWidth="true" hidden="false" outlineLevel="0" max="12" min="10" style="0" width="5.83"/>
    <col collapsed="false" customWidth="true" hidden="false" outlineLevel="0" max="13" min="13" style="0" width="34.66"/>
    <col collapsed="false" customWidth="true" hidden="true" outlineLevel="0" max="14" min="14" style="0" width="5.83"/>
    <col collapsed="false" customWidth="true" hidden="false" outlineLevel="0" max="15" min="15" style="0" width="28"/>
    <col collapsed="false" customWidth="true" hidden="false" outlineLevel="0" max="17" min="16" style="0" width="5.83"/>
  </cols>
  <sheetData>
    <row r="1" s="194" customFormat="true" ht="20" hidden="false" customHeight="true" outlineLevel="0" collapsed="false">
      <c r="A1" s="193"/>
      <c r="B1" s="193"/>
      <c r="C1" s="193"/>
      <c r="G1" s="195"/>
      <c r="H1" s="195"/>
      <c r="I1" s="196" t="s">
        <v>339</v>
      </c>
      <c r="J1" s="195"/>
      <c r="K1" s="195"/>
      <c r="L1" s="195"/>
      <c r="M1" s="195"/>
      <c r="N1" s="195"/>
      <c r="O1" s="195"/>
      <c r="P1" s="195"/>
      <c r="Q1" s="195"/>
    </row>
    <row r="2" s="194" customFormat="true" ht="20" hidden="false" customHeight="true" outlineLevel="0" collapsed="false">
      <c r="A2" s="193"/>
      <c r="B2" s="193"/>
      <c r="C2" s="197" t="s">
        <v>340</v>
      </c>
      <c r="E2" s="193"/>
      <c r="F2" s="193"/>
      <c r="G2" s="195"/>
      <c r="H2" s="195"/>
      <c r="I2" s="198" t="s">
        <v>341</v>
      </c>
      <c r="J2" s="199" t="s">
        <v>342</v>
      </c>
      <c r="K2" s="200" t="n">
        <v>0.1</v>
      </c>
      <c r="L2" s="195"/>
      <c r="M2" s="195"/>
      <c r="N2" s="195"/>
      <c r="O2" s="195"/>
      <c r="P2" s="195"/>
      <c r="Q2" s="195"/>
    </row>
    <row r="3" s="194" customFormat="true" ht="20" hidden="false" customHeight="true" outlineLevel="0" collapsed="false">
      <c r="A3" s="193"/>
      <c r="B3" s="193"/>
      <c r="C3" s="193"/>
      <c r="D3" s="193"/>
      <c r="E3" s="193"/>
      <c r="F3" s="193"/>
      <c r="G3" s="195"/>
      <c r="H3" s="195"/>
      <c r="I3" s="201" t="s">
        <v>343</v>
      </c>
      <c r="J3" s="202" t="s">
        <v>344</v>
      </c>
      <c r="K3" s="200" t="n">
        <v>0.1</v>
      </c>
      <c r="L3" s="195"/>
      <c r="M3" s="195"/>
      <c r="N3" s="195"/>
      <c r="O3" s="195"/>
      <c r="P3" s="195"/>
      <c r="Q3" s="195"/>
      <c r="T3" s="203"/>
      <c r="U3" s="204"/>
      <c r="V3" s="204"/>
      <c r="W3" s="204"/>
      <c r="X3" s="204"/>
    </row>
    <row r="4" s="194" customFormat="true" ht="21" hidden="false" customHeight="true" outlineLevel="0" collapsed="false">
      <c r="A4" s="193"/>
      <c r="B4" s="193"/>
      <c r="C4" s="193"/>
      <c r="E4" s="205" t="s">
        <v>345</v>
      </c>
      <c r="F4" s="206"/>
      <c r="G4" s="207" t="n">
        <v>44227</v>
      </c>
      <c r="H4" s="195"/>
      <c r="I4" s="208" t="s">
        <v>346</v>
      </c>
      <c r="J4" s="202" t="s">
        <v>344</v>
      </c>
      <c r="K4" s="200" t="n">
        <v>0.5</v>
      </c>
      <c r="L4" s="195"/>
      <c r="M4" s="195"/>
      <c r="N4" s="195"/>
      <c r="O4" s="209" t="s">
        <v>347</v>
      </c>
      <c r="P4" s="210"/>
      <c r="Q4" s="211"/>
      <c r="T4" s="203"/>
    </row>
    <row r="5" s="194" customFormat="true" ht="20" hidden="false" customHeight="true" outlineLevel="0" collapsed="false">
      <c r="A5" s="195"/>
      <c r="B5" s="195"/>
      <c r="C5" s="195"/>
      <c r="E5" s="212"/>
      <c r="F5" s="212"/>
      <c r="G5" s="213"/>
      <c r="H5" s="195"/>
      <c r="I5" s="214" t="s">
        <v>348</v>
      </c>
      <c r="J5" s="202" t="s">
        <v>344</v>
      </c>
      <c r="K5" s="200" t="n">
        <v>0.75</v>
      </c>
      <c r="L5" s="215"/>
      <c r="M5" s="195"/>
      <c r="N5" s="195"/>
      <c r="O5" s="198" t="s">
        <v>349</v>
      </c>
      <c r="P5" s="202" t="s">
        <v>342</v>
      </c>
      <c r="Q5" s="216" t="n">
        <v>100</v>
      </c>
      <c r="T5" s="203"/>
    </row>
    <row r="6" s="194" customFormat="true" ht="20" hidden="false" customHeight="true" outlineLevel="0" collapsed="false">
      <c r="A6" s="195"/>
      <c r="B6" s="195"/>
      <c r="C6" s="195"/>
      <c r="E6" s="205" t="s">
        <v>350</v>
      </c>
      <c r="F6" s="206"/>
      <c r="G6" s="217" t="n">
        <v>44320</v>
      </c>
      <c r="H6" s="195"/>
      <c r="I6" s="196" t="s">
        <v>351</v>
      </c>
      <c r="J6" s="218"/>
      <c r="K6" s="195"/>
      <c r="L6" s="193"/>
      <c r="M6" s="195"/>
      <c r="N6" s="195"/>
      <c r="O6" s="201" t="s">
        <v>352</v>
      </c>
      <c r="P6" s="202" t="s">
        <v>344</v>
      </c>
      <c r="Q6" s="216" t="n">
        <v>100</v>
      </c>
      <c r="S6" s="219" t="n">
        <f aca="false">$Q$6</f>
        <v>100</v>
      </c>
      <c r="T6" s="219" t="n">
        <f aca="false">$Q$6</f>
        <v>100</v>
      </c>
      <c r="U6" s="219" t="n">
        <f aca="false">$Q$6</f>
        <v>100</v>
      </c>
      <c r="V6" s="219" t="n">
        <f aca="false">$Q$6</f>
        <v>100</v>
      </c>
      <c r="W6" s="219" t="n">
        <f aca="false">$Q$6</f>
        <v>100</v>
      </c>
      <c r="X6" s="219" t="n">
        <f aca="false">$Q$6</f>
        <v>100</v>
      </c>
      <c r="Y6" s="219" t="n">
        <f aca="false">$Q$6</f>
        <v>100</v>
      </c>
      <c r="Z6" s="219" t="n">
        <f aca="false">$Q$6</f>
        <v>100</v>
      </c>
      <c r="AA6" s="219" t="n">
        <f aca="false">$Q$6</f>
        <v>100</v>
      </c>
      <c r="AB6" s="219" t="n">
        <f aca="false">$Q$6</f>
        <v>100</v>
      </c>
      <c r="AC6" s="219" t="n">
        <f aca="false">$Q$6</f>
        <v>100</v>
      </c>
      <c r="AD6" s="219" t="n">
        <f aca="false">$Q$6</f>
        <v>100</v>
      </c>
    </row>
    <row r="7" s="194" customFormat="true" ht="20" hidden="false" customHeight="true" outlineLevel="0" collapsed="false">
      <c r="A7" s="195"/>
      <c r="B7" s="195"/>
      <c r="C7" s="195"/>
      <c r="E7" s="220"/>
      <c r="F7" s="220"/>
      <c r="G7" s="213"/>
      <c r="H7" s="195"/>
      <c r="I7" s="198" t="s">
        <v>353</v>
      </c>
      <c r="J7" s="199" t="s">
        <v>342</v>
      </c>
      <c r="K7" s="216" t="n">
        <f aca="false">'Fiche PIC'!$I$17*0.01</f>
        <v>39.52</v>
      </c>
      <c r="L7" s="193"/>
      <c r="M7" s="195"/>
      <c r="N7" s="195"/>
      <c r="O7" s="214" t="s">
        <v>354</v>
      </c>
      <c r="P7" s="202" t="s">
        <v>344</v>
      </c>
      <c r="Q7" s="216" t="n">
        <v>200</v>
      </c>
      <c r="S7" s="219" t="n">
        <f aca="false">$Q$7</f>
        <v>200</v>
      </c>
      <c r="T7" s="219" t="n">
        <f aca="false">$Q$7</f>
        <v>200</v>
      </c>
      <c r="U7" s="219" t="n">
        <f aca="false">$Q$7</f>
        <v>200</v>
      </c>
      <c r="V7" s="219" t="n">
        <f aca="false">$Q$7</f>
        <v>200</v>
      </c>
      <c r="W7" s="219" t="n">
        <f aca="false">$Q$7</f>
        <v>200</v>
      </c>
      <c r="X7" s="219" t="n">
        <f aca="false">$Q$7</f>
        <v>200</v>
      </c>
      <c r="Y7" s="219" t="n">
        <f aca="false">$Q$7</f>
        <v>200</v>
      </c>
      <c r="Z7" s="219" t="n">
        <f aca="false">$Q$7</f>
        <v>200</v>
      </c>
      <c r="AA7" s="219" t="n">
        <f aca="false">$Q$7</f>
        <v>200</v>
      </c>
      <c r="AB7" s="219" t="n">
        <f aca="false">$Q$7</f>
        <v>200</v>
      </c>
      <c r="AC7" s="219" t="n">
        <f aca="false">$Q$7</f>
        <v>200</v>
      </c>
      <c r="AD7" s="219" t="n">
        <f aca="false">$Q$7</f>
        <v>200</v>
      </c>
    </row>
    <row r="8" s="194" customFormat="true" ht="20" hidden="false" customHeight="true" outlineLevel="0" collapsed="false">
      <c r="A8" s="195"/>
      <c r="B8" s="195"/>
      <c r="C8" s="195"/>
      <c r="E8" s="205" t="s">
        <v>355</v>
      </c>
      <c r="F8" s="206"/>
      <c r="G8" s="207" t="s">
        <v>356</v>
      </c>
      <c r="H8" s="195"/>
      <c r="I8" s="201" t="s">
        <v>357</v>
      </c>
      <c r="J8" s="199" t="s">
        <v>344</v>
      </c>
      <c r="K8" s="216" t="n">
        <f aca="false">'Fiche PIC'!$I$17*0.01</f>
        <v>39.52</v>
      </c>
      <c r="L8" s="193"/>
      <c r="M8" s="195"/>
      <c r="N8" s="195"/>
      <c r="O8" s="195"/>
      <c r="P8" s="204"/>
      <c r="Q8" s="204"/>
      <c r="U8" s="221"/>
      <c r="V8" s="221"/>
      <c r="W8" s="221"/>
      <c r="X8" s="222"/>
    </row>
    <row r="9" s="194" customFormat="true" ht="20" hidden="false" customHeight="true" outlineLevel="0" collapsed="false">
      <c r="A9" s="195"/>
      <c r="B9" s="195"/>
      <c r="C9" s="195"/>
      <c r="D9" s="212"/>
      <c r="E9" s="195"/>
      <c r="F9" s="195"/>
      <c r="G9" s="195"/>
      <c r="H9" s="195"/>
      <c r="I9" s="208" t="s">
        <v>358</v>
      </c>
      <c r="J9" s="199" t="s">
        <v>344</v>
      </c>
      <c r="K9" s="216" t="n">
        <f aca="false">'Fiche PIC'!$I$17*0.05</f>
        <v>197.6</v>
      </c>
      <c r="L9" s="193"/>
      <c r="M9" s="195"/>
      <c r="N9" s="195"/>
      <c r="O9" s="195"/>
      <c r="P9" s="204"/>
      <c r="Q9" s="204"/>
      <c r="T9" s="222"/>
    </row>
    <row r="10" s="194" customFormat="true" ht="20" hidden="false" customHeight="true" outlineLevel="0" collapsed="false">
      <c r="A10" s="195"/>
      <c r="B10" s="195"/>
      <c r="C10" s="195"/>
      <c r="D10" s="195"/>
      <c r="E10" s="195"/>
      <c r="F10" s="195"/>
      <c r="G10" s="195"/>
      <c r="H10" s="195"/>
      <c r="I10" s="214" t="s">
        <v>359</v>
      </c>
      <c r="J10" s="199" t="s">
        <v>344</v>
      </c>
      <c r="K10" s="216" t="n">
        <f aca="false">'Fiche PIC'!$I$17*0.1</f>
        <v>395.2</v>
      </c>
      <c r="L10" s="193"/>
      <c r="M10" s="195"/>
      <c r="N10" s="195"/>
      <c r="O10" s="195"/>
      <c r="P10" s="195"/>
      <c r="Q10" s="195"/>
      <c r="T10" s="222"/>
    </row>
    <row r="11" s="224" customFormat="true" ht="20" hidden="false" customHeight="true" outlineLevel="0" collapsed="false">
      <c r="A11" s="204"/>
      <c r="B11" s="204"/>
      <c r="C11" s="204"/>
      <c r="D11" s="204"/>
      <c r="E11" s="204"/>
      <c r="F11" s="204"/>
      <c r="G11" s="223"/>
      <c r="H11" s="223"/>
      <c r="I11" s="204"/>
      <c r="J11" s="204"/>
      <c r="K11" s="204"/>
      <c r="L11" s="223"/>
      <c r="M11" s="204"/>
      <c r="N11" s="204"/>
      <c r="O11" s="223"/>
      <c r="P11" s="204"/>
      <c r="Q11" s="204"/>
      <c r="S11" s="225" t="s">
        <v>360</v>
      </c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</row>
    <row r="12" s="195" customFormat="true" ht="88" hidden="false" customHeight="true" outlineLevel="0" collapsed="false">
      <c r="A12" s="226" t="s">
        <v>231</v>
      </c>
      <c r="B12" s="227" t="s">
        <v>361</v>
      </c>
      <c r="C12" s="227" t="s">
        <v>362</v>
      </c>
      <c r="D12" s="228" t="s">
        <v>363</v>
      </c>
      <c r="E12" s="228" t="s">
        <v>85</v>
      </c>
      <c r="F12" s="228"/>
      <c r="G12" s="228" t="s">
        <v>364</v>
      </c>
      <c r="H12" s="229" t="s">
        <v>365</v>
      </c>
      <c r="I12" s="228" t="s">
        <v>366</v>
      </c>
      <c r="J12" s="227" t="s">
        <v>367</v>
      </c>
      <c r="K12" s="227" t="s">
        <v>368</v>
      </c>
      <c r="L12" s="227" t="s">
        <v>369</v>
      </c>
      <c r="M12" s="229" t="s">
        <v>370</v>
      </c>
      <c r="N12" s="227" t="s">
        <v>371</v>
      </c>
      <c r="O12" s="230" t="s">
        <v>372</v>
      </c>
      <c r="P12" s="230"/>
      <c r="Q12" s="230"/>
      <c r="S12" s="231" t="n">
        <f aca="false">'Fiche PIC'!B5</f>
        <v>45313</v>
      </c>
      <c r="T12" s="231" t="n">
        <f aca="false">S12+7</f>
        <v>45320</v>
      </c>
      <c r="U12" s="231" t="n">
        <f aca="false">T12+7</f>
        <v>45327</v>
      </c>
      <c r="V12" s="231" t="n">
        <f aca="false">U12+7</f>
        <v>45334</v>
      </c>
      <c r="W12" s="231" t="n">
        <f aca="false">V12+7</f>
        <v>45341</v>
      </c>
      <c r="X12" s="231" t="n">
        <f aca="false">W12+7</f>
        <v>45348</v>
      </c>
      <c r="Y12" s="231" t="n">
        <f aca="false">X12+7</f>
        <v>45355</v>
      </c>
      <c r="Z12" s="231" t="n">
        <f aca="false">Y12+7</f>
        <v>45362</v>
      </c>
      <c r="AA12" s="231" t="n">
        <f aca="false">Z12+7</f>
        <v>45369</v>
      </c>
      <c r="AB12" s="231" t="n">
        <f aca="false">AA12+7</f>
        <v>45376</v>
      </c>
      <c r="AC12" s="231" t="n">
        <f aca="false">AB12+7</f>
        <v>45383</v>
      </c>
      <c r="AD12" s="232" t="n">
        <f aca="false">AC12+7</f>
        <v>45390</v>
      </c>
    </row>
    <row r="13" s="194" customFormat="true" ht="63" hidden="false" customHeight="true" outlineLevel="0" collapsed="false">
      <c r="A13" s="233" t="s">
        <v>373</v>
      </c>
      <c r="B13" s="233" t="s">
        <v>374</v>
      </c>
      <c r="C13" s="234" t="n">
        <v>45322</v>
      </c>
      <c r="D13" s="233" t="s">
        <v>375</v>
      </c>
      <c r="E13" s="235" t="s">
        <v>376</v>
      </c>
      <c r="F13" s="235" t="str">
        <f aca="false">A13 &amp; ":" &amp; E13</f>
        <v>R6:Disponibilité tardive des données</v>
      </c>
      <c r="G13" s="236" t="s">
        <v>377</v>
      </c>
      <c r="H13" s="237" t="s">
        <v>378</v>
      </c>
      <c r="I13" s="238" t="s">
        <v>379</v>
      </c>
      <c r="J13" s="239" t="n">
        <v>500</v>
      </c>
      <c r="K13" s="240" t="n">
        <v>0.5</v>
      </c>
      <c r="L13" s="241" t="n">
        <f aca="false">J13*K13</f>
        <v>250</v>
      </c>
      <c r="M13" s="242" t="s">
        <v>380</v>
      </c>
      <c r="N13" s="236" t="n">
        <v>0.5</v>
      </c>
      <c r="O13" s="238" t="s">
        <v>381</v>
      </c>
      <c r="P13" s="238"/>
      <c r="Q13" s="238"/>
      <c r="S13" s="243" t="n">
        <v>375</v>
      </c>
      <c r="T13" s="243" t="n">
        <v>375</v>
      </c>
      <c r="U13" s="243" t="n">
        <v>250</v>
      </c>
      <c r="V13" s="243" t="n">
        <v>250</v>
      </c>
      <c r="W13" s="243"/>
      <c r="X13" s="243"/>
      <c r="Y13" s="243"/>
      <c r="Z13" s="243"/>
      <c r="AA13" s="243"/>
      <c r="AB13" s="243"/>
      <c r="AC13" s="243"/>
      <c r="AD13" s="243"/>
    </row>
    <row r="14" s="194" customFormat="true" ht="49" hidden="false" customHeight="true" outlineLevel="0" collapsed="false">
      <c r="A14" s="233" t="s">
        <v>382</v>
      </c>
      <c r="B14" s="233" t="s">
        <v>383</v>
      </c>
      <c r="C14" s="234" t="n">
        <v>45323</v>
      </c>
      <c r="D14" s="233" t="s">
        <v>384</v>
      </c>
      <c r="E14" s="235" t="s">
        <v>385</v>
      </c>
      <c r="F14" s="235" t="str">
        <f aca="false">A14 &amp; ":" &amp; E14</f>
        <v>R4:Mauvaise communication au sein de l'équipe</v>
      </c>
      <c r="G14" s="236" t="s">
        <v>386</v>
      </c>
      <c r="H14" s="237" t="s">
        <v>15</v>
      </c>
      <c r="I14" s="238" t="s">
        <v>387</v>
      </c>
      <c r="J14" s="244" t="n">
        <v>500</v>
      </c>
      <c r="K14" s="245" t="n">
        <v>0.5</v>
      </c>
      <c r="L14" s="246" t="n">
        <v>250</v>
      </c>
      <c r="M14" s="242" t="s">
        <v>388</v>
      </c>
      <c r="N14" s="236" t="n">
        <v>0.5</v>
      </c>
      <c r="O14" s="238" t="s">
        <v>389</v>
      </c>
      <c r="P14" s="238"/>
      <c r="Q14" s="238"/>
      <c r="S14" s="243" t="n">
        <v>125</v>
      </c>
      <c r="T14" s="243" t="n">
        <v>125</v>
      </c>
      <c r="U14" s="243" t="n">
        <v>125</v>
      </c>
      <c r="V14" s="243" t="n">
        <v>250</v>
      </c>
      <c r="W14" s="243"/>
      <c r="X14" s="243"/>
      <c r="Y14" s="243"/>
      <c r="Z14" s="243"/>
      <c r="AA14" s="243"/>
      <c r="AB14" s="243"/>
      <c r="AC14" s="247"/>
      <c r="AD14" s="247"/>
    </row>
    <row r="15" s="194" customFormat="true" ht="48" hidden="false" customHeight="true" outlineLevel="0" collapsed="false">
      <c r="A15" s="233" t="s">
        <v>390</v>
      </c>
      <c r="B15" s="233" t="s">
        <v>374</v>
      </c>
      <c r="C15" s="234" t="n">
        <v>45323</v>
      </c>
      <c r="D15" s="233" t="s">
        <v>375</v>
      </c>
      <c r="E15" s="235" t="s">
        <v>391</v>
      </c>
      <c r="F15" s="235" t="str">
        <f aca="false">A15 &amp; ":" &amp; E15</f>
        <v>R5:Mauvaises performances de prédiction</v>
      </c>
      <c r="G15" s="236" t="s">
        <v>386</v>
      </c>
      <c r="H15" s="237" t="s">
        <v>378</v>
      </c>
      <c r="I15" s="238" t="s">
        <v>392</v>
      </c>
      <c r="J15" s="239" t="n">
        <v>200</v>
      </c>
      <c r="K15" s="240" t="n">
        <v>0.5</v>
      </c>
      <c r="L15" s="241" t="n">
        <f aca="false">J15*K15</f>
        <v>100</v>
      </c>
      <c r="M15" s="242" t="s">
        <v>393</v>
      </c>
      <c r="N15" s="236" t="n">
        <v>0.75</v>
      </c>
      <c r="O15" s="238" t="s">
        <v>394</v>
      </c>
      <c r="P15" s="238"/>
      <c r="Q15" s="238"/>
      <c r="R15" s="248"/>
      <c r="S15" s="243" t="n">
        <v>50</v>
      </c>
      <c r="T15" s="243" t="n">
        <v>50</v>
      </c>
      <c r="U15" s="243" t="n">
        <v>75</v>
      </c>
      <c r="V15" s="243" t="n">
        <v>100</v>
      </c>
      <c r="W15" s="243"/>
      <c r="X15" s="243"/>
      <c r="Y15" s="243"/>
      <c r="Z15" s="243"/>
      <c r="AA15" s="243"/>
      <c r="AB15" s="243"/>
      <c r="AC15" s="243"/>
      <c r="AD15" s="243"/>
    </row>
    <row r="16" s="194" customFormat="true" ht="64" hidden="false" customHeight="true" outlineLevel="0" collapsed="false">
      <c r="A16" s="233" t="s">
        <v>395</v>
      </c>
      <c r="B16" s="233" t="s">
        <v>374</v>
      </c>
      <c r="C16" s="234" t="n">
        <v>45330</v>
      </c>
      <c r="D16" s="233" t="s">
        <v>375</v>
      </c>
      <c r="E16" s="235" t="s">
        <v>396</v>
      </c>
      <c r="F16" s="235" t="str">
        <f aca="false">A16 &amp; ":" &amp; E16</f>
        <v>R3:Ressources de calcul insuiffisantes</v>
      </c>
      <c r="G16" s="236" t="s">
        <v>377</v>
      </c>
      <c r="H16" s="237" t="s">
        <v>378</v>
      </c>
      <c r="I16" s="238" t="s">
        <v>397</v>
      </c>
      <c r="J16" s="239" t="n">
        <v>150</v>
      </c>
      <c r="K16" s="240" t="n">
        <v>0.25</v>
      </c>
      <c r="L16" s="241" t="n">
        <f aca="false">J16*K16</f>
        <v>37.5</v>
      </c>
      <c r="M16" s="242" t="s">
        <v>398</v>
      </c>
      <c r="N16" s="236" t="n">
        <v>0.5</v>
      </c>
      <c r="O16" s="238" t="s">
        <v>399</v>
      </c>
      <c r="P16" s="238"/>
      <c r="Q16" s="238"/>
      <c r="S16" s="243" t="n">
        <v>150</v>
      </c>
      <c r="T16" s="243" t="n">
        <v>100</v>
      </c>
      <c r="U16" s="243" t="n">
        <v>50</v>
      </c>
      <c r="V16" s="243" t="n">
        <v>38</v>
      </c>
      <c r="W16" s="243"/>
      <c r="X16" s="243"/>
      <c r="Y16" s="243"/>
      <c r="Z16" s="243"/>
      <c r="AA16" s="243"/>
      <c r="AB16" s="243"/>
      <c r="AC16" s="243"/>
      <c r="AD16" s="243"/>
    </row>
    <row r="17" s="194" customFormat="true" ht="64" hidden="false" customHeight="true" outlineLevel="0" collapsed="false">
      <c r="A17" s="233" t="s">
        <v>400</v>
      </c>
      <c r="B17" s="233" t="s">
        <v>383</v>
      </c>
      <c r="C17" s="234" t="n">
        <v>45334</v>
      </c>
      <c r="D17" s="233" t="s">
        <v>71</v>
      </c>
      <c r="E17" s="235" t="s">
        <v>401</v>
      </c>
      <c r="F17" s="235" t="str">
        <f aca="false">A17 &amp; ":" &amp; E17</f>
        <v>R7:Dérive des objectifs</v>
      </c>
      <c r="G17" s="236" t="s">
        <v>402</v>
      </c>
      <c r="H17" s="237" t="s">
        <v>378</v>
      </c>
      <c r="I17" s="238" t="s">
        <v>403</v>
      </c>
      <c r="J17" s="239" t="n">
        <v>120</v>
      </c>
      <c r="K17" s="240" t="n">
        <v>0.25</v>
      </c>
      <c r="L17" s="241" t="n">
        <f aca="false">J17*K17</f>
        <v>30</v>
      </c>
      <c r="M17" s="242" t="s">
        <v>404</v>
      </c>
      <c r="N17" s="236" t="n">
        <v>0.5</v>
      </c>
      <c r="O17" s="238" t="s">
        <v>405</v>
      </c>
      <c r="P17" s="238"/>
      <c r="Q17" s="238"/>
      <c r="S17" s="243" t="n">
        <v>60</v>
      </c>
      <c r="T17" s="243" t="n">
        <v>60</v>
      </c>
      <c r="U17" s="243" t="n">
        <v>60</v>
      </c>
      <c r="V17" s="243" t="n">
        <v>30</v>
      </c>
      <c r="W17" s="243"/>
      <c r="X17" s="243"/>
      <c r="Y17" s="243"/>
      <c r="Z17" s="243"/>
      <c r="AA17" s="243"/>
      <c r="AB17" s="243"/>
      <c r="AC17" s="243"/>
      <c r="AD17" s="243"/>
    </row>
    <row r="18" s="194" customFormat="true" ht="50" hidden="false" customHeight="true" outlineLevel="0" collapsed="false">
      <c r="A18" s="249" t="s">
        <v>406</v>
      </c>
      <c r="B18" s="233"/>
      <c r="C18" s="233"/>
      <c r="D18" s="233"/>
      <c r="E18" s="233"/>
      <c r="F18" s="233"/>
      <c r="G18" s="236"/>
      <c r="H18" s="237"/>
      <c r="I18" s="233"/>
      <c r="J18" s="239"/>
      <c r="K18" s="240"/>
      <c r="L18" s="241" t="n">
        <f aca="false">J18*K18</f>
        <v>0</v>
      </c>
      <c r="M18" s="237"/>
      <c r="N18" s="236"/>
      <c r="O18" s="236"/>
      <c r="P18" s="236"/>
      <c r="Q18" s="236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</row>
    <row r="19" s="194" customFormat="true" ht="50" hidden="false" customHeight="true" outlineLevel="0" collapsed="false">
      <c r="A19" s="249" t="s">
        <v>407</v>
      </c>
      <c r="B19" s="233"/>
      <c r="C19" s="233"/>
      <c r="D19" s="233"/>
      <c r="E19" s="233"/>
      <c r="F19" s="233"/>
      <c r="G19" s="236"/>
      <c r="H19" s="237"/>
      <c r="I19" s="233"/>
      <c r="J19" s="239"/>
      <c r="K19" s="240"/>
      <c r="L19" s="241" t="n">
        <f aca="false">J19*K19</f>
        <v>0</v>
      </c>
      <c r="M19" s="237"/>
      <c r="N19" s="236"/>
      <c r="O19" s="236"/>
      <c r="P19" s="236"/>
      <c r="Q19" s="236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</row>
    <row r="20" s="194" customFormat="true" ht="50" hidden="false" customHeight="true" outlineLevel="0" collapsed="false">
      <c r="A20" s="249" t="s">
        <v>408</v>
      </c>
      <c r="B20" s="249"/>
      <c r="C20" s="249"/>
      <c r="D20" s="233"/>
      <c r="E20" s="233"/>
      <c r="F20" s="233"/>
      <c r="G20" s="236"/>
      <c r="H20" s="237"/>
      <c r="I20" s="233"/>
      <c r="J20" s="239"/>
      <c r="K20" s="240"/>
      <c r="L20" s="241" t="n">
        <f aca="false">J20*K20</f>
        <v>0</v>
      </c>
      <c r="M20" s="237"/>
      <c r="N20" s="236"/>
      <c r="O20" s="236"/>
      <c r="P20" s="236"/>
      <c r="Q20" s="236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</row>
    <row r="21" s="194" customFormat="true" ht="50" hidden="false" customHeight="true" outlineLevel="0" collapsed="false">
      <c r="A21" s="249" t="s">
        <v>409</v>
      </c>
      <c r="B21" s="249"/>
      <c r="C21" s="249"/>
      <c r="D21" s="233"/>
      <c r="E21" s="233"/>
      <c r="F21" s="233"/>
      <c r="G21" s="236"/>
      <c r="H21" s="237"/>
      <c r="I21" s="233"/>
      <c r="J21" s="239"/>
      <c r="K21" s="240"/>
      <c r="L21" s="241" t="n">
        <f aca="false">J21*K21</f>
        <v>0</v>
      </c>
      <c r="M21" s="237"/>
      <c r="N21" s="236"/>
      <c r="O21" s="236"/>
      <c r="P21" s="236"/>
      <c r="Q21" s="236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</row>
    <row r="22" s="194" customFormat="true" ht="50" hidden="false" customHeight="true" outlineLevel="0" collapsed="false">
      <c r="A22" s="249" t="s">
        <v>410</v>
      </c>
      <c r="B22" s="249"/>
      <c r="C22" s="249"/>
      <c r="D22" s="233"/>
      <c r="E22" s="233"/>
      <c r="F22" s="233"/>
      <c r="G22" s="236"/>
      <c r="H22" s="237"/>
      <c r="I22" s="233"/>
      <c r="J22" s="239"/>
      <c r="K22" s="240"/>
      <c r="L22" s="241" t="n">
        <f aca="false">J22*K22</f>
        <v>0</v>
      </c>
      <c r="M22" s="237"/>
      <c r="N22" s="236"/>
      <c r="O22" s="236"/>
      <c r="P22" s="236"/>
      <c r="Q22" s="236"/>
    </row>
    <row r="23" s="194" customFormat="true" ht="50" hidden="false" customHeight="true" outlineLevel="0" collapsed="false">
      <c r="A23" s="249" t="s">
        <v>411</v>
      </c>
      <c r="B23" s="249"/>
      <c r="C23" s="249"/>
      <c r="D23" s="233"/>
      <c r="E23" s="233"/>
      <c r="F23" s="233"/>
      <c r="G23" s="236"/>
      <c r="H23" s="237"/>
      <c r="I23" s="233"/>
      <c r="J23" s="239"/>
      <c r="K23" s="240"/>
      <c r="L23" s="241" t="n">
        <f aca="false">J23*K23</f>
        <v>0</v>
      </c>
      <c r="M23" s="237"/>
      <c r="N23" s="236"/>
      <c r="O23" s="236"/>
      <c r="P23" s="236"/>
      <c r="Q23" s="236"/>
    </row>
    <row r="24" s="194" customFormat="true" ht="50" hidden="false" customHeight="true" outlineLevel="0" collapsed="false">
      <c r="A24" s="249" t="s">
        <v>412</v>
      </c>
      <c r="B24" s="249"/>
      <c r="C24" s="249"/>
      <c r="D24" s="233"/>
      <c r="E24" s="233"/>
      <c r="F24" s="233"/>
      <c r="G24" s="236"/>
      <c r="H24" s="237"/>
      <c r="I24" s="233"/>
      <c r="J24" s="239"/>
      <c r="K24" s="240"/>
      <c r="L24" s="241" t="n">
        <f aca="false">J24*K24</f>
        <v>0</v>
      </c>
      <c r="M24" s="237"/>
      <c r="N24" s="236"/>
      <c r="O24" s="236"/>
      <c r="P24" s="236"/>
      <c r="Q24" s="236"/>
    </row>
    <row r="25" s="194" customFormat="true" ht="50" hidden="false" customHeight="true" outlineLevel="0" collapsed="false">
      <c r="A25" s="249" t="s">
        <v>413</v>
      </c>
      <c r="B25" s="249"/>
      <c r="C25" s="249"/>
      <c r="D25" s="233"/>
      <c r="E25" s="233"/>
      <c r="F25" s="233"/>
      <c r="G25" s="236"/>
      <c r="H25" s="237"/>
      <c r="I25" s="233"/>
      <c r="J25" s="239"/>
      <c r="K25" s="240"/>
      <c r="L25" s="241" t="n">
        <f aca="false">J25*K25</f>
        <v>0</v>
      </c>
      <c r="M25" s="237"/>
      <c r="N25" s="236"/>
      <c r="O25" s="236"/>
      <c r="P25" s="236"/>
      <c r="Q25" s="236"/>
    </row>
    <row r="26" s="194" customFormat="true" ht="50" hidden="false" customHeight="true" outlineLevel="0" collapsed="false">
      <c r="A26" s="249" t="s">
        <v>414</v>
      </c>
      <c r="B26" s="249"/>
      <c r="C26" s="249"/>
      <c r="D26" s="233"/>
      <c r="E26" s="233"/>
      <c r="F26" s="233"/>
      <c r="G26" s="236"/>
      <c r="H26" s="237"/>
      <c r="I26" s="233"/>
      <c r="J26" s="239"/>
      <c r="K26" s="240"/>
      <c r="L26" s="241" t="n">
        <f aca="false">J26*K26</f>
        <v>0</v>
      </c>
      <c r="M26" s="237"/>
      <c r="N26" s="236"/>
      <c r="O26" s="236"/>
      <c r="P26" s="236"/>
      <c r="Q26" s="236"/>
    </row>
    <row r="27" s="194" customFormat="true" ht="50" hidden="false" customHeight="true" outlineLevel="0" collapsed="false">
      <c r="A27" s="249" t="s">
        <v>415</v>
      </c>
      <c r="B27" s="249"/>
      <c r="C27" s="249"/>
      <c r="D27" s="233"/>
      <c r="E27" s="233"/>
      <c r="F27" s="233"/>
      <c r="G27" s="236"/>
      <c r="H27" s="237"/>
      <c r="I27" s="233"/>
      <c r="J27" s="239"/>
      <c r="K27" s="240"/>
      <c r="L27" s="241" t="n">
        <f aca="false">J27*K27</f>
        <v>0</v>
      </c>
      <c r="M27" s="237"/>
      <c r="N27" s="236"/>
      <c r="O27" s="236"/>
      <c r="P27" s="236"/>
      <c r="Q27" s="236"/>
      <c r="S27" s="250" t="s">
        <v>416</v>
      </c>
      <c r="T27" s="251" t="s">
        <v>353</v>
      </c>
      <c r="U27" s="251" t="s">
        <v>357</v>
      </c>
      <c r="V27" s="251" t="s">
        <v>358</v>
      </c>
      <c r="W27" s="251" t="s">
        <v>359</v>
      </c>
    </row>
    <row r="28" s="194" customFormat="true" ht="50" hidden="false" customHeight="true" outlineLevel="0" collapsed="false">
      <c r="A28" s="249" t="s">
        <v>417</v>
      </c>
      <c r="B28" s="249"/>
      <c r="C28" s="249"/>
      <c r="D28" s="233"/>
      <c r="E28" s="233"/>
      <c r="F28" s="233"/>
      <c r="G28" s="236"/>
      <c r="H28" s="237"/>
      <c r="I28" s="233"/>
      <c r="J28" s="239"/>
      <c r="K28" s="240"/>
      <c r="L28" s="241" t="n">
        <f aca="false">J28*K28</f>
        <v>0</v>
      </c>
      <c r="M28" s="237"/>
      <c r="N28" s="236"/>
      <c r="O28" s="236"/>
      <c r="P28" s="236"/>
      <c r="Q28" s="236"/>
      <c r="S28" s="252" t="s">
        <v>418</v>
      </c>
      <c r="T28" s="253"/>
      <c r="U28" s="254" t="s">
        <v>419</v>
      </c>
      <c r="V28" s="255"/>
      <c r="W28" s="255"/>
    </row>
    <row r="29" s="194" customFormat="true" ht="50" hidden="false" customHeight="true" outlineLevel="0" collapsed="false">
      <c r="B29" s="249"/>
      <c r="C29" s="249"/>
      <c r="D29" s="233"/>
      <c r="E29" s="233"/>
      <c r="F29" s="233"/>
      <c r="G29" s="236"/>
      <c r="H29" s="237"/>
      <c r="I29" s="233"/>
      <c r="J29" s="239"/>
      <c r="K29" s="240"/>
      <c r="L29" s="241" t="n">
        <f aca="false">J29*K29</f>
        <v>0</v>
      </c>
      <c r="M29" s="237"/>
      <c r="N29" s="236"/>
      <c r="O29" s="236"/>
      <c r="P29" s="236"/>
      <c r="Q29" s="236"/>
      <c r="S29" s="252" t="s">
        <v>343</v>
      </c>
      <c r="T29" s="254" t="s">
        <v>420</v>
      </c>
      <c r="U29" s="256" t="s">
        <v>421</v>
      </c>
      <c r="V29" s="256" t="s">
        <v>422</v>
      </c>
      <c r="W29" s="257"/>
    </row>
    <row r="30" s="194" customFormat="true" ht="50" hidden="false" customHeight="true" outlineLevel="0" collapsed="false">
      <c r="B30" s="249"/>
      <c r="C30" s="249"/>
      <c r="D30" s="233"/>
      <c r="E30" s="233"/>
      <c r="F30" s="233"/>
      <c r="G30" s="236"/>
      <c r="H30" s="237"/>
      <c r="I30" s="233"/>
      <c r="J30" s="239"/>
      <c r="K30" s="240"/>
      <c r="L30" s="241" t="n">
        <f aca="false">J30*K30</f>
        <v>0</v>
      </c>
      <c r="M30" s="237"/>
      <c r="N30" s="236"/>
      <c r="O30" s="236"/>
      <c r="P30" s="236"/>
      <c r="Q30" s="236"/>
      <c r="S30" s="252" t="s">
        <v>346</v>
      </c>
      <c r="T30" s="255"/>
      <c r="U30" s="258" t="s">
        <v>423</v>
      </c>
      <c r="V30" s="259" t="s">
        <v>390</v>
      </c>
      <c r="W30" s="260" t="s">
        <v>424</v>
      </c>
    </row>
    <row r="31" s="194" customFormat="true" ht="50" hidden="false" customHeight="true" outlineLevel="0" collapsed="false">
      <c r="B31" s="249"/>
      <c r="C31" s="249"/>
      <c r="D31" s="233"/>
      <c r="E31" s="233"/>
      <c r="F31" s="233"/>
      <c r="G31" s="236"/>
      <c r="H31" s="237"/>
      <c r="I31" s="233"/>
      <c r="J31" s="239"/>
      <c r="K31" s="240"/>
      <c r="L31" s="241" t="n">
        <f aca="false">J31*K31</f>
        <v>0</v>
      </c>
      <c r="M31" s="237"/>
      <c r="N31" s="236"/>
      <c r="O31" s="236"/>
      <c r="P31" s="236"/>
      <c r="Q31" s="236"/>
      <c r="S31" s="252" t="s">
        <v>348</v>
      </c>
      <c r="T31" s="255"/>
      <c r="U31" s="257"/>
      <c r="V31" s="261"/>
      <c r="W31" s="261"/>
    </row>
    <row r="32" s="194" customFormat="true" ht="50" hidden="false" customHeight="true" outlineLevel="0" collapsed="false">
      <c r="B32" s="249"/>
      <c r="C32" s="249"/>
      <c r="D32" s="233"/>
      <c r="E32" s="233"/>
      <c r="F32" s="233"/>
      <c r="G32" s="236"/>
      <c r="H32" s="237"/>
      <c r="I32" s="233"/>
      <c r="J32" s="239"/>
      <c r="K32" s="240"/>
      <c r="L32" s="241" t="n">
        <f aca="false">J32*K32</f>
        <v>0</v>
      </c>
      <c r="M32" s="237"/>
      <c r="N32" s="236"/>
      <c r="O32" s="236"/>
      <c r="P32" s="236"/>
      <c r="Q32" s="236"/>
    </row>
    <row r="33" s="194" customFormat="true" ht="50" hidden="false" customHeight="true" outlineLevel="0" collapsed="false">
      <c r="B33" s="249"/>
      <c r="C33" s="249"/>
      <c r="D33" s="233"/>
      <c r="E33" s="233"/>
      <c r="F33" s="233"/>
      <c r="G33" s="236"/>
      <c r="H33" s="236"/>
      <c r="I33" s="233"/>
      <c r="J33" s="239"/>
      <c r="K33" s="240"/>
      <c r="L33" s="241" t="n">
        <f aca="false">J33*K33</f>
        <v>0</v>
      </c>
      <c r="M33" s="236"/>
      <c r="N33" s="236"/>
      <c r="O33" s="236"/>
      <c r="P33" s="236"/>
      <c r="Q33" s="236"/>
    </row>
    <row r="34" s="194" customFormat="true" ht="50" hidden="false" customHeight="true" outlineLevel="0" collapsed="false">
      <c r="B34" s="249"/>
      <c r="C34" s="249"/>
      <c r="D34" s="233"/>
      <c r="E34" s="233"/>
      <c r="F34" s="233"/>
      <c r="G34" s="236"/>
      <c r="H34" s="236"/>
      <c r="I34" s="233"/>
      <c r="J34" s="239"/>
      <c r="K34" s="240"/>
      <c r="L34" s="241" t="n">
        <f aca="false">J34*K34</f>
        <v>0</v>
      </c>
      <c r="M34" s="236"/>
      <c r="N34" s="236"/>
      <c r="O34" s="236"/>
      <c r="P34" s="236"/>
      <c r="Q34" s="236"/>
    </row>
    <row r="35" s="194" customFormat="true" ht="50" hidden="false" customHeight="true" outlineLevel="0" collapsed="false">
      <c r="B35" s="249"/>
      <c r="C35" s="249"/>
      <c r="D35" s="233"/>
      <c r="E35" s="233"/>
      <c r="F35" s="233"/>
      <c r="G35" s="236"/>
      <c r="H35" s="236"/>
      <c r="I35" s="233"/>
      <c r="J35" s="239"/>
      <c r="K35" s="240"/>
      <c r="L35" s="241" t="n">
        <f aca="false">J35*K35</f>
        <v>0</v>
      </c>
      <c r="M35" s="236"/>
      <c r="N35" s="236"/>
      <c r="O35" s="236"/>
      <c r="P35" s="236"/>
      <c r="Q35" s="236"/>
    </row>
    <row r="36" s="194" customFormat="true" ht="50" hidden="false" customHeight="true" outlineLevel="0" collapsed="false">
      <c r="A36" s="249" t="s">
        <v>425</v>
      </c>
      <c r="B36" s="249"/>
      <c r="C36" s="249"/>
      <c r="D36" s="233"/>
      <c r="E36" s="233"/>
      <c r="F36" s="233"/>
      <c r="G36" s="236"/>
      <c r="H36" s="236"/>
      <c r="I36" s="233"/>
      <c r="J36" s="239"/>
      <c r="K36" s="240"/>
      <c r="L36" s="241" t="n">
        <f aca="false">J36*K36</f>
        <v>0</v>
      </c>
      <c r="M36" s="236"/>
      <c r="N36" s="236"/>
      <c r="O36" s="236"/>
      <c r="P36" s="236"/>
      <c r="Q36" s="236"/>
    </row>
  </sheetData>
  <mergeCells count="26">
    <mergeCell ref="S11:AD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</mergeCells>
  <conditionalFormatting sqref="J11">
    <cfRule type="cellIs" priority="2" operator="greaterThan" aboveAverage="0" equalAverage="0" bottom="0" percent="0" rank="0" text="" dxfId="29">
      <formula>$K$9</formula>
    </cfRule>
  </conditionalFormatting>
  <conditionalFormatting sqref="J13:J36">
    <cfRule type="cellIs" priority="3" operator="greaterThan" aboveAverage="0" equalAverage="0" bottom="0" percent="0" rank="0" text="" dxfId="30">
      <formula>$K$10</formula>
    </cfRule>
    <cfRule type="cellIs" priority="4" operator="greaterThan" aboveAverage="0" equalAverage="0" bottom="0" percent="0" rank="0" text="" dxfId="31">
      <formula>$K$9</formula>
    </cfRule>
    <cfRule type="cellIs" priority="5" operator="greaterThanOrEqual" aboveAverage="0" equalAverage="0" bottom="0" percent="0" rank="0" text="" dxfId="32">
      <formula>$K$8</formula>
    </cfRule>
    <cfRule type="cellIs" priority="6" operator="lessThan" aboveAverage="0" equalAverage="0" bottom="0" percent="0" rank="0" text="" dxfId="33">
      <formula>$K$7</formula>
    </cfRule>
  </conditionalFormatting>
  <conditionalFormatting sqref="K13:K36">
    <cfRule type="cellIs" priority="7" operator="greaterThan" aboveAverage="0" equalAverage="0" bottom="0" percent="0" rank="0" text="" dxfId="34">
      <formula>$K$5</formula>
    </cfRule>
    <cfRule type="cellIs" priority="8" operator="greaterThanOrEqual" aboveAverage="0" equalAverage="0" bottom="0" percent="0" rank="0" text="" dxfId="35">
      <formula>$K$4</formula>
    </cfRule>
    <cfRule type="cellIs" priority="9" operator="greaterThanOrEqual" aboveAverage="0" equalAverage="0" bottom="0" percent="0" rank="0" text="" dxfId="36">
      <formula>$K$3</formula>
    </cfRule>
    <cfRule type="cellIs" priority="10" operator="lessThan" aboveAverage="0" equalAverage="0" bottom="0" percent="0" rank="0" text="" dxfId="37">
      <formula>$K$2</formula>
    </cfRule>
  </conditionalFormatting>
  <conditionalFormatting sqref="L13:L36">
    <cfRule type="cellIs" priority="11" operator="greaterThan" aboveAverage="0" equalAverage="0" bottom="0" percent="0" rank="0" text="" dxfId="38">
      <formula>$Q$7</formula>
    </cfRule>
    <cfRule type="cellIs" priority="12" operator="greaterThanOrEqual" aboveAverage="0" equalAverage="0" bottom="0" percent="0" rank="0" text="" dxfId="39">
      <formula>$Q$6</formula>
    </cfRule>
    <cfRule type="cellIs" priority="13" operator="lessThan" aboveAverage="0" equalAverage="0" bottom="0" percent="0" rank="0" text="" dxfId="40">
      <formula>$Q$5</formula>
    </cfRule>
    <cfRule type="cellIs" priority="14" operator="greaterThan" aboveAverage="0" equalAverage="0" bottom="0" percent="0" rank="0" text="" dxfId="41">
      <formula>$K$9</formula>
    </cfRule>
  </conditionalFormatting>
  <dataValidations count="8">
    <dataValidation allowBlank="true" errorStyle="stop" operator="between" showDropDown="false" showErrorMessage="true" showInputMessage="false" sqref="D18:D35" type="list">
      <formula1>Nature</formula1>
      <formula2>0</formula2>
    </dataValidation>
    <dataValidation allowBlank="true" errorStyle="stop" operator="between" showDropDown="false" showErrorMessage="true" showInputMessage="true" sqref="G18:G36" type="list">
      <formula1>Conséquence</formula1>
      <formula2>0</formula2>
    </dataValidation>
    <dataValidation allowBlank="true" errorStyle="stop" operator="between" showDropDown="false" showErrorMessage="true" showInputMessage="true" sqref="K17:K36" type="decimal">
      <formula1>0</formula1>
      <formula2>1</formula2>
    </dataValidation>
    <dataValidation allowBlank="true" errorStyle="stop" operator="greaterThan" showDropDown="false" showErrorMessage="true" showInputMessage="true" sqref="J13:J15 J17:J36" type="whole">
      <formula1>0</formula1>
      <formula2>0</formula2>
    </dataValidation>
    <dataValidation allowBlank="true" errorStyle="stop" operator="between" showDropDown="false" showErrorMessage="true" showInputMessage="true" sqref="D36" type="list">
      <formula1>Nature</formula1>
      <formula2>0</formula2>
    </dataValidation>
    <dataValidation allowBlank="true" errorStyle="stop" operator="between" showDropDown="false" showErrorMessage="true" showInputMessage="false" sqref="D13:D17" type="list">
      <formula1>"Technique,Humain,Client"</formula1>
      <formula2>0</formula2>
    </dataValidation>
    <dataValidation allowBlank="true" errorStyle="stop" operator="between" showDropDown="false" showErrorMessage="true" showInputMessage="true" sqref="G13:G17" type="list">
      <formula1>"Délai,Budget,Périmètre,Qualité"</formula1>
      <formula2>0</formula2>
    </dataValidation>
    <dataValidation allowBlank="true" errorStyle="stop" operator="between" showDropDown="false" showErrorMessage="true" showInputMessage="true" sqref="K13:K15" type="decimal">
      <formula1>0.01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V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3" style="0" width="11.67"/>
    <col collapsed="false" customWidth="true" hidden="false" outlineLevel="0" max="22" min="22" style="0" width="22.83"/>
  </cols>
  <sheetData>
    <row r="1" customFormat="false" ht="29" hidden="false" customHeight="false" outlineLevel="0" collapsed="false">
      <c r="A1" s="262" t="s">
        <v>160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</row>
    <row r="2" customFormat="false" ht="16" hidden="false" customHeight="false" outlineLevel="0" collapsed="false">
      <c r="A2" s="2" t="s">
        <v>426</v>
      </c>
      <c r="B2" s="263" t="s">
        <v>427</v>
      </c>
      <c r="C2" s="264" t="n">
        <f aca="false">'Fiche PIC'!B5+5</f>
        <v>45318</v>
      </c>
      <c r="D2" s="264" t="n">
        <f aca="false">C2+7</f>
        <v>45325</v>
      </c>
      <c r="E2" s="264" t="n">
        <f aca="false">D2+7</f>
        <v>45332</v>
      </c>
      <c r="F2" s="264" t="n">
        <f aca="false">E2+7</f>
        <v>45339</v>
      </c>
      <c r="G2" s="264" t="n">
        <f aca="false">F2+7</f>
        <v>45346</v>
      </c>
      <c r="H2" s="265" t="n">
        <f aca="false">G2+7</f>
        <v>45353</v>
      </c>
      <c r="I2" s="266" t="n">
        <f aca="false">H2+7</f>
        <v>45360</v>
      </c>
      <c r="J2" s="266" t="n">
        <f aca="false">I2+7</f>
        <v>45367</v>
      </c>
      <c r="K2" s="266" t="n">
        <f aca="false">J2+7</f>
        <v>45374</v>
      </c>
      <c r="L2" s="266" t="n">
        <f aca="false">K2+7</f>
        <v>45381</v>
      </c>
      <c r="M2" s="266" t="n">
        <f aca="false">L2+7</f>
        <v>45388</v>
      </c>
      <c r="N2" s="266" t="n">
        <f aca="false">M2+7</f>
        <v>45395</v>
      </c>
      <c r="O2" s="266" t="n">
        <f aca="false">N2+7</f>
        <v>45402</v>
      </c>
      <c r="P2" s="266" t="n">
        <f aca="false">O2+7</f>
        <v>45409</v>
      </c>
      <c r="Q2" s="266" t="n">
        <f aca="false">P2+7</f>
        <v>45416</v>
      </c>
      <c r="R2" s="266" t="n">
        <f aca="false">Q2+7</f>
        <v>45423</v>
      </c>
      <c r="S2" s="266" t="n">
        <f aca="false">R2+7</f>
        <v>45430</v>
      </c>
    </row>
    <row r="3" customFormat="false" ht="16" hidden="false" customHeight="true" outlineLevel="0" collapsed="false">
      <c r="A3" s="267" t="s">
        <v>428</v>
      </c>
      <c r="B3" s="268" t="str">
        <f aca="false">'Fiche PIC'!D5</f>
        <v>Anne</v>
      </c>
      <c r="C3" s="269" t="n">
        <v>4</v>
      </c>
      <c r="D3" s="269" t="n">
        <v>4</v>
      </c>
      <c r="E3" s="269" t="n">
        <v>4</v>
      </c>
      <c r="F3" s="269"/>
      <c r="G3" s="269"/>
      <c r="H3" s="269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U3" s="271" t="s">
        <v>429</v>
      </c>
      <c r="V3" s="271"/>
    </row>
    <row r="4" customFormat="false" ht="19" hidden="false" customHeight="true" outlineLevel="0" collapsed="false">
      <c r="A4" s="267"/>
      <c r="B4" s="268" t="str">
        <f aca="false">'Fiche PIC'!D6</f>
        <v>Jean</v>
      </c>
      <c r="C4" s="269" t="n">
        <v>4</v>
      </c>
      <c r="D4" s="269" t="n">
        <v>5</v>
      </c>
      <c r="E4" s="269" t="n">
        <v>5</v>
      </c>
      <c r="F4" s="269"/>
      <c r="G4" s="269"/>
      <c r="H4" s="269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U4" s="272" t="n">
        <v>5</v>
      </c>
      <c r="V4" s="273" t="s">
        <v>430</v>
      </c>
    </row>
    <row r="5" customFormat="false" ht="16" hidden="false" customHeight="false" outlineLevel="0" collapsed="false">
      <c r="A5" s="267"/>
      <c r="B5" s="268" t="str">
        <f aca="false">'Fiche PIC'!D7</f>
        <v>Louise</v>
      </c>
      <c r="C5" s="269" t="n">
        <v>4</v>
      </c>
      <c r="D5" s="269" t="n">
        <v>4</v>
      </c>
      <c r="E5" s="269" t="n">
        <v>3</v>
      </c>
      <c r="F5" s="269"/>
      <c r="G5" s="269"/>
      <c r="H5" s="269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U5" s="272" t="n">
        <v>4</v>
      </c>
      <c r="V5" s="273" t="s">
        <v>431</v>
      </c>
    </row>
    <row r="6" customFormat="false" ht="16" hidden="false" customHeight="true" outlineLevel="0" collapsed="false">
      <c r="A6" s="267"/>
      <c r="B6" s="268" t="str">
        <f aca="false">'Fiche PIC'!D8</f>
        <v>Marie</v>
      </c>
      <c r="C6" s="269" t="n">
        <v>3</v>
      </c>
      <c r="D6" s="269" t="n">
        <v>4</v>
      </c>
      <c r="E6" s="269" t="n">
        <v>5</v>
      </c>
      <c r="F6" s="269"/>
      <c r="G6" s="269"/>
      <c r="H6" s="269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U6" s="272" t="n">
        <v>3</v>
      </c>
      <c r="V6" s="273" t="s">
        <v>432</v>
      </c>
    </row>
    <row r="7" customFormat="false" ht="16" hidden="false" customHeight="false" outlineLevel="0" collapsed="false">
      <c r="A7" s="267"/>
      <c r="B7" s="268" t="str">
        <f aca="false">'Fiche PIC'!D9</f>
        <v>Paul</v>
      </c>
      <c r="C7" s="269" t="n">
        <v>5</v>
      </c>
      <c r="D7" s="269" t="n">
        <v>5</v>
      </c>
      <c r="E7" s="269" t="n">
        <v>5</v>
      </c>
      <c r="F7" s="269"/>
      <c r="G7" s="269"/>
      <c r="H7" s="269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U7" s="272" t="n">
        <v>2</v>
      </c>
      <c r="V7" s="273" t="s">
        <v>433</v>
      </c>
    </row>
    <row r="8" customFormat="false" ht="16" hidden="false" customHeight="false" outlineLevel="0" collapsed="false">
      <c r="A8" s="267"/>
      <c r="B8" s="268" t="str">
        <f aca="false">'Fiche PIC'!D10</f>
        <v>Pierre</v>
      </c>
      <c r="C8" s="269" t="n">
        <v>5</v>
      </c>
      <c r="D8" s="269" t="n">
        <v>5</v>
      </c>
      <c r="E8" s="269" t="n">
        <v>5</v>
      </c>
      <c r="F8" s="269"/>
      <c r="G8" s="269"/>
      <c r="H8" s="269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U8" s="272" t="n">
        <v>1</v>
      </c>
      <c r="V8" s="274" t="s">
        <v>434</v>
      </c>
    </row>
    <row r="9" customFormat="false" ht="16" hidden="false" customHeight="false" outlineLevel="0" collapsed="false">
      <c r="A9" s="267"/>
      <c r="B9" s="268" t="str">
        <f aca="false">'Fiche PIC'!D11</f>
        <v>Victor</v>
      </c>
      <c r="C9" s="269" t="n">
        <v>4</v>
      </c>
      <c r="D9" s="269" t="n">
        <v>5</v>
      </c>
      <c r="E9" s="269" t="n">
        <v>5</v>
      </c>
      <c r="F9" s="269"/>
      <c r="G9" s="269"/>
      <c r="H9" s="269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U9" s="275" t="n">
        <v>0</v>
      </c>
      <c r="V9" s="276" t="s">
        <v>435</v>
      </c>
    </row>
    <row r="10" customFormat="false" ht="16" hidden="false" customHeight="false" outlineLevel="0" collapsed="false">
      <c r="A10" s="267"/>
      <c r="B10" s="277" t="str">
        <f aca="false">'Fiche PIC'!D12</f>
        <v>Antoine</v>
      </c>
      <c r="C10" s="278"/>
      <c r="D10" s="278"/>
      <c r="E10" s="278"/>
      <c r="F10" s="278"/>
      <c r="G10" s="278"/>
      <c r="H10" s="278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</row>
    <row r="11" customFormat="false" ht="16" hidden="false" customHeight="false" outlineLevel="0" collapsed="false">
      <c r="A11" s="280"/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2"/>
    </row>
    <row r="12" customFormat="false" ht="16" hidden="false" customHeight="true" outlineLevel="0" collapsed="false">
      <c r="A12" s="283" t="s">
        <v>436</v>
      </c>
      <c r="B12" s="284" t="s">
        <v>11</v>
      </c>
      <c r="C12" s="285" t="n">
        <v>5</v>
      </c>
      <c r="D12" s="285" t="n">
        <v>5</v>
      </c>
      <c r="E12" s="285" t="n">
        <v>4</v>
      </c>
      <c r="F12" s="285"/>
      <c r="G12" s="285"/>
      <c r="H12" s="285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U12" s="271" t="s">
        <v>429</v>
      </c>
      <c r="V12" s="271"/>
    </row>
    <row r="13" customFormat="false" ht="16" hidden="false" customHeight="false" outlineLevel="0" collapsed="false">
      <c r="A13" s="283"/>
      <c r="B13" s="286" t="s">
        <v>15</v>
      </c>
      <c r="C13" s="269" t="n">
        <v>5</v>
      </c>
      <c r="D13" s="269" t="n">
        <v>5</v>
      </c>
      <c r="E13" s="269" t="n">
        <v>4</v>
      </c>
      <c r="F13" s="269"/>
      <c r="G13" s="269"/>
      <c r="H13" s="269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U13" s="272" t="n">
        <v>5</v>
      </c>
      <c r="V13" s="273" t="s">
        <v>437</v>
      </c>
    </row>
    <row r="14" customFormat="false" ht="16" hidden="false" customHeight="false" outlineLevel="0" collapsed="false">
      <c r="A14" s="283"/>
      <c r="B14" s="286" t="s">
        <v>18</v>
      </c>
      <c r="C14" s="269" t="n">
        <v>4</v>
      </c>
      <c r="D14" s="269" t="n">
        <v>5</v>
      </c>
      <c r="E14" s="269" t="n">
        <v>4</v>
      </c>
      <c r="F14" s="269"/>
      <c r="G14" s="269"/>
      <c r="H14" s="269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U14" s="272" t="n">
        <v>4</v>
      </c>
      <c r="V14" s="273" t="s">
        <v>438</v>
      </c>
    </row>
    <row r="15" customFormat="false" ht="16" hidden="false" customHeight="false" outlineLevel="0" collapsed="false">
      <c r="A15" s="283"/>
      <c r="B15" s="286" t="s">
        <v>23</v>
      </c>
      <c r="C15" s="269" t="n">
        <v>5</v>
      </c>
      <c r="D15" s="269" t="n">
        <v>5</v>
      </c>
      <c r="E15" s="269" t="n">
        <v>4</v>
      </c>
      <c r="F15" s="269"/>
      <c r="G15" s="269"/>
      <c r="H15" s="269"/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U15" s="272" t="n">
        <v>3</v>
      </c>
      <c r="V15" s="273" t="s">
        <v>353</v>
      </c>
    </row>
    <row r="16" customFormat="false" ht="16" hidden="false" customHeight="false" outlineLevel="0" collapsed="false">
      <c r="A16" s="283"/>
      <c r="B16" s="286" t="s">
        <v>26</v>
      </c>
      <c r="C16" s="269" t="n">
        <v>3</v>
      </c>
      <c r="D16" s="269" t="n">
        <v>3</v>
      </c>
      <c r="E16" s="269" t="n">
        <v>4</v>
      </c>
      <c r="F16" s="269"/>
      <c r="G16" s="269"/>
      <c r="H16" s="269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U16" s="272" t="n">
        <v>2</v>
      </c>
      <c r="V16" s="273" t="s">
        <v>439</v>
      </c>
    </row>
    <row r="17" customFormat="false" ht="16" hidden="false" customHeight="false" outlineLevel="0" collapsed="false">
      <c r="A17" s="283"/>
      <c r="B17" s="286" t="s">
        <v>31</v>
      </c>
      <c r="C17" s="269" t="n">
        <v>5</v>
      </c>
      <c r="D17" s="269" t="n">
        <v>5</v>
      </c>
      <c r="E17" s="269" t="n">
        <v>4</v>
      </c>
      <c r="F17" s="269"/>
      <c r="G17" s="269"/>
      <c r="H17" s="269"/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U17" s="272" t="n">
        <v>1</v>
      </c>
      <c r="V17" s="274" t="s">
        <v>440</v>
      </c>
    </row>
    <row r="18" customFormat="false" ht="16" hidden="false" customHeight="false" outlineLevel="0" collapsed="false">
      <c r="A18" s="283"/>
      <c r="B18" s="286" t="s">
        <v>33</v>
      </c>
      <c r="C18" s="269" t="n">
        <v>4</v>
      </c>
      <c r="D18" s="269" t="n">
        <v>5</v>
      </c>
      <c r="E18" s="269" t="n">
        <v>4</v>
      </c>
      <c r="F18" s="272"/>
      <c r="G18" s="269"/>
      <c r="H18" s="269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U18" s="275" t="n">
        <v>0</v>
      </c>
      <c r="V18" s="276" t="s">
        <v>435</v>
      </c>
    </row>
    <row r="19" customFormat="false" ht="16" hidden="false" customHeight="false" outlineLevel="0" collapsed="false">
      <c r="A19" s="283"/>
      <c r="B19" s="287" t="n">
        <v>0</v>
      </c>
      <c r="C19" s="278"/>
      <c r="D19" s="278"/>
      <c r="E19" s="278"/>
      <c r="F19" s="279"/>
      <c r="G19" s="278"/>
      <c r="H19" s="278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</row>
    <row r="20" customFormat="false" ht="16" hidden="false" customHeight="false" outlineLevel="0" collapsed="false">
      <c r="A20" s="280"/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2"/>
    </row>
    <row r="21" customFormat="false" ht="16" hidden="false" customHeight="true" outlineLevel="0" collapsed="false">
      <c r="A21" s="288" t="s">
        <v>441</v>
      </c>
      <c r="B21" s="284" t="s">
        <v>11</v>
      </c>
      <c r="C21" s="285" t="n">
        <v>4</v>
      </c>
      <c r="D21" s="285" t="n">
        <v>4</v>
      </c>
      <c r="E21" s="270" t="n">
        <v>5</v>
      </c>
      <c r="F21" s="270"/>
      <c r="G21" s="285"/>
      <c r="H21" s="285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U21" s="271" t="s">
        <v>429</v>
      </c>
      <c r="V21" s="271"/>
    </row>
    <row r="22" customFormat="false" ht="16" hidden="false" customHeight="false" outlineLevel="0" collapsed="false">
      <c r="A22" s="288"/>
      <c r="B22" s="286" t="s">
        <v>15</v>
      </c>
      <c r="C22" s="269" t="n">
        <v>4</v>
      </c>
      <c r="D22" s="269" t="n">
        <v>3</v>
      </c>
      <c r="E22" s="272" t="n">
        <v>2</v>
      </c>
      <c r="F22" s="272"/>
      <c r="G22" s="269"/>
      <c r="H22" s="269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U22" s="272" t="n">
        <v>5</v>
      </c>
      <c r="V22" s="273" t="s">
        <v>442</v>
      </c>
    </row>
    <row r="23" customFormat="false" ht="16" hidden="false" customHeight="false" outlineLevel="0" collapsed="false">
      <c r="A23" s="288"/>
      <c r="B23" s="286" t="s">
        <v>18</v>
      </c>
      <c r="C23" s="269" t="n">
        <v>4</v>
      </c>
      <c r="D23" s="269" t="n">
        <v>4</v>
      </c>
      <c r="E23" s="272" t="n">
        <v>3</v>
      </c>
      <c r="F23" s="272"/>
      <c r="G23" s="269"/>
      <c r="H23" s="269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U23" s="272" t="n">
        <v>4</v>
      </c>
      <c r="V23" s="273" t="s">
        <v>443</v>
      </c>
    </row>
    <row r="24" customFormat="false" ht="16" hidden="false" customHeight="false" outlineLevel="0" collapsed="false">
      <c r="A24" s="288"/>
      <c r="B24" s="286" t="s">
        <v>23</v>
      </c>
      <c r="C24" s="269" t="n">
        <v>3</v>
      </c>
      <c r="D24" s="269" t="n">
        <v>2</v>
      </c>
      <c r="E24" s="272" t="n">
        <v>2</v>
      </c>
      <c r="F24" s="272"/>
      <c r="G24" s="269"/>
      <c r="H24" s="269"/>
      <c r="I24" s="272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U24" s="272" t="n">
        <v>3</v>
      </c>
      <c r="V24" s="273" t="s">
        <v>444</v>
      </c>
    </row>
    <row r="25" customFormat="false" ht="16" hidden="false" customHeight="false" outlineLevel="0" collapsed="false">
      <c r="A25" s="288"/>
      <c r="B25" s="286" t="s">
        <v>26</v>
      </c>
      <c r="C25" s="269" t="n">
        <v>3</v>
      </c>
      <c r="D25" s="269" t="n">
        <v>4</v>
      </c>
      <c r="E25" s="272" t="n">
        <v>5</v>
      </c>
      <c r="F25" s="272"/>
      <c r="G25" s="269"/>
      <c r="H25" s="269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U25" s="272" t="n">
        <v>2</v>
      </c>
      <c r="V25" s="273" t="s">
        <v>445</v>
      </c>
    </row>
    <row r="26" customFormat="false" ht="16" hidden="false" customHeight="false" outlineLevel="0" collapsed="false">
      <c r="A26" s="288"/>
      <c r="B26" s="286" t="s">
        <v>31</v>
      </c>
      <c r="C26" s="269" t="n">
        <v>3</v>
      </c>
      <c r="D26" s="269" t="n">
        <v>3</v>
      </c>
      <c r="E26" s="272" t="n">
        <v>3</v>
      </c>
      <c r="F26" s="272"/>
      <c r="G26" s="269"/>
      <c r="H26" s="269"/>
      <c r="I26" s="272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U26" s="272" t="n">
        <v>1</v>
      </c>
      <c r="V26" s="274" t="s">
        <v>446</v>
      </c>
    </row>
    <row r="27" customFormat="false" ht="16" hidden="false" customHeight="false" outlineLevel="0" collapsed="false">
      <c r="A27" s="288"/>
      <c r="B27" s="286" t="s">
        <v>33</v>
      </c>
      <c r="C27" s="269" t="n">
        <v>4</v>
      </c>
      <c r="D27" s="269" t="n">
        <v>3</v>
      </c>
      <c r="E27" s="272" t="n">
        <v>3</v>
      </c>
      <c r="F27" s="272"/>
      <c r="G27" s="269"/>
      <c r="H27" s="269"/>
      <c r="I27" s="27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U27" s="275" t="n">
        <v>0</v>
      </c>
      <c r="V27" s="276" t="s">
        <v>435</v>
      </c>
    </row>
    <row r="28" customFormat="false" ht="16" hidden="false" customHeight="false" outlineLevel="0" collapsed="false">
      <c r="A28" s="288"/>
      <c r="B28" s="286" t="n">
        <v>0</v>
      </c>
      <c r="C28" s="269"/>
      <c r="D28" s="269"/>
      <c r="E28" s="272"/>
      <c r="F28" s="272"/>
      <c r="G28" s="269"/>
      <c r="H28" s="269"/>
      <c r="I28" s="272"/>
      <c r="J28" s="272"/>
      <c r="K28" s="272"/>
      <c r="L28" s="272"/>
      <c r="M28" s="272"/>
      <c r="N28" s="272"/>
      <c r="O28" s="272"/>
      <c r="P28" s="272"/>
      <c r="Q28" s="272"/>
      <c r="R28" s="272"/>
      <c r="S28" s="272"/>
    </row>
    <row r="29" customFormat="false" ht="16" hidden="false" customHeight="false" outlineLevel="0" collapsed="false">
      <c r="A29" s="289"/>
      <c r="B29" s="28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89"/>
      <c r="N29" s="289"/>
      <c r="O29" s="289"/>
      <c r="P29" s="289"/>
      <c r="Q29" s="289"/>
      <c r="R29" s="289"/>
      <c r="S29" s="289"/>
    </row>
    <row r="30" customFormat="false" ht="16" hidden="false" customHeight="true" outlineLevel="0" collapsed="false">
      <c r="A30" s="290" t="s">
        <v>447</v>
      </c>
      <c r="B30" s="286" t="s">
        <v>11</v>
      </c>
      <c r="C30" s="269" t="n">
        <v>5</v>
      </c>
      <c r="D30" s="269" t="n">
        <v>4</v>
      </c>
      <c r="E30" s="270" t="n">
        <v>4</v>
      </c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U30" s="271" t="s">
        <v>429</v>
      </c>
      <c r="V30" s="271"/>
    </row>
    <row r="31" customFormat="false" ht="16" hidden="false" customHeight="false" outlineLevel="0" collapsed="false">
      <c r="A31" s="290"/>
      <c r="B31" s="286" t="s">
        <v>15</v>
      </c>
      <c r="C31" s="269" t="n">
        <v>5</v>
      </c>
      <c r="D31" s="269" t="n">
        <v>5</v>
      </c>
      <c r="E31" s="272" t="n">
        <v>5</v>
      </c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69"/>
      <c r="Q31" s="272"/>
      <c r="R31" s="272"/>
      <c r="S31" s="272"/>
      <c r="U31" s="272" t="n">
        <v>5</v>
      </c>
      <c r="V31" s="273" t="s">
        <v>448</v>
      </c>
    </row>
    <row r="32" customFormat="false" ht="16" hidden="false" customHeight="false" outlineLevel="0" collapsed="false">
      <c r="A32" s="290"/>
      <c r="B32" s="286" t="s">
        <v>18</v>
      </c>
      <c r="C32" s="269" t="n">
        <v>5</v>
      </c>
      <c r="D32" s="269" t="n">
        <v>5</v>
      </c>
      <c r="E32" s="272" t="n">
        <v>5</v>
      </c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69"/>
      <c r="Q32" s="272"/>
      <c r="R32" s="272"/>
      <c r="S32" s="272"/>
      <c r="U32" s="272" t="n">
        <v>4</v>
      </c>
      <c r="V32" s="273" t="s">
        <v>449</v>
      </c>
    </row>
    <row r="33" customFormat="false" ht="16" hidden="false" customHeight="false" outlineLevel="0" collapsed="false">
      <c r="A33" s="290"/>
      <c r="B33" s="286" t="s">
        <v>23</v>
      </c>
      <c r="C33" s="269" t="n">
        <v>5</v>
      </c>
      <c r="D33" s="269" t="n">
        <v>4</v>
      </c>
      <c r="E33" s="272" t="n">
        <v>5</v>
      </c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U33" s="272" t="n">
        <v>3</v>
      </c>
      <c r="V33" s="273" t="s">
        <v>450</v>
      </c>
    </row>
    <row r="34" customFormat="false" ht="16" hidden="false" customHeight="false" outlineLevel="0" collapsed="false">
      <c r="A34" s="290"/>
      <c r="B34" s="286" t="s">
        <v>26</v>
      </c>
      <c r="C34" s="269" t="n">
        <v>5</v>
      </c>
      <c r="D34" s="269" t="n">
        <v>5</v>
      </c>
      <c r="E34" s="272" t="n">
        <v>3</v>
      </c>
      <c r="F34" s="272"/>
      <c r="G34" s="272"/>
      <c r="H34" s="272"/>
      <c r="I34" s="272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U34" s="272" t="n">
        <v>2</v>
      </c>
      <c r="V34" s="273" t="s">
        <v>451</v>
      </c>
    </row>
    <row r="35" customFormat="false" ht="16" hidden="false" customHeight="false" outlineLevel="0" collapsed="false">
      <c r="A35" s="290"/>
      <c r="B35" s="286" t="s">
        <v>31</v>
      </c>
      <c r="C35" s="269" t="n">
        <v>5</v>
      </c>
      <c r="D35" s="269" t="n">
        <v>2</v>
      </c>
      <c r="E35" s="272" t="n">
        <v>1</v>
      </c>
      <c r="F35" s="272"/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U35" s="272" t="n">
        <v>1</v>
      </c>
      <c r="V35" s="274" t="s">
        <v>452</v>
      </c>
    </row>
    <row r="36" customFormat="false" ht="16" hidden="false" customHeight="false" outlineLevel="0" collapsed="false">
      <c r="A36" s="290"/>
      <c r="B36" s="286" t="s">
        <v>33</v>
      </c>
      <c r="C36" s="269" t="n">
        <v>5</v>
      </c>
      <c r="D36" s="269" t="n">
        <v>4</v>
      </c>
      <c r="E36" s="272" t="n">
        <v>5</v>
      </c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72"/>
      <c r="Q36" s="272"/>
      <c r="R36" s="272"/>
      <c r="S36" s="272"/>
      <c r="U36" s="275" t="n">
        <v>0</v>
      </c>
      <c r="V36" s="276" t="s">
        <v>435</v>
      </c>
    </row>
    <row r="37" customFormat="false" ht="16" hidden="false" customHeight="false" outlineLevel="0" collapsed="false">
      <c r="A37" s="290"/>
      <c r="B37" s="286" t="n">
        <v>0</v>
      </c>
      <c r="C37" s="269"/>
      <c r="D37" s="269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</row>
    <row r="39" customFormat="false" ht="16" hidden="false" customHeight="false" outlineLevel="0" collapsed="false">
      <c r="A39" s="8"/>
      <c r="B39" s="8"/>
      <c r="C39" s="266" t="n">
        <f aca="false">C2</f>
        <v>45318</v>
      </c>
      <c r="D39" s="266" t="n">
        <f aca="false">D2</f>
        <v>45325</v>
      </c>
      <c r="E39" s="266" t="n">
        <f aca="false">E2</f>
        <v>45332</v>
      </c>
      <c r="F39" s="266" t="n">
        <f aca="false">F2</f>
        <v>45339</v>
      </c>
      <c r="G39" s="266" t="n">
        <f aca="false">G2</f>
        <v>45346</v>
      </c>
      <c r="H39" s="266" t="n">
        <f aca="false">H2</f>
        <v>45353</v>
      </c>
      <c r="I39" s="266" t="n">
        <f aca="false">I2</f>
        <v>45360</v>
      </c>
      <c r="J39" s="266" t="n">
        <f aca="false">J2</f>
        <v>45367</v>
      </c>
      <c r="K39" s="266" t="n">
        <f aca="false">K2</f>
        <v>45374</v>
      </c>
      <c r="L39" s="266" t="n">
        <f aca="false">L2</f>
        <v>45381</v>
      </c>
      <c r="M39" s="266" t="n">
        <f aca="false">M2</f>
        <v>45388</v>
      </c>
      <c r="N39" s="266" t="n">
        <f aca="false">N2</f>
        <v>45395</v>
      </c>
      <c r="O39" s="266" t="n">
        <f aca="false">O2</f>
        <v>45402</v>
      </c>
      <c r="P39" s="266" t="n">
        <f aca="false">P2</f>
        <v>45409</v>
      </c>
      <c r="Q39" s="266" t="n">
        <f aca="false">Q2</f>
        <v>45416</v>
      </c>
      <c r="R39" s="266" t="n">
        <f aca="false">R2</f>
        <v>45423</v>
      </c>
      <c r="S39" s="266" t="n">
        <f aca="false">S2</f>
        <v>45430</v>
      </c>
    </row>
    <row r="40" customFormat="false" ht="16" hidden="false" customHeight="true" outlineLevel="0" collapsed="false">
      <c r="A40" s="288" t="s">
        <v>40</v>
      </c>
      <c r="B40" s="284" t="s">
        <v>11</v>
      </c>
      <c r="C40" s="291" t="n">
        <f aca="false">C3+C12+C21+C30</f>
        <v>18</v>
      </c>
      <c r="D40" s="291" t="n">
        <f aca="false">D3+D12+D21+D30</f>
        <v>17</v>
      </c>
      <c r="E40" s="292" t="n">
        <f aca="false">E3+E12+E21+E30</f>
        <v>17</v>
      </c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U40" s="271" t="s">
        <v>429</v>
      </c>
      <c r="V40" s="271"/>
    </row>
    <row r="41" customFormat="false" ht="16" hidden="false" customHeight="false" outlineLevel="0" collapsed="false">
      <c r="A41" s="288"/>
      <c r="B41" s="286" t="s">
        <v>15</v>
      </c>
      <c r="C41" s="293" t="n">
        <f aca="false">C4+C13+C22+C31</f>
        <v>18</v>
      </c>
      <c r="D41" s="293" t="n">
        <f aca="false">D4+D13+D22+D31</f>
        <v>18</v>
      </c>
      <c r="E41" s="294" t="n">
        <f aca="false">E4+E13+E22+E31</f>
        <v>16</v>
      </c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3"/>
      <c r="Q41" s="294"/>
      <c r="R41" s="294"/>
      <c r="S41" s="294"/>
      <c r="U41" s="295" t="s">
        <v>453</v>
      </c>
      <c r="V41" s="273" t="s">
        <v>454</v>
      </c>
    </row>
    <row r="42" customFormat="false" ht="16" hidden="false" customHeight="false" outlineLevel="0" collapsed="false">
      <c r="A42" s="288"/>
      <c r="B42" s="286" t="s">
        <v>18</v>
      </c>
      <c r="C42" s="293" t="n">
        <f aca="false">C5+C14+C23+C32</f>
        <v>17</v>
      </c>
      <c r="D42" s="293" t="n">
        <f aca="false">D5+D14+D23+D32</f>
        <v>18</v>
      </c>
      <c r="E42" s="294" t="n">
        <f aca="false">E5+E14+E23+E32</f>
        <v>15</v>
      </c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3"/>
      <c r="Q42" s="294"/>
      <c r="R42" s="294"/>
      <c r="S42" s="294"/>
      <c r="U42" s="296" t="s">
        <v>455</v>
      </c>
      <c r="V42" s="273" t="s">
        <v>456</v>
      </c>
    </row>
    <row r="43" customFormat="false" ht="16" hidden="false" customHeight="false" outlineLevel="0" collapsed="false">
      <c r="A43" s="288"/>
      <c r="B43" s="286" t="s">
        <v>23</v>
      </c>
      <c r="C43" s="293" t="n">
        <f aca="false">C6+C15+C24+C33</f>
        <v>16</v>
      </c>
      <c r="D43" s="293" t="n">
        <f aca="false">D6+D15+D24+D33</f>
        <v>15</v>
      </c>
      <c r="E43" s="294" t="n">
        <f aca="false">E6+E15+E24+E33</f>
        <v>16</v>
      </c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U43" s="297" t="s">
        <v>457</v>
      </c>
      <c r="V43" s="273" t="s">
        <v>458</v>
      </c>
    </row>
    <row r="44" customFormat="false" ht="16" hidden="false" customHeight="false" outlineLevel="0" collapsed="false">
      <c r="A44" s="288"/>
      <c r="B44" s="286" t="s">
        <v>26</v>
      </c>
      <c r="C44" s="293" t="n">
        <f aca="false">C7+C16+C25+C34</f>
        <v>16</v>
      </c>
      <c r="D44" s="293" t="n">
        <f aca="false">D7+D16+D25+D34</f>
        <v>17</v>
      </c>
      <c r="E44" s="294" t="n">
        <f aca="false">E7+E16+E25+E34</f>
        <v>17</v>
      </c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U44" s="298" t="s">
        <v>459</v>
      </c>
      <c r="V44" s="273" t="s">
        <v>460</v>
      </c>
    </row>
    <row r="45" customFormat="false" ht="16" hidden="false" customHeight="false" outlineLevel="0" collapsed="false">
      <c r="A45" s="288"/>
      <c r="B45" s="286" t="s">
        <v>31</v>
      </c>
      <c r="C45" s="293" t="n">
        <f aca="false">C8+C17+C26+C35</f>
        <v>18</v>
      </c>
      <c r="D45" s="293" t="n">
        <f aca="false">D8+D17+D26+D35</f>
        <v>15</v>
      </c>
      <c r="E45" s="294" t="n">
        <f aca="false">E8+E17+E26+E35</f>
        <v>13</v>
      </c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U45" s="299" t="s">
        <v>461</v>
      </c>
      <c r="V45" s="274" t="s">
        <v>462</v>
      </c>
    </row>
    <row r="46" customFormat="false" ht="16" hidden="false" customHeight="false" outlineLevel="0" collapsed="false">
      <c r="A46" s="288"/>
      <c r="B46" s="286" t="s">
        <v>33</v>
      </c>
      <c r="C46" s="293" t="n">
        <f aca="false">C9+C18+C27+C36</f>
        <v>17</v>
      </c>
      <c r="D46" s="293" t="n">
        <f aca="false">D9+D18+D27+D36</f>
        <v>17</v>
      </c>
      <c r="E46" s="294" t="n">
        <f aca="false">E9+E18+E27+E36</f>
        <v>17</v>
      </c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U46" s="275"/>
      <c r="V46" s="276"/>
    </row>
    <row r="47" customFormat="false" ht="16" hidden="true" customHeight="false" outlineLevel="0" collapsed="false">
      <c r="A47" s="288"/>
      <c r="B47" s="286" t="n">
        <v>0</v>
      </c>
      <c r="C47" s="293" t="n">
        <f aca="false">C10+C19+C28+C37</f>
        <v>0</v>
      </c>
      <c r="D47" s="293" t="n">
        <f aca="false">D10+D19+D28+D37</f>
        <v>0</v>
      </c>
      <c r="E47" s="294" t="n">
        <f aca="false">E10+E19+E28+E37</f>
        <v>0</v>
      </c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</row>
    <row r="48" customFormat="false" ht="16" hidden="false" customHeight="false" outlineLevel="0" collapsed="false">
      <c r="B48" s="300" t="s">
        <v>463</v>
      </c>
      <c r="C48" s="301" t="n">
        <f aca="false">SUM(C40:C47)/COUNTIF(C40:C47,"&gt;0")</f>
        <v>17.1428571428571</v>
      </c>
      <c r="D48" s="301" t="n">
        <f aca="false">SUM(D40:D47)/COUNTIF(D40:D47,"&gt;0")</f>
        <v>16.7142857142857</v>
      </c>
      <c r="E48" s="301" t="n">
        <f aca="false">SUM(E40:E47)/COUNTIF(E40:E47,"&gt;0")</f>
        <v>15.8571428571429</v>
      </c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customFormat="false" ht="16" hidden="false" customHeight="false" outlineLevel="0" collapsed="false">
      <c r="B49" s="302" t="s">
        <v>464</v>
      </c>
      <c r="C49" s="0" t="n">
        <v>15</v>
      </c>
      <c r="D49" s="0" t="n">
        <f aca="false">$C$49</f>
        <v>15</v>
      </c>
      <c r="E49" s="0" t="n">
        <f aca="false">$C$49</f>
        <v>15</v>
      </c>
      <c r="F49" s="0" t="n">
        <f aca="false">$C$49</f>
        <v>15</v>
      </c>
      <c r="G49" s="0" t="n">
        <f aca="false">$C$49</f>
        <v>15</v>
      </c>
      <c r="H49" s="0" t="n">
        <f aca="false">$C$49</f>
        <v>15</v>
      </c>
      <c r="I49" s="0" t="n">
        <f aca="false">$C$49</f>
        <v>15</v>
      </c>
      <c r="J49" s="0" t="n">
        <f aca="false">$C$49</f>
        <v>15</v>
      </c>
      <c r="K49" s="0" t="n">
        <f aca="false">$C$49</f>
        <v>15</v>
      </c>
      <c r="L49" s="0" t="n">
        <f aca="false">$C$49</f>
        <v>15</v>
      </c>
      <c r="M49" s="0" t="n">
        <f aca="false">$C$49</f>
        <v>15</v>
      </c>
      <c r="N49" s="0" t="n">
        <f aca="false">$C$49</f>
        <v>15</v>
      </c>
      <c r="O49" s="0" t="n">
        <f aca="false">$C$49</f>
        <v>15</v>
      </c>
      <c r="P49" s="0" t="n">
        <f aca="false">$C$49</f>
        <v>15</v>
      </c>
      <c r="Q49" s="0" t="n">
        <f aca="false">$C$49</f>
        <v>15</v>
      </c>
      <c r="R49" s="0" t="n">
        <f aca="false">$C$49</f>
        <v>15</v>
      </c>
      <c r="S49" s="0" t="n">
        <f aca="false">$C$49</f>
        <v>15</v>
      </c>
    </row>
    <row r="52" customFormat="false" ht="16" hidden="false" customHeight="false" outlineLevel="0" collapsed="false">
      <c r="M52" s="0" t="n">
        <v>5</v>
      </c>
    </row>
  </sheetData>
  <mergeCells count="11">
    <mergeCell ref="A1:S1"/>
    <mergeCell ref="A3:A10"/>
    <mergeCell ref="U3:V3"/>
    <mergeCell ref="A12:A19"/>
    <mergeCell ref="U12:V12"/>
    <mergeCell ref="A21:A28"/>
    <mergeCell ref="U21:V21"/>
    <mergeCell ref="A30:A37"/>
    <mergeCell ref="U30:V30"/>
    <mergeCell ref="A40:A47"/>
    <mergeCell ref="U40:V40"/>
  </mergeCells>
  <conditionalFormatting sqref="C3:S10">
    <cfRule type="cellIs" priority="2" operator="equal" aboveAverage="0" equalAverage="0" bottom="0" percent="0" rank="0" text="" dxfId="42">
      <formula>0</formula>
    </cfRule>
    <cfRule type="cellIs" priority="3" operator="equal" aboveAverage="0" equalAverage="0" bottom="0" percent="0" rank="0" text="" dxfId="43">
      <formula>1</formula>
    </cfRule>
    <cfRule type="cellIs" priority="4" operator="equal" aboveAverage="0" equalAverage="0" bottom="0" percent="0" rank="0" text="" dxfId="44">
      <formula>2</formula>
    </cfRule>
    <cfRule type="cellIs" priority="5" operator="equal" aboveAverage="0" equalAverage="0" bottom="0" percent="0" rank="0" text="" dxfId="45">
      <formula>3</formula>
    </cfRule>
    <cfRule type="cellIs" priority="6" operator="equal" aboveAverage="0" equalAverage="0" bottom="0" percent="0" rank="0" text="" dxfId="46">
      <formula>4</formula>
    </cfRule>
    <cfRule type="cellIs" priority="7" operator="equal" aboveAverage="0" equalAverage="0" bottom="0" percent="0" rank="0" text="" dxfId="47">
      <formula>5</formula>
    </cfRule>
    <cfRule type="cellIs" priority="8" operator="equal" aboveAverage="0" equalAverage="0" bottom="0" percent="0" rank="0" text="" dxfId="48">
      <formula>-1</formula>
    </cfRule>
  </conditionalFormatting>
  <conditionalFormatting sqref="C12:S19">
    <cfRule type="cellIs" priority="9" operator="equal" aboveAverage="0" equalAverage="0" bottom="0" percent="0" rank="0" text="" dxfId="49">
      <formula>0</formula>
    </cfRule>
    <cfRule type="cellIs" priority="10" operator="equal" aboveAverage="0" equalAverage="0" bottom="0" percent="0" rank="0" text="" dxfId="50">
      <formula>1</formula>
    </cfRule>
    <cfRule type="cellIs" priority="11" operator="equal" aboveAverage="0" equalAverage="0" bottom="0" percent="0" rank="0" text="" dxfId="51">
      <formula>2</formula>
    </cfRule>
    <cfRule type="cellIs" priority="12" operator="equal" aboveAverage="0" equalAverage="0" bottom="0" percent="0" rank="0" text="" dxfId="52">
      <formula>3</formula>
    </cfRule>
    <cfRule type="cellIs" priority="13" operator="equal" aboveAverage="0" equalAverage="0" bottom="0" percent="0" rank="0" text="" dxfId="53">
      <formula>4</formula>
    </cfRule>
    <cfRule type="cellIs" priority="14" operator="equal" aboveAverage="0" equalAverage="0" bottom="0" percent="0" rank="0" text="" dxfId="54">
      <formula>5</formula>
    </cfRule>
    <cfRule type="cellIs" priority="15" operator="equal" aboveAverage="0" equalAverage="0" bottom="0" percent="0" rank="0" text="" dxfId="55">
      <formula>-1</formula>
    </cfRule>
  </conditionalFormatting>
  <conditionalFormatting sqref="C21:S28">
    <cfRule type="cellIs" priority="16" operator="equal" aboveAverage="0" equalAverage="0" bottom="0" percent="0" rank="0" text="" dxfId="56">
      <formula>0</formula>
    </cfRule>
    <cfRule type="cellIs" priority="17" operator="equal" aboveAverage="0" equalAverage="0" bottom="0" percent="0" rank="0" text="" dxfId="57">
      <formula>1</formula>
    </cfRule>
    <cfRule type="cellIs" priority="18" operator="equal" aboveAverage="0" equalAverage="0" bottom="0" percent="0" rank="0" text="" dxfId="58">
      <formula>2</formula>
    </cfRule>
    <cfRule type="cellIs" priority="19" operator="equal" aboveAverage="0" equalAverage="0" bottom="0" percent="0" rank="0" text="" dxfId="59">
      <formula>3</formula>
    </cfRule>
    <cfRule type="cellIs" priority="20" operator="equal" aboveAverage="0" equalAverage="0" bottom="0" percent="0" rank="0" text="" dxfId="60">
      <formula>4</formula>
    </cfRule>
    <cfRule type="cellIs" priority="21" operator="equal" aboveAverage="0" equalAverage="0" bottom="0" percent="0" rank="0" text="" dxfId="61">
      <formula>5</formula>
    </cfRule>
    <cfRule type="cellIs" priority="22" operator="equal" aboveAverage="0" equalAverage="0" bottom="0" percent="0" rank="0" text="" dxfId="62">
      <formula>-1</formula>
    </cfRule>
  </conditionalFormatting>
  <conditionalFormatting sqref="C30:S37">
    <cfRule type="cellIs" priority="23" operator="equal" aboveAverage="0" equalAverage="0" bottom="0" percent="0" rank="0" text="" dxfId="63">
      <formula>0</formula>
    </cfRule>
    <cfRule type="cellIs" priority="24" operator="equal" aboveAverage="0" equalAverage="0" bottom="0" percent="0" rank="0" text="" dxfId="64">
      <formula>1</formula>
    </cfRule>
    <cfRule type="cellIs" priority="25" operator="equal" aboveAverage="0" equalAverage="0" bottom="0" percent="0" rank="0" text="" dxfId="65">
      <formula>2</formula>
    </cfRule>
    <cfRule type="cellIs" priority="26" operator="equal" aboveAverage="0" equalAverage="0" bottom="0" percent="0" rank="0" text="" dxfId="66">
      <formula>3</formula>
    </cfRule>
    <cfRule type="cellIs" priority="27" operator="equal" aboveAverage="0" equalAverage="0" bottom="0" percent="0" rank="0" text="" dxfId="67">
      <formula>4</formula>
    </cfRule>
    <cfRule type="cellIs" priority="28" operator="equal" aboveAverage="0" equalAverage="0" bottom="0" percent="0" rank="0" text="" dxfId="68">
      <formula>5</formula>
    </cfRule>
    <cfRule type="cellIs" priority="29" operator="equal" aboveAverage="0" equalAverage="0" bottom="0" percent="0" rank="0" text="" dxfId="69">
      <formula>-1</formula>
    </cfRule>
  </conditionalFormatting>
  <conditionalFormatting sqref="C40:S48">
    <cfRule type="cellIs" priority="30" operator="equal" aboveAverage="0" equalAverage="0" bottom="0" percent="0" rank="0" text="" dxfId="70">
      <formula>0</formula>
    </cfRule>
    <cfRule type="cellIs" priority="31" operator="lessThanOrEqual" aboveAverage="0" equalAverage="0" bottom="0" percent="0" rank="0" text="" dxfId="71">
      <formula>8</formula>
    </cfRule>
    <cfRule type="cellIs" priority="32" operator="greaterThan" aboveAverage="0" equalAverage="0" bottom="0" percent="0" rank="0" text="" dxfId="72">
      <formula>17</formula>
    </cfRule>
    <cfRule type="cellIs" priority="33" operator="greaterThan" aboveAverage="0" equalAverage="0" bottom="0" percent="0" rank="0" text="" dxfId="73">
      <formula>14</formula>
    </cfRule>
    <cfRule type="cellIs" priority="34" operator="greaterThan" aboveAverage="0" equalAverage="0" bottom="0" percent="0" rank="0" text="" dxfId="74">
      <formula>11</formula>
    </cfRule>
    <cfRule type="cellIs" priority="35" operator="greaterThan" aboveAverage="0" equalAverage="0" bottom="0" percent="0" rank="0" text="" dxfId="75">
      <formula>8</formula>
    </cfRule>
  </conditionalFormatting>
  <conditionalFormatting sqref="U4:U9">
    <cfRule type="cellIs" priority="36" operator="equal" aboveAverage="0" equalAverage="0" bottom="0" percent="0" rank="0" text="" dxfId="76">
      <formula>0</formula>
    </cfRule>
    <cfRule type="cellIs" priority="37" operator="equal" aboveAverage="0" equalAverage="0" bottom="0" percent="0" rank="0" text="" dxfId="77">
      <formula>1</formula>
    </cfRule>
    <cfRule type="cellIs" priority="38" operator="equal" aboveAverage="0" equalAverage="0" bottom="0" percent="0" rank="0" text="" dxfId="78">
      <formula>2</formula>
    </cfRule>
    <cfRule type="cellIs" priority="39" operator="equal" aboveAverage="0" equalAverage="0" bottom="0" percent="0" rank="0" text="" dxfId="79">
      <formula>3</formula>
    </cfRule>
    <cfRule type="cellIs" priority="40" operator="equal" aboveAverage="0" equalAverage="0" bottom="0" percent="0" rank="0" text="" dxfId="80">
      <formula>4</formula>
    </cfRule>
    <cfRule type="cellIs" priority="41" operator="equal" aboveAverage="0" equalAverage="0" bottom="0" percent="0" rank="0" text="" dxfId="81">
      <formula>5</formula>
    </cfRule>
    <cfRule type="cellIs" priority="42" operator="equal" aboveAverage="0" equalAverage="0" bottom="0" percent="0" rank="0" text="" dxfId="82">
      <formula>-1</formula>
    </cfRule>
  </conditionalFormatting>
  <conditionalFormatting sqref="U13:U18">
    <cfRule type="cellIs" priority="43" operator="equal" aboveAverage="0" equalAverage="0" bottom="0" percent="0" rank="0" text="" dxfId="83">
      <formula>0</formula>
    </cfRule>
    <cfRule type="cellIs" priority="44" operator="equal" aboveAverage="0" equalAverage="0" bottom="0" percent="0" rank="0" text="" dxfId="84">
      <formula>1</formula>
    </cfRule>
    <cfRule type="cellIs" priority="45" operator="equal" aboveAverage="0" equalAverage="0" bottom="0" percent="0" rank="0" text="" dxfId="85">
      <formula>2</formula>
    </cfRule>
    <cfRule type="cellIs" priority="46" operator="equal" aboveAverage="0" equalAverage="0" bottom="0" percent="0" rank="0" text="" dxfId="86">
      <formula>3</formula>
    </cfRule>
    <cfRule type="cellIs" priority="47" operator="equal" aboveAverage="0" equalAverage="0" bottom="0" percent="0" rank="0" text="" dxfId="87">
      <formula>4</formula>
    </cfRule>
    <cfRule type="cellIs" priority="48" operator="equal" aboveAverage="0" equalAverage="0" bottom="0" percent="0" rank="0" text="" dxfId="88">
      <formula>5</formula>
    </cfRule>
    <cfRule type="cellIs" priority="49" operator="equal" aboveAverage="0" equalAverage="0" bottom="0" percent="0" rank="0" text="" dxfId="89">
      <formula>-1</formula>
    </cfRule>
  </conditionalFormatting>
  <conditionalFormatting sqref="U22:U27">
    <cfRule type="cellIs" priority="50" operator="equal" aboveAverage="0" equalAverage="0" bottom="0" percent="0" rank="0" text="" dxfId="90">
      <formula>0</formula>
    </cfRule>
    <cfRule type="cellIs" priority="51" operator="equal" aboveAverage="0" equalAverage="0" bottom="0" percent="0" rank="0" text="" dxfId="91">
      <formula>1</formula>
    </cfRule>
    <cfRule type="cellIs" priority="52" operator="equal" aboveAverage="0" equalAverage="0" bottom="0" percent="0" rank="0" text="" dxfId="92">
      <formula>2</formula>
    </cfRule>
    <cfRule type="cellIs" priority="53" operator="equal" aboveAverage="0" equalAverage="0" bottom="0" percent="0" rank="0" text="" dxfId="93">
      <formula>3</formula>
    </cfRule>
    <cfRule type="cellIs" priority="54" operator="equal" aboveAverage="0" equalAverage="0" bottom="0" percent="0" rank="0" text="" dxfId="94">
      <formula>4</formula>
    </cfRule>
    <cfRule type="cellIs" priority="55" operator="equal" aboveAverage="0" equalAverage="0" bottom="0" percent="0" rank="0" text="" dxfId="95">
      <formula>5</formula>
    </cfRule>
    <cfRule type="cellIs" priority="56" operator="equal" aboveAverage="0" equalAverage="0" bottom="0" percent="0" rank="0" text="" dxfId="96">
      <formula>-1</formula>
    </cfRule>
  </conditionalFormatting>
  <conditionalFormatting sqref="U31:U36">
    <cfRule type="cellIs" priority="57" operator="equal" aboveAverage="0" equalAverage="0" bottom="0" percent="0" rank="0" text="" dxfId="97">
      <formula>0</formula>
    </cfRule>
    <cfRule type="cellIs" priority="58" operator="equal" aboveAverage="0" equalAverage="0" bottom="0" percent="0" rank="0" text="" dxfId="98">
      <formula>1</formula>
    </cfRule>
    <cfRule type="cellIs" priority="59" operator="equal" aboveAverage="0" equalAverage="0" bottom="0" percent="0" rank="0" text="" dxfId="99">
      <formula>2</formula>
    </cfRule>
    <cfRule type="cellIs" priority="60" operator="equal" aboveAverage="0" equalAverage="0" bottom="0" percent="0" rank="0" text="" dxfId="100">
      <formula>3</formula>
    </cfRule>
    <cfRule type="cellIs" priority="61" operator="equal" aboveAverage="0" equalAverage="0" bottom="0" percent="0" rank="0" text="" dxfId="101">
      <formula>4</formula>
    </cfRule>
    <cfRule type="cellIs" priority="62" operator="equal" aboveAverage="0" equalAverage="0" bottom="0" percent="0" rank="0" text="" dxfId="102">
      <formula>5</formula>
    </cfRule>
    <cfRule type="cellIs" priority="63" operator="equal" aboveAverage="0" equalAverage="0" bottom="0" percent="0" rank="0" text="" dxfId="103">
      <formula>-1</formula>
    </cfRule>
  </conditionalFormatting>
  <conditionalFormatting sqref="U41:U44">
    <cfRule type="cellIs" priority="64" operator="equal" aboveAverage="0" equalAverage="0" bottom="0" percent="0" rank="0" text="" dxfId="104">
      <formula>0</formula>
    </cfRule>
    <cfRule type="cellIs" priority="65" operator="equal" aboveAverage="0" equalAverage="0" bottom="0" percent="0" rank="0" text="" dxfId="105">
      <formula>1</formula>
    </cfRule>
    <cfRule type="cellIs" priority="66" operator="equal" aboveAverage="0" equalAverage="0" bottom="0" percent="0" rank="0" text="" dxfId="106">
      <formula>2</formula>
    </cfRule>
    <cfRule type="cellIs" priority="67" operator="equal" aboveAverage="0" equalAverage="0" bottom="0" percent="0" rank="0" text="" dxfId="107">
      <formula>3</formula>
    </cfRule>
    <cfRule type="cellIs" priority="68" operator="equal" aboveAverage="0" equalAverage="0" bottom="0" percent="0" rank="0" text="" dxfId="108">
      <formula>4</formula>
    </cfRule>
    <cfRule type="cellIs" priority="69" operator="equal" aboveAverage="0" equalAverage="0" bottom="0" percent="0" rank="0" text="" dxfId="109">
      <formula>5</formula>
    </cfRule>
    <cfRule type="cellIs" priority="70" operator="equal" aboveAverage="0" equalAverage="0" bottom="0" percent="0" rank="0" text="" dxfId="110">
      <formula>-1</formula>
    </cfRule>
  </conditionalFormatting>
  <conditionalFormatting sqref="U46">
    <cfRule type="cellIs" priority="71" operator="equal" aboveAverage="0" equalAverage="0" bottom="0" percent="0" rank="0" text="" dxfId="111">
      <formula>0</formula>
    </cfRule>
    <cfRule type="cellIs" priority="72" operator="equal" aboveAverage="0" equalAverage="0" bottom="0" percent="0" rank="0" text="" dxfId="112">
      <formula>1</formula>
    </cfRule>
    <cfRule type="cellIs" priority="73" operator="equal" aboveAverage="0" equalAverage="0" bottom="0" percent="0" rank="0" text="" dxfId="113">
      <formula>2</formula>
    </cfRule>
    <cfRule type="cellIs" priority="74" operator="equal" aboveAverage="0" equalAverage="0" bottom="0" percent="0" rank="0" text="" dxfId="114">
      <formula>3</formula>
    </cfRule>
    <cfRule type="cellIs" priority="75" operator="equal" aboveAverage="0" equalAverage="0" bottom="0" percent="0" rank="0" text="" dxfId="115">
      <formula>4</formula>
    </cfRule>
    <cfRule type="cellIs" priority="76" operator="equal" aboveAverage="0" equalAverage="0" bottom="0" percent="0" rank="0" text="" dxfId="116">
      <formula>5</formula>
    </cfRule>
    <cfRule type="cellIs" priority="77" operator="equal" aboveAverage="0" equalAverage="0" bottom="0" percent="0" rank="0" text="" dxfId="117">
      <formula>-1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33.16"/>
    <col collapsed="false" customWidth="true" hidden="false" outlineLevel="0" max="15" min="2" style="0" width="7.5"/>
  </cols>
  <sheetData>
    <row r="1" customFormat="false" ht="24" hidden="false" customHeight="false" outlineLevel="0" collapsed="false">
      <c r="A1" s="146" t="s">
        <v>465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</row>
    <row r="3" customFormat="false" ht="111" hidden="false" customHeight="true" outlineLevel="0" collapsed="false">
      <c r="A3" s="303" t="s">
        <v>466</v>
      </c>
      <c r="B3" s="304" t="n">
        <f aca="false">'Fiche PIC'!B5</f>
        <v>45313</v>
      </c>
      <c r="C3" s="304" t="n">
        <f aca="false">B3+7</f>
        <v>45320</v>
      </c>
      <c r="D3" s="304" t="n">
        <f aca="false">C3+7</f>
        <v>45327</v>
      </c>
      <c r="E3" s="304" t="n">
        <f aca="false">D3+7</f>
        <v>45334</v>
      </c>
      <c r="F3" s="304" t="n">
        <f aca="false">E3+7</f>
        <v>45341</v>
      </c>
      <c r="G3" s="304" t="n">
        <f aca="false">F3+7</f>
        <v>45348</v>
      </c>
      <c r="H3" s="304" t="n">
        <f aca="false">G3+7</f>
        <v>45355</v>
      </c>
      <c r="I3" s="304" t="n">
        <f aca="false">H3+7</f>
        <v>45362</v>
      </c>
      <c r="J3" s="304" t="n">
        <f aca="false">I3+7</f>
        <v>45369</v>
      </c>
      <c r="K3" s="304" t="n">
        <f aca="false">J3+7</f>
        <v>45376</v>
      </c>
      <c r="L3" s="304" t="n">
        <f aca="false">K3+7</f>
        <v>45383</v>
      </c>
      <c r="M3" s="304" t="n">
        <f aca="false">L3+7</f>
        <v>45390</v>
      </c>
      <c r="N3" s="304" t="n">
        <f aca="false">M3+7</f>
        <v>45397</v>
      </c>
      <c r="O3" s="304" t="n">
        <f aca="false">N3+7</f>
        <v>45404</v>
      </c>
    </row>
    <row r="4" customFormat="false" ht="16" hidden="false" customHeight="false" outlineLevel="0" collapsed="false">
      <c r="A4" s="8" t="s">
        <v>467</v>
      </c>
      <c r="B4" s="8" t="n">
        <v>10</v>
      </c>
      <c r="C4" s="8" t="n">
        <v>40</v>
      </c>
      <c r="D4" s="8" t="n">
        <v>60</v>
      </c>
      <c r="E4" s="8" t="s">
        <v>468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customFormat="false" ht="16" hidden="false" customHeight="false" outlineLevel="0" collapsed="false">
      <c r="A5" s="8" t="s">
        <v>469</v>
      </c>
      <c r="B5" s="8" t="n">
        <v>20</v>
      </c>
      <c r="C5" s="8" t="n">
        <v>15</v>
      </c>
      <c r="D5" s="8" t="n">
        <v>10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customFormat="false" ht="16" hidden="false" customHeight="false" outlineLevel="0" collapsed="false">
      <c r="A6" s="8" t="s">
        <v>470</v>
      </c>
      <c r="B6" s="8" t="n">
        <f aca="false">IF(OR(ISBLANK(B4),ISBLANK(B5)), "",B4+B5)</f>
        <v>30</v>
      </c>
      <c r="C6" s="8" t="n">
        <f aca="false">IF(OR(ISBLANK(C4),ISBLANK(C5)), "",C4+C5)</f>
        <v>55</v>
      </c>
      <c r="D6" s="8" t="n">
        <f aca="false">IF(OR(ISBLANK(D4),ISBLANK(D5)), "",D4+D5)</f>
        <v>70</v>
      </c>
      <c r="E6" s="8" t="str">
        <f aca="false">IF(OR(ISBLANK(E4),ISBLANK(E5)), "",E4+E5)</f>
        <v/>
      </c>
      <c r="F6" s="8" t="str">
        <f aca="false">IF(OR(ISBLANK(F4),ISBLANK(F5)), "",F4+F5)</f>
        <v/>
      </c>
      <c r="G6" s="8" t="str">
        <f aca="false">IF(OR(ISBLANK(G4),ISBLANK(G5)), "",G4+G5)</f>
        <v/>
      </c>
      <c r="H6" s="8" t="str">
        <f aca="false">IF(OR(ISBLANK(H4),ISBLANK(H5)), "",H4+H5)</f>
        <v/>
      </c>
      <c r="I6" s="8" t="str">
        <f aca="false">IF(OR(ISBLANK(I4),ISBLANK(I5)), "",I4+I5)</f>
        <v/>
      </c>
      <c r="J6" s="8" t="str">
        <f aca="false">IF(OR(ISBLANK(J4),ISBLANK(J5)), "",J4+J5)</f>
        <v/>
      </c>
      <c r="K6" s="8" t="str">
        <f aca="false">IF(OR(ISBLANK(K4),ISBLANK(K5)), "",K4+K5)</f>
        <v/>
      </c>
      <c r="L6" s="8" t="str">
        <f aca="false">IF(OR(ISBLANK(L4),ISBLANK(L5)), "",L4+L5)</f>
        <v/>
      </c>
      <c r="M6" s="8" t="str">
        <f aca="false">IF(OR(ISBLANK(M4),ISBLANK(M5)), "",M4+M5)</f>
        <v/>
      </c>
      <c r="N6" s="8" t="str">
        <f aca="false">IF(OR(ISBLANK(N4),ISBLANK(N5)), "",N4+N5)</f>
        <v/>
      </c>
      <c r="O6" s="8" t="str">
        <f aca="false">IF(OR(ISBLANK(O4),ISBLANK(O5)), "",O4+O5)</f>
        <v/>
      </c>
    </row>
    <row r="7" customFormat="false" ht="16" hidden="false" customHeight="false" outlineLevel="0" collapsed="false">
      <c r="A7" s="8" t="s">
        <v>471</v>
      </c>
      <c r="B7" s="305" t="n">
        <v>0.5</v>
      </c>
      <c r="C7" s="305" t="n">
        <v>0.6</v>
      </c>
      <c r="D7" s="305" t="n">
        <v>0.7</v>
      </c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</row>
    <row r="8" customFormat="false" ht="16" hidden="false" customHeight="false" outlineLevel="0" collapsed="false">
      <c r="A8" s="8" t="s">
        <v>472</v>
      </c>
      <c r="B8" s="306" t="n">
        <f aca="false">IF(ISBLANK(B7), "",B6/B7-B6)</f>
        <v>30</v>
      </c>
      <c r="C8" s="306" t="n">
        <f aca="false">IF(ISBLANK(C7), "",C6/C7-C6)</f>
        <v>36.6666666666667</v>
      </c>
      <c r="D8" s="306" t="n">
        <f aca="false">IF(ISBLANK(D7), "",D6/D7-D6)</f>
        <v>30</v>
      </c>
      <c r="E8" s="306" t="str">
        <f aca="false">IF(ISBLANK(E7), "",E6/E7-E6)</f>
        <v/>
      </c>
      <c r="F8" s="306" t="str">
        <f aca="false">IF(ISBLANK(F7), "",F6/F7-F6)</f>
        <v/>
      </c>
      <c r="G8" s="306" t="str">
        <f aca="false">IF(ISBLANK(G7), "",G6/G7-G6)</f>
        <v/>
      </c>
      <c r="H8" s="306" t="str">
        <f aca="false">IF(ISBLANK(H7), "",H6/H7-H6)</f>
        <v/>
      </c>
      <c r="I8" s="306" t="str">
        <f aca="false">IF(ISBLANK(I7), "",I6/I7-I6)</f>
        <v/>
      </c>
      <c r="J8" s="306" t="str">
        <f aca="false">IF(ISBLANK(J7), "",J6/J7-J6)</f>
        <v/>
      </c>
      <c r="K8" s="306" t="str">
        <f aca="false">IF(ISBLANK(K7), "",K6/K7-K6)</f>
        <v/>
      </c>
      <c r="L8" s="306" t="str">
        <f aca="false">IF(ISBLANK(L7), "",L6/L7-L6)</f>
        <v/>
      </c>
      <c r="M8" s="306" t="str">
        <f aca="false">IF(ISBLANK(M7), "",M6/M7-M6)</f>
        <v/>
      </c>
      <c r="N8" s="306" t="str">
        <f aca="false">IF(ISBLANK(N7), "",N6/N7-N6)</f>
        <v/>
      </c>
      <c r="O8" s="306" t="str">
        <f aca="false">IF(ISBLANK(O7), "",O6/O7-O6)</f>
        <v/>
      </c>
    </row>
    <row r="27" customFormat="false" ht="14" hidden="false" customHeight="true" outlineLevel="0" collapsed="false"/>
    <row r="28" customFormat="false" ht="60" hidden="false" customHeight="true" outlineLevel="0" collapsed="false"/>
  </sheetData>
  <mergeCells count="1">
    <mergeCell ref="A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F6D81DD-D5DE-48C9-A678-B9F4F1E41E2C}">
            <xm:f>B$3&gt;'Fiche PIC'!$B$7</xm:f>
            <x14:dxf>
              <font>
                <color rgb="FF000000"/>
              </font>
              <fill>
                <patternFill>
                  <bgColor rgb="FFBFBFBF"/>
                </patternFill>
              </fill>
            </x14:dxf>
          </x14:cfRule>
          <xm:sqref>B4:O8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AO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6" zeroHeight="false" outlineLevelRow="0" outlineLevelCol="0"/>
  <cols>
    <col collapsed="false" customWidth="true" hidden="false" outlineLevel="0" max="1" min="1" style="16" width="14"/>
    <col collapsed="false" customWidth="true" hidden="false" outlineLevel="0" max="2" min="2" style="16" width="15.16"/>
    <col collapsed="false" customWidth="true" hidden="false" outlineLevel="0" max="3" min="3" style="0" width="42.51"/>
    <col collapsed="false" customWidth="true" hidden="false" outlineLevel="0" max="4" min="4" style="0" width="14.33"/>
    <col collapsed="false" customWidth="true" hidden="false" outlineLevel="0" max="6" min="5" style="0" width="12.33"/>
    <col collapsed="false" customWidth="true" hidden="false" outlineLevel="0" max="13" min="7" style="0" width="11.5"/>
    <col collapsed="false" customWidth="false" hidden="false" outlineLevel="0" max="17" min="14" style="125" width="11"/>
    <col collapsed="false" customWidth="true" hidden="false" outlineLevel="0" max="18" min="18" style="125" width="18"/>
    <col collapsed="false" customWidth="false" hidden="false" outlineLevel="0" max="39" min="19" style="125" width="11"/>
  </cols>
  <sheetData>
    <row r="1" customFormat="false" ht="24" hidden="false" customHeight="false" outlineLevel="0" collapsed="false">
      <c r="A1" s="146" t="s">
        <v>473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26"/>
      <c r="P1" s="126"/>
    </row>
    <row r="2" customFormat="false" ht="21" hidden="false" customHeight="true" outlineLevel="0" collapsed="false">
      <c r="A2" s="152"/>
      <c r="B2" s="307"/>
      <c r="C2" s="134"/>
      <c r="G2" s="125"/>
      <c r="H2" s="125"/>
      <c r="I2" s="125"/>
      <c r="J2" s="125"/>
      <c r="K2" s="125"/>
      <c r="L2" s="125"/>
      <c r="M2" s="125"/>
    </row>
    <row r="3" s="127" customFormat="true" ht="15" hidden="false" customHeight="true" outlineLevel="0" collapsed="false">
      <c r="A3" s="153" t="s">
        <v>231</v>
      </c>
      <c r="B3" s="154" t="s">
        <v>474</v>
      </c>
      <c r="C3" s="155" t="s">
        <v>475</v>
      </c>
      <c r="D3" s="155" t="s">
        <v>476</v>
      </c>
      <c r="E3" s="155" t="s">
        <v>477</v>
      </c>
      <c r="F3" s="155" t="s">
        <v>478</v>
      </c>
      <c r="G3" s="155" t="s">
        <v>479</v>
      </c>
      <c r="H3" s="155" t="s">
        <v>184</v>
      </c>
      <c r="I3" s="156" t="s">
        <v>192</v>
      </c>
      <c r="J3" s="156" t="s">
        <v>377</v>
      </c>
      <c r="K3" s="155" t="s">
        <v>109</v>
      </c>
      <c r="L3" s="155" t="s">
        <v>110</v>
      </c>
      <c r="M3" s="155" t="s">
        <v>111</v>
      </c>
      <c r="N3" s="308"/>
      <c r="O3" s="158" t="s">
        <v>369</v>
      </c>
      <c r="P3" s="158" t="s">
        <v>480</v>
      </c>
      <c r="Q3" s="158" t="s">
        <v>481</v>
      </c>
      <c r="R3" s="158" t="s">
        <v>482</v>
      </c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</row>
    <row r="4" customFormat="false" ht="15" hidden="false" customHeight="true" outlineLevel="0" collapsed="false">
      <c r="A4" s="172" t="n">
        <v>1</v>
      </c>
      <c r="B4" s="172" t="s">
        <v>109</v>
      </c>
      <c r="C4" s="101" t="s">
        <v>483</v>
      </c>
      <c r="D4" s="309" t="n">
        <v>45331</v>
      </c>
      <c r="E4" s="309" t="n">
        <v>45335</v>
      </c>
      <c r="F4" s="8" t="n">
        <f aca="false">IF(ISBLANK(Backlog4[[#This Row],[Ouvert le ]]),"",VLOOKUP(Backlog4[[#This Row],[Ouvert le ]],Calendriers!$A$3:$C$368,3))</f>
        <v>15</v>
      </c>
      <c r="G4" s="310" t="n">
        <f aca="false">IF(ISBLANK(Backlog4[[#This Row],[Fermé le ]]),"",VLOOKUP(Backlog4[[#This Row],[Fermé le ]],Calendriers!$A$3:$C$368,3))</f>
        <v>17</v>
      </c>
      <c r="H4" s="8" t="n">
        <f aca="false">IF(ISBLANK(Backlog4[[#This Row],[Ouvert le ]]),"",IF(ISBLANK(Backlog4[[#This Row],[Fermé le ]]),1,0))</f>
        <v>0</v>
      </c>
      <c r="I4" s="138" t="str">
        <f aca="false">IF(Backlog4[[#This Row],[Statut]]=1,$A$27-Backlog4[[#This Row],[Jour ouvert]],"")</f>
        <v/>
      </c>
      <c r="J4" s="138" t="n">
        <f aca="false">IF(Backlog4[[#This Row],[Statut]]="","",IF(Backlog4[[#This Row],[Statut]]=0,Backlog4[[#This Row],[Jour ferme]]-Backlog4[[#This Row],[Jour ouvert]],$A$27-Backlog4[[#This Row],[Jour ouvert]]))</f>
        <v>2</v>
      </c>
      <c r="K4" s="101" t="n">
        <f aca="false">IF(Backlog4[[#This Row],[Gravité]]=$O$6,1,0)</f>
        <v>1</v>
      </c>
      <c r="L4" s="101" t="n">
        <f aca="false">IF(Backlog4[[#This Row],[Gravité]]=$O$5,1,0)</f>
        <v>0</v>
      </c>
      <c r="M4" s="101" t="n">
        <f aca="false">IF(Backlog4[[#This Row],[Gravité]]=$O$4,1,0)</f>
        <v>0</v>
      </c>
      <c r="N4" s="160"/>
      <c r="O4" s="311" t="s">
        <v>111</v>
      </c>
      <c r="P4" s="163" t="n">
        <f aca="false">_xlfn.MAXIFS(Backlog4[Age],Backlog4[CRITIQUE],1)</f>
        <v>1</v>
      </c>
      <c r="Q4" s="312" t="n">
        <f aca="false">IF(P4&gt;0,AVERAGEIFS(Backlog4[Age],Backlog4[CRITIQUE],1),0)</f>
        <v>1</v>
      </c>
      <c r="R4" s="163" t="n">
        <f aca="false">IF(P4&gt;0,AVERAGEIFS(Backlog4[Délai],Backlog4[CRITIQUE],1),0)</f>
        <v>1</v>
      </c>
      <c r="AN4" s="125"/>
      <c r="AO4" s="125"/>
    </row>
    <row r="5" customFormat="false" ht="15" hidden="false" customHeight="true" outlineLevel="0" collapsed="false">
      <c r="A5" s="172" t="n">
        <v>2</v>
      </c>
      <c r="B5" s="172" t="s">
        <v>109</v>
      </c>
      <c r="C5" s="101" t="s">
        <v>484</v>
      </c>
      <c r="D5" s="309" t="n">
        <v>45339</v>
      </c>
      <c r="E5" s="309" t="n">
        <v>45341</v>
      </c>
      <c r="F5" s="310" t="n">
        <f aca="false">IF(ISBLANK(Backlog4[[#This Row],[Ouvert le ]]),"",VLOOKUP(Backlog4[[#This Row],[Ouvert le ]],Calendriers!$A$3:$C$368,3))</f>
        <v>21</v>
      </c>
      <c r="G5" s="310" t="n">
        <f aca="false">IF(ISBLANK(Backlog4[[#This Row],[Fermé le ]]),"",VLOOKUP(Backlog4[[#This Row],[Fermé le ]],Calendriers!$A$3:$C$368,3))</f>
        <v>23</v>
      </c>
      <c r="H5" s="8" t="n">
        <f aca="false">IF(ISBLANK(Backlog4[[#This Row],[Ouvert le ]]),"",IF(ISBLANK(Backlog4[[#This Row],[Fermé le ]]),1,0))</f>
        <v>0</v>
      </c>
      <c r="I5" s="138" t="str">
        <f aca="false">IF(Backlog4[[#This Row],[Statut]]=1,$A$27-Backlog4[[#This Row],[Jour ouvert]],"")</f>
        <v/>
      </c>
      <c r="J5" s="138" t="n">
        <f aca="false">IF(Backlog4[[#This Row],[Statut]]="","",IF(Backlog4[[#This Row],[Statut]]=0,Backlog4[[#This Row],[Jour ferme]]-Backlog4[[#This Row],[Jour ouvert]],$A$27-Backlog4[[#This Row],[Jour ouvert]]))</f>
        <v>2</v>
      </c>
      <c r="K5" s="101" t="n">
        <f aca="false">IF(Backlog4[[#This Row],[Gravité]]=$O$6,1,0)</f>
        <v>1</v>
      </c>
      <c r="L5" s="101" t="n">
        <f aca="false">IF(Backlog4[[#This Row],[Gravité]]=$O$5,1,0)</f>
        <v>0</v>
      </c>
      <c r="M5" s="101" t="n">
        <f aca="false">IF(Backlog4[[#This Row],[Gravité]]=$O$4,1,0)</f>
        <v>0</v>
      </c>
      <c r="N5" s="160"/>
      <c r="O5" s="311" t="s">
        <v>110</v>
      </c>
      <c r="P5" s="163" t="n">
        <f aca="false">_xlfn.MAXIFS(Backlog4[Age],Backlog4[MAJEUR],1)</f>
        <v>2</v>
      </c>
      <c r="Q5" s="312" t="n">
        <f aca="false">IF(P5&gt;0,AVERAGEIFS(Backlog4[Age],Backlog4[MAJEUR],1),0)</f>
        <v>2</v>
      </c>
      <c r="R5" s="163" t="n">
        <f aca="false">IF(P5&gt;0,AVERAGEIFS(Backlog4[Délai],Backlog4[MAJEUR],1),0)</f>
        <v>2.5</v>
      </c>
      <c r="AN5" s="125"/>
      <c r="AO5" s="125"/>
    </row>
    <row r="6" customFormat="false" ht="15" hidden="false" customHeight="true" outlineLevel="0" collapsed="false">
      <c r="A6" s="172" t="n">
        <v>3</v>
      </c>
      <c r="B6" s="172" t="s">
        <v>109</v>
      </c>
      <c r="C6" s="101" t="s">
        <v>485</v>
      </c>
      <c r="D6" s="309" t="n">
        <v>45345</v>
      </c>
      <c r="E6" s="309" t="n">
        <v>45372</v>
      </c>
      <c r="F6" s="310" t="n">
        <f aca="false">IF(ISBLANK(Backlog4[[#This Row],[Ouvert le ]]),"",VLOOKUP(Backlog4[[#This Row],[Ouvert le ]],Calendriers!$A$3:$C$368,3))</f>
        <v>27</v>
      </c>
      <c r="G6" s="101" t="n">
        <f aca="false">IF(ISBLANK(Backlog4[[#This Row],[Fermé le ]]),"",VLOOKUP(Backlog4[[#This Row],[Fermé le ]],Calendriers!$A$3:$C$368,3))</f>
        <v>41</v>
      </c>
      <c r="H6" s="8" t="n">
        <f aca="false">IF(ISBLANK(Backlog4[[#This Row],[Ouvert le ]]),"",IF(ISBLANK(Backlog4[[#This Row],[Fermé le ]]),1,0))</f>
        <v>0</v>
      </c>
      <c r="I6" s="138" t="str">
        <f aca="false">IF(Backlog4[[#This Row],[Statut]]=1,$A$27-Backlog4[[#This Row],[Jour ouvert]],"")</f>
        <v/>
      </c>
      <c r="J6" s="138" t="n">
        <f aca="false">IF(Backlog4[[#This Row],[Statut]]="","",IF(Backlog4[[#This Row],[Statut]]=0,Backlog4[[#This Row],[Jour ferme]]-Backlog4[[#This Row],[Jour ouvert]],$A$27-Backlog4[[#This Row],[Jour ouvert]]))</f>
        <v>14</v>
      </c>
      <c r="K6" s="101" t="n">
        <f aca="false">IF(Backlog4[[#This Row],[Gravité]]=$O$6,1,0)</f>
        <v>1</v>
      </c>
      <c r="L6" s="101" t="n">
        <f aca="false">IF(Backlog4[[#This Row],[Gravité]]=$O$5,1,0)</f>
        <v>0</v>
      </c>
      <c r="M6" s="101" t="n">
        <f aca="false">IF(Backlog4[[#This Row],[Gravité]]=$O$4,1,0)</f>
        <v>0</v>
      </c>
      <c r="N6" s="160"/>
      <c r="O6" s="311" t="s">
        <v>109</v>
      </c>
      <c r="P6" s="163" t="n">
        <f aca="false">_xlfn.MAXIFS(Backlog4[Age],Backlog4[mineur],1)</f>
        <v>15</v>
      </c>
      <c r="Q6" s="312" t="n">
        <f aca="false">IF(P6&gt;0,AVERAGEIFS(Backlog4[Age],Backlog4[mineur],1),0)</f>
        <v>8.5</v>
      </c>
      <c r="R6" s="163" t="n">
        <f aca="false">IF(P6&gt;0,AVERAGEIFS(Backlog4[Délai],Backlog4[mineur],1),0)</f>
        <v>7</v>
      </c>
      <c r="AN6" s="125"/>
      <c r="AO6" s="125"/>
    </row>
    <row r="7" customFormat="false" ht="15" hidden="false" customHeight="true" outlineLevel="0" collapsed="false">
      <c r="A7" s="172" t="n">
        <v>4</v>
      </c>
      <c r="B7" s="172" t="s">
        <v>109</v>
      </c>
      <c r="C7" s="101" t="s">
        <v>486</v>
      </c>
      <c r="D7" s="309" t="n">
        <v>45345</v>
      </c>
      <c r="E7" s="309"/>
      <c r="F7" s="310" t="n">
        <f aca="false">IF(ISBLANK(Backlog4[[#This Row],[Ouvert le ]]),"",VLOOKUP(Backlog4[[#This Row],[Ouvert le ]],Calendriers!$A$3:$C$368,3))</f>
        <v>27</v>
      </c>
      <c r="G7" s="101" t="str">
        <f aca="false">IF(ISBLANK(Backlog4[[#This Row],[Fermé le ]]),"",VLOOKUP(Backlog4[[#This Row],[Fermé le ]],Calendriers!$A$3:$C$368,3))</f>
        <v/>
      </c>
      <c r="H7" s="8" t="n">
        <f aca="false">IF(ISBLANK(Backlog4[[#This Row],[Ouvert le ]]),"",IF(ISBLANK(Backlog4[[#This Row],[Fermé le ]]),1,0))</f>
        <v>1</v>
      </c>
      <c r="I7" s="138" t="n">
        <f aca="false">IF(Backlog4[[#This Row],[Statut]]=1,$A$27-Backlog4[[#This Row],[Jour ouvert]],"")</f>
        <v>15</v>
      </c>
      <c r="J7" s="138" t="n">
        <f aca="false">IF(Backlog4[[#This Row],[Statut]]="","",IF(Backlog4[[#This Row],[Statut]]=0,Backlog4[[#This Row],[Jour ferme]]-Backlog4[[#This Row],[Jour ouvert]],$A$27-Backlog4[[#This Row],[Jour ouvert]]))</f>
        <v>15</v>
      </c>
      <c r="K7" s="101" t="n">
        <f aca="false">IF(Backlog4[[#This Row],[Gravité]]=$O$6,1,0)</f>
        <v>1</v>
      </c>
      <c r="L7" s="101" t="n">
        <f aca="false">IF(Backlog4[[#This Row],[Gravité]]=$O$5,1,0)</f>
        <v>0</v>
      </c>
      <c r="M7" s="101" t="n">
        <f aca="false">IF(Backlog4[[#This Row],[Gravité]]=$O$4,1,0)</f>
        <v>0</v>
      </c>
      <c r="N7" s="160"/>
      <c r="O7" s="311"/>
      <c r="P7" s="163"/>
      <c r="AN7" s="125"/>
      <c r="AO7" s="125"/>
    </row>
    <row r="8" customFormat="false" ht="15" hidden="false" customHeight="true" outlineLevel="0" collapsed="false">
      <c r="A8" s="172" t="n">
        <v>5</v>
      </c>
      <c r="B8" s="172" t="s">
        <v>110</v>
      </c>
      <c r="C8" s="101" t="s">
        <v>487</v>
      </c>
      <c r="D8" s="309" t="n">
        <v>45369</v>
      </c>
      <c r="E8" s="309" t="n">
        <v>45372</v>
      </c>
      <c r="F8" s="310" t="n">
        <f aca="false">IF(ISBLANK(Backlog4[[#This Row],[Ouvert le ]]),"",VLOOKUP(Backlog4[[#This Row],[Ouvert le ]],Calendriers!$A$3:$C$368,3))</f>
        <v>38</v>
      </c>
      <c r="G8" s="101" t="n">
        <f aca="false">IF(ISBLANK(Backlog4[[#This Row],[Fermé le ]]),"",VLOOKUP(Backlog4[[#This Row],[Fermé le ]],Calendriers!$A$3:$C$368,3))</f>
        <v>41</v>
      </c>
      <c r="H8" s="8" t="n">
        <f aca="false">IF(ISBLANK(Backlog4[[#This Row],[Ouvert le ]]),"",IF(ISBLANK(Backlog4[[#This Row],[Fermé le ]]),1,0))</f>
        <v>0</v>
      </c>
      <c r="I8" s="138" t="str">
        <f aca="false">IF(Backlog4[[#This Row],[Statut]]=1,$A$27-Backlog4[[#This Row],[Jour ouvert]],"")</f>
        <v/>
      </c>
      <c r="J8" s="138" t="n">
        <f aca="false">IF(Backlog4[[#This Row],[Statut]]="","",IF(Backlog4[[#This Row],[Statut]]=0,Backlog4[[#This Row],[Jour ferme]]-Backlog4[[#This Row],[Jour ouvert]],$A$27-Backlog4[[#This Row],[Jour ouvert]]))</f>
        <v>3</v>
      </c>
      <c r="K8" s="101" t="n">
        <f aca="false">IF(Backlog4[[#This Row],[Gravité]]=$O$6,1,0)</f>
        <v>0</v>
      </c>
      <c r="L8" s="101" t="n">
        <f aca="false">IF(Backlog4[[#This Row],[Gravité]]=$O$5,1,0)</f>
        <v>1</v>
      </c>
      <c r="M8" s="101" t="n">
        <f aca="false">IF(Backlog4[[#This Row],[Gravité]]=$O$4,1,0)</f>
        <v>0</v>
      </c>
      <c r="N8" s="160"/>
      <c r="O8" s="311"/>
      <c r="P8" s="163"/>
      <c r="AN8" s="125"/>
      <c r="AO8" s="125"/>
    </row>
    <row r="9" customFormat="false" ht="15" hidden="false" customHeight="true" outlineLevel="0" collapsed="false">
      <c r="A9" s="172" t="n">
        <v>6</v>
      </c>
      <c r="B9" s="172" t="s">
        <v>111</v>
      </c>
      <c r="C9" s="101" t="s">
        <v>488</v>
      </c>
      <c r="D9" s="309" t="n">
        <v>45358</v>
      </c>
      <c r="E9" s="309" t="n">
        <v>45359</v>
      </c>
      <c r="F9" s="310" t="n">
        <f aca="false">IF(ISBLANK(Backlog4[[#This Row],[Ouvert le ]]),"",VLOOKUP(Backlog4[[#This Row],[Ouvert le ]],Calendriers!$A$3:$C$368,3))</f>
        <v>31</v>
      </c>
      <c r="G9" s="8" t="n">
        <f aca="false">IF(ISBLANK(Backlog4[[#This Row],[Fermé le ]]),"",VLOOKUP(Backlog4[[#This Row],[Fermé le ]],Calendriers!$A$3:$C$368,3))</f>
        <v>32</v>
      </c>
      <c r="H9" s="8" t="n">
        <f aca="false">IF(ISBLANK(Backlog4[[#This Row],[Ouvert le ]]),"",IF(ISBLANK(Backlog4[[#This Row],[Fermé le ]]),1,0))</f>
        <v>0</v>
      </c>
      <c r="I9" s="138" t="str">
        <f aca="false">IF(Backlog4[[#This Row],[Statut]]=1,$A$27-Backlog4[[#This Row],[Jour ouvert]],"")</f>
        <v/>
      </c>
      <c r="J9" s="138" t="n">
        <f aca="false">IF(Backlog4[[#This Row],[Statut]]="","",IF(Backlog4[[#This Row],[Statut]]=0,Backlog4[[#This Row],[Jour ferme]]-Backlog4[[#This Row],[Jour ouvert]],$A$27-Backlog4[[#This Row],[Jour ouvert]]))</f>
        <v>1</v>
      </c>
      <c r="K9" s="101" t="n">
        <f aca="false">IF(Backlog4[[#This Row],[Gravité]]=$O$6,1,0)</f>
        <v>0</v>
      </c>
      <c r="L9" s="101" t="n">
        <f aca="false">IF(Backlog4[[#This Row],[Gravité]]=$O$5,1,0)</f>
        <v>0</v>
      </c>
      <c r="M9" s="101" t="n">
        <f aca="false">IF(Backlog4[[#This Row],[Gravité]]=$O$4,1,0)</f>
        <v>1</v>
      </c>
      <c r="N9" s="160"/>
      <c r="AN9" s="125"/>
      <c r="AO9" s="125"/>
    </row>
    <row r="10" customFormat="false" ht="15" hidden="false" customHeight="true" outlineLevel="0" collapsed="false">
      <c r="A10" s="172" t="n">
        <v>7</v>
      </c>
      <c r="B10" s="172" t="s">
        <v>110</v>
      </c>
      <c r="C10" s="101" t="s">
        <v>489</v>
      </c>
      <c r="D10" s="309" t="n">
        <v>45371</v>
      </c>
      <c r="E10" s="309"/>
      <c r="F10" s="8" t="n">
        <f aca="false">IF(ISBLANK(Backlog4[[#This Row],[Ouvert le ]]),"",VLOOKUP(Backlog4[[#This Row],[Ouvert le ]],Calendriers!$A$3:$C$368,3))</f>
        <v>40</v>
      </c>
      <c r="G10" s="8" t="str">
        <f aca="false">IF(ISBLANK(Backlog4[[#This Row],[Fermé le ]]),"",VLOOKUP(Backlog4[[#This Row],[Fermé le ]],Calendriers!$A$3:$C$368,3))</f>
        <v/>
      </c>
      <c r="H10" s="8" t="n">
        <f aca="false">IF(ISBLANK(Backlog4[[#This Row],[Ouvert le ]]),"",IF(ISBLANK(Backlog4[[#This Row],[Fermé le ]]),1,0))</f>
        <v>1</v>
      </c>
      <c r="I10" s="138" t="n">
        <f aca="false">IF(Backlog4[[#This Row],[Statut]]=1,$A$27-Backlog4[[#This Row],[Jour ouvert]],"")</f>
        <v>2</v>
      </c>
      <c r="J10" s="138" t="n">
        <f aca="false">IF(Backlog4[[#This Row],[Statut]]="","",IF(Backlog4[[#This Row],[Statut]]=0,Backlog4[[#This Row],[Jour ferme]]-Backlog4[[#This Row],[Jour ouvert]],$A$27-Backlog4[[#This Row],[Jour ouvert]]))</f>
        <v>2</v>
      </c>
      <c r="K10" s="101" t="n">
        <f aca="false">IF(Backlog4[[#This Row],[Gravité]]=$O$6,1,0)</f>
        <v>0</v>
      </c>
      <c r="L10" s="101" t="n">
        <f aca="false">IF(Backlog4[[#This Row],[Gravité]]=$O$5,1,0)</f>
        <v>1</v>
      </c>
      <c r="M10" s="101" t="n">
        <f aca="false">IF(Backlog4[[#This Row],[Gravité]]=$O$4,1,0)</f>
        <v>0</v>
      </c>
      <c r="N10" s="160"/>
      <c r="AN10" s="125"/>
      <c r="AO10" s="125"/>
    </row>
    <row r="11" customFormat="false" ht="15" hidden="false" customHeight="true" outlineLevel="0" collapsed="false">
      <c r="A11" s="172" t="n">
        <v>8</v>
      </c>
      <c r="B11" s="172" t="s">
        <v>109</v>
      </c>
      <c r="C11" s="101" t="s">
        <v>490</v>
      </c>
      <c r="D11" s="309" t="n">
        <v>45371</v>
      </c>
      <c r="E11" s="309"/>
      <c r="F11" s="8" t="n">
        <f aca="false">IF(ISBLANK(Backlog4[[#This Row],[Ouvert le ]]),"",VLOOKUP(Backlog4[[#This Row],[Ouvert le ]],Calendriers!$A$3:$C$368,3))</f>
        <v>40</v>
      </c>
      <c r="G11" s="8" t="str">
        <f aca="false">IF(ISBLANK(Backlog4[[#This Row],[Fermé le ]]),"",VLOOKUP(Backlog4[[#This Row],[Fermé le ]],Calendriers!$A$3:$C$368,3))</f>
        <v/>
      </c>
      <c r="H11" s="8" t="n">
        <f aca="false">IF(ISBLANK(Backlog4[[#This Row],[Ouvert le ]]),"",IF(ISBLANK(Backlog4[[#This Row],[Fermé le ]]),1,0))</f>
        <v>1</v>
      </c>
      <c r="I11" s="138" t="n">
        <f aca="false">IF(Backlog4[[#This Row],[Statut]]=1,$A$27-Backlog4[[#This Row],[Jour ouvert]],"")</f>
        <v>2</v>
      </c>
      <c r="J11" s="138" t="n">
        <f aca="false">IF(Backlog4[[#This Row],[Statut]]="","",IF(Backlog4[[#This Row],[Statut]]=0,Backlog4[[#This Row],[Jour ferme]]-Backlog4[[#This Row],[Jour ouvert]],$A$27-Backlog4[[#This Row],[Jour ouvert]]))</f>
        <v>2</v>
      </c>
      <c r="K11" s="101" t="n">
        <f aca="false">IF(Backlog4[[#This Row],[Gravité]]=$O$6,1,0)</f>
        <v>1</v>
      </c>
      <c r="L11" s="101" t="n">
        <f aca="false">IF(Backlog4[[#This Row],[Gravité]]=$O$5,1,0)</f>
        <v>0</v>
      </c>
      <c r="M11" s="101" t="n">
        <f aca="false">IF(Backlog4[[#This Row],[Gravité]]=$O$4,1,0)</f>
        <v>0</v>
      </c>
      <c r="N11" s="160"/>
      <c r="AN11" s="125"/>
      <c r="AO11" s="125"/>
    </row>
    <row r="12" customFormat="false" ht="15" hidden="false" customHeight="true" outlineLevel="0" collapsed="false">
      <c r="A12" s="172" t="n">
        <v>10</v>
      </c>
      <c r="B12" s="172" t="s">
        <v>111</v>
      </c>
      <c r="C12" s="101" t="s">
        <v>491</v>
      </c>
      <c r="D12" s="309" t="n">
        <v>45372</v>
      </c>
      <c r="E12" s="101"/>
      <c r="F12" s="8" t="n">
        <f aca="false">IF(ISBLANK(Backlog4[[#This Row],[Ouvert le ]]),"",VLOOKUP(Backlog4[[#This Row],[Ouvert le ]],Calendriers!$A$3:$C$368,3))</f>
        <v>41</v>
      </c>
      <c r="G12" s="8" t="str">
        <f aca="false">IF(ISBLANK(Backlog4[[#This Row],[Fermé le ]]),"",VLOOKUP(Backlog4[[#This Row],[Fermé le ]],Calendriers!$A$3:$C$368,3))</f>
        <v/>
      </c>
      <c r="H12" s="8" t="n">
        <f aca="false">IF(ISBLANK(Backlog4[[#This Row],[Ouvert le ]]),"",IF(ISBLANK(Backlog4[[#This Row],[Fermé le ]]),1,0))</f>
        <v>1</v>
      </c>
      <c r="I12" s="138" t="n">
        <f aca="false">IF(Backlog4[[#This Row],[Statut]]=1,$A$27-Backlog4[[#This Row],[Jour ouvert]],"")</f>
        <v>1</v>
      </c>
      <c r="J12" s="138" t="n">
        <f aca="false">IF(Backlog4[[#This Row],[Statut]]="","",IF(Backlog4[[#This Row],[Statut]]=0,Backlog4[[#This Row],[Jour ferme]]-Backlog4[[#This Row],[Jour ouvert]],$A$27-Backlog4[[#This Row],[Jour ouvert]]))</f>
        <v>1</v>
      </c>
      <c r="K12" s="101" t="n">
        <f aca="false">IF(Backlog4[[#This Row],[Gravité]]=$O$6,1,0)</f>
        <v>0</v>
      </c>
      <c r="L12" s="101" t="n">
        <f aca="false">IF(Backlog4[[#This Row],[Gravité]]=$O$5,1,0)</f>
        <v>0</v>
      </c>
      <c r="M12" s="101" t="n">
        <f aca="false">IF(Backlog4[[#This Row],[Gravité]]=$O$4,1,0)</f>
        <v>1</v>
      </c>
      <c r="N12" s="160"/>
      <c r="AN12" s="125"/>
      <c r="AO12" s="125"/>
    </row>
    <row r="13" customFormat="false" ht="15" hidden="false" customHeight="true" outlineLevel="0" collapsed="false">
      <c r="A13" s="172" t="n">
        <v>11</v>
      </c>
      <c r="B13" s="172"/>
      <c r="C13" s="101"/>
      <c r="D13" s="309"/>
      <c r="E13" s="101"/>
      <c r="F13" s="8"/>
      <c r="G13" s="8" t="str">
        <f aca="false">IF(ISBLANK(Backlog4[[#This Row],[Fermé le ]]),"",VLOOKUP(Backlog4[[#This Row],[Fermé le ]],Calendriers!$A$3:$C$368,3))</f>
        <v/>
      </c>
      <c r="H13" s="8" t="str">
        <f aca="false">IF(ISBLANK(Backlog4[[#This Row],[Ouvert le ]]),"",IF(ISBLANK(Backlog4[[#This Row],[Fermé le ]]),1,0))</f>
        <v/>
      </c>
      <c r="I13" s="138" t="str">
        <f aca="false">IF(Backlog4[[#This Row],[Statut]]=1,$A$27-Backlog4[[#This Row],[Jour ouvert]],"")</f>
        <v/>
      </c>
      <c r="J13" s="138" t="str">
        <f aca="false">IF(Backlog4[[#This Row],[Statut]]="","",IF(Backlog4[[#This Row],[Statut]]=0,Backlog4[[#This Row],[Jour ferme]]-Backlog4[[#This Row],[Jour ouvert]],$A$27-Backlog4[[#This Row],[Jour ouvert]]))</f>
        <v/>
      </c>
      <c r="K13" s="101" t="n">
        <f aca="false">IF(Backlog4[[#This Row],[Gravité]]=$O$6,1,0)</f>
        <v>0</v>
      </c>
      <c r="L13" s="101" t="n">
        <f aca="false">IF(Backlog4[[#This Row],[Gravité]]=$O$5,1,0)</f>
        <v>0</v>
      </c>
      <c r="M13" s="101" t="n">
        <f aca="false">IF(Backlog4[[#This Row],[Gravité]]=$O$4,1,0)</f>
        <v>0</v>
      </c>
      <c r="N13" s="160"/>
      <c r="AN13" s="125"/>
      <c r="AO13" s="125"/>
    </row>
    <row r="14" customFormat="false" ht="15" hidden="false" customHeight="true" outlineLevel="0" collapsed="false">
      <c r="A14" s="172" t="n">
        <v>12</v>
      </c>
      <c r="B14" s="172"/>
      <c r="C14" s="101"/>
      <c r="D14" s="309"/>
      <c r="E14" s="101"/>
      <c r="F14" s="8" t="str">
        <f aca="false">IF(ISBLANK(Backlog4[[#This Row],[Ouvert le ]]),"",VLOOKUP(Backlog4[[#This Row],[Ouvert le ]],Calendriers!$A$3:$C$368,3))</f>
        <v/>
      </c>
      <c r="G14" s="8" t="str">
        <f aca="false">IF(ISBLANK(Backlog4[[#This Row],[Fermé le ]]),"",VLOOKUP(Backlog4[[#This Row],[Fermé le ]],Calendriers!$A$3:$C$368,3))</f>
        <v/>
      </c>
      <c r="H14" s="8" t="str">
        <f aca="false">IF(ISBLANK(Backlog4[[#This Row],[Ouvert le ]]),"",IF(ISBLANK(Backlog4[[#This Row],[Fermé le ]]),1,0))</f>
        <v/>
      </c>
      <c r="I14" s="138" t="str">
        <f aca="false">IF(Backlog4[[#This Row],[Statut]]=1,$A$27-Backlog4[[#This Row],[Jour ouvert]],"")</f>
        <v/>
      </c>
      <c r="J14" s="138" t="str">
        <f aca="false">IF(Backlog4[[#This Row],[Statut]]="","",IF(Backlog4[[#This Row],[Statut]]=0,Backlog4[[#This Row],[Jour ferme]]-Backlog4[[#This Row],[Jour ouvert]],$A$27-Backlog4[[#This Row],[Jour ouvert]]))</f>
        <v/>
      </c>
      <c r="K14" s="101" t="n">
        <f aca="false">IF(Backlog4[[#This Row],[Gravité]]=$O$6,1,0)</f>
        <v>0</v>
      </c>
      <c r="L14" s="101" t="n">
        <f aca="false">IF(Backlog4[[#This Row],[Gravité]]=$O$5,1,0)</f>
        <v>0</v>
      </c>
      <c r="M14" s="101" t="n">
        <f aca="false">IF(Backlog4[[#This Row],[Gravité]]=$O$4,1,0)</f>
        <v>0</v>
      </c>
      <c r="N14" s="160"/>
      <c r="AN14" s="125"/>
      <c r="AO14" s="125"/>
    </row>
    <row r="15" customFormat="false" ht="15" hidden="false" customHeight="true" outlineLevel="0" collapsed="false">
      <c r="A15" s="172" t="n">
        <v>14</v>
      </c>
      <c r="B15" s="172"/>
      <c r="C15" s="101"/>
      <c r="D15" s="309"/>
      <c r="E15" s="101"/>
      <c r="F15" s="8"/>
      <c r="G15" s="8" t="str">
        <f aca="false">IF(ISBLANK(Backlog4[[#This Row],[Fermé le ]]),"",VLOOKUP(Backlog4[[#This Row],[Fermé le ]],Calendriers!$A$3:$C$368,3))</f>
        <v/>
      </c>
      <c r="H15" s="8" t="str">
        <f aca="false">IF(ISBLANK(Backlog4[[#This Row],[Ouvert le ]]),"",IF(ISBLANK(Backlog4[[#This Row],[Fermé le ]]),1,0))</f>
        <v/>
      </c>
      <c r="I15" s="138" t="str">
        <f aca="false">IF(Backlog4[[#This Row],[Statut]]=1,$A$27-Backlog4[[#This Row],[Jour ouvert]],"")</f>
        <v/>
      </c>
      <c r="J15" s="138" t="str">
        <f aca="false">IF(Backlog4[[#This Row],[Statut]]="","",IF(Backlog4[[#This Row],[Statut]]=0,Backlog4[[#This Row],[Jour ferme]]-Backlog4[[#This Row],[Jour ouvert]],$A$27-Backlog4[[#This Row],[Jour ouvert]]))</f>
        <v/>
      </c>
      <c r="K15" s="101" t="n">
        <f aca="false">IF(Backlog4[[#This Row],[Gravité]]=$O$6,1,0)</f>
        <v>0</v>
      </c>
      <c r="L15" s="101" t="n">
        <f aca="false">IF(Backlog4[[#This Row],[Gravité]]=$O$5,1,0)</f>
        <v>0</v>
      </c>
      <c r="M15" s="101" t="n">
        <f aca="false">IF(Backlog4[[#This Row],[Gravité]]=$O$4,1,0)</f>
        <v>0</v>
      </c>
      <c r="N15" s="160"/>
      <c r="AN15" s="125"/>
      <c r="AO15" s="125"/>
    </row>
    <row r="16" customFormat="false" ht="15" hidden="false" customHeight="true" outlineLevel="0" collapsed="false">
      <c r="A16" s="172" t="n">
        <v>15</v>
      </c>
      <c r="B16" s="172"/>
      <c r="C16" s="101"/>
      <c r="D16" s="309"/>
      <c r="E16" s="101"/>
      <c r="F16" s="8" t="str">
        <f aca="false">IF(ISBLANK(Backlog4[[#This Row],[Ouvert le ]]),"",VLOOKUP(Backlog4[[#This Row],[Ouvert le ]],Calendriers!$A$3:$C$368,3))</f>
        <v/>
      </c>
      <c r="G16" s="8" t="str">
        <f aca="false">IF(ISBLANK(Backlog4[[#This Row],[Fermé le ]]),"",VLOOKUP(Backlog4[[#This Row],[Fermé le ]],Calendriers!$A$3:$C$368,3))</f>
        <v/>
      </c>
      <c r="H16" s="8" t="str">
        <f aca="false">IF(ISBLANK(Backlog4[[#This Row],[Ouvert le ]]),"",IF(ISBLANK(Backlog4[[#This Row],[Fermé le ]]),1,0))</f>
        <v/>
      </c>
      <c r="I16" s="138" t="str">
        <f aca="false">IF(Backlog4[[#This Row],[Statut]]=1,$A$27-Backlog4[[#This Row],[Jour ouvert]],"")</f>
        <v/>
      </c>
      <c r="J16" s="138" t="str">
        <f aca="false">IF(Backlog4[[#This Row],[Statut]]="","",IF(Backlog4[[#This Row],[Statut]]=0,Backlog4[[#This Row],[Jour ferme]]-Backlog4[[#This Row],[Jour ouvert]],$A$27-Backlog4[[#This Row],[Jour ouvert]]))</f>
        <v/>
      </c>
      <c r="K16" s="101" t="n">
        <f aca="false">IF(Backlog4[[#This Row],[Gravité]]=$O$6,1,0)</f>
        <v>0</v>
      </c>
      <c r="L16" s="101" t="n">
        <f aca="false">IF(Backlog4[[#This Row],[Gravité]]=$O$5,1,0)</f>
        <v>0</v>
      </c>
      <c r="M16" s="101" t="n">
        <f aca="false">IF(Backlog4[[#This Row],[Gravité]]=$O$4,1,0)</f>
        <v>0</v>
      </c>
      <c r="N16" s="160"/>
      <c r="AN16" s="125"/>
      <c r="AO16" s="125"/>
    </row>
    <row r="17" customFormat="false" ht="15" hidden="false" customHeight="true" outlineLevel="0" collapsed="false">
      <c r="A17" s="313"/>
      <c r="B17" s="313"/>
      <c r="C17" s="314"/>
      <c r="D17" s="314"/>
      <c r="E17" s="314"/>
      <c r="F17" s="314"/>
      <c r="G17" s="314"/>
      <c r="H17" s="314"/>
      <c r="I17" s="314"/>
      <c r="J17" s="314"/>
      <c r="K17" s="314"/>
      <c r="L17" s="314"/>
      <c r="M17" s="314"/>
      <c r="N17" s="165"/>
      <c r="AN17" s="125"/>
      <c r="AO17" s="125"/>
    </row>
    <row r="18" customFormat="false" ht="15" hidden="false" customHeight="true" outlineLevel="0" collapsed="false">
      <c r="A18" s="152"/>
      <c r="B18" s="152"/>
      <c r="C18" s="134"/>
      <c r="D18" s="134"/>
      <c r="E18" s="134"/>
      <c r="F18" s="134"/>
      <c r="G18" s="125"/>
      <c r="H18" s="125"/>
      <c r="I18" s="125"/>
      <c r="J18" s="125"/>
      <c r="K18" s="125"/>
      <c r="L18" s="125"/>
      <c r="M18" s="125"/>
    </row>
    <row r="19" customFormat="false" ht="15" hidden="false" customHeight="true" outlineLevel="0" collapsed="false">
      <c r="A19" s="152"/>
      <c r="B19" s="152"/>
      <c r="C19" s="134"/>
      <c r="D19" s="134"/>
      <c r="E19" s="134"/>
      <c r="F19" s="134"/>
      <c r="G19" s="125"/>
      <c r="H19" s="125"/>
      <c r="I19" s="125"/>
      <c r="J19" s="125"/>
      <c r="K19" s="125"/>
      <c r="L19" s="125"/>
      <c r="M19" s="125"/>
    </row>
    <row r="20" customFormat="false" ht="15" hidden="false" customHeight="true" outlineLevel="0" collapsed="false">
      <c r="A20" s="152"/>
      <c r="B20" s="152"/>
      <c r="C20" s="134"/>
      <c r="D20" s="134"/>
      <c r="E20" s="134"/>
      <c r="F20" s="134"/>
      <c r="G20" s="125"/>
      <c r="H20" s="125"/>
      <c r="I20" s="125"/>
      <c r="J20" s="125"/>
      <c r="K20" s="125"/>
      <c r="L20" s="125"/>
      <c r="M20" s="125"/>
    </row>
    <row r="21" customFormat="false" ht="15" hidden="false" customHeight="true" outlineLevel="0" collapsed="false">
      <c r="A21" s="152"/>
      <c r="B21" s="152"/>
      <c r="C21" s="134"/>
      <c r="D21" s="134"/>
      <c r="E21" s="134"/>
      <c r="F21" s="134"/>
      <c r="G21" s="125"/>
      <c r="H21" s="125"/>
      <c r="I21" s="125"/>
      <c r="J21" s="125"/>
      <c r="K21" s="125"/>
      <c r="L21" s="125"/>
      <c r="M21" s="125"/>
    </row>
    <row r="22" customFormat="false" ht="15" hidden="false" customHeight="true" outlineLevel="0" collapsed="false">
      <c r="A22" s="152"/>
      <c r="B22" s="152"/>
      <c r="C22" s="134"/>
      <c r="D22" s="134"/>
      <c r="E22" s="134"/>
      <c r="F22" s="134"/>
    </row>
    <row r="23" customFormat="false" ht="15" hidden="false" customHeight="true" outlineLevel="0" collapsed="false">
      <c r="A23" s="152"/>
      <c r="B23" s="152"/>
      <c r="C23" s="134"/>
      <c r="D23" s="134"/>
      <c r="E23" s="134"/>
      <c r="F23" s="134"/>
    </row>
    <row r="24" customFormat="false" ht="15" hidden="false" customHeight="true" outlineLevel="0" collapsed="false">
      <c r="A24" s="152"/>
      <c r="B24" s="152"/>
      <c r="C24" s="134"/>
      <c r="D24" s="134"/>
      <c r="E24" s="134"/>
      <c r="F24" s="134"/>
    </row>
    <row r="25" customFormat="false" ht="15" hidden="false" customHeight="true" outlineLevel="0" collapsed="false">
      <c r="A25" s="152"/>
      <c r="B25" s="152"/>
      <c r="C25" s="134"/>
      <c r="D25" s="134"/>
      <c r="E25" s="134"/>
      <c r="F25" s="134"/>
      <c r="G25" s="125"/>
      <c r="H25" s="125"/>
      <c r="I25" s="125"/>
      <c r="J25" s="125"/>
      <c r="K25" s="125"/>
      <c r="L25" s="125"/>
      <c r="M25" s="125"/>
    </row>
    <row r="26" customFormat="false" ht="15" hidden="false" customHeight="true" outlineLevel="0" collapsed="false">
      <c r="A26" s="166"/>
      <c r="B26" s="166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</row>
    <row r="27" customFormat="false" ht="15" hidden="false" customHeight="true" outlineLevel="0" collapsed="false">
      <c r="A27" s="134" t="n">
        <f aca="false">VLOOKUP(C27,Calendriers!$A$3:$C$368,3)</f>
        <v>42</v>
      </c>
      <c r="B27" s="166"/>
      <c r="C27" s="315" t="n">
        <v>45373</v>
      </c>
      <c r="D27" s="125"/>
      <c r="E27" s="125"/>
      <c r="F27" s="125"/>
      <c r="G27" s="125"/>
      <c r="H27" s="125"/>
      <c r="I27" s="125"/>
      <c r="J27" s="125"/>
      <c r="K27" s="125"/>
      <c r="L27" s="125"/>
      <c r="M27" s="125"/>
    </row>
    <row r="28" customFormat="false" ht="15" hidden="false" customHeight="true" outlineLevel="0" collapsed="false">
      <c r="A28" s="152"/>
      <c r="B28" s="168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</row>
    <row r="29" customFormat="false" ht="18" hidden="false" customHeight="true" outlineLevel="0" collapsed="false">
      <c r="A29" s="316" t="s">
        <v>492</v>
      </c>
      <c r="B29" s="317" t="s">
        <v>66</v>
      </c>
      <c r="C29" s="318"/>
      <c r="D29" s="318" t="str">
        <f aca="false">$O$6</f>
        <v>mineur</v>
      </c>
      <c r="E29" s="318" t="str">
        <f aca="false">$O$5</f>
        <v>MAJEUR</v>
      </c>
      <c r="F29" s="318" t="str">
        <f aca="false">$O$4</f>
        <v>CRITIQUE</v>
      </c>
      <c r="G29" s="125"/>
      <c r="H29" s="125"/>
      <c r="I29" s="125"/>
      <c r="J29" s="125"/>
      <c r="K29" s="125"/>
      <c r="L29" s="125"/>
      <c r="M29" s="125"/>
    </row>
    <row r="30" customFormat="false" ht="15" hidden="false" customHeight="true" outlineLevel="0" collapsed="false">
      <c r="A30" s="319" t="n">
        <v>1</v>
      </c>
      <c r="B30" s="320" t="n">
        <f aca="false">VLOOKUP(Anomalies!$A30,Calendriers!$C$3:$D$368,2)</f>
        <v>45313</v>
      </c>
      <c r="C30" s="320"/>
      <c r="D30" s="163" t="n">
        <f aca="false">IF($A30="","",SUMIF(Backlog4[Jour ouvert],"&lt;=" &amp; $A30,Backlog4[mineur])-SUMIF(Backlog4[Jour ferme],"&lt;=" &amp; $A30,Backlog4[mineur]))</f>
        <v>0</v>
      </c>
      <c r="E30" s="163" t="n">
        <f aca="false">IF($A30="","",SUMIF(Backlog4[Jour ouvert],"&lt;=" &amp; $A30,Backlog4[MAJEUR])-SUMIF(Backlog4[Jour ferme],"&lt;=" &amp; $A30,Backlog4[MAJEUR]))</f>
        <v>0</v>
      </c>
      <c r="F30" s="163" t="n">
        <f aca="false">IF($A30="","",SUMIF(Backlog4[Jour ouvert],"&lt;=" &amp; $A30,Backlog4[CRITIQUE])-SUMIF(Backlog4[Jour ferme],"&lt;=" &amp; $A30,Backlog4[CRITIQUE]))</f>
        <v>0</v>
      </c>
      <c r="G30" s="125"/>
      <c r="H30" s="125"/>
      <c r="I30" s="125"/>
      <c r="J30" s="125"/>
      <c r="K30" s="125"/>
      <c r="L30" s="125"/>
      <c r="M30" s="125"/>
    </row>
    <row r="31" customFormat="false" ht="15" hidden="false" customHeight="true" outlineLevel="0" collapsed="false">
      <c r="A31" s="319" t="n">
        <f aca="false">IF($A$27&gt;A30,A30+1,"")</f>
        <v>2</v>
      </c>
      <c r="B31" s="320" t="n">
        <f aca="false">VLOOKUP(Anomalies!$A31,Calendriers!$C$3:$D$368,2)</f>
        <v>45314</v>
      </c>
      <c r="C31" s="320"/>
      <c r="D31" s="163" t="n">
        <f aca="false">IF($A31="","",SUMIF(Backlog4[Jour ouvert],"&lt;=" &amp; $A31,Backlog4[mineur])-SUMIF(Backlog4[Jour ferme],"&lt;=" &amp; $A31,Backlog4[mineur]))</f>
        <v>0</v>
      </c>
      <c r="E31" s="163" t="n">
        <f aca="false">IF($A31="","",SUMIF(Backlog4[Jour ouvert],"&lt;=" &amp; $A31,Backlog4[MAJEUR])-SUMIF(Backlog4[Jour ferme],"&lt;=" &amp; $A31,Backlog4[MAJEUR]))</f>
        <v>0</v>
      </c>
      <c r="F31" s="163" t="n">
        <f aca="false">IF($A31="","",SUMIF(Backlog4[Jour ouvert],"&lt;=" &amp; $A31,Backlog4[CRITIQUE])-SUMIF(Backlog4[Jour ferme],"&lt;=" &amp; $A31,Backlog4[CRITIQUE]))</f>
        <v>0</v>
      </c>
      <c r="G31" s="125"/>
      <c r="H31" s="125"/>
      <c r="I31" s="125"/>
      <c r="J31" s="125"/>
      <c r="K31" s="125"/>
      <c r="L31" s="125"/>
      <c r="M31" s="125"/>
    </row>
    <row r="32" customFormat="false" ht="15" hidden="false" customHeight="true" outlineLevel="0" collapsed="false">
      <c r="A32" s="319" t="n">
        <f aca="false">IF($A$27&gt;A31,A31+1,"")</f>
        <v>3</v>
      </c>
      <c r="B32" s="320" t="n">
        <f aca="false">VLOOKUP(Anomalies!$A32,Calendriers!$C$3:$D$368,2)</f>
        <v>45315</v>
      </c>
      <c r="C32" s="320"/>
      <c r="D32" s="163" t="n">
        <f aca="false">IF($A32="","",SUMIF(Backlog4[Jour ouvert],"&lt;=" &amp; $A32,Backlog4[mineur])-SUMIF(Backlog4[Jour ferme],"&lt;=" &amp; $A32,Backlog4[mineur]))</f>
        <v>0</v>
      </c>
      <c r="E32" s="163" t="n">
        <f aca="false">IF($A32="","",SUMIF(Backlog4[Jour ouvert],"&lt;=" &amp; $A32,Backlog4[MAJEUR])-SUMIF(Backlog4[Jour ferme],"&lt;=" &amp; $A32,Backlog4[MAJEUR]))</f>
        <v>0</v>
      </c>
      <c r="F32" s="163" t="n">
        <f aca="false">IF($A32="","",SUMIF(Backlog4[Jour ouvert],"&lt;=" &amp; $A32,Backlog4[CRITIQUE])-SUMIF(Backlog4[Jour ferme],"&lt;=" &amp; $A32,Backlog4[CRITIQUE]))</f>
        <v>0</v>
      </c>
      <c r="G32" s="125"/>
      <c r="H32" s="125"/>
      <c r="I32" s="125"/>
      <c r="J32" s="125"/>
      <c r="K32" s="125"/>
      <c r="L32" s="125"/>
      <c r="M32" s="125"/>
    </row>
    <row r="33" customFormat="false" ht="15" hidden="false" customHeight="true" outlineLevel="0" collapsed="false">
      <c r="A33" s="319" t="n">
        <f aca="false">IF($A$27&gt;A32,A32+1,"")</f>
        <v>4</v>
      </c>
      <c r="B33" s="320" t="n">
        <f aca="false">VLOOKUP(Anomalies!$A33,Calendriers!$C$3:$D$368,2)</f>
        <v>45316</v>
      </c>
      <c r="C33" s="320"/>
      <c r="D33" s="163" t="n">
        <f aca="false">IF($A33="","",SUMIF(Backlog4[Jour ouvert],"&lt;=" &amp; $A33,Backlog4[mineur])-SUMIF(Backlog4[Jour ferme],"&lt;=" &amp; $A33,Backlog4[mineur]))</f>
        <v>0</v>
      </c>
      <c r="E33" s="163" t="n">
        <f aca="false">IF($A33="","",SUMIF(Backlog4[Jour ouvert],"&lt;=" &amp; $A33,Backlog4[MAJEUR])-SUMIF(Backlog4[Jour ferme],"&lt;=" &amp; $A33,Backlog4[MAJEUR]))</f>
        <v>0</v>
      </c>
      <c r="F33" s="163" t="n">
        <f aca="false">IF($A33="","",SUMIF(Backlog4[Jour ouvert],"&lt;=" &amp; $A33,Backlog4[CRITIQUE])-SUMIF(Backlog4[Jour ferme],"&lt;=" &amp; $A33,Backlog4[CRITIQUE]))</f>
        <v>0</v>
      </c>
      <c r="G33" s="125"/>
      <c r="H33" s="125"/>
      <c r="I33" s="125"/>
      <c r="J33" s="125"/>
      <c r="K33" s="125"/>
      <c r="L33" s="125"/>
      <c r="M33" s="125"/>
    </row>
    <row r="34" customFormat="false" ht="15" hidden="false" customHeight="true" outlineLevel="0" collapsed="false">
      <c r="A34" s="319" t="n">
        <f aca="false">IF($A$27&gt;A33,A33+1,"")</f>
        <v>5</v>
      </c>
      <c r="B34" s="320" t="n">
        <f aca="false">VLOOKUP(Anomalies!$A34,Calendriers!$C$3:$D$368,2)</f>
        <v>45317</v>
      </c>
      <c r="C34" s="320"/>
      <c r="D34" s="163" t="n">
        <f aca="false">IF($A34="","",SUMIF(Backlog4[Jour ouvert],"&lt;=" &amp; $A34,Backlog4[mineur])-SUMIF(Backlog4[Jour ferme],"&lt;=" &amp; $A34,Backlog4[mineur]))</f>
        <v>0</v>
      </c>
      <c r="E34" s="163" t="n">
        <f aca="false">IF($A34="","",SUMIF(Backlog4[Jour ouvert],"&lt;=" &amp; $A34,Backlog4[MAJEUR])-SUMIF(Backlog4[Jour ferme],"&lt;=" &amp; $A34,Backlog4[MAJEUR]))</f>
        <v>0</v>
      </c>
      <c r="F34" s="163" t="n">
        <f aca="false">IF($A34="","",SUMIF(Backlog4[Jour ouvert],"&lt;=" &amp; $A34,Backlog4[CRITIQUE])-SUMIF(Backlog4[Jour ferme],"&lt;=" &amp; $A34,Backlog4[CRITIQUE]))</f>
        <v>0</v>
      </c>
      <c r="G34" s="125"/>
      <c r="H34" s="125"/>
      <c r="I34" s="125"/>
      <c r="J34" s="125"/>
      <c r="K34" s="125"/>
      <c r="L34" s="125"/>
      <c r="M34" s="125"/>
    </row>
    <row r="35" customFormat="false" ht="15" hidden="false" customHeight="true" outlineLevel="0" collapsed="false">
      <c r="A35" s="319" t="n">
        <f aca="false">IF($A$27&gt;A34,A34+1,"")</f>
        <v>6</v>
      </c>
      <c r="B35" s="320" t="n">
        <f aca="false">VLOOKUP(Anomalies!$A35,Calendriers!$C$3:$D$368,2)</f>
        <v>45320</v>
      </c>
      <c r="C35" s="320"/>
      <c r="D35" s="163" t="n">
        <f aca="false">IF($A35="","",SUMIF(Backlog4[Jour ouvert],"&lt;=" &amp; $A35,Backlog4[mineur])-SUMIF(Backlog4[Jour ferme],"&lt;=" &amp; $A35,Backlog4[mineur]))</f>
        <v>0</v>
      </c>
      <c r="E35" s="163" t="n">
        <f aca="false">IF($A35="","",SUMIF(Backlog4[Jour ouvert],"&lt;=" &amp; $A35,Backlog4[MAJEUR])-SUMIF(Backlog4[Jour ferme],"&lt;=" &amp; $A35,Backlog4[MAJEUR]))</f>
        <v>0</v>
      </c>
      <c r="F35" s="163" t="n">
        <f aca="false">IF($A35="","",SUMIF(Backlog4[Jour ouvert],"&lt;=" &amp; $A35,Backlog4[CRITIQUE])-SUMIF(Backlog4[Jour ferme],"&lt;=" &amp; $A35,Backlog4[CRITIQUE]))</f>
        <v>0</v>
      </c>
      <c r="G35" s="125"/>
      <c r="H35" s="125"/>
      <c r="I35" s="125"/>
      <c r="J35" s="125"/>
      <c r="K35" s="125"/>
      <c r="L35" s="125"/>
      <c r="M35" s="125"/>
    </row>
    <row r="36" customFormat="false" ht="15" hidden="false" customHeight="true" outlineLevel="0" collapsed="false">
      <c r="A36" s="319" t="n">
        <f aca="false">IF($A$27&gt;A35,A35+1,"")</f>
        <v>7</v>
      </c>
      <c r="B36" s="320" t="n">
        <f aca="false">VLOOKUP(Anomalies!$A36,Calendriers!$C$3:$D$368,2)</f>
        <v>45321</v>
      </c>
      <c r="C36" s="320"/>
      <c r="D36" s="163" t="n">
        <f aca="false">IF($A36="","",SUMIF(Backlog4[Jour ouvert],"&lt;=" &amp; $A36,Backlog4[mineur])-SUMIF(Backlog4[Jour ferme],"&lt;=" &amp; $A36,Backlog4[mineur]))</f>
        <v>0</v>
      </c>
      <c r="E36" s="163" t="n">
        <f aca="false">IF($A36="","",SUMIF(Backlog4[Jour ouvert],"&lt;=" &amp; $A36,Backlog4[MAJEUR])-SUMIF(Backlog4[Jour ferme],"&lt;=" &amp; $A36,Backlog4[MAJEUR]))</f>
        <v>0</v>
      </c>
      <c r="F36" s="163" t="n">
        <f aca="false">IF($A36="","",SUMIF(Backlog4[Jour ouvert],"&lt;=" &amp; $A36,Backlog4[CRITIQUE])-SUMIF(Backlog4[Jour ferme],"&lt;=" &amp; $A36,Backlog4[CRITIQUE]))</f>
        <v>0</v>
      </c>
      <c r="G36" s="125"/>
      <c r="H36" s="125"/>
      <c r="I36" s="125"/>
      <c r="J36" s="125"/>
      <c r="K36" s="125"/>
      <c r="L36" s="125"/>
      <c r="M36" s="125"/>
    </row>
    <row r="37" customFormat="false" ht="15" hidden="false" customHeight="true" outlineLevel="0" collapsed="false">
      <c r="A37" s="319" t="n">
        <f aca="false">IF($A$27&gt;A36,A36+1,"")</f>
        <v>8</v>
      </c>
      <c r="B37" s="320" t="n">
        <f aca="false">VLOOKUP(Anomalies!$A37,Calendriers!$C$3:$D$368,2)</f>
        <v>45322</v>
      </c>
      <c r="C37" s="320"/>
      <c r="D37" s="163" t="n">
        <f aca="false">IF($A37="","",SUMIF(Backlog4[Jour ouvert],"&lt;=" &amp; $A37,Backlog4[mineur])-SUMIF(Backlog4[Jour ferme],"&lt;=" &amp; $A37,Backlog4[mineur]))</f>
        <v>0</v>
      </c>
      <c r="E37" s="163" t="n">
        <f aca="false">IF($A37="","",SUMIF(Backlog4[Jour ouvert],"&lt;=" &amp; $A37,Backlog4[MAJEUR])-SUMIF(Backlog4[Jour ferme],"&lt;=" &amp; $A37,Backlog4[MAJEUR]))</f>
        <v>0</v>
      </c>
      <c r="F37" s="163" t="n">
        <f aca="false">IF($A37="","",SUMIF(Backlog4[Jour ouvert],"&lt;=" &amp; $A37,Backlog4[CRITIQUE])-SUMIF(Backlog4[Jour ferme],"&lt;=" &amp; $A37,Backlog4[CRITIQUE]))</f>
        <v>0</v>
      </c>
      <c r="G37" s="125"/>
      <c r="H37" s="125"/>
      <c r="I37" s="125"/>
      <c r="J37" s="125"/>
      <c r="K37" s="125"/>
      <c r="L37" s="125"/>
      <c r="M37" s="125"/>
    </row>
    <row r="38" customFormat="false" ht="15" hidden="false" customHeight="true" outlineLevel="0" collapsed="false">
      <c r="A38" s="319" t="n">
        <f aca="false">IF($A$27&gt;A37,A37+1,"")</f>
        <v>9</v>
      </c>
      <c r="B38" s="320" t="n">
        <f aca="false">VLOOKUP(Anomalies!$A38,Calendriers!$C$3:$D$368,2)</f>
        <v>45323</v>
      </c>
      <c r="C38" s="320"/>
      <c r="D38" s="163" t="n">
        <f aca="false">IF($A38="","",SUMIF(Backlog4[Jour ouvert],"&lt;=" &amp; $A38,Backlog4[mineur])-SUMIF(Backlog4[Jour ferme],"&lt;=" &amp; $A38,Backlog4[mineur]))</f>
        <v>0</v>
      </c>
      <c r="E38" s="163" t="n">
        <f aca="false">IF($A38="","",SUMIF(Backlog4[Jour ouvert],"&lt;=" &amp; $A38,Backlog4[MAJEUR])-SUMIF(Backlog4[Jour ferme],"&lt;=" &amp; $A38,Backlog4[MAJEUR]))</f>
        <v>0</v>
      </c>
      <c r="F38" s="163" t="n">
        <f aca="false">IF($A38="","",SUMIF(Backlog4[Jour ouvert],"&lt;=" &amp; $A38,Backlog4[CRITIQUE])-SUMIF(Backlog4[Jour ferme],"&lt;=" &amp; $A38,Backlog4[CRITIQUE]))</f>
        <v>0</v>
      </c>
      <c r="G38" s="125"/>
      <c r="H38" s="125"/>
      <c r="I38" s="125"/>
      <c r="J38" s="125"/>
      <c r="K38" s="125"/>
      <c r="L38" s="125"/>
      <c r="M38" s="125"/>
    </row>
    <row r="39" customFormat="false" ht="16" hidden="false" customHeight="false" outlineLevel="0" collapsed="false">
      <c r="A39" s="319" t="n">
        <f aca="false">IF($A$27&gt;A38,A38+1,"")</f>
        <v>10</v>
      </c>
      <c r="B39" s="320" t="n">
        <f aca="false">VLOOKUP(Anomalies!$A39,Calendriers!$C$3:$D$368,2)</f>
        <v>45324</v>
      </c>
      <c r="C39" s="320"/>
      <c r="D39" s="163" t="n">
        <f aca="false">IF($A39="","",SUMIF(Backlog4[Jour ouvert],"&lt;=" &amp; $A39,Backlog4[mineur])-SUMIF(Backlog4[Jour ferme],"&lt;=" &amp; $A39,Backlog4[mineur]))</f>
        <v>0</v>
      </c>
      <c r="E39" s="163" t="n">
        <f aca="false">IF($A39="","",SUMIF(Backlog4[Jour ouvert],"&lt;=" &amp; $A39,Backlog4[MAJEUR])-SUMIF(Backlog4[Jour ferme],"&lt;=" &amp; $A39,Backlog4[MAJEUR]))</f>
        <v>0</v>
      </c>
      <c r="F39" s="163" t="n">
        <f aca="false">IF($A39="","",SUMIF(Backlog4[Jour ouvert],"&lt;=" &amp; $A39,Backlog4[CRITIQUE])-SUMIF(Backlog4[Jour ferme],"&lt;=" &amp; $A39,Backlog4[CRITIQUE]))</f>
        <v>0</v>
      </c>
      <c r="G39" s="125"/>
      <c r="H39" s="125"/>
      <c r="I39" s="125"/>
      <c r="J39" s="125"/>
      <c r="K39" s="125"/>
      <c r="L39" s="125"/>
      <c r="M39" s="125"/>
    </row>
    <row r="40" customFormat="false" ht="16" hidden="false" customHeight="false" outlineLevel="0" collapsed="false">
      <c r="A40" s="319" t="n">
        <f aca="false">IF($A$27&gt;A39,A39+1,"")</f>
        <v>11</v>
      </c>
      <c r="B40" s="320" t="n">
        <f aca="false">VLOOKUP(Anomalies!$A40,Calendriers!$C$3:$D$368,2)</f>
        <v>45327</v>
      </c>
      <c r="C40" s="320"/>
      <c r="D40" s="163" t="n">
        <f aca="false">IF($A40="","",SUMIF(Backlog4[Jour ouvert],"&lt;=" &amp; $A40,Backlog4[mineur])-SUMIF(Backlog4[Jour ferme],"&lt;=" &amp; $A40,Backlog4[mineur]))</f>
        <v>0</v>
      </c>
      <c r="E40" s="163" t="n">
        <f aca="false">IF($A40="","",SUMIF(Backlog4[Jour ouvert],"&lt;=" &amp; $A40,Backlog4[MAJEUR])-SUMIF(Backlog4[Jour ferme],"&lt;=" &amp; $A40,Backlog4[MAJEUR]))</f>
        <v>0</v>
      </c>
      <c r="F40" s="163" t="n">
        <f aca="false">IF($A40="","",SUMIF(Backlog4[Jour ouvert],"&lt;=" &amp; $A40,Backlog4[CRITIQUE])-SUMIF(Backlog4[Jour ferme],"&lt;=" &amp; $A40,Backlog4[CRITIQUE]))</f>
        <v>0</v>
      </c>
      <c r="G40" s="125"/>
      <c r="H40" s="125"/>
      <c r="I40" s="125"/>
      <c r="J40" s="125"/>
      <c r="K40" s="125"/>
      <c r="L40" s="125"/>
      <c r="M40" s="125"/>
    </row>
    <row r="41" customFormat="false" ht="16" hidden="false" customHeight="false" outlineLevel="0" collapsed="false">
      <c r="A41" s="319" t="n">
        <f aca="false">IF($A$27&gt;A40,A40+1,"")</f>
        <v>12</v>
      </c>
      <c r="B41" s="320" t="n">
        <f aca="false">VLOOKUP(Anomalies!$A41,Calendriers!$C$3:$D$368,2)</f>
        <v>45328</v>
      </c>
      <c r="C41" s="320"/>
      <c r="D41" s="163" t="n">
        <f aca="false">IF($A41="","",SUMIF(Backlog4[Jour ouvert],"&lt;=" &amp; $A41,Backlog4[mineur])-SUMIF(Backlog4[Jour ferme],"&lt;=" &amp; $A41,Backlog4[mineur]))</f>
        <v>0</v>
      </c>
      <c r="E41" s="163" t="n">
        <f aca="false">IF($A41="","",SUMIF(Backlog4[Jour ouvert],"&lt;=" &amp; $A41,Backlog4[MAJEUR])-SUMIF(Backlog4[Jour ferme],"&lt;=" &amp; $A41,Backlog4[MAJEUR]))</f>
        <v>0</v>
      </c>
      <c r="F41" s="163" t="n">
        <f aca="false">IF($A41="","",SUMIF(Backlog4[Jour ouvert],"&lt;=" &amp; $A41,Backlog4[CRITIQUE])-SUMIF(Backlog4[Jour ferme],"&lt;=" &amp; $A41,Backlog4[CRITIQUE]))</f>
        <v>0</v>
      </c>
      <c r="G41" s="125"/>
      <c r="H41" s="125"/>
      <c r="I41" s="125"/>
      <c r="J41" s="125"/>
      <c r="K41" s="125"/>
      <c r="L41" s="125"/>
      <c r="M41" s="125"/>
    </row>
    <row r="42" customFormat="false" ht="16" hidden="false" customHeight="false" outlineLevel="0" collapsed="false">
      <c r="A42" s="319" t="n">
        <f aca="false">IF($A$27&gt;A41,A41+1,"")</f>
        <v>13</v>
      </c>
      <c r="B42" s="320" t="n">
        <f aca="false">VLOOKUP(Anomalies!$A42,Calendriers!$C$3:$D$368,2)</f>
        <v>45329</v>
      </c>
      <c r="C42" s="320"/>
      <c r="D42" s="163" t="n">
        <f aca="false">IF($A42="","",SUMIF(Backlog4[Jour ouvert],"&lt;=" &amp; $A42,Backlog4[mineur])-SUMIF(Backlog4[Jour ferme],"&lt;=" &amp; $A42,Backlog4[mineur]))</f>
        <v>0</v>
      </c>
      <c r="E42" s="163" t="n">
        <f aca="false">IF($A42="","",SUMIF(Backlog4[Jour ouvert],"&lt;=" &amp; $A42,Backlog4[MAJEUR])-SUMIF(Backlog4[Jour ferme],"&lt;=" &amp; $A42,Backlog4[MAJEUR]))</f>
        <v>0</v>
      </c>
      <c r="F42" s="163" t="n">
        <f aca="false">IF($A42="","",SUMIF(Backlog4[Jour ouvert],"&lt;=" &amp; $A42,Backlog4[CRITIQUE])-SUMIF(Backlog4[Jour ferme],"&lt;=" &amp; $A42,Backlog4[CRITIQUE]))</f>
        <v>0</v>
      </c>
      <c r="G42" s="125"/>
    </row>
    <row r="43" customFormat="false" ht="16" hidden="false" customHeight="false" outlineLevel="0" collapsed="false">
      <c r="A43" s="319" t="n">
        <f aca="false">IF($A$27&gt;A42,A42+1,"")</f>
        <v>14</v>
      </c>
      <c r="B43" s="320" t="n">
        <f aca="false">VLOOKUP(Anomalies!$A43,Calendriers!$C$3:$D$368,2)</f>
        <v>45330</v>
      </c>
      <c r="C43" s="320"/>
      <c r="D43" s="163" t="n">
        <f aca="false">IF($A43="","",SUMIF(Backlog4[Jour ouvert],"&lt;=" &amp; $A43,Backlog4[mineur])-SUMIF(Backlog4[Jour ferme],"&lt;=" &amp; $A43,Backlog4[mineur]))</f>
        <v>0</v>
      </c>
      <c r="E43" s="163" t="n">
        <f aca="false">IF($A43="","",SUMIF(Backlog4[Jour ouvert],"&lt;=" &amp; $A43,Backlog4[MAJEUR])-SUMIF(Backlog4[Jour ferme],"&lt;=" &amp; $A43,Backlog4[MAJEUR]))</f>
        <v>0</v>
      </c>
      <c r="F43" s="163" t="n">
        <f aca="false">IF($A43="","",SUMIF(Backlog4[Jour ouvert],"&lt;=" &amp; $A43,Backlog4[CRITIQUE])-SUMIF(Backlog4[Jour ferme],"&lt;=" &amp; $A43,Backlog4[CRITIQUE]))</f>
        <v>0</v>
      </c>
      <c r="G43" s="125"/>
    </row>
    <row r="44" customFormat="false" ht="16" hidden="false" customHeight="false" outlineLevel="0" collapsed="false">
      <c r="A44" s="319" t="n">
        <f aca="false">IF($A$27&gt;A43,A43+1,"")</f>
        <v>15</v>
      </c>
      <c r="B44" s="320" t="n">
        <f aca="false">VLOOKUP(Anomalies!$A44,Calendriers!$C$3:$D$368,2)</f>
        <v>45331</v>
      </c>
      <c r="C44" s="320"/>
      <c r="D44" s="163" t="n">
        <f aca="false">IF($A44="","",SUMIF(Backlog4[Jour ouvert],"&lt;=" &amp; $A44,Backlog4[mineur])-SUMIF(Backlog4[Jour ferme],"&lt;=" &amp; $A44,Backlog4[mineur]))</f>
        <v>1</v>
      </c>
      <c r="E44" s="163" t="n">
        <f aca="false">IF($A44="","",SUMIF(Backlog4[Jour ouvert],"&lt;=" &amp; $A44,Backlog4[MAJEUR])-SUMIF(Backlog4[Jour ferme],"&lt;=" &amp; $A44,Backlog4[MAJEUR]))</f>
        <v>0</v>
      </c>
      <c r="F44" s="163" t="n">
        <f aca="false">IF($A44="","",SUMIF(Backlog4[Jour ouvert],"&lt;=" &amp; $A44,Backlog4[CRITIQUE])-SUMIF(Backlog4[Jour ferme],"&lt;=" &amp; $A44,Backlog4[CRITIQUE]))</f>
        <v>0</v>
      </c>
      <c r="G44" s="125"/>
    </row>
    <row r="45" customFormat="false" ht="16" hidden="false" customHeight="false" outlineLevel="0" collapsed="false">
      <c r="A45" s="319" t="n">
        <f aca="false">IF($A$27&gt;A44,A44+1,"")</f>
        <v>16</v>
      </c>
      <c r="B45" s="320" t="n">
        <f aca="false">VLOOKUP(Anomalies!$A45,Calendriers!$C$3:$D$368,2)</f>
        <v>45334</v>
      </c>
      <c r="C45" s="320"/>
      <c r="D45" s="163" t="n">
        <f aca="false">IF($A45="","",SUMIF(Backlog4[Jour ouvert],"&lt;=" &amp; $A45,Backlog4[mineur])-SUMIF(Backlog4[Jour ferme],"&lt;=" &amp; $A45,Backlog4[mineur]))</f>
        <v>1</v>
      </c>
      <c r="E45" s="163" t="n">
        <f aca="false">IF($A45="","",SUMIF(Backlog4[Jour ouvert],"&lt;=" &amp; $A45,Backlog4[MAJEUR])-SUMIF(Backlog4[Jour ferme],"&lt;=" &amp; $A45,Backlog4[MAJEUR]))</f>
        <v>0</v>
      </c>
      <c r="F45" s="163" t="n">
        <f aca="false">IF($A45="","",SUMIF(Backlog4[Jour ouvert],"&lt;=" &amp; $A45,Backlog4[CRITIQUE])-SUMIF(Backlog4[Jour ferme],"&lt;=" &amp; $A45,Backlog4[CRITIQUE]))</f>
        <v>0</v>
      </c>
      <c r="G45" s="125"/>
    </row>
    <row r="46" customFormat="false" ht="16" hidden="false" customHeight="false" outlineLevel="0" collapsed="false">
      <c r="A46" s="319" t="n">
        <f aca="false">IF($A$27&gt;A45,A45+1,"")</f>
        <v>17</v>
      </c>
      <c r="B46" s="320" t="n">
        <f aca="false">VLOOKUP(Anomalies!$A46,Calendriers!$C$3:$D$368,2)</f>
        <v>45335</v>
      </c>
      <c r="C46" s="320"/>
      <c r="D46" s="163" t="n">
        <f aca="false">IF($A46="","",SUMIF(Backlog4[Jour ouvert],"&lt;=" &amp; $A46,Backlog4[mineur])-SUMIF(Backlog4[Jour ferme],"&lt;=" &amp; $A46,Backlog4[mineur]))</f>
        <v>0</v>
      </c>
      <c r="E46" s="163" t="n">
        <f aca="false">IF($A46="","",SUMIF(Backlog4[Jour ouvert],"&lt;=" &amp; $A46,Backlog4[MAJEUR])-SUMIF(Backlog4[Jour ferme],"&lt;=" &amp; $A46,Backlog4[MAJEUR]))</f>
        <v>0</v>
      </c>
      <c r="F46" s="163" t="n">
        <f aca="false">IF($A46="","",SUMIF(Backlog4[Jour ouvert],"&lt;=" &amp; $A46,Backlog4[CRITIQUE])-SUMIF(Backlog4[Jour ferme],"&lt;=" &amp; $A46,Backlog4[CRITIQUE]))</f>
        <v>0</v>
      </c>
      <c r="G46" s="125"/>
    </row>
    <row r="47" customFormat="false" ht="16" hidden="false" customHeight="false" outlineLevel="0" collapsed="false">
      <c r="A47" s="319" t="n">
        <f aca="false">IF($A$27&gt;A46,A46+1,"")</f>
        <v>18</v>
      </c>
      <c r="B47" s="320" t="n">
        <f aca="false">VLOOKUP(Anomalies!$A47,Calendriers!$C$3:$D$368,2)</f>
        <v>45336</v>
      </c>
      <c r="C47" s="320"/>
      <c r="D47" s="163" t="n">
        <f aca="false">IF($A47="","",SUMIF(Backlog4[Jour ouvert],"&lt;=" &amp; $A47,Backlog4[mineur])-SUMIF(Backlog4[Jour ferme],"&lt;=" &amp; $A47,Backlog4[mineur]))</f>
        <v>0</v>
      </c>
      <c r="E47" s="163" t="n">
        <f aca="false">IF($A47="","",SUMIF(Backlog4[Jour ouvert],"&lt;=" &amp; $A47,Backlog4[MAJEUR])-SUMIF(Backlog4[Jour ferme],"&lt;=" &amp; $A47,Backlog4[MAJEUR]))</f>
        <v>0</v>
      </c>
      <c r="F47" s="163" t="n">
        <f aca="false">IF($A47="","",SUMIF(Backlog4[Jour ouvert],"&lt;=" &amp; $A47,Backlog4[CRITIQUE])-SUMIF(Backlog4[Jour ferme],"&lt;=" &amp; $A47,Backlog4[CRITIQUE]))</f>
        <v>0</v>
      </c>
      <c r="G47" s="125"/>
    </row>
    <row r="48" customFormat="false" ht="16" hidden="false" customHeight="false" outlineLevel="0" collapsed="false">
      <c r="A48" s="319" t="n">
        <f aca="false">IF($A$27&gt;A47,A47+1,"")</f>
        <v>19</v>
      </c>
      <c r="B48" s="320" t="n">
        <f aca="false">VLOOKUP(Anomalies!$A48,Calendriers!$C$3:$D$368,2)</f>
        <v>45337</v>
      </c>
      <c r="C48" s="320"/>
      <c r="D48" s="163" t="n">
        <f aca="false">IF($A48="","",SUMIF(Backlog4[Jour ouvert],"&lt;=" &amp; $A48,Backlog4[mineur])-SUMIF(Backlog4[Jour ferme],"&lt;=" &amp; $A48,Backlog4[mineur]))</f>
        <v>0</v>
      </c>
      <c r="E48" s="163" t="n">
        <f aca="false">IF($A48="","",SUMIF(Backlog4[Jour ouvert],"&lt;=" &amp; $A48,Backlog4[MAJEUR])-SUMIF(Backlog4[Jour ferme],"&lt;=" &amp; $A48,Backlog4[MAJEUR]))</f>
        <v>0</v>
      </c>
      <c r="F48" s="163" t="n">
        <f aca="false">IF($A48="","",SUMIF(Backlog4[Jour ouvert],"&lt;=" &amp; $A48,Backlog4[CRITIQUE])-SUMIF(Backlog4[Jour ferme],"&lt;=" &amp; $A48,Backlog4[CRITIQUE]))</f>
        <v>0</v>
      </c>
      <c r="G48" s="125"/>
    </row>
    <row r="49" customFormat="false" ht="16" hidden="false" customHeight="false" outlineLevel="0" collapsed="false">
      <c r="A49" s="319" t="n">
        <f aca="false">IF($A$27&gt;A48,A48+1,"")</f>
        <v>20</v>
      </c>
      <c r="B49" s="320" t="n">
        <f aca="false">VLOOKUP(Anomalies!$A49,Calendriers!$C$3:$D$368,2)</f>
        <v>45338</v>
      </c>
      <c r="C49" s="320"/>
      <c r="D49" s="163" t="n">
        <f aca="false">IF($A49="","",SUMIF(Backlog4[Jour ouvert],"&lt;=" &amp; $A49,Backlog4[mineur])-SUMIF(Backlog4[Jour ferme],"&lt;=" &amp; $A49,Backlog4[mineur]))</f>
        <v>0</v>
      </c>
      <c r="E49" s="163" t="n">
        <f aca="false">IF($A49="","",SUMIF(Backlog4[Jour ouvert],"&lt;=" &amp; $A49,Backlog4[MAJEUR])-SUMIF(Backlog4[Jour ferme],"&lt;=" &amp; $A49,Backlog4[MAJEUR]))</f>
        <v>0</v>
      </c>
      <c r="F49" s="163" t="n">
        <f aca="false">IF($A49="","",SUMIF(Backlog4[Jour ouvert],"&lt;=" &amp; $A49,Backlog4[CRITIQUE])-SUMIF(Backlog4[Jour ferme],"&lt;=" &amp; $A49,Backlog4[CRITIQUE]))</f>
        <v>0</v>
      </c>
      <c r="G49" s="125"/>
    </row>
    <row r="50" customFormat="false" ht="16" hidden="false" customHeight="false" outlineLevel="0" collapsed="false">
      <c r="A50" s="319" t="n">
        <f aca="false">IF($A$27&gt;A49,A49+1,"")</f>
        <v>21</v>
      </c>
      <c r="B50" s="320" t="n">
        <f aca="false">VLOOKUP(Anomalies!$A50,Calendriers!$C$3:$D$368,2)</f>
        <v>45339</v>
      </c>
      <c r="C50" s="320"/>
      <c r="D50" s="163" t="n">
        <f aca="false">IF($A50="","",SUMIF(Backlog4[Jour ouvert],"&lt;=" &amp; $A50,Backlog4[mineur])-SUMIF(Backlog4[Jour ferme],"&lt;=" &amp; $A50,Backlog4[mineur]))</f>
        <v>1</v>
      </c>
      <c r="E50" s="163" t="n">
        <f aca="false">IF($A50="","",SUMIF(Backlog4[Jour ouvert],"&lt;=" &amp; $A50,Backlog4[MAJEUR])-SUMIF(Backlog4[Jour ferme],"&lt;=" &amp; $A50,Backlog4[MAJEUR]))</f>
        <v>0</v>
      </c>
      <c r="F50" s="163" t="n">
        <f aca="false">IF($A50="","",SUMIF(Backlog4[Jour ouvert],"&lt;=" &amp; $A50,Backlog4[CRITIQUE])-SUMIF(Backlog4[Jour ferme],"&lt;=" &amp; $A50,Backlog4[CRITIQUE]))</f>
        <v>0</v>
      </c>
      <c r="G50" s="125"/>
    </row>
    <row r="51" customFormat="false" ht="16" hidden="false" customHeight="false" outlineLevel="0" collapsed="false">
      <c r="A51" s="319" t="n">
        <f aca="false">IF($A$27&gt;A50,A50+1,"")</f>
        <v>22</v>
      </c>
      <c r="B51" s="320" t="n">
        <f aca="false">VLOOKUP(Anomalies!$A51,Calendriers!$C$3:$D$368,2)</f>
        <v>45340</v>
      </c>
      <c r="C51" s="320"/>
      <c r="D51" s="163" t="n">
        <f aca="false">IF($A51="","",SUMIF(Backlog4[Jour ouvert],"&lt;=" &amp; $A51,Backlog4[mineur])-SUMIF(Backlog4[Jour ferme],"&lt;=" &amp; $A51,Backlog4[mineur]))</f>
        <v>1</v>
      </c>
      <c r="E51" s="163" t="n">
        <f aca="false">IF($A51="","",SUMIF(Backlog4[Jour ouvert],"&lt;=" &amp; $A51,Backlog4[MAJEUR])-SUMIF(Backlog4[Jour ferme],"&lt;=" &amp; $A51,Backlog4[MAJEUR]))</f>
        <v>0</v>
      </c>
      <c r="F51" s="163" t="n">
        <f aca="false">IF($A51="","",SUMIF(Backlog4[Jour ouvert],"&lt;=" &amp; $A51,Backlog4[CRITIQUE])-SUMIF(Backlog4[Jour ferme],"&lt;=" &amp; $A51,Backlog4[CRITIQUE]))</f>
        <v>0</v>
      </c>
      <c r="G51" s="125"/>
    </row>
    <row r="52" customFormat="false" ht="16" hidden="false" customHeight="false" outlineLevel="0" collapsed="false">
      <c r="A52" s="319" t="n">
        <f aca="false">IF($A$27&gt;A51,A51+1,"")</f>
        <v>23</v>
      </c>
      <c r="B52" s="320" t="n">
        <f aca="false">VLOOKUP(Anomalies!$A52,Calendriers!$C$3:$D$368,2)</f>
        <v>45341</v>
      </c>
      <c r="C52" s="320"/>
      <c r="D52" s="163" t="n">
        <f aca="false">IF($A52="","",SUMIF(Backlog4[Jour ouvert],"&lt;=" &amp; $A52,Backlog4[mineur])-SUMIF(Backlog4[Jour ferme],"&lt;=" &amp; $A52,Backlog4[mineur]))</f>
        <v>0</v>
      </c>
      <c r="E52" s="163" t="n">
        <f aca="false">IF($A52="","",SUMIF(Backlog4[Jour ouvert],"&lt;=" &amp; $A52,Backlog4[MAJEUR])-SUMIF(Backlog4[Jour ferme],"&lt;=" &amp; $A52,Backlog4[MAJEUR]))</f>
        <v>0</v>
      </c>
      <c r="F52" s="163" t="n">
        <f aca="false">IF($A52="","",SUMIF(Backlog4[Jour ouvert],"&lt;=" &amp; $A52,Backlog4[CRITIQUE])-SUMIF(Backlog4[Jour ferme],"&lt;=" &amp; $A52,Backlog4[CRITIQUE]))</f>
        <v>0</v>
      </c>
      <c r="G52" s="125"/>
    </row>
    <row r="53" customFormat="false" ht="16" hidden="false" customHeight="false" outlineLevel="0" collapsed="false">
      <c r="A53" s="319" t="n">
        <f aca="false">IF($A$27&gt;A52,A52+1,"")</f>
        <v>24</v>
      </c>
      <c r="B53" s="320" t="n">
        <f aca="false">VLOOKUP(Anomalies!$A53,Calendriers!$C$3:$D$368,2)</f>
        <v>45342</v>
      </c>
      <c r="C53" s="320"/>
      <c r="D53" s="163" t="n">
        <f aca="false">IF($A53="","",SUMIF(Backlog4[Jour ouvert],"&lt;=" &amp; $A53,Backlog4[mineur])-SUMIF(Backlog4[Jour ferme],"&lt;=" &amp; $A53,Backlog4[mineur]))</f>
        <v>0</v>
      </c>
      <c r="E53" s="163" t="n">
        <f aca="false">IF($A53="","",SUMIF(Backlog4[Jour ouvert],"&lt;=" &amp; $A53,Backlog4[MAJEUR])-SUMIF(Backlog4[Jour ferme],"&lt;=" &amp; $A53,Backlog4[MAJEUR]))</f>
        <v>0</v>
      </c>
      <c r="F53" s="163" t="n">
        <f aca="false">IF($A53="","",SUMIF(Backlog4[Jour ouvert],"&lt;=" &amp; $A53,Backlog4[CRITIQUE])-SUMIF(Backlog4[Jour ferme],"&lt;=" &amp; $A53,Backlog4[CRITIQUE]))</f>
        <v>0</v>
      </c>
      <c r="G53" s="125"/>
    </row>
    <row r="54" customFormat="false" ht="16" hidden="false" customHeight="false" outlineLevel="0" collapsed="false">
      <c r="A54" s="319" t="n">
        <f aca="false">IF($A$27&gt;A53,A53+1,"")</f>
        <v>25</v>
      </c>
      <c r="B54" s="320" t="n">
        <f aca="false">VLOOKUP(Anomalies!$A54,Calendriers!$C$3:$D$368,2)</f>
        <v>45343</v>
      </c>
      <c r="C54" s="320"/>
      <c r="D54" s="163" t="n">
        <f aca="false">IF($A54="","",SUMIF(Backlog4[Jour ouvert],"&lt;=" &amp; $A54,Backlog4[mineur])-SUMIF(Backlog4[Jour ferme],"&lt;=" &amp; $A54,Backlog4[mineur]))</f>
        <v>0</v>
      </c>
      <c r="E54" s="163" t="n">
        <f aca="false">IF($A54="","",SUMIF(Backlog4[Jour ouvert],"&lt;=" &amp; $A54,Backlog4[MAJEUR])-SUMIF(Backlog4[Jour ferme],"&lt;=" &amp; $A54,Backlog4[MAJEUR]))</f>
        <v>0</v>
      </c>
      <c r="F54" s="163" t="n">
        <f aca="false">IF($A54="","",SUMIF(Backlog4[Jour ouvert],"&lt;=" &amp; $A54,Backlog4[CRITIQUE])-SUMIF(Backlog4[Jour ferme],"&lt;=" &amp; $A54,Backlog4[CRITIQUE]))</f>
        <v>0</v>
      </c>
      <c r="G54" s="125"/>
    </row>
    <row r="55" customFormat="false" ht="16" hidden="false" customHeight="false" outlineLevel="0" collapsed="false">
      <c r="A55" s="319" t="n">
        <f aca="false">IF($A$27&gt;A54,A54+1,"")</f>
        <v>26</v>
      </c>
      <c r="B55" s="320" t="n">
        <f aca="false">VLOOKUP(Anomalies!$A55,Calendriers!$C$3:$D$368,2)</f>
        <v>45344</v>
      </c>
      <c r="C55" s="320"/>
      <c r="D55" s="163" t="n">
        <f aca="false">IF($A55="","",SUMIF(Backlog4[Jour ouvert],"&lt;=" &amp; $A55,Backlog4[mineur])-SUMIF(Backlog4[Jour ferme],"&lt;=" &amp; $A55,Backlog4[mineur]))</f>
        <v>0</v>
      </c>
      <c r="E55" s="163" t="n">
        <f aca="false">IF($A55="","",SUMIF(Backlog4[Jour ouvert],"&lt;=" &amp; $A55,Backlog4[MAJEUR])-SUMIF(Backlog4[Jour ferme],"&lt;=" &amp; $A55,Backlog4[MAJEUR]))</f>
        <v>0</v>
      </c>
      <c r="F55" s="163" t="n">
        <f aca="false">IF($A55="","",SUMIF(Backlog4[Jour ouvert],"&lt;=" &amp; $A55,Backlog4[CRITIQUE])-SUMIF(Backlog4[Jour ferme],"&lt;=" &amp; $A55,Backlog4[CRITIQUE]))</f>
        <v>0</v>
      </c>
      <c r="G55" s="125"/>
    </row>
    <row r="56" customFormat="false" ht="16" hidden="false" customHeight="false" outlineLevel="0" collapsed="false">
      <c r="A56" s="319" t="n">
        <f aca="false">IF($A$27&gt;A55,A55+1,"")</f>
        <v>27</v>
      </c>
      <c r="B56" s="320" t="n">
        <f aca="false">VLOOKUP(Anomalies!$A56,Calendriers!$C$3:$D$368,2)</f>
        <v>45345</v>
      </c>
      <c r="C56" s="320"/>
      <c r="D56" s="163" t="n">
        <f aca="false">IF($A56="","",SUMIF(Backlog4[Jour ouvert],"&lt;=" &amp; $A56,Backlog4[mineur])-SUMIF(Backlog4[Jour ferme],"&lt;=" &amp; $A56,Backlog4[mineur]))</f>
        <v>2</v>
      </c>
      <c r="E56" s="163" t="n">
        <f aca="false">IF($A56="","",SUMIF(Backlog4[Jour ouvert],"&lt;=" &amp; $A56,Backlog4[MAJEUR])-SUMIF(Backlog4[Jour ferme],"&lt;=" &amp; $A56,Backlog4[MAJEUR]))</f>
        <v>0</v>
      </c>
      <c r="F56" s="163" t="n">
        <f aca="false">IF($A56="","",SUMIF(Backlog4[Jour ouvert],"&lt;=" &amp; $A56,Backlog4[CRITIQUE])-SUMIF(Backlog4[Jour ferme],"&lt;=" &amp; $A56,Backlog4[CRITIQUE]))</f>
        <v>0</v>
      </c>
    </row>
    <row r="57" customFormat="false" ht="16" hidden="false" customHeight="false" outlineLevel="0" collapsed="false">
      <c r="A57" s="319" t="n">
        <f aca="false">IF($A$27&gt;A56,A56+1,"")</f>
        <v>28</v>
      </c>
      <c r="B57" s="320" t="n">
        <f aca="false">VLOOKUP(Anomalies!$A57,Calendriers!$C$3:$D$368,2)</f>
        <v>45355</v>
      </c>
      <c r="C57" s="320"/>
      <c r="D57" s="163" t="n">
        <f aca="false">IF($A57="","",SUMIF(Backlog4[Jour ouvert],"&lt;=" &amp; $A57,Backlog4[mineur])-SUMIF(Backlog4[Jour ferme],"&lt;=" &amp; $A57,Backlog4[mineur]))</f>
        <v>2</v>
      </c>
      <c r="E57" s="163" t="n">
        <f aca="false">IF($A57="","",SUMIF(Backlog4[Jour ouvert],"&lt;=" &amp; $A57,Backlog4[MAJEUR])-SUMIF(Backlog4[Jour ferme],"&lt;=" &amp; $A57,Backlog4[MAJEUR]))</f>
        <v>0</v>
      </c>
      <c r="F57" s="163" t="n">
        <f aca="false">IF($A57="","",SUMIF(Backlog4[Jour ouvert],"&lt;=" &amp; $A57,Backlog4[CRITIQUE])-SUMIF(Backlog4[Jour ferme],"&lt;=" &amp; $A57,Backlog4[CRITIQUE]))</f>
        <v>0</v>
      </c>
    </row>
    <row r="58" customFormat="false" ht="16" hidden="false" customHeight="false" outlineLevel="0" collapsed="false">
      <c r="A58" s="319" t="n">
        <f aca="false">IF($A$27&gt;A57,A57+1,"")</f>
        <v>29</v>
      </c>
      <c r="B58" s="320" t="n">
        <f aca="false">VLOOKUP(Anomalies!$A58,Calendriers!$C$3:$D$368,2)</f>
        <v>45356</v>
      </c>
      <c r="C58" s="320"/>
      <c r="D58" s="163" t="n">
        <f aca="false">IF($A58="","",SUMIF(Backlog4[Jour ouvert],"&lt;=" &amp; $A58,Backlog4[mineur])-SUMIF(Backlog4[Jour ferme],"&lt;=" &amp; $A58,Backlog4[mineur]))</f>
        <v>2</v>
      </c>
      <c r="E58" s="163" t="n">
        <f aca="false">IF($A58="","",SUMIF(Backlog4[Jour ouvert],"&lt;=" &amp; $A58,Backlog4[MAJEUR])-SUMIF(Backlog4[Jour ferme],"&lt;=" &amp; $A58,Backlog4[MAJEUR]))</f>
        <v>0</v>
      </c>
      <c r="F58" s="163" t="n">
        <f aca="false">IF($A58="","",SUMIF(Backlog4[Jour ouvert],"&lt;=" &amp; $A58,Backlog4[CRITIQUE])-SUMIF(Backlog4[Jour ferme],"&lt;=" &amp; $A58,Backlog4[CRITIQUE]))</f>
        <v>0</v>
      </c>
    </row>
    <row r="59" customFormat="false" ht="16" hidden="false" customHeight="false" outlineLevel="0" collapsed="false">
      <c r="A59" s="319" t="n">
        <f aca="false">IF($A$27&gt;A58,A58+1,"")</f>
        <v>30</v>
      </c>
      <c r="B59" s="320" t="n">
        <f aca="false">VLOOKUP(Anomalies!$A59,Calendriers!$C$3:$D$368,2)</f>
        <v>45357</v>
      </c>
      <c r="C59" s="320"/>
      <c r="D59" s="163" t="n">
        <f aca="false">IF($A59="","",SUMIF(Backlog4[Jour ouvert],"&lt;=" &amp; $A59,Backlog4[mineur])-SUMIF(Backlog4[Jour ferme],"&lt;=" &amp; $A59,Backlog4[mineur]))</f>
        <v>2</v>
      </c>
      <c r="E59" s="163" t="n">
        <f aca="false">IF($A59="","",SUMIF(Backlog4[Jour ouvert],"&lt;=" &amp; $A59,Backlog4[MAJEUR])-SUMIF(Backlog4[Jour ferme],"&lt;=" &amp; $A59,Backlog4[MAJEUR]))</f>
        <v>0</v>
      </c>
      <c r="F59" s="163" t="n">
        <f aca="false">IF($A59="","",SUMIF(Backlog4[Jour ouvert],"&lt;=" &amp; $A59,Backlog4[CRITIQUE])-SUMIF(Backlog4[Jour ferme],"&lt;=" &amp; $A59,Backlog4[CRITIQUE]))</f>
        <v>0</v>
      </c>
    </row>
    <row r="60" customFormat="false" ht="16" hidden="false" customHeight="false" outlineLevel="0" collapsed="false">
      <c r="A60" s="319" t="n">
        <f aca="false">IF($A$27&gt;A59,A59+1,"")</f>
        <v>31</v>
      </c>
      <c r="B60" s="320" t="n">
        <f aca="false">VLOOKUP(Anomalies!$A60,Calendriers!$C$3:$D$368,2)</f>
        <v>45358</v>
      </c>
      <c r="C60" s="320"/>
      <c r="D60" s="163" t="n">
        <f aca="false">IF($A60="","",SUMIF(Backlog4[Jour ouvert],"&lt;=" &amp; $A60,Backlog4[mineur])-SUMIF(Backlog4[Jour ferme],"&lt;=" &amp; $A60,Backlog4[mineur]))</f>
        <v>2</v>
      </c>
      <c r="E60" s="163" t="n">
        <f aca="false">IF($A60="","",SUMIF(Backlog4[Jour ouvert],"&lt;=" &amp; $A60,Backlog4[MAJEUR])-SUMIF(Backlog4[Jour ferme],"&lt;=" &amp; $A60,Backlog4[MAJEUR]))</f>
        <v>0</v>
      </c>
      <c r="F60" s="163" t="n">
        <f aca="false">IF($A60="","",SUMIF(Backlog4[Jour ouvert],"&lt;=" &amp; $A60,Backlog4[CRITIQUE])-SUMIF(Backlog4[Jour ferme],"&lt;=" &amp; $A60,Backlog4[CRITIQUE]))</f>
        <v>1</v>
      </c>
    </row>
    <row r="61" customFormat="false" ht="16" hidden="false" customHeight="false" outlineLevel="0" collapsed="false">
      <c r="A61" s="319" t="n">
        <f aca="false">IF($A$27&gt;A60,A60+1,"")</f>
        <v>32</v>
      </c>
      <c r="B61" s="320" t="n">
        <f aca="false">VLOOKUP(Anomalies!$A61,Calendriers!$C$3:$D$368,2)</f>
        <v>45359</v>
      </c>
      <c r="C61" s="320"/>
      <c r="D61" s="163" t="n">
        <f aca="false">IF($A61="","",SUMIF(Backlog4[Jour ouvert],"&lt;=" &amp; $A61,Backlog4[mineur])-SUMIF(Backlog4[Jour ferme],"&lt;=" &amp; $A61,Backlog4[mineur]))</f>
        <v>2</v>
      </c>
      <c r="E61" s="163" t="n">
        <f aca="false">IF($A61="","",SUMIF(Backlog4[Jour ouvert],"&lt;=" &amp; $A61,Backlog4[MAJEUR])-SUMIF(Backlog4[Jour ferme],"&lt;=" &amp; $A61,Backlog4[MAJEUR]))</f>
        <v>0</v>
      </c>
      <c r="F61" s="163" t="n">
        <f aca="false">IF($A61="","",SUMIF(Backlog4[Jour ouvert],"&lt;=" &amp; $A61,Backlog4[CRITIQUE])-SUMIF(Backlog4[Jour ferme],"&lt;=" &amp; $A61,Backlog4[CRITIQUE]))</f>
        <v>0</v>
      </c>
    </row>
    <row r="62" customFormat="false" ht="16" hidden="false" customHeight="false" outlineLevel="0" collapsed="false">
      <c r="A62" s="319" t="n">
        <f aca="false">IF($A$27&gt;A61,A61+1,"")</f>
        <v>33</v>
      </c>
      <c r="B62" s="320" t="n">
        <f aca="false">VLOOKUP(Anomalies!$A62,Calendriers!$C$3:$D$368,2)</f>
        <v>45362</v>
      </c>
      <c r="C62" s="320"/>
      <c r="D62" s="163" t="n">
        <f aca="false">IF($A62="","",SUMIF(Backlog4[Jour ouvert],"&lt;=" &amp; $A62,Backlog4[mineur])-SUMIF(Backlog4[Jour ferme],"&lt;=" &amp; $A62,Backlog4[mineur]))</f>
        <v>2</v>
      </c>
      <c r="E62" s="163" t="n">
        <f aca="false">IF($A62="","",SUMIF(Backlog4[Jour ouvert],"&lt;=" &amp; $A62,Backlog4[MAJEUR])-SUMIF(Backlog4[Jour ferme],"&lt;=" &amp; $A62,Backlog4[MAJEUR]))</f>
        <v>0</v>
      </c>
      <c r="F62" s="163" t="n">
        <f aca="false">IF($A62="","",SUMIF(Backlog4[Jour ouvert],"&lt;=" &amp; $A62,Backlog4[CRITIQUE])-SUMIF(Backlog4[Jour ferme],"&lt;=" &amp; $A62,Backlog4[CRITIQUE]))</f>
        <v>0</v>
      </c>
    </row>
    <row r="63" customFormat="false" ht="16" hidden="false" customHeight="false" outlineLevel="0" collapsed="false">
      <c r="A63" s="319" t="n">
        <f aca="false">IF($A$27&gt;A62,A62+1,"")</f>
        <v>34</v>
      </c>
      <c r="B63" s="320" t="n">
        <f aca="false">VLOOKUP(Anomalies!$A63,Calendriers!$C$3:$D$368,2)</f>
        <v>45363</v>
      </c>
      <c r="C63" s="320"/>
      <c r="D63" s="163" t="n">
        <f aca="false">IF($A63="","",SUMIF(Backlog4[Jour ouvert],"&lt;=" &amp; $A63,Backlog4[mineur])-SUMIF(Backlog4[Jour ferme],"&lt;=" &amp; $A63,Backlog4[mineur]))</f>
        <v>2</v>
      </c>
      <c r="E63" s="163" t="n">
        <f aca="false">IF($A63="","",SUMIF(Backlog4[Jour ouvert],"&lt;=" &amp; $A63,Backlog4[MAJEUR])-SUMIF(Backlog4[Jour ferme],"&lt;=" &amp; $A63,Backlog4[MAJEUR]))</f>
        <v>0</v>
      </c>
      <c r="F63" s="163" t="n">
        <f aca="false">IF($A63="","",SUMIF(Backlog4[Jour ouvert],"&lt;=" &amp; $A63,Backlog4[CRITIQUE])-SUMIF(Backlog4[Jour ferme],"&lt;=" &amp; $A63,Backlog4[CRITIQUE]))</f>
        <v>0</v>
      </c>
    </row>
    <row r="64" customFormat="false" ht="16" hidden="false" customHeight="false" outlineLevel="0" collapsed="false">
      <c r="A64" s="319" t="n">
        <f aca="false">IF($A$27&gt;A63,A63+1,"")</f>
        <v>35</v>
      </c>
      <c r="B64" s="320" t="n">
        <f aca="false">VLOOKUP(Anomalies!$A64,Calendriers!$C$3:$D$368,2)</f>
        <v>45364</v>
      </c>
      <c r="C64" s="320"/>
      <c r="D64" s="163" t="n">
        <f aca="false">IF($A64="","",SUMIF(Backlog4[Jour ouvert],"&lt;=" &amp; $A64,Backlog4[mineur])-SUMIF(Backlog4[Jour ferme],"&lt;=" &amp; $A64,Backlog4[mineur]))</f>
        <v>2</v>
      </c>
      <c r="E64" s="163" t="n">
        <f aca="false">IF($A64="","",SUMIF(Backlog4[Jour ouvert],"&lt;=" &amp; $A64,Backlog4[MAJEUR])-SUMIF(Backlog4[Jour ferme],"&lt;=" &amp; $A64,Backlog4[MAJEUR]))</f>
        <v>0</v>
      </c>
      <c r="F64" s="163" t="n">
        <f aca="false">IF($A64="","",SUMIF(Backlog4[Jour ouvert],"&lt;=" &amp; $A64,Backlog4[CRITIQUE])-SUMIF(Backlog4[Jour ferme],"&lt;=" &amp; $A64,Backlog4[CRITIQUE]))</f>
        <v>0</v>
      </c>
    </row>
    <row r="65" customFormat="false" ht="16" hidden="false" customHeight="false" outlineLevel="0" collapsed="false">
      <c r="A65" s="321" t="n">
        <f aca="false">IF($A$27&gt;A64,A64+1,"")</f>
        <v>36</v>
      </c>
      <c r="B65" s="320" t="n">
        <f aca="false">VLOOKUP(Anomalies!$A65,Calendriers!$C$3:$D$368,2)</f>
        <v>45365</v>
      </c>
      <c r="C65" s="320"/>
      <c r="D65" s="163" t="n">
        <f aca="false">IF($A65="","",SUMIF(Backlog4[Jour ouvert],"&lt;=" &amp; $A65,Backlog4[mineur])-SUMIF(Backlog4[Jour ferme],"&lt;=" &amp; $A65,Backlog4[mineur]))</f>
        <v>2</v>
      </c>
      <c r="E65" s="163" t="n">
        <f aca="false">IF($A65="","",SUMIF(Backlog4[Jour ouvert],"&lt;=" &amp; $A65,Backlog4[MAJEUR])-SUMIF(Backlog4[Jour ferme],"&lt;=" &amp; $A65,Backlog4[MAJEUR]))</f>
        <v>0</v>
      </c>
      <c r="F65" s="163" t="n">
        <f aca="false">IF($A65="","",SUMIF(Backlog4[Jour ouvert],"&lt;=" &amp; $A65,Backlog4[CRITIQUE])-SUMIF(Backlog4[Jour ferme],"&lt;=" &amp; $A65,Backlog4[CRITIQUE]))</f>
        <v>0</v>
      </c>
    </row>
    <row r="66" customFormat="false" ht="16" hidden="false" customHeight="false" outlineLevel="0" collapsed="false">
      <c r="A66" s="319" t="n">
        <f aca="false">IF($A$27&gt;A65,A65+1,"")</f>
        <v>37</v>
      </c>
      <c r="B66" s="320" t="n">
        <f aca="false">VLOOKUP(Anomalies!$A66,Calendriers!$C$3:$D$368,2)</f>
        <v>45366</v>
      </c>
      <c r="C66" s="320"/>
      <c r="D66" s="163" t="n">
        <f aca="false">IF($A66="","",SUMIF(Backlog4[Jour ouvert],"&lt;=" &amp; $A66,Backlog4[mineur])-SUMIF(Backlog4[Jour ferme],"&lt;=" &amp; $A66,Backlog4[mineur]))</f>
        <v>2</v>
      </c>
      <c r="E66" s="163" t="n">
        <f aca="false">IF($A66="","",SUMIF(Backlog4[Jour ouvert],"&lt;=" &amp; $A66,Backlog4[MAJEUR])-SUMIF(Backlog4[Jour ferme],"&lt;=" &amp; $A66,Backlog4[MAJEUR]))</f>
        <v>0</v>
      </c>
      <c r="F66" s="163" t="n">
        <f aca="false">IF($A66="","",SUMIF(Backlog4[Jour ouvert],"&lt;=" &amp; $A66,Backlog4[CRITIQUE])-SUMIF(Backlog4[Jour ferme],"&lt;=" &amp; $A66,Backlog4[CRITIQUE]))</f>
        <v>0</v>
      </c>
    </row>
    <row r="67" customFormat="false" ht="16" hidden="false" customHeight="false" outlineLevel="0" collapsed="false">
      <c r="A67" s="319" t="n">
        <f aca="false">IF($A$27&gt;A66,A66+1,"")</f>
        <v>38</v>
      </c>
      <c r="B67" s="320" t="n">
        <f aca="false">VLOOKUP(Anomalies!$A67,Calendriers!$C$3:$D$368,2)</f>
        <v>45369</v>
      </c>
      <c r="C67" s="320"/>
      <c r="D67" s="163" t="n">
        <f aca="false">IF($A67="","",SUMIF(Backlog4[Jour ouvert],"&lt;=" &amp; $A67,Backlog4[mineur])-SUMIF(Backlog4[Jour ferme],"&lt;=" &amp; $A67,Backlog4[mineur]))</f>
        <v>2</v>
      </c>
      <c r="E67" s="163" t="n">
        <f aca="false">IF($A67="","",SUMIF(Backlog4[Jour ouvert],"&lt;=" &amp; $A67,Backlog4[MAJEUR])-SUMIF(Backlog4[Jour ferme],"&lt;=" &amp; $A67,Backlog4[MAJEUR]))</f>
        <v>1</v>
      </c>
      <c r="F67" s="163" t="n">
        <f aca="false">IF($A67="","",SUMIF(Backlog4[Jour ouvert],"&lt;=" &amp; $A67,Backlog4[CRITIQUE])-SUMIF(Backlog4[Jour ferme],"&lt;=" &amp; $A67,Backlog4[CRITIQUE]))</f>
        <v>0</v>
      </c>
    </row>
    <row r="68" customFormat="false" ht="16" hidden="false" customHeight="false" outlineLevel="0" collapsed="false">
      <c r="A68" s="319" t="n">
        <f aca="false">IF($A$27&gt;A67,A67+1,"")</f>
        <v>39</v>
      </c>
      <c r="B68" s="320" t="n">
        <f aca="false">VLOOKUP(Anomalies!$A68,Calendriers!$C$3:$D$368,2)</f>
        <v>45370</v>
      </c>
      <c r="C68" s="320"/>
      <c r="D68" s="163" t="n">
        <f aca="false">IF($A68="","",SUMIF(Backlog4[Jour ouvert],"&lt;=" &amp; $A68,Backlog4[mineur])-SUMIF(Backlog4[Jour ferme],"&lt;=" &amp; $A68,Backlog4[mineur]))</f>
        <v>2</v>
      </c>
      <c r="E68" s="163" t="n">
        <f aca="false">IF($A68="","",SUMIF(Backlog4[Jour ouvert],"&lt;=" &amp; $A68,Backlog4[MAJEUR])-SUMIF(Backlog4[Jour ferme],"&lt;=" &amp; $A68,Backlog4[MAJEUR]))</f>
        <v>1</v>
      </c>
      <c r="F68" s="163" t="n">
        <f aca="false">IF($A68="","",SUMIF(Backlog4[Jour ouvert],"&lt;=" &amp; $A68,Backlog4[CRITIQUE])-SUMIF(Backlog4[Jour ferme],"&lt;=" &amp; $A68,Backlog4[CRITIQUE]))</f>
        <v>0</v>
      </c>
    </row>
    <row r="69" customFormat="false" ht="16" hidden="false" customHeight="false" outlineLevel="0" collapsed="false">
      <c r="A69" s="319" t="n">
        <f aca="false">IF($A$27&gt;A68,A68+1,"")</f>
        <v>40</v>
      </c>
      <c r="B69" s="320" t="n">
        <f aca="false">VLOOKUP(Anomalies!$A69,Calendriers!$C$3:$D$368,2)</f>
        <v>45371</v>
      </c>
      <c r="C69" s="320"/>
      <c r="D69" s="163" t="n">
        <f aca="false">IF($A69="","",SUMIF(Backlog4[Jour ouvert],"&lt;=" &amp; $A69,Backlog4[mineur])-SUMIF(Backlog4[Jour ferme],"&lt;=" &amp; $A69,Backlog4[mineur]))</f>
        <v>3</v>
      </c>
      <c r="E69" s="163" t="n">
        <f aca="false">IF($A69="","",SUMIF(Backlog4[Jour ouvert],"&lt;=" &amp; $A69,Backlog4[MAJEUR])-SUMIF(Backlog4[Jour ferme],"&lt;=" &amp; $A69,Backlog4[MAJEUR]))</f>
        <v>2</v>
      </c>
      <c r="F69" s="163" t="n">
        <f aca="false">IF($A69="","",SUMIF(Backlog4[Jour ouvert],"&lt;=" &amp; $A69,Backlog4[CRITIQUE])-SUMIF(Backlog4[Jour ferme],"&lt;=" &amp; $A69,Backlog4[CRITIQUE]))</f>
        <v>0</v>
      </c>
    </row>
    <row r="70" customFormat="false" ht="16" hidden="false" customHeight="false" outlineLevel="0" collapsed="false">
      <c r="A70" s="319" t="n">
        <f aca="false">IF($A$27&gt;A69,A69+1,"")</f>
        <v>41</v>
      </c>
      <c r="B70" s="320" t="n">
        <f aca="false">VLOOKUP(Anomalies!$A70,Calendriers!$C$3:$D$368,2)</f>
        <v>45372</v>
      </c>
      <c r="C70" s="320"/>
      <c r="D70" s="163" t="n">
        <f aca="false">IF($A70="","",SUMIF(Backlog4[Jour ouvert],"&lt;=" &amp; $A70,Backlog4[mineur])-SUMIF(Backlog4[Jour ferme],"&lt;=" &amp; $A70,Backlog4[mineur]))</f>
        <v>2</v>
      </c>
      <c r="E70" s="163" t="n">
        <f aca="false">IF($A70="","",SUMIF(Backlog4[Jour ouvert],"&lt;=" &amp; $A70,Backlog4[MAJEUR])-SUMIF(Backlog4[Jour ferme],"&lt;=" &amp; $A70,Backlog4[MAJEUR]))</f>
        <v>1</v>
      </c>
      <c r="F70" s="163" t="n">
        <f aca="false">IF($A70="","",SUMIF(Backlog4[Jour ouvert],"&lt;=" &amp; $A70,Backlog4[CRITIQUE])-SUMIF(Backlog4[Jour ferme],"&lt;=" &amp; $A70,Backlog4[CRITIQUE]))</f>
        <v>1</v>
      </c>
    </row>
    <row r="71" customFormat="false" ht="16" hidden="false" customHeight="false" outlineLevel="0" collapsed="false">
      <c r="A71" s="319" t="n">
        <f aca="false">IF($A$27&gt;A70,A70+1,"")</f>
        <v>42</v>
      </c>
      <c r="B71" s="320" t="n">
        <f aca="false">VLOOKUP(Anomalies!$A71,Calendriers!$C$3:$D$368,2)</f>
        <v>45373</v>
      </c>
      <c r="C71" s="320"/>
      <c r="D71" s="163" t="n">
        <f aca="false">IF($A71="","",SUMIF(Backlog4[Jour ouvert],"&lt;=" &amp; $A71,Backlog4[mineur])-SUMIF(Backlog4[Jour ferme],"&lt;=" &amp; $A71,Backlog4[mineur]))</f>
        <v>2</v>
      </c>
      <c r="E71" s="163" t="n">
        <f aca="false">IF($A71="","",SUMIF(Backlog4[Jour ouvert],"&lt;=" &amp; $A71,Backlog4[MAJEUR])-SUMIF(Backlog4[Jour ferme],"&lt;=" &amp; $A71,Backlog4[MAJEUR]))</f>
        <v>1</v>
      </c>
      <c r="F71" s="163" t="n">
        <f aca="false">IF($A71="","",SUMIF(Backlog4[Jour ouvert],"&lt;=" &amp; $A71,Backlog4[CRITIQUE])-SUMIF(Backlog4[Jour ferme],"&lt;=" &amp; $A71,Backlog4[CRITIQUE]))</f>
        <v>1</v>
      </c>
    </row>
    <row r="72" customFormat="false" ht="16" hidden="false" customHeight="false" outlineLevel="0" collapsed="false">
      <c r="A72" s="319" t="str">
        <f aca="false">IF($A$27&gt;A71,A71+1,"")</f>
        <v/>
      </c>
      <c r="B72" s="320" t="str">
        <f aca="false">VLOOKUP(Anomalies!$A72,Calendriers!$C$3:$D$368,2)</f>
        <v/>
      </c>
      <c r="C72" s="320" t="str">
        <f aca="false">VLOOKUP(Anomalies!A72,Calendriers!C45:D410,2)</f>
        <v/>
      </c>
      <c r="D72" s="163" t="str">
        <f aca="false">IF($A72="","",SUMIF(Backlog4[Jour ouvert],"&lt;=" &amp; $A72,Backlog4[mineur])-SUMIF(Backlog4[Jour ferme],"&lt;=" &amp; $A72,Backlog4[mineur]))</f>
        <v/>
      </c>
      <c r="E72" s="163" t="str">
        <f aca="false">IF($A72="","",SUMIF(Backlog4[Jour ouvert],"&lt;=" &amp; $A72,Backlog4[MAJEUR])-SUMIF(Backlog4[Jour ferme],"&lt;=" &amp; $A72,Backlog4[MAJEUR]))</f>
        <v/>
      </c>
      <c r="F72" s="163" t="str">
        <f aca="false">IF($A72="","",SUMIF(Backlog4[Jour ouvert],"&lt;=" &amp; $A72,Backlog4[CRITIQUE])-SUMIF(Backlog4[Jour ferme],"&lt;=" &amp; $A72,Backlog4[CRITIQUE]))</f>
        <v/>
      </c>
    </row>
    <row r="73" customFormat="false" ht="16" hidden="false" customHeight="false" outlineLevel="0" collapsed="false">
      <c r="A73" s="319" t="str">
        <f aca="false">IF($A$27&gt;A72,A72+1,"")</f>
        <v/>
      </c>
      <c r="B73" s="320" t="str">
        <f aca="false">VLOOKUP(Anomalies!$A73,Calendriers!$C$3:$D$368,2)</f>
        <v/>
      </c>
      <c r="C73" s="320" t="str">
        <f aca="false">VLOOKUP(Anomalies!A73,Calendriers!C46:D411,2)</f>
        <v/>
      </c>
      <c r="D73" s="163" t="str">
        <f aca="false">IF($A73="","",SUMIF(Backlog4[Jour ouvert],"&lt;=" &amp; $A73,Backlog4[mineur])-SUMIF(Backlog4[Jour ferme],"&lt;=" &amp; $A73,Backlog4[mineur]))</f>
        <v/>
      </c>
      <c r="E73" s="163" t="str">
        <f aca="false">IF($A73="","",SUMIF(Backlog4[Jour ouvert],"&lt;=" &amp; $A73,Backlog4[MAJEUR])-SUMIF(Backlog4[Jour ferme],"&lt;=" &amp; $A73,Backlog4[MAJEUR]))</f>
        <v/>
      </c>
      <c r="F73" s="163" t="str">
        <f aca="false">IF($A73="","",SUMIF(Backlog4[Jour ouvert],"&lt;=" &amp; $A73,Backlog4[CRITIQUE])-SUMIF(Backlog4[Jour ferme],"&lt;=" &amp; $A73,Backlog4[CRITIQUE]))</f>
        <v/>
      </c>
    </row>
    <row r="74" customFormat="false" ht="16" hidden="false" customHeight="false" outlineLevel="0" collapsed="false">
      <c r="A74" s="319" t="str">
        <f aca="false">IF($A$27&gt;A73,A73+1,"")</f>
        <v/>
      </c>
      <c r="B74" s="320" t="str">
        <f aca="false">VLOOKUP(Anomalies!$A74,Calendriers!$C$3:$D$368,2)</f>
        <v/>
      </c>
      <c r="C74" s="320" t="str">
        <f aca="false">VLOOKUP(Anomalies!A74,Calendriers!C47:D412,2)</f>
        <v/>
      </c>
      <c r="D74" s="163" t="str">
        <f aca="false">IF($A74="","",SUMIF(Backlog4[Jour ouvert],"&lt;=" &amp; $A74,Backlog4[mineur])-SUMIF(Backlog4[Jour ferme],"&lt;=" &amp; $A74,Backlog4[mineur]))</f>
        <v/>
      </c>
      <c r="E74" s="163" t="str">
        <f aca="false">IF($A74="","",SUMIF(Backlog4[Jour ouvert],"&lt;=" &amp; $A74,Backlog4[MAJEUR])-SUMIF(Backlog4[Jour ferme],"&lt;=" &amp; $A74,Backlog4[MAJEUR]))</f>
        <v/>
      </c>
      <c r="F74" s="163" t="str">
        <f aca="false">IF($A74="","",SUMIF(Backlog4[Jour ouvert],"&lt;=" &amp; $A74,Backlog4[CRITIQUE])-SUMIF(Backlog4[Jour ferme],"&lt;=" &amp; $A74,Backlog4[CRITIQUE]))</f>
        <v/>
      </c>
    </row>
    <row r="75" customFormat="false" ht="16" hidden="false" customHeight="false" outlineLevel="0" collapsed="false">
      <c r="A75" s="319" t="str">
        <f aca="false">IF($A$27&gt;A74,A74+1,"")</f>
        <v/>
      </c>
      <c r="B75" s="320" t="str">
        <f aca="false">VLOOKUP(Anomalies!$A75,Calendriers!$C$3:$D$368,2)</f>
        <v/>
      </c>
      <c r="C75" s="320" t="str">
        <f aca="false">VLOOKUP(Anomalies!A75,Calendriers!C48:D413,2)</f>
        <v/>
      </c>
      <c r="D75" s="163" t="str">
        <f aca="false">IF($A75="","",SUMIF(Backlog4[Jour ouvert],"&lt;=" &amp; $A75,Backlog4[mineur])-SUMIF(Backlog4[Jour ferme],"&lt;=" &amp; $A75,Backlog4[mineur]))</f>
        <v/>
      </c>
      <c r="E75" s="163" t="str">
        <f aca="false">IF($A75="","",SUMIF(Backlog4[Jour ouvert],"&lt;=" &amp; $A75,Backlog4[MAJEUR])-SUMIF(Backlog4[Jour ferme],"&lt;=" &amp; $A75,Backlog4[MAJEUR]))</f>
        <v/>
      </c>
      <c r="F75" s="163" t="str">
        <f aca="false">IF($A75="","",SUMIF(Backlog4[Jour ouvert],"&lt;=" &amp; $A75,Backlog4[CRITIQUE])-SUMIF(Backlog4[Jour ferme],"&lt;=" &amp; $A75,Backlog4[CRITIQUE]))</f>
        <v/>
      </c>
    </row>
    <row r="76" customFormat="false" ht="16" hidden="false" customHeight="false" outlineLevel="0" collapsed="false">
      <c r="A76" s="319" t="str">
        <f aca="false">IF($A$27&gt;A75,A75+1,"")</f>
        <v/>
      </c>
      <c r="B76" s="320" t="str">
        <f aca="false">VLOOKUP(Anomalies!$A76,Calendriers!$C$3:$D$368,2)</f>
        <v/>
      </c>
      <c r="C76" s="320" t="str">
        <f aca="false">VLOOKUP(Anomalies!A76,Calendriers!C49:D414,2)</f>
        <v/>
      </c>
      <c r="D76" s="163" t="str">
        <f aca="false">IF($A76="","",SUMIF(Backlog4[Jour ouvert],"&lt;=" &amp; $A76,Backlog4[mineur])-SUMIF(Backlog4[Jour ferme],"&lt;=" &amp; $A76,Backlog4[mineur]))</f>
        <v/>
      </c>
      <c r="E76" s="163" t="str">
        <f aca="false">IF($A76="","",SUMIF(Backlog4[Jour ouvert],"&lt;=" &amp; $A76,Backlog4[MAJEUR])-SUMIF(Backlog4[Jour ferme],"&lt;=" &amp; $A76,Backlog4[MAJEUR]))</f>
        <v/>
      </c>
      <c r="F76" s="163" t="str">
        <f aca="false">IF($A76="","",SUMIF(Backlog4[Jour ouvert],"&lt;=" &amp; $A76,Backlog4[CRITIQUE])-SUMIF(Backlog4[Jour ferme],"&lt;=" &amp; $A76,Backlog4[CRITIQUE]))</f>
        <v/>
      </c>
    </row>
    <row r="77" customFormat="false" ht="16" hidden="false" customHeight="false" outlineLevel="0" collapsed="false">
      <c r="A77" s="319" t="str">
        <f aca="false">IF($A$27&gt;A76,A76+1,"")</f>
        <v/>
      </c>
      <c r="B77" s="320" t="str">
        <f aca="false">VLOOKUP(Anomalies!$A77,Calendriers!$C$3:$D$368,2)</f>
        <v/>
      </c>
      <c r="C77" s="320" t="str">
        <f aca="false">VLOOKUP(Anomalies!A77,Calendriers!C50:D415,2)</f>
        <v/>
      </c>
      <c r="D77" s="163" t="str">
        <f aca="false">IF($A77="","",SUMIF(Backlog4[Jour ouvert],"&lt;=" &amp; $A77,Backlog4[mineur])-SUMIF(Backlog4[Jour ferme],"&lt;=" &amp; $A77,Backlog4[mineur]))</f>
        <v/>
      </c>
      <c r="E77" s="163" t="str">
        <f aca="false">IF($A77="","",SUMIF(Backlog4[Jour ouvert],"&lt;=" &amp; $A77,Backlog4[MAJEUR])-SUMIF(Backlog4[Jour ferme],"&lt;=" &amp; $A77,Backlog4[MAJEUR]))</f>
        <v/>
      </c>
      <c r="F77" s="163" t="str">
        <f aca="false">IF($A77="","",SUMIF(Backlog4[Jour ouvert],"&lt;=" &amp; $A77,Backlog4[CRITIQUE])-SUMIF(Backlog4[Jour ferme],"&lt;=" &amp; $A77,Backlog4[CRITIQUE]))</f>
        <v/>
      </c>
    </row>
    <row r="78" customFormat="false" ht="16" hidden="false" customHeight="false" outlineLevel="0" collapsed="false">
      <c r="A78" s="319" t="str">
        <f aca="false">IF($A$27&gt;A77,A77+1,"")</f>
        <v/>
      </c>
      <c r="B78" s="320" t="str">
        <f aca="false">VLOOKUP(Anomalies!$A78,Calendriers!$C$3:$D$368,2)</f>
        <v/>
      </c>
      <c r="C78" s="320" t="str">
        <f aca="false">VLOOKUP(Anomalies!A78,Calendriers!C51:D416,2)</f>
        <v/>
      </c>
      <c r="D78" s="163" t="str">
        <f aca="false">IF($A78="","",SUMIF(Backlog4[Jour ouvert],"&lt;=" &amp; $A78,Backlog4[mineur])-SUMIF(Backlog4[Jour ferme],"&lt;=" &amp; $A78,Backlog4[mineur]))</f>
        <v/>
      </c>
      <c r="E78" s="163" t="str">
        <f aca="false">IF($A78="","",SUMIF(Backlog4[Jour ouvert],"&lt;=" &amp; $A78,Backlog4[MAJEUR])-SUMIF(Backlog4[Jour ferme],"&lt;=" &amp; $A78,Backlog4[MAJEUR]))</f>
        <v/>
      </c>
      <c r="F78" s="163" t="str">
        <f aca="false">IF($A78="","",SUMIF(Backlog4[Jour ouvert],"&lt;=" &amp; $A78,Backlog4[CRITIQUE])-SUMIF(Backlog4[Jour ferme],"&lt;=" &amp; $A78,Backlog4[CRITIQUE]))</f>
        <v/>
      </c>
    </row>
    <row r="79" customFormat="false" ht="16" hidden="false" customHeight="false" outlineLevel="0" collapsed="false">
      <c r="A79" s="319" t="str">
        <f aca="false">IF($A$27&gt;A78,A78+1,"")</f>
        <v/>
      </c>
      <c r="B79" s="320" t="str">
        <f aca="false">VLOOKUP(Anomalies!$A79,Calendriers!$C$3:$D$368,2)</f>
        <v/>
      </c>
      <c r="C79" s="320" t="str">
        <f aca="false">VLOOKUP(Anomalies!A79,Calendriers!C52:D417,2)</f>
        <v/>
      </c>
      <c r="D79" s="163" t="str">
        <f aca="false">IF($A79="","",SUMIF(Backlog4[Jour ouvert],"&lt;=" &amp; $A79,Backlog4[mineur])-SUMIF(Backlog4[Jour ferme],"&lt;=" &amp; $A79,Backlog4[mineur]))</f>
        <v/>
      </c>
      <c r="E79" s="163" t="str">
        <f aca="false">IF($A79="","",SUMIF(Backlog4[Jour ouvert],"&lt;=" &amp; $A79,Backlog4[MAJEUR])-SUMIF(Backlog4[Jour ferme],"&lt;=" &amp; $A79,Backlog4[MAJEUR]))</f>
        <v/>
      </c>
      <c r="F79" s="163" t="str">
        <f aca="false">IF($A79="","",SUMIF(Backlog4[Jour ouvert],"&lt;=" &amp; $A79,Backlog4[CRITIQUE])-SUMIF(Backlog4[Jour ferme],"&lt;=" &amp; $A79,Backlog4[CRITIQUE]))</f>
        <v/>
      </c>
    </row>
    <row r="80" customFormat="false" ht="16" hidden="false" customHeight="false" outlineLevel="0" collapsed="false">
      <c r="A80" s="319" t="str">
        <f aca="false">IF($A$27&gt;A79,A79+1,"")</f>
        <v/>
      </c>
      <c r="B80" s="320" t="str">
        <f aca="false">VLOOKUP(Anomalies!$A80,Calendriers!$C$3:$D$368,2)</f>
        <v/>
      </c>
      <c r="C80" s="320" t="str">
        <f aca="false">VLOOKUP(Anomalies!A80,Calendriers!C53:D418,2)</f>
        <v/>
      </c>
      <c r="D80" s="163" t="str">
        <f aca="false">IF($A80="","",SUMIF(Backlog4[Jour ouvert],"&lt;=" &amp; $A80,Backlog4[mineur])-SUMIF(Backlog4[Jour ferme],"&lt;=" &amp; $A80,Backlog4[mineur]))</f>
        <v/>
      </c>
      <c r="E80" s="163" t="str">
        <f aca="false">IF($A80="","",SUMIF(Backlog4[Jour ouvert],"&lt;=" &amp; $A80,Backlog4[MAJEUR])-SUMIF(Backlog4[Jour ferme],"&lt;=" &amp; $A80,Backlog4[MAJEUR]))</f>
        <v/>
      </c>
      <c r="F80" s="163" t="str">
        <f aca="false">IF($A80="","",SUMIF(Backlog4[Jour ouvert],"&lt;=" &amp; $A80,Backlog4[CRITIQUE])-SUMIF(Backlog4[Jour ferme],"&lt;=" &amp; $A80,Backlog4[CRITIQUE]))</f>
        <v/>
      </c>
    </row>
    <row r="81" customFormat="false" ht="16" hidden="false" customHeight="false" outlineLevel="0" collapsed="false">
      <c r="A81" s="319" t="str">
        <f aca="false">IF($A$27&gt;A80,A80+1,"")</f>
        <v/>
      </c>
      <c r="B81" s="320" t="str">
        <f aca="false">VLOOKUP(Anomalies!$A81,Calendriers!$C$3:$D$368,2)</f>
        <v/>
      </c>
      <c r="C81" s="320" t="str">
        <f aca="false">VLOOKUP(Anomalies!A81,Calendriers!C54:D419,2)</f>
        <v/>
      </c>
      <c r="D81" s="163" t="str">
        <f aca="false">IF($A81="","",SUMIF(Backlog4[Jour ouvert],"&lt;=" &amp; $A81,Backlog4[mineur])-SUMIF(Backlog4[Jour ferme],"&lt;=" &amp; $A81,Backlog4[mineur]))</f>
        <v/>
      </c>
      <c r="E81" s="163" t="str">
        <f aca="false">IF($A81="","",SUMIF(Backlog4[Jour ouvert],"&lt;=" &amp; $A81,Backlog4[MAJEUR])-SUMIF(Backlog4[Jour ferme],"&lt;=" &amp; $A81,Backlog4[MAJEUR]))</f>
        <v/>
      </c>
      <c r="F81" s="163" t="str">
        <f aca="false">IF($A81="","",SUMIF(Backlog4[Jour ouvert],"&lt;=" &amp; $A81,Backlog4[CRITIQUE])-SUMIF(Backlog4[Jour ferme],"&lt;=" &amp; $A81,Backlog4[CRITIQUE]))</f>
        <v/>
      </c>
    </row>
    <row r="82" customFormat="false" ht="16" hidden="false" customHeight="false" outlineLevel="0" collapsed="false">
      <c r="A82" s="319" t="str">
        <f aca="false">IF($A$27&gt;A81,A81+1,"")</f>
        <v/>
      </c>
      <c r="B82" s="320" t="str">
        <f aca="false">VLOOKUP(Anomalies!$A82,Calendriers!$C$3:$D$368,2)</f>
        <v/>
      </c>
      <c r="C82" s="320" t="str">
        <f aca="false">VLOOKUP(Anomalies!A82,Calendriers!C55:D420,2)</f>
        <v/>
      </c>
      <c r="D82" s="163" t="str">
        <f aca="false">IF($A82="","",SUMIF(Backlog4[Jour ouvert],"&lt;=" &amp; $A82,Backlog4[mineur])-SUMIF(Backlog4[Jour ferme],"&lt;=" &amp; $A82,Backlog4[mineur]))</f>
        <v/>
      </c>
      <c r="E82" s="163" t="str">
        <f aca="false">IF($A82="","",SUMIF(Backlog4[Jour ouvert],"&lt;=" &amp; $A82,Backlog4[MAJEUR])-SUMIF(Backlog4[Jour ferme],"&lt;=" &amp; $A82,Backlog4[MAJEUR]))</f>
        <v/>
      </c>
      <c r="F82" s="163" t="str">
        <f aca="false">IF($A82="","",SUMIF(Backlog4[Jour ouvert],"&lt;=" &amp; $A82,Backlog4[CRITIQUE])-SUMIF(Backlog4[Jour ferme],"&lt;=" &amp; $A82,Backlog4[CRITIQUE]))</f>
        <v/>
      </c>
    </row>
    <row r="83" customFormat="false" ht="16" hidden="false" customHeight="false" outlineLevel="0" collapsed="false">
      <c r="A83" s="319" t="str">
        <f aca="false">IF($A$27&gt;A82,A82+1,"")</f>
        <v/>
      </c>
      <c r="B83" s="320" t="str">
        <f aca="false">VLOOKUP(Anomalies!$A83,Calendriers!$C$3:$D$368,2)</f>
        <v/>
      </c>
      <c r="C83" s="320" t="str">
        <f aca="false">VLOOKUP(Anomalies!A83,Calendriers!C56:D421,2)</f>
        <v/>
      </c>
      <c r="D83" s="163" t="str">
        <f aca="false">IF($A83="","",SUMIF(Backlog4[Jour ouvert],"&lt;=" &amp; $A83,Backlog4[mineur])-SUMIF(Backlog4[Jour ferme],"&lt;=" &amp; $A83,Backlog4[mineur]))</f>
        <v/>
      </c>
      <c r="E83" s="163" t="str">
        <f aca="false">IF($A83="","",SUMIF(Backlog4[Jour ouvert],"&lt;=" &amp; $A83,Backlog4[MAJEUR])-SUMIF(Backlog4[Jour ferme],"&lt;=" &amp; $A83,Backlog4[MAJEUR]))</f>
        <v/>
      </c>
      <c r="F83" s="163" t="str">
        <f aca="false">IF($A83="","",SUMIF(Backlog4[Jour ouvert],"&lt;=" &amp; $A83,Backlog4[CRITIQUE])-SUMIF(Backlog4[Jour ferme],"&lt;=" &amp; $A83,Backlog4[CRITIQUE]))</f>
        <v/>
      </c>
    </row>
    <row r="84" customFormat="false" ht="16" hidden="false" customHeight="false" outlineLevel="0" collapsed="false">
      <c r="A84" s="319" t="str">
        <f aca="false">IF($A$27&gt;A83,A83+1,"")</f>
        <v/>
      </c>
      <c r="B84" s="320" t="str">
        <f aca="false">VLOOKUP(Anomalies!$A84,Calendriers!$C$3:$D$368,2)</f>
        <v/>
      </c>
      <c r="C84" s="320" t="str">
        <f aca="false">VLOOKUP(Anomalies!A84,Calendriers!C57:D422,2)</f>
        <v/>
      </c>
      <c r="D84" s="163" t="str">
        <f aca="false">IF($A84="","",SUMIF(Backlog4[Jour ouvert],"&lt;=" &amp; $A84,Backlog4[mineur])-SUMIF(Backlog4[Jour ferme],"&lt;=" &amp; $A84,Backlog4[mineur]))</f>
        <v/>
      </c>
      <c r="E84" s="163" t="str">
        <f aca="false">IF($A84="","",SUMIF(Backlog4[Jour ouvert],"&lt;=" &amp; $A84,Backlog4[MAJEUR])-SUMIF(Backlog4[Jour ferme],"&lt;=" &amp; $A84,Backlog4[MAJEUR]))</f>
        <v/>
      </c>
      <c r="F84" s="163" t="str">
        <f aca="false">IF($A84="","",SUMIF(Backlog4[Jour ouvert],"&lt;=" &amp; $A84,Backlog4[CRITIQUE])-SUMIF(Backlog4[Jour ferme],"&lt;=" &amp; $A84,Backlog4[CRITIQUE]))</f>
        <v/>
      </c>
    </row>
    <row r="85" customFormat="false" ht="16" hidden="false" customHeight="false" outlineLevel="0" collapsed="false">
      <c r="A85" s="319" t="str">
        <f aca="false">IF($A$27&gt;A84,A84+1,"")</f>
        <v/>
      </c>
      <c r="B85" s="320" t="str">
        <f aca="false">VLOOKUP(Anomalies!$A85,Calendriers!$C$3:$D$368,2)</f>
        <v/>
      </c>
      <c r="C85" s="320" t="str">
        <f aca="false">VLOOKUP(Anomalies!A85,Calendriers!C58:D423,2)</f>
        <v/>
      </c>
      <c r="D85" s="163" t="str">
        <f aca="false">IF($A85="","",SUMIF(Backlog4[Jour ouvert],"&lt;=" &amp; $A85,Backlog4[mineur])-SUMIF(Backlog4[Jour ferme],"&lt;=" &amp; $A85,Backlog4[mineur]))</f>
        <v/>
      </c>
      <c r="E85" s="163" t="str">
        <f aca="false">IF($A85="","",SUMIF(Backlog4[Jour ouvert],"&lt;=" &amp; $A85,Backlog4[MAJEUR])-SUMIF(Backlog4[Jour ferme],"&lt;=" &amp; $A85,Backlog4[MAJEUR]))</f>
        <v/>
      </c>
      <c r="F85" s="163" t="str">
        <f aca="false">IF($A85="","",SUMIF(Backlog4[Jour ouvert],"&lt;=" &amp; $A85,Backlog4[CRITIQUE])-SUMIF(Backlog4[Jour ferme],"&lt;=" &amp; $A85,Backlog4[CRITIQUE]))</f>
        <v/>
      </c>
    </row>
    <row r="86" customFormat="false" ht="16" hidden="false" customHeight="false" outlineLevel="0" collapsed="false">
      <c r="A86" s="319" t="str">
        <f aca="false">IF($A$27&gt;A85,A85+1,"")</f>
        <v/>
      </c>
      <c r="B86" s="320" t="str">
        <f aca="false">VLOOKUP(Anomalies!$A86,Calendriers!$C$3:$D$368,2)</f>
        <v/>
      </c>
      <c r="C86" s="320" t="str">
        <f aca="false">VLOOKUP(Anomalies!A86,Calendriers!C59:D424,2)</f>
        <v/>
      </c>
      <c r="D86" s="163" t="str">
        <f aca="false">IF($A86="","",SUMIF(Backlog4[Jour ouvert],"&lt;=" &amp; $A86,Backlog4[mineur])-SUMIF(Backlog4[Jour ferme],"&lt;=" &amp; $A86,Backlog4[mineur]))</f>
        <v/>
      </c>
      <c r="E86" s="163" t="str">
        <f aca="false">IF($A86="","",SUMIF(Backlog4[Jour ouvert],"&lt;=" &amp; $A86,Backlog4[MAJEUR])-SUMIF(Backlog4[Jour ferme],"&lt;=" &amp; $A86,Backlog4[MAJEUR]))</f>
        <v/>
      </c>
      <c r="F86" s="163" t="str">
        <f aca="false">IF($A86="","",SUMIF(Backlog4[Jour ouvert],"&lt;=" &amp; $A86,Backlog4[CRITIQUE])-SUMIF(Backlog4[Jour ferme],"&lt;=" &amp; $A86,Backlog4[CRITIQUE]))</f>
        <v/>
      </c>
    </row>
    <row r="87" customFormat="false" ht="16" hidden="false" customHeight="false" outlineLevel="0" collapsed="false">
      <c r="A87" s="319" t="str">
        <f aca="false">IF($A$27&gt;A86,A86+1,"")</f>
        <v/>
      </c>
      <c r="B87" s="320" t="str">
        <f aca="false">VLOOKUP(Anomalies!$A87,Calendriers!$C$3:$D$368,2)</f>
        <v/>
      </c>
      <c r="C87" s="320" t="str">
        <f aca="false">VLOOKUP(Anomalies!A87,Calendriers!C60:D425,2)</f>
        <v/>
      </c>
      <c r="D87" s="163" t="str">
        <f aca="false">IF($A87="","",SUMIF(Backlog4[Jour ouvert],"&lt;=" &amp; $A87,Backlog4[mineur])-SUMIF(Backlog4[Jour ferme],"&lt;=" &amp; $A87,Backlog4[mineur]))</f>
        <v/>
      </c>
      <c r="E87" s="163" t="str">
        <f aca="false">IF($A87="","",SUMIF(Backlog4[Jour ouvert],"&lt;=" &amp; $A87,Backlog4[MAJEUR])-SUMIF(Backlog4[Jour ferme],"&lt;=" &amp; $A87,Backlog4[MAJEUR]))</f>
        <v/>
      </c>
      <c r="F87" s="163" t="str">
        <f aca="false">IF($A87="","",SUMIF(Backlog4[Jour ouvert],"&lt;=" &amp; $A87,Backlog4[CRITIQUE])-SUMIF(Backlog4[Jour ferme],"&lt;=" &amp; $A87,Backlog4[CRITIQUE]))</f>
        <v/>
      </c>
    </row>
    <row r="88" customFormat="false" ht="16" hidden="false" customHeight="false" outlineLevel="0" collapsed="false">
      <c r="A88" s="319" t="str">
        <f aca="false">IF($A$27&gt;A87,A87+1,"")</f>
        <v/>
      </c>
      <c r="B88" s="320" t="str">
        <f aca="false">VLOOKUP(Anomalies!$A88,Calendriers!$C$3:$D$368,2)</f>
        <v/>
      </c>
      <c r="C88" s="320" t="str">
        <f aca="false">VLOOKUP(Anomalies!A88,Calendriers!C61:D426,2)</f>
        <v/>
      </c>
      <c r="D88" s="163" t="str">
        <f aca="false">IF($A88="","",SUMIF(Backlog4[Jour ouvert],"&lt;=" &amp; $A88,Backlog4[mineur])-SUMIF(Backlog4[Jour ferme],"&lt;=" &amp; $A88,Backlog4[mineur]))</f>
        <v/>
      </c>
      <c r="E88" s="163" t="str">
        <f aca="false">IF($A88="","",SUMIF(Backlog4[Jour ouvert],"&lt;=" &amp; $A88,Backlog4[MAJEUR])-SUMIF(Backlog4[Jour ferme],"&lt;=" &amp; $A88,Backlog4[MAJEUR]))</f>
        <v/>
      </c>
      <c r="F88" s="163" t="str">
        <f aca="false">IF($A88="","",SUMIF(Backlog4[Jour ouvert],"&lt;=" &amp; $A88,Backlog4[CRITIQUE])-SUMIF(Backlog4[Jour ferme],"&lt;=" &amp; $A88,Backlog4[CRITIQUE]))</f>
        <v/>
      </c>
    </row>
    <row r="89" customFormat="false" ht="16" hidden="false" customHeight="false" outlineLevel="0" collapsed="false">
      <c r="A89" s="319" t="str">
        <f aca="false">IF($A$27&gt;A88,A88+1,"")</f>
        <v/>
      </c>
      <c r="B89" s="320" t="str">
        <f aca="false">VLOOKUP(Anomalies!$A89,Calendriers!$C$3:$D$368,2)</f>
        <v/>
      </c>
      <c r="C89" s="320" t="str">
        <f aca="false">VLOOKUP(Anomalies!A89,Calendriers!C62:D427,2)</f>
        <v/>
      </c>
      <c r="D89" s="163" t="str">
        <f aca="false">IF($A89="","",SUMIF(Backlog4[Jour ouvert],"&lt;=" &amp; $A89,Backlog4[mineur])-SUMIF(Backlog4[Jour ferme],"&lt;=" &amp; $A89,Backlog4[mineur]))</f>
        <v/>
      </c>
      <c r="E89" s="163" t="str">
        <f aca="false">IF($A89="","",SUMIF(Backlog4[Jour ouvert],"&lt;=" &amp; $A89,Backlog4[MAJEUR])-SUMIF(Backlog4[Jour ferme],"&lt;=" &amp; $A89,Backlog4[MAJEUR]))</f>
        <v/>
      </c>
      <c r="F89" s="163" t="str">
        <f aca="false">IF($A89="","",SUMIF(Backlog4[Jour ouvert],"&lt;=" &amp; $A89,Backlog4[CRITIQUE])-SUMIF(Backlog4[Jour ferme],"&lt;=" &amp; $A89,Backlog4[CRITIQUE]))</f>
        <v/>
      </c>
    </row>
    <row r="90" customFormat="false" ht="16" hidden="false" customHeight="false" outlineLevel="0" collapsed="false">
      <c r="A90" s="319" t="str">
        <f aca="false">IF($A$27&gt;A89,A89+1,"")</f>
        <v/>
      </c>
      <c r="B90" s="320" t="str">
        <f aca="false">VLOOKUP(Anomalies!$A90,Calendriers!$C$3:$D$368,2)</f>
        <v/>
      </c>
      <c r="C90" s="320" t="str">
        <f aca="false">VLOOKUP(Anomalies!A90,Calendriers!C63:D428,2)</f>
        <v/>
      </c>
      <c r="D90" s="163" t="str">
        <f aca="false">IF($A90="","",SUMIF(Backlog4[Jour ouvert],"&lt;=" &amp; $A90,Backlog4[mineur])-SUMIF(Backlog4[Jour ferme],"&lt;=" &amp; $A90,Backlog4[mineur]))</f>
        <v/>
      </c>
      <c r="E90" s="163" t="str">
        <f aca="false">IF($A90="","",SUMIF(Backlog4[Jour ouvert],"&lt;=" &amp; $A90,Backlog4[MAJEUR])-SUMIF(Backlog4[Jour ferme],"&lt;=" &amp; $A90,Backlog4[MAJEUR]))</f>
        <v/>
      </c>
      <c r="F90" s="163" t="str">
        <f aca="false">IF($A90="","",SUMIF(Backlog4[Jour ouvert],"&lt;=" &amp; $A90,Backlog4[CRITIQUE])-SUMIF(Backlog4[Jour ferme],"&lt;=" &amp; $A90,Backlog4[CRITIQUE]))</f>
        <v/>
      </c>
    </row>
    <row r="91" customFormat="false" ht="16" hidden="false" customHeight="false" outlineLevel="0" collapsed="false">
      <c r="A91" s="319" t="str">
        <f aca="false">IF($A$27&gt;A90,A90+1,"")</f>
        <v/>
      </c>
      <c r="B91" s="320" t="str">
        <f aca="false">VLOOKUP(Anomalies!$A91,Calendriers!$C$3:$D$368,2)</f>
        <v/>
      </c>
      <c r="C91" s="320" t="str">
        <f aca="false">VLOOKUP(Anomalies!A91,Calendriers!C64:D429,2)</f>
        <v/>
      </c>
      <c r="D91" s="163" t="str">
        <f aca="false">IF($A91="","",SUMIF(Backlog4[Jour ouvert],"&lt;=" &amp; $A91,Backlog4[mineur])-SUMIF(Backlog4[Jour ferme],"&lt;=" &amp; $A91,Backlog4[mineur]))</f>
        <v/>
      </c>
      <c r="E91" s="163" t="str">
        <f aca="false">IF($A91="","",SUMIF(Backlog4[Jour ouvert],"&lt;=" &amp; $A91,Backlog4[MAJEUR])-SUMIF(Backlog4[Jour ferme],"&lt;=" &amp; $A91,Backlog4[MAJEUR]))</f>
        <v/>
      </c>
      <c r="F91" s="163" t="str">
        <f aca="false">IF($A91="","",SUMIF(Backlog4[Jour ouvert],"&lt;=" &amp; $A91,Backlog4[CRITIQUE])-SUMIF(Backlog4[Jour ferme],"&lt;=" &amp; $A91,Backlog4[CRITIQUE]))</f>
        <v/>
      </c>
    </row>
    <row r="92" customFormat="false" ht="16" hidden="false" customHeight="false" outlineLevel="0" collapsed="false">
      <c r="A92" s="319" t="str">
        <f aca="false">IF($A$27&gt;A91,A91+1,"")</f>
        <v/>
      </c>
      <c r="B92" s="320" t="str">
        <f aca="false">VLOOKUP(Anomalies!$A92,Calendriers!$C$3:$D$368,2)</f>
        <v/>
      </c>
      <c r="C92" s="320" t="str">
        <f aca="false">VLOOKUP(Anomalies!A92,Calendriers!C65:D430,2)</f>
        <v/>
      </c>
      <c r="D92" s="163" t="str">
        <f aca="false">IF($A92="","",SUMIF(Backlog4[Jour ouvert],"&lt;=" &amp; $A92,Backlog4[mineur])-SUMIF(Backlog4[Jour ferme],"&lt;=" &amp; $A92,Backlog4[mineur]))</f>
        <v/>
      </c>
      <c r="E92" s="163" t="str">
        <f aca="false">IF($A92="","",SUMIF(Backlog4[Jour ouvert],"&lt;=" &amp; $A92,Backlog4[MAJEUR])-SUMIF(Backlog4[Jour ferme],"&lt;=" &amp; $A92,Backlog4[MAJEUR]))</f>
        <v/>
      </c>
      <c r="F92" s="163" t="str">
        <f aca="false">IF($A92="","",SUMIF(Backlog4[Jour ouvert],"&lt;=" &amp; $A92,Backlog4[CRITIQUE])-SUMIF(Backlog4[Jour ferme],"&lt;=" &amp; $A92,Backlog4[CRITIQUE]))</f>
        <v/>
      </c>
    </row>
    <row r="93" customFormat="false" ht="16" hidden="false" customHeight="false" outlineLevel="0" collapsed="false">
      <c r="A93" s="319" t="str">
        <f aca="false">IF($A$27&gt;A92,A92+1,"")</f>
        <v/>
      </c>
      <c r="B93" s="320" t="str">
        <f aca="false">VLOOKUP(Anomalies!$A93,Calendriers!$C$3:$D$368,2)</f>
        <v/>
      </c>
      <c r="C93" s="320" t="str">
        <f aca="false">VLOOKUP(Anomalies!A93,Calendriers!C66:D431,2)</f>
        <v/>
      </c>
      <c r="D93" s="163" t="str">
        <f aca="false">IF($A93="","",SUMIF(Backlog4[Jour ouvert],"&lt;=" &amp; $A93,Backlog4[mineur])-SUMIF(Backlog4[Jour ferme],"&lt;=" &amp; $A93,Backlog4[mineur]))</f>
        <v/>
      </c>
      <c r="E93" s="163" t="str">
        <f aca="false">IF($A93="","",SUMIF(Backlog4[Jour ouvert],"&lt;=" &amp; $A93,Backlog4[MAJEUR])-SUMIF(Backlog4[Jour ferme],"&lt;=" &amp; $A93,Backlog4[MAJEUR]))</f>
        <v/>
      </c>
      <c r="F93" s="163" t="str">
        <f aca="false">IF($A93="","",SUMIF(Backlog4[Jour ouvert],"&lt;=" &amp; $A93,Backlog4[CRITIQUE])-SUMIF(Backlog4[Jour ferme],"&lt;=" &amp; $A93,Backlog4[CRITIQUE]))</f>
        <v/>
      </c>
    </row>
    <row r="94" customFormat="false" ht="16" hidden="false" customHeight="false" outlineLevel="0" collapsed="false">
      <c r="A94" s="319" t="str">
        <f aca="false">IF($A$27&gt;A93,A93+1,"")</f>
        <v/>
      </c>
      <c r="B94" s="320" t="str">
        <f aca="false">VLOOKUP(Anomalies!$A94,Calendriers!$C$3:$D$368,2)</f>
        <v/>
      </c>
      <c r="C94" s="320" t="str">
        <f aca="false">VLOOKUP(Anomalies!A94,Calendriers!C67:D432,2)</f>
        <v/>
      </c>
      <c r="D94" s="163" t="str">
        <f aca="false">IF($A94="","",SUMIF(Backlog4[Jour ouvert],"&lt;=" &amp; $A94,Backlog4[mineur])-SUMIF(Backlog4[Jour ferme],"&lt;=" &amp; $A94,Backlog4[mineur]))</f>
        <v/>
      </c>
      <c r="E94" s="163" t="str">
        <f aca="false">IF($A94="","",SUMIF(Backlog4[Jour ouvert],"&lt;=" &amp; $A94,Backlog4[MAJEUR])-SUMIF(Backlog4[Jour ferme],"&lt;=" &amp; $A94,Backlog4[MAJEUR]))</f>
        <v/>
      </c>
      <c r="F94" s="163" t="str">
        <f aca="false">IF($A94="","",SUMIF(Backlog4[Jour ouvert],"&lt;=" &amp; $A94,Backlog4[CRITIQUE])-SUMIF(Backlog4[Jour ferme],"&lt;=" &amp; $A94,Backlog4[CRITIQUE]))</f>
        <v/>
      </c>
    </row>
    <row r="95" customFormat="false" ht="16" hidden="false" customHeight="false" outlineLevel="0" collapsed="false">
      <c r="A95" s="319" t="str">
        <f aca="false">IF($A$27&gt;A94,A94+1,"")</f>
        <v/>
      </c>
      <c r="B95" s="320" t="str">
        <f aca="false">VLOOKUP(Anomalies!$A95,Calendriers!$C$3:$D$368,2)</f>
        <v/>
      </c>
      <c r="C95" s="320" t="str">
        <f aca="false">VLOOKUP(Anomalies!A95,Calendriers!C68:D433,2)</f>
        <v/>
      </c>
      <c r="D95" s="163" t="str">
        <f aca="false">IF($A95="","",SUMIF(Backlog4[Jour ouvert],"&lt;=" &amp; $A95,Backlog4[mineur])-SUMIF(Backlog4[Jour ferme],"&lt;=" &amp; $A95,Backlog4[mineur]))</f>
        <v/>
      </c>
      <c r="E95" s="163" t="str">
        <f aca="false">IF($A95="","",SUMIF(Backlog4[Jour ouvert],"&lt;=" &amp; $A95,Backlog4[MAJEUR])-SUMIF(Backlog4[Jour ferme],"&lt;=" &amp; $A95,Backlog4[MAJEUR]))</f>
        <v/>
      </c>
      <c r="F95" s="163" t="str">
        <f aca="false">IF($A95="","",SUMIF(Backlog4[Jour ouvert],"&lt;=" &amp; $A95,Backlog4[CRITIQUE])-SUMIF(Backlog4[Jour ferme],"&lt;=" &amp; $A95,Backlog4[CRITIQUE]))</f>
        <v/>
      </c>
    </row>
    <row r="96" customFormat="false" ht="16" hidden="false" customHeight="false" outlineLevel="0" collapsed="false">
      <c r="A96" s="319" t="str">
        <f aca="false">IF($A$27&gt;A95,A95+1,"")</f>
        <v/>
      </c>
      <c r="B96" s="320" t="str">
        <f aca="false">VLOOKUP(Anomalies!$A96,Calendriers!$C$3:$D$368,2)</f>
        <v/>
      </c>
      <c r="C96" s="320" t="str">
        <f aca="false">VLOOKUP(Anomalies!A96,Calendriers!C69:D434,2)</f>
        <v/>
      </c>
      <c r="D96" s="163" t="str">
        <f aca="false">IF($A96="","",SUMIF(Backlog4[Jour ouvert],"&lt;=" &amp; $A96,Backlog4[mineur])-SUMIF(Backlog4[Jour ferme],"&lt;=" &amp; $A96,Backlog4[mineur]))</f>
        <v/>
      </c>
      <c r="E96" s="163" t="str">
        <f aca="false">IF($A96="","",SUMIF(Backlog4[Jour ouvert],"&lt;=" &amp; $A96,Backlog4[MAJEUR])-SUMIF(Backlog4[Jour ferme],"&lt;=" &amp; $A96,Backlog4[MAJEUR]))</f>
        <v/>
      </c>
      <c r="F96" s="163" t="str">
        <f aca="false">IF($A96="","",SUMIF(Backlog4[Jour ouvert],"&lt;=" &amp; $A96,Backlog4[CRITIQUE])-SUMIF(Backlog4[Jour ferme],"&lt;=" &amp; $A96,Backlog4[CRITIQUE]))</f>
        <v/>
      </c>
    </row>
    <row r="97" customFormat="false" ht="16" hidden="false" customHeight="false" outlineLevel="0" collapsed="false">
      <c r="A97" s="319" t="str">
        <f aca="false">IF($A$27&gt;A96,A96+1,"")</f>
        <v/>
      </c>
      <c r="B97" s="320" t="str">
        <f aca="false">VLOOKUP(Anomalies!$A97,Calendriers!$C$3:$D$368,2)</f>
        <v/>
      </c>
      <c r="C97" s="320" t="str">
        <f aca="false">VLOOKUP(Anomalies!A97,Calendriers!C70:D435,2)</f>
        <v/>
      </c>
      <c r="D97" s="163" t="str">
        <f aca="false">IF($A97="","",SUMIF(Backlog4[Jour ouvert],"&lt;=" &amp; $A97,Backlog4[mineur])-SUMIF(Backlog4[Jour ferme],"&lt;=" &amp; $A97,Backlog4[mineur]))</f>
        <v/>
      </c>
      <c r="E97" s="163" t="str">
        <f aca="false">IF($A97="","",SUMIF(Backlog4[Jour ouvert],"&lt;=" &amp; $A97,Backlog4[MAJEUR])-SUMIF(Backlog4[Jour ferme],"&lt;=" &amp; $A97,Backlog4[MAJEUR]))</f>
        <v/>
      </c>
      <c r="F97" s="163" t="str">
        <f aca="false">IF($A97="","",SUMIF(Backlog4[Jour ouvert],"&lt;=" &amp; $A97,Backlog4[CRITIQUE])-SUMIF(Backlog4[Jour ferme],"&lt;=" &amp; $A97,Backlog4[CRITIQUE]))</f>
        <v/>
      </c>
    </row>
    <row r="98" customFormat="false" ht="16" hidden="false" customHeight="false" outlineLevel="0" collapsed="false">
      <c r="A98" s="319" t="str">
        <f aca="false">IF($A$27&gt;A97,A97+1,"")</f>
        <v/>
      </c>
      <c r="B98" s="320" t="str">
        <f aca="false">VLOOKUP(Anomalies!$A98,Calendriers!$C$3:$D$368,2)</f>
        <v/>
      </c>
      <c r="C98" s="320" t="str">
        <f aca="false">VLOOKUP(Anomalies!A98,Calendriers!C71:D436,2)</f>
        <v/>
      </c>
      <c r="D98" s="163" t="str">
        <f aca="false">IF($A98="","",SUMIF(Backlog4[Jour ouvert],"&lt;=" &amp; $A98,Backlog4[mineur])-SUMIF(Backlog4[Jour ferme],"&lt;=" &amp; $A98,Backlog4[mineur]))</f>
        <v/>
      </c>
      <c r="E98" s="163" t="str">
        <f aca="false">IF($A98="","",SUMIF(Backlog4[Jour ouvert],"&lt;=" &amp; $A98,Backlog4[MAJEUR])-SUMIF(Backlog4[Jour ferme],"&lt;=" &amp; $A98,Backlog4[MAJEUR]))</f>
        <v/>
      </c>
      <c r="F98" s="163" t="str">
        <f aca="false">IF($A98="","",SUMIF(Backlog4[Jour ouvert],"&lt;=" &amp; $A98,Backlog4[CRITIQUE])-SUMIF(Backlog4[Jour ferme],"&lt;=" &amp; $A98,Backlog4[CRITIQUE]))</f>
        <v/>
      </c>
    </row>
    <row r="99" customFormat="false" ht="16" hidden="false" customHeight="false" outlineLevel="0" collapsed="false">
      <c r="A99" s="319" t="str">
        <f aca="false">IF($A$27&gt;A98,A98+1,"")</f>
        <v/>
      </c>
      <c r="B99" s="320" t="str">
        <f aca="false">VLOOKUP(Anomalies!$A99,Calendriers!$C$3:$D$368,2)</f>
        <v/>
      </c>
      <c r="C99" s="320" t="str">
        <f aca="false">VLOOKUP(Anomalies!A99,Calendriers!C72:D437,2)</f>
        <v/>
      </c>
      <c r="D99" s="163" t="str">
        <f aca="false">IF($A99="","",SUMIF(Backlog4[Jour ouvert],"&lt;=" &amp; $A99,Backlog4[mineur])-SUMIF(Backlog4[Jour ferme],"&lt;=" &amp; $A99,Backlog4[mineur]))</f>
        <v/>
      </c>
      <c r="E99" s="163" t="str">
        <f aca="false">IF($A99="","",SUMIF(Backlog4[Jour ouvert],"&lt;=" &amp; $A99,Backlog4[MAJEUR])-SUMIF(Backlog4[Jour ferme],"&lt;=" &amp; $A99,Backlog4[MAJEUR]))</f>
        <v/>
      </c>
      <c r="F99" s="163" t="str">
        <f aca="false">IF($A99="","",SUMIF(Backlog4[Jour ouvert],"&lt;=" &amp; $A99,Backlog4[CRITIQUE])-SUMIF(Backlog4[Jour ferme],"&lt;=" &amp; $A99,Backlog4[CRITIQUE]))</f>
        <v/>
      </c>
    </row>
    <row r="100" customFormat="false" ht="16" hidden="false" customHeight="false" outlineLevel="0" collapsed="false">
      <c r="A100" s="319" t="str">
        <f aca="false">IF($A$27&gt;A99,A99+1,"")</f>
        <v/>
      </c>
      <c r="B100" s="320" t="str">
        <f aca="false">VLOOKUP(Anomalies!$A100,Calendriers!$C$3:$D$368,2)</f>
        <v/>
      </c>
      <c r="C100" s="320" t="str">
        <f aca="false">VLOOKUP(Anomalies!A100,Calendriers!C73:D438,2)</f>
        <v/>
      </c>
      <c r="D100" s="163" t="str">
        <f aca="false">IF($A100="","",SUMIF(Backlog4[Jour ouvert],"&lt;=" &amp; $A100,Backlog4[mineur])-SUMIF(Backlog4[Jour ferme],"&lt;=" &amp; $A100,Backlog4[mineur]))</f>
        <v/>
      </c>
      <c r="E100" s="163" t="str">
        <f aca="false">IF($A100="","",SUMIF(Backlog4[Jour ouvert],"&lt;=" &amp; $A100,Backlog4[MAJEUR])-SUMIF(Backlog4[Jour ferme],"&lt;=" &amp; $A100,Backlog4[MAJEUR]))</f>
        <v/>
      </c>
      <c r="F100" s="163" t="str">
        <f aca="false">IF($A100="","",SUMIF(Backlog4[Jour ouvert],"&lt;=" &amp; $A100,Backlog4[CRITIQUE])-SUMIF(Backlog4[Jour ferme],"&lt;=" &amp; $A100,Backlog4[CRITIQUE]))</f>
        <v/>
      </c>
    </row>
    <row r="101" customFormat="false" ht="16" hidden="false" customHeight="false" outlineLevel="0" collapsed="false">
      <c r="A101" s="319" t="str">
        <f aca="false">IF($A$27&gt;A100,A100+1,"")</f>
        <v/>
      </c>
      <c r="B101" s="320" t="str">
        <f aca="false">VLOOKUP(Anomalies!$A101,Calendriers!$C$3:$D$368,2)</f>
        <v/>
      </c>
      <c r="C101" s="320" t="str">
        <f aca="false">VLOOKUP(Anomalies!A101,Calendriers!C74:D439,2)</f>
        <v/>
      </c>
      <c r="D101" s="163" t="str">
        <f aca="false">IF($A101="","",SUMIF(Backlog4[Jour ouvert],"&lt;=" &amp; $A101,Backlog4[mineur])-SUMIF(Backlog4[Jour ferme],"&lt;=" &amp; $A101,Backlog4[mineur]))</f>
        <v/>
      </c>
      <c r="E101" s="163" t="str">
        <f aca="false">IF($A101="","",SUMIF(Backlog4[Jour ouvert],"&lt;=" &amp; $A101,Backlog4[MAJEUR])-SUMIF(Backlog4[Jour ferme],"&lt;=" &amp; $A101,Backlog4[MAJEUR]))</f>
        <v/>
      </c>
      <c r="F101" s="163" t="str">
        <f aca="false">IF($A101="","",SUMIF(Backlog4[Jour ouvert],"&lt;=" &amp; $A101,Backlog4[CRITIQUE])-SUMIF(Backlog4[Jour ferme],"&lt;=" &amp; $A101,Backlog4[CRITIQUE]))</f>
        <v/>
      </c>
    </row>
    <row r="102" customFormat="false" ht="16" hidden="false" customHeight="false" outlineLevel="0" collapsed="false">
      <c r="A102" s="319" t="str">
        <f aca="false">IF($A$27&gt;A101,A101+1,"")</f>
        <v/>
      </c>
      <c r="B102" s="320" t="str">
        <f aca="false">VLOOKUP(Anomalies!$A102,Calendriers!$C$3:$D$368,2)</f>
        <v/>
      </c>
      <c r="C102" s="320" t="str">
        <f aca="false">VLOOKUP(Anomalies!A102,Calendriers!C75:D440,2)</f>
        <v/>
      </c>
      <c r="D102" s="163" t="str">
        <f aca="false">IF($A102="","",SUMIF(Backlog4[Jour ouvert],"&lt;=" &amp; $A102,Backlog4[mineur])-SUMIF(Backlog4[Jour ferme],"&lt;=" &amp; $A102,Backlog4[mineur]))</f>
        <v/>
      </c>
      <c r="E102" s="163" t="str">
        <f aca="false">IF($A102="","",SUMIF(Backlog4[Jour ouvert],"&lt;=" &amp; $A102,Backlog4[MAJEUR])-SUMIF(Backlog4[Jour ferme],"&lt;=" &amp; $A102,Backlog4[MAJEUR]))</f>
        <v/>
      </c>
      <c r="F102" s="163" t="str">
        <f aca="false">IF($A102="","",SUMIF(Backlog4[Jour ouvert],"&lt;=" &amp; $A102,Backlog4[CRITIQUE])-SUMIF(Backlog4[Jour ferme],"&lt;=" &amp; $A102,Backlog4[CRITIQUE]))</f>
        <v/>
      </c>
    </row>
    <row r="103" customFormat="false" ht="16" hidden="false" customHeight="false" outlineLevel="0" collapsed="false">
      <c r="A103" s="319" t="str">
        <f aca="false">IF($A$27&gt;A102,A102+1,"")</f>
        <v/>
      </c>
      <c r="B103" s="320" t="str">
        <f aca="false">VLOOKUP(Anomalies!$A103,Calendriers!$C$3:$D$368,2)</f>
        <v/>
      </c>
      <c r="C103" s="320" t="str">
        <f aca="false">VLOOKUP(Anomalies!A103,Calendriers!C76:D441,2)</f>
        <v/>
      </c>
      <c r="D103" s="163" t="str">
        <f aca="false">IF($A103="","",SUMIF(Backlog4[Jour ouvert],"&lt;=" &amp; $A103,Backlog4[mineur])-SUMIF(Backlog4[Jour ferme],"&lt;=" &amp; $A103,Backlog4[mineur]))</f>
        <v/>
      </c>
      <c r="E103" s="163" t="str">
        <f aca="false">IF($A103="","",SUMIF(Backlog4[Jour ouvert],"&lt;=" &amp; $A103,Backlog4[MAJEUR])-SUMIF(Backlog4[Jour ferme],"&lt;=" &amp; $A103,Backlog4[MAJEUR]))</f>
        <v/>
      </c>
      <c r="F103" s="163" t="str">
        <f aca="false">IF($A103="","",SUMIF(Backlog4[Jour ouvert],"&lt;=" &amp; $A103,Backlog4[CRITIQUE])-SUMIF(Backlog4[Jour ferme],"&lt;=" &amp; $A103,Backlog4[CRITIQUE]))</f>
        <v/>
      </c>
    </row>
    <row r="104" customFormat="false" ht="16" hidden="false" customHeight="false" outlineLevel="0" collapsed="false">
      <c r="A104" s="319" t="str">
        <f aca="false">IF($A$27&gt;A103,A103+1,"")</f>
        <v/>
      </c>
      <c r="B104" s="320" t="str">
        <f aca="false">VLOOKUP(Anomalies!$A104,Calendriers!$C$3:$D$368,2)</f>
        <v/>
      </c>
      <c r="C104" s="320" t="str">
        <f aca="false">VLOOKUP(Anomalies!A104,Calendriers!C77:D442,2)</f>
        <v/>
      </c>
      <c r="D104" s="163" t="str">
        <f aca="false">IF($A104="","",SUMIF(Backlog4[Jour ouvert],"&lt;=" &amp; $A104,Backlog4[mineur])-SUMIF(Backlog4[Jour ferme],"&lt;=" &amp; $A104,Backlog4[mineur]))</f>
        <v/>
      </c>
      <c r="E104" s="163" t="str">
        <f aca="false">IF($A104="","",SUMIF(Backlog4[Jour ouvert],"&lt;=" &amp; $A104,Backlog4[MAJEUR])-SUMIF(Backlog4[Jour ferme],"&lt;=" &amp; $A104,Backlog4[MAJEUR]))</f>
        <v/>
      </c>
      <c r="F104" s="163" t="str">
        <f aca="false">IF($A104="","",SUMIF(Backlog4[Jour ouvert],"&lt;=" &amp; $A104,Backlog4[CRITIQUE])-SUMIF(Backlog4[Jour ferme],"&lt;=" &amp; $A104,Backlog4[CRITIQUE]))</f>
        <v/>
      </c>
    </row>
    <row r="105" customFormat="false" ht="16" hidden="false" customHeight="false" outlineLevel="0" collapsed="false">
      <c r="A105" s="319" t="str">
        <f aca="false">IF($A$27&gt;A104,A104+1,"")</f>
        <v/>
      </c>
      <c r="B105" s="320" t="str">
        <f aca="false">VLOOKUP(Anomalies!$A105,Calendriers!$C$3:$D$368,2)</f>
        <v/>
      </c>
      <c r="C105" s="320" t="str">
        <f aca="false">VLOOKUP(Anomalies!A105,Calendriers!C78:D443,2)</f>
        <v/>
      </c>
      <c r="D105" s="163" t="str">
        <f aca="false">IF($A105="","",SUMIF(Backlog4[Jour ouvert],"&lt;=" &amp; $A105,Backlog4[mineur])-SUMIF(Backlog4[Jour ferme],"&lt;=" &amp; $A105,Backlog4[mineur]))</f>
        <v/>
      </c>
      <c r="E105" s="163" t="str">
        <f aca="false">IF($A105="","",SUMIF(Backlog4[Jour ouvert],"&lt;=" &amp; $A105,Backlog4[MAJEUR])-SUMIF(Backlog4[Jour ferme],"&lt;=" &amp; $A105,Backlog4[MAJEUR]))</f>
        <v/>
      </c>
      <c r="F105" s="163" t="str">
        <f aca="false">IF($A105="","",SUMIF(Backlog4[Jour ouvert],"&lt;=" &amp; $A105,Backlog4[CRITIQUE])-SUMIF(Backlog4[Jour ferme],"&lt;=" &amp; $A105,Backlog4[CRITIQUE]))</f>
        <v/>
      </c>
    </row>
    <row r="106" customFormat="false" ht="16" hidden="false" customHeight="false" outlineLevel="0" collapsed="false">
      <c r="A106" s="319" t="str">
        <f aca="false">IF($A$27&gt;A105,A105+1,"")</f>
        <v/>
      </c>
      <c r="B106" s="320" t="str">
        <f aca="false">VLOOKUP(Anomalies!$A106,Calendriers!$C$3:$D$368,2)</f>
        <v/>
      </c>
      <c r="C106" s="320" t="str">
        <f aca="false">VLOOKUP(Anomalies!A106,Calendriers!C79:D444,2)</f>
        <v/>
      </c>
      <c r="D106" s="163" t="str">
        <f aca="false">IF($A106="","",SUMIF(Backlog4[Jour ouvert],"&lt;=" &amp; $A106,Backlog4[mineur])-SUMIF(Backlog4[Jour ferme],"&lt;=" &amp; $A106,Backlog4[mineur]))</f>
        <v/>
      </c>
      <c r="E106" s="163" t="str">
        <f aca="false">IF($A106="","",SUMIF(Backlog4[Jour ouvert],"&lt;=" &amp; $A106,Backlog4[MAJEUR])-SUMIF(Backlog4[Jour ferme],"&lt;=" &amp; $A106,Backlog4[MAJEUR]))</f>
        <v/>
      </c>
      <c r="F106" s="163" t="str">
        <f aca="false">IF($A106="","",SUMIF(Backlog4[Jour ouvert],"&lt;=" &amp; $A106,Backlog4[CRITIQUE])-SUMIF(Backlog4[Jour ferme],"&lt;=" &amp; $A106,Backlog4[CRITIQUE]))</f>
        <v/>
      </c>
    </row>
    <row r="107" customFormat="false" ht="16" hidden="false" customHeight="false" outlineLevel="0" collapsed="false">
      <c r="A107" s="319" t="str">
        <f aca="false">IF($A$27&gt;A106,A106+1,"")</f>
        <v/>
      </c>
      <c r="B107" s="320" t="str">
        <f aca="false">VLOOKUP(Anomalies!$A107,Calendriers!$C$3:$D$368,2)</f>
        <v/>
      </c>
      <c r="C107" s="320" t="str">
        <f aca="false">VLOOKUP(Anomalies!A107,Calendriers!C80:D445,2)</f>
        <v/>
      </c>
      <c r="D107" s="163" t="str">
        <f aca="false">IF($A107="","",SUMIF(Backlog4[Jour ouvert],"&lt;=" &amp; $A107,Backlog4[mineur])-SUMIF(Backlog4[Jour ferme],"&lt;=" &amp; $A107,Backlog4[mineur]))</f>
        <v/>
      </c>
      <c r="E107" s="163" t="str">
        <f aca="false">IF($A107="","",SUMIF(Backlog4[Jour ouvert],"&lt;=" &amp; $A107,Backlog4[MAJEUR])-SUMIF(Backlog4[Jour ferme],"&lt;=" &amp; $A107,Backlog4[MAJEUR]))</f>
        <v/>
      </c>
      <c r="F107" s="163" t="str">
        <f aca="false">IF($A107="","",SUMIF(Backlog4[Jour ouvert],"&lt;=" &amp; $A107,Backlog4[CRITIQUE])-SUMIF(Backlog4[Jour ferme],"&lt;=" &amp; $A107,Backlog4[CRITIQUE]))</f>
        <v/>
      </c>
    </row>
    <row r="108" customFormat="false" ht="16" hidden="false" customHeight="false" outlineLevel="0" collapsed="false">
      <c r="A108" s="319" t="str">
        <f aca="false">IF($A$27&gt;A107,A107+1,"")</f>
        <v/>
      </c>
      <c r="B108" s="320" t="str">
        <f aca="false">VLOOKUP(Anomalies!$A108,Calendriers!$C$3:$D$368,2)</f>
        <v/>
      </c>
      <c r="C108" s="320" t="str">
        <f aca="false">VLOOKUP(Anomalies!A108,Calendriers!C81:D446,2)</f>
        <v/>
      </c>
      <c r="D108" s="163" t="str">
        <f aca="false">IF($A108="","",SUMIF(Backlog4[Jour ouvert],"&lt;=" &amp; $A108,Backlog4[mineur])-SUMIF(Backlog4[Jour ferme],"&lt;=" &amp; $A108,Backlog4[mineur]))</f>
        <v/>
      </c>
      <c r="E108" s="163" t="str">
        <f aca="false">IF($A108="","",SUMIF(Backlog4[Jour ouvert],"&lt;=" &amp; $A108,Backlog4[MAJEUR])-SUMIF(Backlog4[Jour ferme],"&lt;=" &amp; $A108,Backlog4[MAJEUR]))</f>
        <v/>
      </c>
      <c r="F108" s="163" t="str">
        <f aca="false">IF($A108="","",SUMIF(Backlog4[Jour ouvert],"&lt;=" &amp; $A108,Backlog4[CRITIQUE])-SUMIF(Backlog4[Jour ferme],"&lt;=" &amp; $A108,Backlog4[CRITIQUE]))</f>
        <v/>
      </c>
    </row>
    <row r="109" customFormat="false" ht="16" hidden="false" customHeight="false" outlineLevel="0" collapsed="false">
      <c r="A109" s="319" t="str">
        <f aca="false">IF($A$27&gt;A108,A108+1,"")</f>
        <v/>
      </c>
      <c r="B109" s="320" t="str">
        <f aca="false">VLOOKUP(Anomalies!$A109,Calendriers!$C$3:$D$368,2)</f>
        <v/>
      </c>
      <c r="C109" s="320" t="str">
        <f aca="false">VLOOKUP(Anomalies!A109,Calendriers!C82:D447,2)</f>
        <v/>
      </c>
      <c r="D109" s="163" t="str">
        <f aca="false">IF($A109="","",SUMIF(Backlog4[Jour ouvert],"&lt;=" &amp; $A109,Backlog4[mineur])-SUMIF(Backlog4[Jour ferme],"&lt;=" &amp; $A109,Backlog4[mineur]))</f>
        <v/>
      </c>
      <c r="E109" s="163" t="str">
        <f aca="false">IF($A109="","",SUMIF(Backlog4[Jour ouvert],"&lt;=" &amp; $A109,Backlog4[MAJEUR])-SUMIF(Backlog4[Jour ferme],"&lt;=" &amp; $A109,Backlog4[MAJEUR]))</f>
        <v/>
      </c>
      <c r="F109" s="163" t="str">
        <f aca="false">IF($A109="","",SUMIF(Backlog4[Jour ouvert],"&lt;=" &amp; $A109,Backlog4[CRITIQUE])-SUMIF(Backlog4[Jour ferme],"&lt;=" &amp; $A109,Backlog4[CRITIQUE]))</f>
        <v/>
      </c>
    </row>
    <row r="110" customFormat="false" ht="16" hidden="false" customHeight="false" outlineLevel="0" collapsed="false">
      <c r="A110" s="319" t="str">
        <f aca="false">IF($A$27&gt;A109,A109+1,"")</f>
        <v/>
      </c>
      <c r="B110" s="320" t="str">
        <f aca="false">VLOOKUP(Anomalies!$A110,Calendriers!$C$3:$D$368,2)</f>
        <v/>
      </c>
      <c r="C110" s="320" t="str">
        <f aca="false">VLOOKUP(Anomalies!A110,Calendriers!C83:D448,2)</f>
        <v/>
      </c>
      <c r="D110" s="163" t="str">
        <f aca="false">IF($A110="","",SUMIF(Backlog4[Jour ouvert],"&lt;=" &amp; $A110,Backlog4[mineur])-SUMIF(Backlog4[Jour ferme],"&lt;=" &amp; $A110,Backlog4[mineur]))</f>
        <v/>
      </c>
      <c r="E110" s="163" t="str">
        <f aca="false">IF($A110="","",SUMIF(Backlog4[Jour ouvert],"&lt;=" &amp; $A110,Backlog4[MAJEUR])-SUMIF(Backlog4[Jour ferme],"&lt;=" &amp; $A110,Backlog4[MAJEUR]))</f>
        <v/>
      </c>
      <c r="F110" s="163" t="str">
        <f aca="false">IF($A110="","",SUMIF(Backlog4[Jour ouvert],"&lt;=" &amp; $A110,Backlog4[CRITIQUE])-SUMIF(Backlog4[Jour ferme],"&lt;=" &amp; $A110,Backlog4[CRITIQUE]))</f>
        <v/>
      </c>
    </row>
    <row r="111" customFormat="false" ht="16" hidden="false" customHeight="false" outlineLevel="0" collapsed="false">
      <c r="A111" s="319" t="str">
        <f aca="false">IF($A$27&gt;A110,A110+1,"")</f>
        <v/>
      </c>
      <c r="B111" s="320" t="str">
        <f aca="false">VLOOKUP(Anomalies!$A111,Calendriers!$C$3:$D$368,2)</f>
        <v/>
      </c>
      <c r="C111" s="320" t="str">
        <f aca="false">VLOOKUP(Anomalies!A111,Calendriers!C84:D449,2)</f>
        <v/>
      </c>
      <c r="D111" s="163" t="str">
        <f aca="false">IF($A111="","",SUMIF(Backlog4[Jour ouvert],"&lt;=" &amp; $A111,Backlog4[mineur])-SUMIF(Backlog4[Jour ferme],"&lt;=" &amp; $A111,Backlog4[mineur]))</f>
        <v/>
      </c>
      <c r="E111" s="163" t="str">
        <f aca="false">IF($A111="","",SUMIF(Backlog4[Jour ouvert],"&lt;=" &amp; $A111,Backlog4[MAJEUR])-SUMIF(Backlog4[Jour ferme],"&lt;=" &amp; $A111,Backlog4[MAJEUR]))</f>
        <v/>
      </c>
      <c r="F111" s="163" t="str">
        <f aca="false">IF($A111="","",SUMIF(Backlog4[Jour ouvert],"&lt;=" &amp; $A111,Backlog4[CRITIQUE])-SUMIF(Backlog4[Jour ferme],"&lt;=" &amp; $A111,Backlog4[CRITIQUE]))</f>
        <v/>
      </c>
    </row>
    <row r="112" customFormat="false" ht="16" hidden="false" customHeight="false" outlineLevel="0" collapsed="false">
      <c r="A112" s="319" t="str">
        <f aca="false">IF($A$27&gt;A111,A111+1,"")</f>
        <v/>
      </c>
      <c r="B112" s="320" t="str">
        <f aca="false">VLOOKUP(Anomalies!$A112,Calendriers!$C$3:$D$368,2)</f>
        <v/>
      </c>
      <c r="C112" s="320" t="str">
        <f aca="false">VLOOKUP(Anomalies!A112,Calendriers!C85:D450,2)</f>
        <v/>
      </c>
      <c r="D112" s="163" t="str">
        <f aca="false">IF($A112="","",SUMIF(Backlog4[Jour ouvert],"&lt;=" &amp; $A112,Backlog4[mineur])-SUMIF(Backlog4[Jour ferme],"&lt;=" &amp; $A112,Backlog4[mineur]))</f>
        <v/>
      </c>
      <c r="E112" s="163" t="str">
        <f aca="false">IF($A112="","",SUMIF(Backlog4[Jour ouvert],"&lt;=" &amp; $A112,Backlog4[MAJEUR])-SUMIF(Backlog4[Jour ferme],"&lt;=" &amp; $A112,Backlog4[MAJEUR]))</f>
        <v/>
      </c>
      <c r="F112" s="163" t="str">
        <f aca="false">IF($A112="","",SUMIF(Backlog4[Jour ouvert],"&lt;=" &amp; $A112,Backlog4[CRITIQUE])-SUMIF(Backlog4[Jour ferme],"&lt;=" &amp; $A112,Backlog4[CRITIQUE]))</f>
        <v/>
      </c>
    </row>
    <row r="113" customFormat="false" ht="16" hidden="false" customHeight="false" outlineLevel="0" collapsed="false">
      <c r="A113" s="319" t="str">
        <f aca="false">IF($A$27&gt;A112,A112+1,"")</f>
        <v/>
      </c>
      <c r="B113" s="320" t="str">
        <f aca="false">VLOOKUP(Anomalies!$A113,Calendriers!$C$3:$D$368,2)</f>
        <v/>
      </c>
      <c r="C113" s="320" t="str">
        <f aca="false">VLOOKUP(Anomalies!A113,Calendriers!C86:D451,2)</f>
        <v/>
      </c>
      <c r="D113" s="163" t="str">
        <f aca="false">IF($A113="","",SUMIF(Backlog4[Jour ouvert],"&lt;=" &amp; $A113,Backlog4[mineur])-SUMIF(Backlog4[Jour ferme],"&lt;=" &amp; $A113,Backlog4[mineur]))</f>
        <v/>
      </c>
      <c r="E113" s="163" t="str">
        <f aca="false">IF($A113="","",SUMIF(Backlog4[Jour ouvert],"&lt;=" &amp; $A113,Backlog4[MAJEUR])-SUMIF(Backlog4[Jour ferme],"&lt;=" &amp; $A113,Backlog4[MAJEUR]))</f>
        <v/>
      </c>
      <c r="F113" s="163" t="str">
        <f aca="false">IF($A113="","",SUMIF(Backlog4[Jour ouvert],"&lt;=" &amp; $A113,Backlog4[CRITIQUE])-SUMIF(Backlog4[Jour ferme],"&lt;=" &amp; $A113,Backlog4[CRITIQUE]))</f>
        <v/>
      </c>
    </row>
    <row r="114" customFormat="false" ht="16" hidden="false" customHeight="false" outlineLevel="0" collapsed="false">
      <c r="A114" s="319" t="str">
        <f aca="false">IF($A$27&gt;A113,A113+1,"")</f>
        <v/>
      </c>
      <c r="B114" s="320" t="str">
        <f aca="false">VLOOKUP(Anomalies!$A114,Calendriers!$C$3:$D$368,2)</f>
        <v/>
      </c>
      <c r="C114" s="320" t="str">
        <f aca="false">VLOOKUP(Anomalies!A114,Calendriers!C87:D452,2)</f>
        <v/>
      </c>
      <c r="D114" s="163" t="str">
        <f aca="false">IF($A114="","",SUMIF(Backlog4[Jour ouvert],"&lt;=" &amp; $A114,Backlog4[mineur])-SUMIF(Backlog4[Jour ferme],"&lt;=" &amp; $A114,Backlog4[mineur]))</f>
        <v/>
      </c>
      <c r="E114" s="163" t="str">
        <f aca="false">IF($A114="","",SUMIF(Backlog4[Jour ouvert],"&lt;=" &amp; $A114,Backlog4[MAJEUR])-SUMIF(Backlog4[Jour ferme],"&lt;=" &amp; $A114,Backlog4[MAJEUR]))</f>
        <v/>
      </c>
      <c r="F114" s="163" t="str">
        <f aca="false">IF($A114="","",SUMIF(Backlog4[Jour ouvert],"&lt;=" &amp; $A114,Backlog4[CRITIQUE])-SUMIF(Backlog4[Jour ferme],"&lt;=" &amp; $A114,Backlog4[CRITIQUE]))</f>
        <v/>
      </c>
    </row>
    <row r="115" customFormat="false" ht="16" hidden="false" customHeight="false" outlineLevel="0" collapsed="false">
      <c r="A115" s="319" t="str">
        <f aca="false">IF($A$27&gt;A114,A114+1,"")</f>
        <v/>
      </c>
      <c r="B115" s="320" t="str">
        <f aca="false">VLOOKUP(Anomalies!$A115,Calendriers!$C$3:$D$368,2)</f>
        <v/>
      </c>
      <c r="C115" s="320" t="str">
        <f aca="false">VLOOKUP(Anomalies!A115,Calendriers!C88:D453,2)</f>
        <v/>
      </c>
      <c r="D115" s="163" t="str">
        <f aca="false">IF($A115="","",SUMIF(Backlog4[Jour ouvert],"&lt;=" &amp; $A115,Backlog4[mineur])-SUMIF(Backlog4[Jour ferme],"&lt;=" &amp; $A115,Backlog4[mineur]))</f>
        <v/>
      </c>
      <c r="E115" s="163" t="str">
        <f aca="false">IF($A115="","",SUMIF(Backlog4[Jour ouvert],"&lt;=" &amp; $A115,Backlog4[MAJEUR])-SUMIF(Backlog4[Jour ferme],"&lt;=" &amp; $A115,Backlog4[MAJEUR]))</f>
        <v/>
      </c>
      <c r="F115" s="163" t="str">
        <f aca="false">IF($A115="","",SUMIF(Backlog4[Jour ouvert],"&lt;=" &amp; $A115,Backlog4[CRITIQUE])-SUMIF(Backlog4[Jour ferme],"&lt;=" &amp; $A115,Backlog4[CRITIQUE]))</f>
        <v/>
      </c>
    </row>
    <row r="116" customFormat="false" ht="16" hidden="false" customHeight="false" outlineLevel="0" collapsed="false">
      <c r="A116" s="319" t="str">
        <f aca="false">IF($A$27&gt;A115,A115+1,"")</f>
        <v/>
      </c>
      <c r="B116" s="320" t="str">
        <f aca="false">VLOOKUP(Anomalies!$A116,Calendriers!$C$3:$D$368,2)</f>
        <v/>
      </c>
      <c r="C116" s="320" t="str">
        <f aca="false">VLOOKUP(Anomalies!A116,Calendriers!C89:D454,2)</f>
        <v/>
      </c>
      <c r="D116" s="163" t="str">
        <f aca="false">IF($A116="","",SUMIF(Backlog4[Jour ouvert],"&lt;=" &amp; $A116,Backlog4[mineur])-SUMIF(Backlog4[Jour ferme],"&lt;=" &amp; $A116,Backlog4[mineur]))</f>
        <v/>
      </c>
      <c r="E116" s="163" t="str">
        <f aca="false">IF($A116="","",SUMIF(Backlog4[Jour ouvert],"&lt;=" &amp; $A116,Backlog4[MAJEUR])-SUMIF(Backlog4[Jour ferme],"&lt;=" &amp; $A116,Backlog4[MAJEUR]))</f>
        <v/>
      </c>
      <c r="F116" s="163" t="str">
        <f aca="false">IF($A116="","",SUMIF(Backlog4[Jour ouvert],"&lt;=" &amp; $A116,Backlog4[CRITIQUE])-SUMIF(Backlog4[Jour ferme],"&lt;=" &amp; $A116,Backlog4[CRITIQUE]))</f>
        <v/>
      </c>
    </row>
    <row r="117" customFormat="false" ht="16" hidden="false" customHeight="false" outlineLevel="0" collapsed="false">
      <c r="A117" s="319" t="str">
        <f aca="false">IF($A$27&gt;A116,A116+1,"")</f>
        <v/>
      </c>
      <c r="B117" s="320" t="str">
        <f aca="false">VLOOKUP(Anomalies!$A117,Calendriers!$C$3:$D$368,2)</f>
        <v/>
      </c>
      <c r="C117" s="320" t="str">
        <f aca="false">VLOOKUP(Anomalies!A117,Calendriers!C90:D455,2)</f>
        <v/>
      </c>
      <c r="D117" s="163" t="str">
        <f aca="false">IF($A117="","",SUMIF(Backlog4[Jour ouvert],"&lt;=" &amp; $A117,Backlog4[mineur])-SUMIF(Backlog4[Jour ferme],"&lt;=" &amp; $A117,Backlog4[mineur]))</f>
        <v/>
      </c>
      <c r="E117" s="163" t="str">
        <f aca="false">IF($A117="","",SUMIF(Backlog4[Jour ouvert],"&lt;=" &amp; $A117,Backlog4[MAJEUR])-SUMIF(Backlog4[Jour ferme],"&lt;=" &amp; $A117,Backlog4[MAJEUR]))</f>
        <v/>
      </c>
      <c r="F117" s="163" t="str">
        <f aca="false">IF($A117="","",SUMIF(Backlog4[Jour ouvert],"&lt;=" &amp; $A117,Backlog4[CRITIQUE])-SUMIF(Backlog4[Jour ferme],"&lt;=" &amp; $A117,Backlog4[CRITIQUE]))</f>
        <v/>
      </c>
    </row>
    <row r="118" customFormat="false" ht="16" hidden="false" customHeight="false" outlineLevel="0" collapsed="false">
      <c r="A118" s="319" t="str">
        <f aca="false">IF($A$27&gt;A117,A117+1,"")</f>
        <v/>
      </c>
      <c r="B118" s="320" t="str">
        <f aca="false">VLOOKUP(Anomalies!$A118,Calendriers!$C$3:$D$368,2)</f>
        <v/>
      </c>
      <c r="C118" s="320" t="str">
        <f aca="false">VLOOKUP(Anomalies!A118,Calendriers!C91:D456,2)</f>
        <v/>
      </c>
      <c r="D118" s="163" t="str">
        <f aca="false">IF($A118="","",SUMIF(Backlog4[Jour ouvert],"&lt;=" &amp; $A118,Backlog4[mineur])-SUMIF(Backlog4[Jour ferme],"&lt;=" &amp; $A118,Backlog4[mineur]))</f>
        <v/>
      </c>
      <c r="E118" s="163" t="str">
        <f aca="false">IF($A118="","",SUMIF(Backlog4[Jour ouvert],"&lt;=" &amp; $A118,Backlog4[MAJEUR])-SUMIF(Backlog4[Jour ferme],"&lt;=" &amp; $A118,Backlog4[MAJEUR]))</f>
        <v/>
      </c>
      <c r="F118" s="163" t="str">
        <f aca="false">IF($A118="","",SUMIF(Backlog4[Jour ouvert],"&lt;=" &amp; $A118,Backlog4[CRITIQUE])-SUMIF(Backlog4[Jour ferme],"&lt;=" &amp; $A118,Backlog4[CRITIQUE]))</f>
        <v/>
      </c>
    </row>
    <row r="119" customFormat="false" ht="16" hidden="false" customHeight="false" outlineLevel="0" collapsed="false">
      <c r="A119" s="319" t="str">
        <f aca="false">IF($A$27&gt;A118,A118+1,"")</f>
        <v/>
      </c>
      <c r="B119" s="320" t="str">
        <f aca="false">VLOOKUP(Anomalies!$A119,Calendriers!$C$3:$D$368,2)</f>
        <v/>
      </c>
      <c r="C119" s="320" t="str">
        <f aca="false">VLOOKUP(Anomalies!A119,Calendriers!C92:D457,2)</f>
        <v/>
      </c>
      <c r="D119" s="163" t="str">
        <f aca="false">IF($A119="","",SUMIF(Backlog4[Jour ouvert],"&lt;=" &amp; $A119,Backlog4[mineur])-SUMIF(Backlog4[Jour ferme],"&lt;=" &amp; $A119,Backlog4[mineur]))</f>
        <v/>
      </c>
      <c r="E119" s="163" t="str">
        <f aca="false">IF($A119="","",SUMIF(Backlog4[Jour ouvert],"&lt;=" &amp; $A119,Backlog4[MAJEUR])-SUMIF(Backlog4[Jour ferme],"&lt;=" &amp; $A119,Backlog4[MAJEUR]))</f>
        <v/>
      </c>
      <c r="F119" s="163" t="str">
        <f aca="false">IF($A119="","",SUMIF(Backlog4[Jour ouvert],"&lt;=" &amp; $A119,Backlog4[CRITIQUE])-SUMIF(Backlog4[Jour ferme],"&lt;=" &amp; $A119,Backlog4[CRITIQUE]))</f>
        <v/>
      </c>
    </row>
    <row r="120" customFormat="false" ht="16" hidden="false" customHeight="false" outlineLevel="0" collapsed="false">
      <c r="A120" s="319" t="str">
        <f aca="false">IF($A$27&gt;A119,A119+1,"")</f>
        <v/>
      </c>
      <c r="B120" s="320" t="str">
        <f aca="false">VLOOKUP(Anomalies!$A120,Calendriers!$C$3:$D$368,2)</f>
        <v/>
      </c>
      <c r="C120" s="320" t="str">
        <f aca="false">VLOOKUP(Anomalies!A120,Calendriers!C93:D458,2)</f>
        <v/>
      </c>
      <c r="D120" s="163" t="str">
        <f aca="false">IF($A120="","",SUMIF(Backlog4[Jour ouvert],"&lt;=" &amp; $A120,Backlog4[mineur])-SUMIF(Backlog4[Jour ferme],"&lt;=" &amp; $A120,Backlog4[mineur]))</f>
        <v/>
      </c>
      <c r="E120" s="163" t="str">
        <f aca="false">IF($A120="","",SUMIF(Backlog4[Jour ouvert],"&lt;=" &amp; $A120,Backlog4[MAJEUR])-SUMIF(Backlog4[Jour ferme],"&lt;=" &amp; $A120,Backlog4[MAJEUR]))</f>
        <v/>
      </c>
      <c r="F120" s="163" t="str">
        <f aca="false">IF($A120="","",SUMIF(Backlog4[Jour ouvert],"&lt;=" &amp; $A120,Backlog4[CRITIQUE])-SUMIF(Backlog4[Jour ferme],"&lt;=" &amp; $A120,Backlog4[CRITIQUE]))</f>
        <v/>
      </c>
    </row>
    <row r="121" customFormat="false" ht="16" hidden="false" customHeight="false" outlineLevel="0" collapsed="false">
      <c r="A121" s="319" t="str">
        <f aca="false">IF($A$27&gt;A120,A120+1,"")</f>
        <v/>
      </c>
      <c r="B121" s="320" t="str">
        <f aca="false">VLOOKUP(Anomalies!$A121,Calendriers!$C$3:$D$368,2)</f>
        <v/>
      </c>
      <c r="C121" s="320" t="str">
        <f aca="false">VLOOKUP(Anomalies!A121,Calendriers!C94:D459,2)</f>
        <v/>
      </c>
      <c r="D121" s="163" t="str">
        <f aca="false">IF($A121="","",SUMIF(Backlog4[Jour ouvert],"&lt;=" &amp; $A121,Backlog4[mineur])-SUMIF(Backlog4[Jour ferme],"&lt;=" &amp; $A121,Backlog4[mineur]))</f>
        <v/>
      </c>
      <c r="E121" s="163" t="str">
        <f aca="false">IF($A121="","",SUMIF(Backlog4[Jour ouvert],"&lt;=" &amp; $A121,Backlog4[MAJEUR])-SUMIF(Backlog4[Jour ferme],"&lt;=" &amp; $A121,Backlog4[MAJEUR]))</f>
        <v/>
      </c>
      <c r="F121" s="163" t="str">
        <f aca="false">IF($A121="","",SUMIF(Backlog4[Jour ouvert],"&lt;=" &amp; $A121,Backlog4[CRITIQUE])-SUMIF(Backlog4[Jour ferme],"&lt;=" &amp; $A121,Backlog4[CRITIQUE]))</f>
        <v/>
      </c>
    </row>
    <row r="122" customFormat="false" ht="16" hidden="false" customHeight="false" outlineLevel="0" collapsed="false">
      <c r="A122" s="319" t="str">
        <f aca="false">IF($A$27&gt;A121,A121+1,"")</f>
        <v/>
      </c>
      <c r="B122" s="320" t="str">
        <f aca="false">VLOOKUP(Anomalies!$A122,Calendriers!$C$3:$D$368,2)</f>
        <v/>
      </c>
      <c r="C122" s="320" t="str">
        <f aca="false">VLOOKUP(Anomalies!A122,Calendriers!C95:D460,2)</f>
        <v/>
      </c>
      <c r="D122" s="163" t="str">
        <f aca="false">IF($A122="","",SUMIF(Backlog4[Jour ouvert],"&lt;=" &amp; $A122,Backlog4[mineur])-SUMIF(Backlog4[Jour ferme],"&lt;=" &amp; $A122,Backlog4[mineur]))</f>
        <v/>
      </c>
      <c r="E122" s="163" t="str">
        <f aca="false">IF($A122="","",SUMIF(Backlog4[Jour ouvert],"&lt;=" &amp; $A122,Backlog4[MAJEUR])-SUMIF(Backlog4[Jour ferme],"&lt;=" &amp; $A122,Backlog4[MAJEUR]))</f>
        <v/>
      </c>
      <c r="F122" s="163" t="str">
        <f aca="false">IF($A122="","",SUMIF(Backlog4[Jour ouvert],"&lt;=" &amp; $A122,Backlog4[CRITIQUE])-SUMIF(Backlog4[Jour ferme],"&lt;=" &amp; $A122,Backlog4[CRITIQUE]))</f>
        <v/>
      </c>
    </row>
    <row r="123" customFormat="false" ht="16" hidden="false" customHeight="false" outlineLevel="0" collapsed="false">
      <c r="A123" s="319" t="str">
        <f aca="false">IF($A$27&gt;A122,A122+1,"")</f>
        <v/>
      </c>
      <c r="B123" s="320" t="str">
        <f aca="false">VLOOKUP(Anomalies!$A123,Calendriers!$C$3:$D$368,2)</f>
        <v/>
      </c>
      <c r="C123" s="163"/>
      <c r="D123" s="163" t="str">
        <f aca="false">IF($A123="","",SUMIF(Backlog4[Jour ouvert],"&lt;=" &amp; $A123,Backlog4[mineur])-SUMIF(Backlog4[Jour ferme],"&lt;=" &amp; $A123,Backlog4[mineur]))</f>
        <v/>
      </c>
      <c r="E123" s="163" t="str">
        <f aca="false">IF($A123="","",SUMIF(Backlog4[Jour ouvert],"&lt;=" &amp; $A123,Backlog4[MAJEUR])-SUMIF(Backlog4[Jour ferme],"&lt;=" &amp; $A123,Backlog4[MAJEUR]))</f>
        <v/>
      </c>
      <c r="F123" s="163" t="str">
        <f aca="false">IF($A123="","",SUMIF(Backlog4[Jour ouvert],"&lt;=" &amp; $A123,Backlog4[CRITIQUE])-SUMIF(Backlog4[Jour ferme],"&lt;=" &amp; $A123,Backlog4[CRITIQUE]))</f>
        <v/>
      </c>
    </row>
    <row r="124" customFormat="false" ht="16" hidden="false" customHeight="false" outlineLevel="0" collapsed="false">
      <c r="A124" s="319" t="str">
        <f aca="false">IF($A$27&gt;A123,A123+1,"")</f>
        <v/>
      </c>
      <c r="B124" s="320" t="str">
        <f aca="false">VLOOKUP(Anomalies!$A124,Calendriers!$C$3:$D$368,2)</f>
        <v/>
      </c>
      <c r="C124" s="163"/>
      <c r="D124" s="163" t="str">
        <f aca="false">IF($A124="","",SUMIF(Backlog4[Jour ouvert],"&lt;=" &amp; $A124,Backlog4[mineur])-SUMIF(Backlog4[Jour ferme],"&lt;=" &amp; $A124,Backlog4[mineur]))</f>
        <v/>
      </c>
      <c r="E124" s="163" t="str">
        <f aca="false">IF($A124="","",SUMIF(Backlog4[Jour ouvert],"&lt;=" &amp; $A124,Backlog4[MAJEUR])-SUMIF(Backlog4[Jour ferme],"&lt;=" &amp; $A124,Backlog4[MAJEUR]))</f>
        <v/>
      </c>
      <c r="F124" s="163" t="str">
        <f aca="false">IF($A124="","",SUMIF(Backlog4[Jour ouvert],"&lt;=" &amp; $A124,Backlog4[CRITIQUE])-SUMIF(Backlog4[Jour ferme],"&lt;=" &amp; $A124,Backlog4[CRITIQUE]))</f>
        <v/>
      </c>
    </row>
    <row r="125" customFormat="false" ht="16" hidden="false" customHeight="false" outlineLevel="0" collapsed="false">
      <c r="A125" s="319" t="str">
        <f aca="false">IF($A$27&gt;A124,A124+1,"")</f>
        <v/>
      </c>
      <c r="B125" s="320" t="str">
        <f aca="false">VLOOKUP(Anomalies!$A125,Calendriers!$C$3:$D$368,2)</f>
        <v/>
      </c>
      <c r="C125" s="163"/>
      <c r="D125" s="163" t="str">
        <f aca="false">IF($A125="","",SUMIF(Backlog4[Jour ouvert],"&lt;=" &amp; $A125,Backlog4[mineur])-SUMIF(Backlog4[Jour ferme],"&lt;=" &amp; $A125,Backlog4[mineur]))</f>
        <v/>
      </c>
      <c r="E125" s="163" t="str">
        <f aca="false">IF($A125="","",SUMIF(Backlog4[Jour ouvert],"&lt;=" &amp; $A125,Backlog4[MAJEUR])-SUMIF(Backlog4[Jour ferme],"&lt;=" &amp; $A125,Backlog4[MAJEUR]))</f>
        <v/>
      </c>
      <c r="F125" s="163" t="str">
        <f aca="false">IF($A125="","",SUMIF(Backlog4[Jour ouvert],"&lt;=" &amp; $A125,Backlog4[CRITIQUE])-SUMIF(Backlog4[Jour ferme],"&lt;=" &amp; $A125,Backlog4[CRITIQUE]))</f>
        <v/>
      </c>
    </row>
    <row r="126" customFormat="false" ht="16" hidden="false" customHeight="false" outlineLevel="0" collapsed="false">
      <c r="A126" s="319" t="str">
        <f aca="false">IF($A$27&gt;A125,A125+1,"")</f>
        <v/>
      </c>
      <c r="B126" s="320" t="str">
        <f aca="false">VLOOKUP(Anomalies!$A126,Calendriers!$C$3:$D$368,2)</f>
        <v/>
      </c>
      <c r="C126" s="163"/>
      <c r="D126" s="163" t="str">
        <f aca="false">IF($A126="","",SUMIF(Backlog4[Jour ouvert],"&lt;=" &amp; $A126,Backlog4[mineur])-SUMIF(Backlog4[Jour ferme],"&lt;=" &amp; $A126,Backlog4[mineur]))</f>
        <v/>
      </c>
      <c r="E126" s="163" t="str">
        <f aca="false">IF($A126="","",SUMIF(Backlog4[Jour ouvert],"&lt;=" &amp; $A126,Backlog4[MAJEUR])-SUMIF(Backlog4[Jour ferme],"&lt;=" &amp; $A126,Backlog4[MAJEUR]))</f>
        <v/>
      </c>
      <c r="F126" s="163" t="str">
        <f aca="false">IF($A126="","",SUMIF(Backlog4[Jour ouvert],"&lt;=" &amp; $A126,Backlog4[CRITIQUE])-SUMIF(Backlog4[Jour ferme],"&lt;=" &amp; $A126,Backlog4[CRITIQUE]))</f>
        <v/>
      </c>
    </row>
    <row r="127" customFormat="false" ht="16" hidden="false" customHeight="false" outlineLevel="0" collapsed="false">
      <c r="A127" s="319" t="str">
        <f aca="false">IF($A$27&gt;A126,A126+1,"")</f>
        <v/>
      </c>
      <c r="B127" s="320" t="str">
        <f aca="false">VLOOKUP(Anomalies!$A127,Calendriers!$C$3:$D$368,2)</f>
        <v/>
      </c>
      <c r="C127" s="163"/>
      <c r="D127" s="163" t="str">
        <f aca="false">IF($A127="","",SUMIF(Backlog4[Jour ouvert],"&lt;=" &amp; $A127,Backlog4[mineur])-SUMIF(Backlog4[Jour ferme],"&lt;=" &amp; $A127,Backlog4[mineur]))</f>
        <v/>
      </c>
      <c r="E127" s="163" t="str">
        <f aca="false">IF($A127="","",SUMIF(Backlog4[Jour ouvert],"&lt;=" &amp; $A127,Backlog4[MAJEUR])-SUMIF(Backlog4[Jour ferme],"&lt;=" &amp; $A127,Backlog4[MAJEUR]))</f>
        <v/>
      </c>
      <c r="F127" s="163" t="str">
        <f aca="false">IF($A127="","",SUMIF(Backlog4[Jour ouvert],"&lt;=" &amp; $A127,Backlog4[CRITIQUE])-SUMIF(Backlog4[Jour ferme],"&lt;=" &amp; $A127,Backlog4[CRITIQUE]))</f>
        <v/>
      </c>
    </row>
    <row r="128" customFormat="false" ht="16" hidden="false" customHeight="false" outlineLevel="0" collapsed="false">
      <c r="A128" s="319" t="str">
        <f aca="false">IF($A$27&gt;A127,A127+1,"")</f>
        <v/>
      </c>
      <c r="B128" s="320" t="str">
        <f aca="false">VLOOKUP(Anomalies!$A128,Calendriers!$C$3:$D$368,2)</f>
        <v/>
      </c>
      <c r="C128" s="163"/>
      <c r="D128" s="163" t="str">
        <f aca="false">IF($A128="","",SUMIF(Backlog4[Jour ouvert],"&lt;=" &amp; $A128,Backlog4[mineur])-SUMIF(Backlog4[Jour ferme],"&lt;=" &amp; $A128,Backlog4[mineur]))</f>
        <v/>
      </c>
      <c r="E128" s="163" t="str">
        <f aca="false">IF($A128="","",SUMIF(Backlog4[Jour ouvert],"&lt;=" &amp; $A128,Backlog4[MAJEUR])-SUMIF(Backlog4[Jour ferme],"&lt;=" &amp; $A128,Backlog4[MAJEUR]))</f>
        <v/>
      </c>
      <c r="F128" s="163" t="str">
        <f aca="false">IF($A128="","",SUMIF(Backlog4[Jour ouvert],"&lt;=" &amp; $A128,Backlog4[CRITIQUE])-SUMIF(Backlog4[Jour ferme],"&lt;=" &amp; $A128,Backlog4[CRITIQUE]))</f>
        <v/>
      </c>
    </row>
    <row r="129" customFormat="false" ht="16" hidden="false" customHeight="false" outlineLevel="0" collapsed="false">
      <c r="A129" s="319" t="str">
        <f aca="false">IF($A$27&gt;A128,A128+1,"")</f>
        <v/>
      </c>
      <c r="B129" s="320" t="str">
        <f aca="false">VLOOKUP(Anomalies!$A129,Calendriers!$C$3:$D$368,2)</f>
        <v/>
      </c>
      <c r="C129" s="163"/>
      <c r="D129" s="163" t="str">
        <f aca="false">IF($A129="","",SUMIF(Backlog4[Jour ouvert],"&lt;=" &amp; $A129,Backlog4[mineur])-SUMIF(Backlog4[Jour ferme],"&lt;=" &amp; $A129,Backlog4[mineur]))</f>
        <v/>
      </c>
      <c r="E129" s="163" t="str">
        <f aca="false">IF($A129="","",SUMIF(Backlog4[Jour ouvert],"&lt;=" &amp; $A129,Backlog4[MAJEUR])-SUMIF(Backlog4[Jour ferme],"&lt;=" &amp; $A129,Backlog4[MAJEUR]))</f>
        <v/>
      </c>
      <c r="F129" s="163" t="str">
        <f aca="false">IF($A129="","",SUMIF(Backlog4[Jour ouvert],"&lt;=" &amp; $A129,Backlog4[CRITIQUE])-SUMIF(Backlog4[Jour ferme],"&lt;=" &amp; $A129,Backlog4[CRITIQUE]))</f>
        <v/>
      </c>
    </row>
  </sheetData>
  <mergeCells count="1">
    <mergeCell ref="A1:N1"/>
  </mergeCells>
  <dataValidations count="2">
    <dataValidation allowBlank="true" errorStyle="stop" operator="between" showDropDown="false" showErrorMessage="true" showInputMessage="true" sqref="B4:B16" type="list">
      <formula1>$O$4:$O$8</formula1>
      <formula2>0</formula2>
    </dataValidation>
    <dataValidation allowBlank="true" errorStyle="stop" errorTitle="Fin avant début" operator="greaterThanOrEqual" showDropDown="false" showErrorMessage="true" showInputMessage="true" sqref="E4:E16" type="date">
      <formula1>D4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AO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6" zeroHeight="false" outlineLevelRow="0" outlineLevelCol="0"/>
  <cols>
    <col collapsed="false" customWidth="true" hidden="false" outlineLevel="0" max="1" min="1" style="16" width="14"/>
    <col collapsed="false" customWidth="true" hidden="false" outlineLevel="0" max="2" min="2" style="16" width="15.16"/>
    <col collapsed="false" customWidth="true" hidden="false" outlineLevel="0" max="3" min="3" style="0" width="42.51"/>
    <col collapsed="false" customWidth="true" hidden="false" outlineLevel="0" max="4" min="4" style="0" width="14.33"/>
    <col collapsed="false" customWidth="true" hidden="false" outlineLevel="0" max="6" min="5" style="0" width="12.33"/>
    <col collapsed="false" customWidth="true" hidden="false" outlineLevel="0" max="13" min="7" style="0" width="11.5"/>
    <col collapsed="false" customWidth="false" hidden="false" outlineLevel="0" max="17" min="14" style="125" width="11"/>
    <col collapsed="false" customWidth="true" hidden="false" outlineLevel="0" max="18" min="18" style="125" width="23.67"/>
    <col collapsed="false" customWidth="false" hidden="false" outlineLevel="0" max="39" min="19" style="125" width="11"/>
  </cols>
  <sheetData>
    <row r="1" customFormat="false" ht="24" hidden="false" customHeight="false" outlineLevel="0" collapsed="false">
      <c r="A1" s="146" t="s">
        <v>493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26"/>
      <c r="P1" s="126"/>
    </row>
    <row r="2" customFormat="false" ht="21" hidden="false" customHeight="true" outlineLevel="0" collapsed="false">
      <c r="A2" s="152"/>
      <c r="B2" s="307"/>
      <c r="C2" s="134"/>
      <c r="G2" s="125"/>
      <c r="H2" s="125"/>
      <c r="I2" s="125"/>
      <c r="J2" s="125"/>
      <c r="K2" s="125"/>
      <c r="L2" s="125"/>
      <c r="M2" s="125"/>
    </row>
    <row r="3" s="127" customFormat="true" ht="15" hidden="false" customHeight="true" outlineLevel="0" collapsed="false">
      <c r="A3" s="153" t="s">
        <v>231</v>
      </c>
      <c r="B3" s="154" t="s">
        <v>474</v>
      </c>
      <c r="C3" s="155" t="s">
        <v>475</v>
      </c>
      <c r="D3" s="155" t="s">
        <v>476</v>
      </c>
      <c r="E3" s="155" t="s">
        <v>477</v>
      </c>
      <c r="F3" s="155" t="s">
        <v>478</v>
      </c>
      <c r="G3" s="155" t="s">
        <v>479</v>
      </c>
      <c r="H3" s="155" t="s">
        <v>184</v>
      </c>
      <c r="I3" s="156" t="s">
        <v>192</v>
      </c>
      <c r="J3" s="156" t="s">
        <v>377</v>
      </c>
      <c r="K3" s="155" t="s">
        <v>109</v>
      </c>
      <c r="L3" s="155" t="s">
        <v>110</v>
      </c>
      <c r="M3" s="155" t="s">
        <v>111</v>
      </c>
      <c r="N3" s="308"/>
      <c r="O3" s="158" t="s">
        <v>369</v>
      </c>
      <c r="P3" s="158" t="s">
        <v>480</v>
      </c>
      <c r="Q3" s="158" t="s">
        <v>481</v>
      </c>
      <c r="R3" s="158" t="s">
        <v>482</v>
      </c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</row>
    <row r="4" customFormat="false" ht="15" hidden="false" customHeight="true" outlineLevel="0" collapsed="false">
      <c r="A4" s="172" t="n">
        <v>1</v>
      </c>
      <c r="B4" s="172" t="s">
        <v>109</v>
      </c>
      <c r="C4" s="101" t="s">
        <v>494</v>
      </c>
      <c r="D4" s="309" t="n">
        <v>45331</v>
      </c>
      <c r="E4" s="309" t="n">
        <v>45334</v>
      </c>
      <c r="F4" s="8" t="n">
        <f aca="false">IF(ISBLANK(Backlog42[[#This Row],[Ouvert le ]]),"",VLOOKUP(Backlog42[[#This Row],[Ouvert le ]],Calendriers!$A$3:$C$368,3))</f>
        <v>15</v>
      </c>
      <c r="G4" s="8" t="n">
        <f aca="false">IF(ISBLANK(Backlog42[[#This Row],[Fermé le ]]),"",VLOOKUP(Backlog42[[#This Row],[Fermé le ]],Calendriers!$A$3:$C$368,3))</f>
        <v>16</v>
      </c>
      <c r="H4" s="8" t="n">
        <f aca="false">IF(ISBLANK(Backlog42[[#This Row],[Ouvert le ]]),"",IF(ISBLANK(Backlog42[[#This Row],[Fermé le ]]),1,0))</f>
        <v>0</v>
      </c>
      <c r="I4" s="138" t="str">
        <f aca="false">IF(Backlog42[[#This Row],[Statut]]=1,$A$27-Backlog42[[#This Row],[Jour ouvert]],"")</f>
        <v/>
      </c>
      <c r="J4" s="138" t="n">
        <f aca="false">IF(Backlog42[[#This Row],[Statut]]="","",IF(Backlog42[[#This Row],[Statut]]=0,Backlog42[[#This Row],[Jour ferme]]-Backlog42[[#This Row],[Jour ouvert]],$A$27-Backlog42[[#This Row],[Jour ouvert]]))</f>
        <v>1</v>
      </c>
      <c r="K4" s="101" t="n">
        <f aca="false">IF(Backlog42[[#This Row],[Gravité]]=$O$6,1,0)</f>
        <v>1</v>
      </c>
      <c r="L4" s="101" t="n">
        <f aca="false">IF(Backlog42[[#This Row],[Gravité]]=$O$5,1,0)</f>
        <v>0</v>
      </c>
      <c r="M4" s="101" t="n">
        <f aca="false">IF(Backlog42[[#This Row],[Gravité]]=$O$4,1,0)</f>
        <v>0</v>
      </c>
      <c r="N4" s="160"/>
      <c r="O4" s="311" t="s">
        <v>111</v>
      </c>
      <c r="P4" s="311" t="n">
        <f aca="false">_xlfn.MAXIFS(Backlog42[Age],Backlog42[CRITIQUE],1)</f>
        <v>0</v>
      </c>
      <c r="Q4" s="163" t="n">
        <f aca="false">IF(P4&gt;0,AVERAGEIFS(Backlog42[Age],Backlog42[CRITIQUE],1),0)</f>
        <v>0</v>
      </c>
      <c r="R4" s="322" t="n">
        <f aca="false">IF(P4&gt;0,AVERAGEIFS(Backlog42[Délai],Backlog42[CRITIQUE],1),0)</f>
        <v>0</v>
      </c>
      <c r="AN4" s="125"/>
      <c r="AO4" s="125"/>
    </row>
    <row r="5" customFormat="false" ht="15" hidden="false" customHeight="true" outlineLevel="0" collapsed="false">
      <c r="A5" s="172" t="n">
        <v>2</v>
      </c>
      <c r="B5" s="172" t="s">
        <v>109</v>
      </c>
      <c r="C5" s="101" t="s">
        <v>495</v>
      </c>
      <c r="D5" s="309" t="n">
        <v>45355</v>
      </c>
      <c r="E5" s="309"/>
      <c r="F5" s="8" t="n">
        <f aca="false">IF(ISBLANK(Backlog42[[#This Row],[Ouvert le ]]),"",VLOOKUP(Backlog42[[#This Row],[Ouvert le ]],Calendriers!$A$3:$C$368,3))</f>
        <v>28</v>
      </c>
      <c r="G5" s="8" t="str">
        <f aca="false">IF(ISBLANK(Backlog42[[#This Row],[Fermé le ]]),"",VLOOKUP(Backlog42[[#This Row],[Fermé le ]],Calendriers!$A$3:$C$368,3))</f>
        <v/>
      </c>
      <c r="H5" s="8" t="n">
        <f aca="false">IF(ISBLANK(Backlog42[[#This Row],[Ouvert le ]]),"",IF(ISBLANK(Backlog42[[#This Row],[Fermé le ]]),1,0))</f>
        <v>1</v>
      </c>
      <c r="I5" s="138" t="n">
        <f aca="false">IF(Backlog42[[#This Row],[Statut]]=1,$A$27-Backlog42[[#This Row],[Jour ouvert]],"")</f>
        <v>14</v>
      </c>
      <c r="J5" s="138" t="n">
        <f aca="false">IF(Backlog42[[#This Row],[Statut]]="","",IF(Backlog42[[#This Row],[Statut]]=0,Backlog42[[#This Row],[Jour ferme]]-Backlog42[[#This Row],[Jour ouvert]],$A$27-Backlog42[[#This Row],[Jour ouvert]]))</f>
        <v>14</v>
      </c>
      <c r="K5" s="101" t="n">
        <f aca="false">IF(Backlog42[[#This Row],[Gravité]]=$O$6,1,0)</f>
        <v>1</v>
      </c>
      <c r="L5" s="101" t="n">
        <f aca="false">IF(Backlog42[[#This Row],[Gravité]]=$O$5,1,0)</f>
        <v>0</v>
      </c>
      <c r="M5" s="101" t="n">
        <f aca="false">IF(Backlog42[[#This Row],[Gravité]]=$O$4,1,0)</f>
        <v>0</v>
      </c>
      <c r="N5" s="160"/>
      <c r="O5" s="311" t="s">
        <v>110</v>
      </c>
      <c r="P5" s="311" t="n">
        <f aca="false">_xlfn.MAXIFS(Backlog42[Age],Backlog42[MAJEUR],1)</f>
        <v>3</v>
      </c>
      <c r="Q5" s="322" t="n">
        <f aca="false">IF(P5&gt;0,AVERAGEIFS(Backlog42[Age],Backlog42[MAJEUR],1),0)</f>
        <v>2</v>
      </c>
      <c r="R5" s="322" t="n">
        <f aca="false">IF(P5&gt;0,AVERAGEIFS(Backlog42[Délai],Backlog42[MAJEUR],1),0)</f>
        <v>1.5</v>
      </c>
      <c r="AN5" s="125"/>
      <c r="AO5" s="125"/>
    </row>
    <row r="6" customFormat="false" ht="15" hidden="false" customHeight="true" outlineLevel="0" collapsed="false">
      <c r="A6" s="172" t="n">
        <v>3</v>
      </c>
      <c r="B6" s="172" t="s">
        <v>110</v>
      </c>
      <c r="C6" s="101" t="s">
        <v>496</v>
      </c>
      <c r="D6" s="309" t="n">
        <v>45365</v>
      </c>
      <c r="E6" s="309" t="n">
        <v>45366</v>
      </c>
      <c r="F6" s="8" t="n">
        <f aca="false">IF(ISBLANK(Backlog42[[#This Row],[Ouvert le ]]),"",VLOOKUP(Backlog42[[#This Row],[Ouvert le ]],Calendriers!$A$3:$C$368,3))</f>
        <v>36</v>
      </c>
      <c r="G6" s="8" t="n">
        <f aca="false">IF(ISBLANK(Backlog42[[#This Row],[Fermé le ]]),"",VLOOKUP(Backlog42[[#This Row],[Fermé le ]],Calendriers!$A$3:$C$368,3))</f>
        <v>37</v>
      </c>
      <c r="H6" s="8" t="n">
        <f aca="false">IF(ISBLANK(Backlog42[[#This Row],[Ouvert le ]]),"",IF(ISBLANK(Backlog42[[#This Row],[Fermé le ]]),1,0))</f>
        <v>0</v>
      </c>
      <c r="I6" s="138" t="str">
        <f aca="false">IF(Backlog42[[#This Row],[Statut]]=1,$A$27-Backlog42[[#This Row],[Jour ouvert]],"")</f>
        <v/>
      </c>
      <c r="J6" s="138" t="n">
        <f aca="false">IF(Backlog42[[#This Row],[Statut]]="","",IF(Backlog42[[#This Row],[Statut]]=0,Backlog42[[#This Row],[Jour ferme]]-Backlog42[[#This Row],[Jour ouvert]],$A$27-Backlog42[[#This Row],[Jour ouvert]]))</f>
        <v>1</v>
      </c>
      <c r="K6" s="101" t="n">
        <f aca="false">IF(Backlog42[[#This Row],[Gravité]]=$O$6,1,0)</f>
        <v>0</v>
      </c>
      <c r="L6" s="101" t="n">
        <f aca="false">IF(Backlog42[[#This Row],[Gravité]]=$O$5,1,0)</f>
        <v>1</v>
      </c>
      <c r="M6" s="101" t="n">
        <f aca="false">IF(Backlog42[[#This Row],[Gravité]]=$O$4,1,0)</f>
        <v>0</v>
      </c>
      <c r="N6" s="160"/>
      <c r="O6" s="311" t="s">
        <v>109</v>
      </c>
      <c r="P6" s="311" t="n">
        <f aca="false">_xlfn.MAXIFS(Backlog42[Age],Backlog42[mineur],1)</f>
        <v>14</v>
      </c>
      <c r="Q6" s="322" t="n">
        <f aca="false">IF(P6&gt;0,AVERAGEIFS(Backlog42[Age],Backlog42[mineur],1),"")</f>
        <v>8.5</v>
      </c>
      <c r="R6" s="322" t="n">
        <f aca="false">IF(P6&gt;0,AVERAGEIFS(Backlog42[Délai],Backlog42[mineur],1),0)</f>
        <v>8.2</v>
      </c>
      <c r="AN6" s="125"/>
      <c r="AO6" s="125"/>
    </row>
    <row r="7" customFormat="false" ht="15" hidden="false" customHeight="true" outlineLevel="0" collapsed="false">
      <c r="A7" s="172" t="n">
        <v>4</v>
      </c>
      <c r="B7" s="172" t="s">
        <v>109</v>
      </c>
      <c r="C7" s="101" t="s">
        <v>497</v>
      </c>
      <c r="D7" s="309" t="n">
        <v>45331</v>
      </c>
      <c r="E7" s="309" t="n">
        <v>45366</v>
      </c>
      <c r="F7" s="8" t="n">
        <f aca="false">IF(ISBLANK(Backlog42[[#This Row],[Ouvert le ]]),"",VLOOKUP(Backlog42[[#This Row],[Ouvert le ]],Calendriers!$A$3:$C$368,3))</f>
        <v>15</v>
      </c>
      <c r="G7" s="8" t="n">
        <f aca="false">IF(ISBLANK(Backlog42[[#This Row],[Fermé le ]]),"",VLOOKUP(Backlog42[[#This Row],[Fermé le ]],Calendriers!$A$3:$C$368,3))</f>
        <v>37</v>
      </c>
      <c r="H7" s="8" t="n">
        <f aca="false">IF(ISBLANK(Backlog42[[#This Row],[Ouvert le ]]),"",IF(ISBLANK(Backlog42[[#This Row],[Fermé le ]]),1,0))</f>
        <v>0</v>
      </c>
      <c r="I7" s="138" t="str">
        <f aca="false">IF(Backlog42[[#This Row],[Statut]]=1,$A$27-Backlog42[[#This Row],[Jour ouvert]],"")</f>
        <v/>
      </c>
      <c r="J7" s="138" t="n">
        <f aca="false">IF(Backlog42[[#This Row],[Statut]]="","",IF(Backlog42[[#This Row],[Statut]]=0,Backlog42[[#This Row],[Jour ferme]]-Backlog42[[#This Row],[Jour ouvert]],$A$27-Backlog42[[#This Row],[Jour ouvert]]))</f>
        <v>22</v>
      </c>
      <c r="K7" s="101" t="n">
        <f aca="false">IF(Backlog42[[#This Row],[Gravité]]=$O$6,1,0)</f>
        <v>1</v>
      </c>
      <c r="L7" s="101" t="n">
        <f aca="false">IF(Backlog42[[#This Row],[Gravité]]=$O$5,1,0)</f>
        <v>0</v>
      </c>
      <c r="M7" s="101" t="n">
        <f aca="false">IF(Backlog42[[#This Row],[Gravité]]=$O$4,1,0)</f>
        <v>0</v>
      </c>
      <c r="N7" s="160"/>
      <c r="O7" s="311"/>
      <c r="P7" s="311"/>
      <c r="Q7" s="163"/>
      <c r="R7" s="163"/>
      <c r="AN7" s="125"/>
      <c r="AO7" s="125"/>
    </row>
    <row r="8" customFormat="false" ht="15" hidden="false" customHeight="true" outlineLevel="0" collapsed="false">
      <c r="A8" s="172" t="n">
        <v>5</v>
      </c>
      <c r="B8" s="172" t="s">
        <v>110</v>
      </c>
      <c r="C8" s="101" t="s">
        <v>496</v>
      </c>
      <c r="D8" s="309" t="n">
        <v>45365</v>
      </c>
      <c r="E8" s="309" t="n">
        <v>45366</v>
      </c>
      <c r="F8" s="8" t="n">
        <f aca="false">IF(ISBLANK(Backlog42[[#This Row],[Ouvert le ]]),"",VLOOKUP(Backlog42[[#This Row],[Ouvert le ]],Calendriers!$A$3:$C$368,3))</f>
        <v>36</v>
      </c>
      <c r="G8" s="8" t="n">
        <f aca="false">IF(ISBLANK(Backlog42[[#This Row],[Fermé le ]]),"",VLOOKUP(Backlog42[[#This Row],[Fermé le ]],Calendriers!$A$3:$C$368,3))</f>
        <v>37</v>
      </c>
      <c r="H8" s="8" t="n">
        <f aca="false">IF(ISBLANK(Backlog42[[#This Row],[Ouvert le ]]),"",IF(ISBLANK(Backlog42[[#This Row],[Fermé le ]]),1,0))</f>
        <v>0</v>
      </c>
      <c r="I8" s="138" t="str">
        <f aca="false">IF(Backlog42[[#This Row],[Statut]]=1,$A$27-Backlog42[[#This Row],[Jour ouvert]],"")</f>
        <v/>
      </c>
      <c r="J8" s="138" t="n">
        <f aca="false">IF(Backlog42[[#This Row],[Statut]]="","",IF(Backlog42[[#This Row],[Statut]]=0,Backlog42[[#This Row],[Jour ferme]]-Backlog42[[#This Row],[Jour ouvert]],$A$27-Backlog42[[#This Row],[Jour ouvert]]))</f>
        <v>1</v>
      </c>
      <c r="K8" s="101" t="n">
        <f aca="false">IF(Backlog42[[#This Row],[Gravité]]=$O$6,1,0)</f>
        <v>0</v>
      </c>
      <c r="L8" s="101" t="n">
        <f aca="false">IF(Backlog42[[#This Row],[Gravité]]=$O$5,1,0)</f>
        <v>1</v>
      </c>
      <c r="M8" s="101" t="n">
        <f aca="false">IF(Backlog42[[#This Row],[Gravité]]=$O$4,1,0)</f>
        <v>0</v>
      </c>
      <c r="N8" s="160"/>
      <c r="O8" s="311"/>
      <c r="P8" s="311"/>
      <c r="Q8" s="163"/>
      <c r="R8" s="163"/>
      <c r="AN8" s="125"/>
      <c r="AO8" s="125"/>
    </row>
    <row r="9" customFormat="false" ht="15" hidden="false" customHeight="true" outlineLevel="0" collapsed="false">
      <c r="A9" s="172" t="n">
        <v>6</v>
      </c>
      <c r="B9" s="172" t="s">
        <v>109</v>
      </c>
      <c r="C9" s="101" t="s">
        <v>498</v>
      </c>
      <c r="D9" s="309" t="n">
        <v>45365</v>
      </c>
      <c r="E9" s="309" t="n">
        <v>45366</v>
      </c>
      <c r="F9" s="8" t="n">
        <f aca="false">IF(ISBLANK(Backlog42[[#This Row],[Ouvert le ]]),"",VLOOKUP(Backlog42[[#This Row],[Ouvert le ]],Calendriers!$A$3:$C$368,3))</f>
        <v>36</v>
      </c>
      <c r="G9" s="8" t="n">
        <f aca="false">IF(ISBLANK(Backlog42[[#This Row],[Fermé le ]]),"",VLOOKUP(Backlog42[[#This Row],[Fermé le ]],Calendriers!$A$3:$C$368,3))</f>
        <v>37</v>
      </c>
      <c r="H9" s="8" t="n">
        <f aca="false">IF(ISBLANK(Backlog42[[#This Row],[Ouvert le ]]),"",IF(ISBLANK(Backlog42[[#This Row],[Fermé le ]]),1,0))</f>
        <v>0</v>
      </c>
      <c r="I9" s="138" t="str">
        <f aca="false">IF(Backlog42[[#This Row],[Statut]]=1,$A$27-Backlog42[[#This Row],[Jour ouvert]],"")</f>
        <v/>
      </c>
      <c r="J9" s="138" t="n">
        <f aca="false">IF(Backlog42[[#This Row],[Statut]]="","",IF(Backlog42[[#This Row],[Statut]]=0,Backlog42[[#This Row],[Jour ferme]]-Backlog42[[#This Row],[Jour ouvert]],$A$27-Backlog42[[#This Row],[Jour ouvert]]))</f>
        <v>1</v>
      </c>
      <c r="K9" s="101" t="n">
        <f aca="false">IF(Backlog42[[#This Row],[Gravité]]=$O$6,1,0)</f>
        <v>1</v>
      </c>
      <c r="L9" s="101" t="n">
        <f aca="false">IF(Backlog42[[#This Row],[Gravité]]=$O$5,1,0)</f>
        <v>0</v>
      </c>
      <c r="M9" s="101" t="n">
        <f aca="false">IF(Backlog42[[#This Row],[Gravité]]=$O$4,1,0)</f>
        <v>0</v>
      </c>
      <c r="N9" s="160"/>
      <c r="AN9" s="125"/>
      <c r="AO9" s="125"/>
    </row>
    <row r="10" customFormat="false" ht="15" hidden="false" customHeight="true" outlineLevel="0" collapsed="false">
      <c r="A10" s="172" t="n">
        <v>7</v>
      </c>
      <c r="B10" s="172" t="s">
        <v>110</v>
      </c>
      <c r="C10" s="101" t="s">
        <v>499</v>
      </c>
      <c r="D10" s="309" t="n">
        <v>45370</v>
      </c>
      <c r="E10" s="309"/>
      <c r="F10" s="8" t="n">
        <f aca="false">IF(ISBLANK(Backlog42[[#This Row],[Ouvert le ]]),"",VLOOKUP(Backlog42[[#This Row],[Ouvert le ]],Calendriers!$A$3:$C$368,3))</f>
        <v>39</v>
      </c>
      <c r="G10" s="8" t="str">
        <f aca="false">IF(ISBLANK(Backlog42[[#This Row],[Fermé le ]]),"",VLOOKUP(Backlog42[[#This Row],[Fermé le ]],Calendriers!$A$3:$C$368,3))</f>
        <v/>
      </c>
      <c r="H10" s="8" t="n">
        <f aca="false">IF(ISBLANK(Backlog42[[#This Row],[Ouvert le ]]),"",IF(ISBLANK(Backlog42[[#This Row],[Fermé le ]]),1,0))</f>
        <v>1</v>
      </c>
      <c r="I10" s="138" t="n">
        <f aca="false">IF(Backlog42[[#This Row],[Statut]]=1,$A$27-Backlog42[[#This Row],[Jour ouvert]],"")</f>
        <v>3</v>
      </c>
      <c r="J10" s="138" t="n">
        <f aca="false">IF(Backlog42[[#This Row],[Statut]]="","",IF(Backlog42[[#This Row],[Statut]]=0,Backlog42[[#This Row],[Jour ferme]]-Backlog42[[#This Row],[Jour ouvert]],$A$27-Backlog42[[#This Row],[Jour ouvert]]))</f>
        <v>3</v>
      </c>
      <c r="K10" s="101" t="n">
        <f aca="false">IF(Backlog42[[#This Row],[Gravité]]=$O$6,1,0)</f>
        <v>0</v>
      </c>
      <c r="L10" s="101" t="n">
        <f aca="false">IF(Backlog42[[#This Row],[Gravité]]=$O$5,1,0)</f>
        <v>1</v>
      </c>
      <c r="M10" s="101" t="n">
        <f aca="false">IF(Backlog42[[#This Row],[Gravité]]=$O$4,1,0)</f>
        <v>0</v>
      </c>
      <c r="N10" s="160"/>
      <c r="AN10" s="125"/>
      <c r="AO10" s="125"/>
    </row>
    <row r="11" customFormat="false" ht="15" hidden="false" customHeight="true" outlineLevel="0" collapsed="false">
      <c r="A11" s="172" t="n">
        <v>8</v>
      </c>
      <c r="B11" s="172" t="s">
        <v>109</v>
      </c>
      <c r="C11" s="101" t="s">
        <v>500</v>
      </c>
      <c r="D11" s="309" t="n">
        <v>45370</v>
      </c>
      <c r="E11" s="309"/>
      <c r="F11" s="8" t="n">
        <f aca="false">IF(ISBLANK(Backlog42[[#This Row],[Ouvert le ]]),"",VLOOKUP(Backlog42[[#This Row],[Ouvert le ]],Calendriers!$A$3:$C$368,3))</f>
        <v>39</v>
      </c>
      <c r="G11" s="8" t="str">
        <f aca="false">IF(ISBLANK(Backlog42[[#This Row],[Fermé le ]]),"",VLOOKUP(Backlog42[[#This Row],[Fermé le ]],Calendriers!$A$3:$C$368,3))</f>
        <v/>
      </c>
      <c r="H11" s="8" t="n">
        <f aca="false">IF(ISBLANK(Backlog42[[#This Row],[Ouvert le ]]),"",IF(ISBLANK(Backlog42[[#This Row],[Fermé le ]]),1,0))</f>
        <v>1</v>
      </c>
      <c r="I11" s="138" t="n">
        <f aca="false">IF(Backlog42[[#This Row],[Statut]]=1,$A$27-Backlog42[[#This Row],[Jour ouvert]],"")</f>
        <v>3</v>
      </c>
      <c r="J11" s="138" t="n">
        <f aca="false">IF(Backlog42[[#This Row],[Statut]]="","",IF(Backlog42[[#This Row],[Statut]]=0,Backlog42[[#This Row],[Jour ferme]]-Backlog42[[#This Row],[Jour ouvert]],$A$27-Backlog42[[#This Row],[Jour ouvert]]))</f>
        <v>3</v>
      </c>
      <c r="K11" s="101" t="n">
        <f aca="false">IF(Backlog42[[#This Row],[Gravité]]=$O$6,1,0)</f>
        <v>1</v>
      </c>
      <c r="L11" s="101" t="n">
        <f aca="false">IF(Backlog42[[#This Row],[Gravité]]=$O$5,1,0)</f>
        <v>0</v>
      </c>
      <c r="M11" s="101" t="n">
        <f aca="false">IF(Backlog42[[#This Row],[Gravité]]=$O$4,1,0)</f>
        <v>0</v>
      </c>
      <c r="N11" s="160"/>
      <c r="AN11" s="125"/>
      <c r="AO11" s="125"/>
    </row>
    <row r="12" customFormat="false" ht="15" hidden="false" customHeight="true" outlineLevel="0" collapsed="false">
      <c r="A12" s="172" t="n">
        <v>10</v>
      </c>
      <c r="B12" s="172" t="s">
        <v>110</v>
      </c>
      <c r="C12" s="101" t="s">
        <v>501</v>
      </c>
      <c r="D12" s="309" t="n">
        <v>45372</v>
      </c>
      <c r="E12" s="101"/>
      <c r="F12" s="8" t="n">
        <f aca="false">IF(ISBLANK(Backlog42[[#This Row],[Ouvert le ]]),"",VLOOKUP(Backlog42[[#This Row],[Ouvert le ]],Calendriers!$A$3:$C$368,3))</f>
        <v>41</v>
      </c>
      <c r="G12" s="8" t="str">
        <f aca="false">IF(ISBLANK(Backlog42[[#This Row],[Fermé le ]]),"",VLOOKUP(Backlog42[[#This Row],[Fermé le ]],Calendriers!$A$3:$C$368,3))</f>
        <v/>
      </c>
      <c r="H12" s="8" t="n">
        <f aca="false">IF(ISBLANK(Backlog42[[#This Row],[Ouvert le ]]),"",IF(ISBLANK(Backlog42[[#This Row],[Fermé le ]]),1,0))</f>
        <v>1</v>
      </c>
      <c r="I12" s="138" t="n">
        <f aca="false">IF(Backlog42[[#This Row],[Statut]]=1,$A$27-Backlog42[[#This Row],[Jour ouvert]],"")</f>
        <v>1</v>
      </c>
      <c r="J12" s="138" t="n">
        <f aca="false">IF(Backlog42[[#This Row],[Statut]]="","",IF(Backlog42[[#This Row],[Statut]]=0,Backlog42[[#This Row],[Jour ferme]]-Backlog42[[#This Row],[Jour ouvert]],$A$27-Backlog42[[#This Row],[Jour ouvert]]))</f>
        <v>1</v>
      </c>
      <c r="K12" s="101" t="n">
        <f aca="false">IF(Backlog42[[#This Row],[Gravité]]=$O$6,1,0)</f>
        <v>0</v>
      </c>
      <c r="L12" s="101" t="n">
        <f aca="false">IF(Backlog42[[#This Row],[Gravité]]=$O$5,1,0)</f>
        <v>1</v>
      </c>
      <c r="M12" s="101" t="n">
        <f aca="false">IF(Backlog42[[#This Row],[Gravité]]=$O$4,1,0)</f>
        <v>0</v>
      </c>
      <c r="N12" s="160"/>
      <c r="AN12" s="125"/>
      <c r="AO12" s="125"/>
    </row>
    <row r="13" customFormat="false" ht="15" hidden="false" customHeight="true" outlineLevel="0" collapsed="false">
      <c r="A13" s="172" t="n">
        <v>11</v>
      </c>
      <c r="B13" s="172"/>
      <c r="C13" s="101"/>
      <c r="D13" s="309"/>
      <c r="E13" s="101"/>
      <c r="F13" s="8" t="str">
        <f aca="false">IF(ISBLANK(Backlog42[[#This Row],[Ouvert le ]]),"",VLOOKUP(Backlog42[[#This Row],[Ouvert le ]],Calendriers!$A$3:$C$368,3))</f>
        <v/>
      </c>
      <c r="G13" s="8" t="str">
        <f aca="false">IF(ISBLANK(Backlog42[[#This Row],[Fermé le ]]),"",VLOOKUP(Backlog42[[#This Row],[Fermé le ]],Calendriers!$A$3:$C$368,3))</f>
        <v/>
      </c>
      <c r="H13" s="8" t="str">
        <f aca="false">IF(ISBLANK(Backlog42[[#This Row],[Ouvert le ]]),"",IF(ISBLANK(Backlog42[[#This Row],[Fermé le ]]),1,0))</f>
        <v/>
      </c>
      <c r="I13" s="138" t="str">
        <f aca="false">IF(Backlog42[[#This Row],[Statut]]=1,$A$27-Backlog42[[#This Row],[Jour ouvert]],"")</f>
        <v/>
      </c>
      <c r="J13" s="138" t="str">
        <f aca="false">IF(Backlog42[[#This Row],[Statut]]="","",IF(Backlog42[[#This Row],[Statut]]=0,Backlog42[[#This Row],[Jour ferme]]-Backlog42[[#This Row],[Jour ouvert]],$A$27-Backlog42[[#This Row],[Jour ouvert]]))</f>
        <v/>
      </c>
      <c r="K13" s="101" t="n">
        <f aca="false">IF(Backlog42[[#This Row],[Gravité]]=$O$6,1,0)</f>
        <v>0</v>
      </c>
      <c r="L13" s="101" t="n">
        <f aca="false">IF(Backlog42[[#This Row],[Gravité]]=$O$5,1,0)</f>
        <v>0</v>
      </c>
      <c r="M13" s="101" t="n">
        <f aca="false">IF(Backlog42[[#This Row],[Gravité]]=$O$4,1,0)</f>
        <v>0</v>
      </c>
      <c r="N13" s="160"/>
      <c r="AN13" s="125"/>
      <c r="AO13" s="125"/>
    </row>
    <row r="14" customFormat="false" ht="15" hidden="false" customHeight="true" outlineLevel="0" collapsed="false">
      <c r="A14" s="172" t="n">
        <v>12</v>
      </c>
      <c r="B14" s="172"/>
      <c r="C14" s="101"/>
      <c r="D14" s="309"/>
      <c r="E14" s="101"/>
      <c r="F14" s="8" t="str">
        <f aca="false">IF(ISBLANK(Backlog42[[#This Row],[Ouvert le ]]),"",VLOOKUP(Backlog42[[#This Row],[Ouvert le ]],Calendriers!$A$3:$C$368,3))</f>
        <v/>
      </c>
      <c r="G14" s="8" t="str">
        <f aca="false">IF(ISBLANK(Backlog42[[#This Row],[Fermé le ]]),"",VLOOKUP(Backlog42[[#This Row],[Fermé le ]],Calendriers!$A$3:$C$368,3))</f>
        <v/>
      </c>
      <c r="H14" s="8" t="str">
        <f aca="false">IF(ISBLANK(Backlog42[[#This Row],[Ouvert le ]]),"",IF(ISBLANK(Backlog42[[#This Row],[Fermé le ]]),1,0))</f>
        <v/>
      </c>
      <c r="I14" s="138" t="str">
        <f aca="false">IF(Backlog42[[#This Row],[Statut]]=1,$A$27-Backlog42[[#This Row],[Jour ouvert]],"")</f>
        <v/>
      </c>
      <c r="J14" s="138" t="str">
        <f aca="false">IF(Backlog42[[#This Row],[Statut]]="","",IF(Backlog42[[#This Row],[Statut]]=0,Backlog42[[#This Row],[Jour ferme]]-Backlog42[[#This Row],[Jour ouvert]],$A$27-Backlog42[[#This Row],[Jour ouvert]]))</f>
        <v/>
      </c>
      <c r="K14" s="101" t="n">
        <f aca="false">IF(Backlog42[[#This Row],[Gravité]]=$O$6,1,0)</f>
        <v>0</v>
      </c>
      <c r="L14" s="101" t="n">
        <f aca="false">IF(Backlog42[[#This Row],[Gravité]]=$O$5,1,0)</f>
        <v>0</v>
      </c>
      <c r="M14" s="101" t="n">
        <f aca="false">IF(Backlog42[[#This Row],[Gravité]]=$O$4,1,0)</f>
        <v>0</v>
      </c>
      <c r="N14" s="160"/>
      <c r="AN14" s="125"/>
      <c r="AO14" s="125"/>
    </row>
    <row r="15" customFormat="false" ht="15" hidden="false" customHeight="true" outlineLevel="0" collapsed="false">
      <c r="A15" s="172" t="n">
        <v>14</v>
      </c>
      <c r="B15" s="172"/>
      <c r="C15" s="101"/>
      <c r="D15" s="309"/>
      <c r="E15" s="101"/>
      <c r="F15" s="8" t="str">
        <f aca="false">IF(ISBLANK(Backlog42[[#This Row],[Ouvert le ]]),"",VLOOKUP(Backlog42[[#This Row],[Ouvert le ]],Calendriers!$A$3:$C$368,3))</f>
        <v/>
      </c>
      <c r="G15" s="8" t="str">
        <f aca="false">IF(ISBLANK(Backlog42[[#This Row],[Fermé le ]]),"",VLOOKUP(Backlog42[[#This Row],[Fermé le ]],Calendriers!$A$3:$C$368,3))</f>
        <v/>
      </c>
      <c r="H15" s="8" t="str">
        <f aca="false">IF(ISBLANK(Backlog42[[#This Row],[Ouvert le ]]),"",IF(ISBLANK(Backlog42[[#This Row],[Fermé le ]]),1,0))</f>
        <v/>
      </c>
      <c r="I15" s="138" t="str">
        <f aca="false">IF(Backlog42[[#This Row],[Statut]]=1,$A$27-Backlog42[[#This Row],[Jour ouvert]],"")</f>
        <v/>
      </c>
      <c r="J15" s="138" t="str">
        <f aca="false">IF(Backlog42[[#This Row],[Statut]]="","",IF(Backlog42[[#This Row],[Statut]]=0,Backlog42[[#This Row],[Jour ferme]]-Backlog42[[#This Row],[Jour ouvert]],$A$27-Backlog42[[#This Row],[Jour ouvert]]))</f>
        <v/>
      </c>
      <c r="K15" s="101" t="n">
        <f aca="false">IF(Backlog42[[#This Row],[Gravité]]=$O$6,1,0)</f>
        <v>0</v>
      </c>
      <c r="L15" s="101" t="n">
        <f aca="false">IF(Backlog42[[#This Row],[Gravité]]=$O$5,1,0)</f>
        <v>0</v>
      </c>
      <c r="M15" s="101" t="n">
        <f aca="false">IF(Backlog42[[#This Row],[Gravité]]=$O$4,1,0)</f>
        <v>0</v>
      </c>
      <c r="N15" s="160"/>
      <c r="AN15" s="125"/>
      <c r="AO15" s="125"/>
    </row>
    <row r="16" customFormat="false" ht="15" hidden="false" customHeight="true" outlineLevel="0" collapsed="false">
      <c r="A16" s="172" t="n">
        <v>15</v>
      </c>
      <c r="B16" s="172"/>
      <c r="C16" s="101"/>
      <c r="D16" s="309"/>
      <c r="E16" s="101"/>
      <c r="F16" s="8" t="str">
        <f aca="false">IF(ISBLANK(Backlog42[[#This Row],[Ouvert le ]]),"",VLOOKUP(Backlog42[[#This Row],[Ouvert le ]],Calendriers!$A$3:$C$368,3))</f>
        <v/>
      </c>
      <c r="G16" s="8" t="str">
        <f aca="false">IF(ISBLANK(Backlog42[[#This Row],[Fermé le ]]),"",VLOOKUP(Backlog42[[#This Row],[Fermé le ]],Calendriers!$A$3:$C$368,3))</f>
        <v/>
      </c>
      <c r="H16" s="8" t="str">
        <f aca="false">IF(ISBLANK(Backlog42[[#This Row],[Ouvert le ]]),"",IF(ISBLANK(Backlog42[[#This Row],[Fermé le ]]),1,0))</f>
        <v/>
      </c>
      <c r="I16" s="138" t="str">
        <f aca="false">IF(Backlog42[[#This Row],[Statut]]=1,$A$27-Backlog42[[#This Row],[Jour ouvert]],"")</f>
        <v/>
      </c>
      <c r="J16" s="138" t="str">
        <f aca="false">IF(Backlog42[[#This Row],[Statut]]="","",IF(Backlog42[[#This Row],[Statut]]=0,Backlog42[[#This Row],[Jour ferme]]-Backlog42[[#This Row],[Jour ouvert]],$A$27-Backlog42[[#This Row],[Jour ouvert]]))</f>
        <v/>
      </c>
      <c r="K16" s="101" t="n">
        <f aca="false">IF(Backlog42[[#This Row],[Gravité]]=$O$6,1,0)</f>
        <v>0</v>
      </c>
      <c r="L16" s="101" t="n">
        <f aca="false">IF(Backlog42[[#This Row],[Gravité]]=$O$5,1,0)</f>
        <v>0</v>
      </c>
      <c r="M16" s="101" t="n">
        <f aca="false">IF(Backlog42[[#This Row],[Gravité]]=$O$4,1,0)</f>
        <v>0</v>
      </c>
      <c r="N16" s="160"/>
      <c r="AN16" s="125"/>
      <c r="AO16" s="125"/>
    </row>
    <row r="17" customFormat="false" ht="15" hidden="false" customHeight="true" outlineLevel="0" collapsed="false">
      <c r="A17" s="172"/>
      <c r="B17" s="172"/>
      <c r="C17" s="101"/>
      <c r="D17" s="309"/>
      <c r="E17" s="101"/>
      <c r="F17" s="8" t="str">
        <f aca="false">IF(ISBLANK(Backlog42[[#This Row],[Ouvert le ]]),"",VLOOKUP(Backlog42[[#This Row],[Ouvert le ]],Calendriers!$A$3:$C$368,3))</f>
        <v/>
      </c>
      <c r="G17" s="8" t="str">
        <f aca="false">IF(ISBLANK(Backlog42[[#This Row],[Fermé le ]]),"",VLOOKUP(Backlog42[[#This Row],[Fermé le ]],Calendriers!$A$3:$C$368,3))</f>
        <v/>
      </c>
      <c r="H17" s="101" t="str">
        <f aca="false">IF(ISBLANK(Backlog42[[#This Row],[Ouvert le ]]),"",IF(ISBLANK(Backlog42[[#This Row],[Fermé le ]]),1,0))</f>
        <v/>
      </c>
      <c r="I17" s="138" t="str">
        <f aca="false">IF(Backlog42[[#This Row],[Statut]]=1,$A$27-Backlog42[[#This Row],[Jour ouvert]],"")</f>
        <v/>
      </c>
      <c r="J17" s="138" t="str">
        <f aca="false">IF(Backlog42[[#This Row],[Statut]]="","",IF(Backlog42[[#This Row],[Statut]]=0,Backlog42[[#This Row],[Jour ferme]]-Backlog42[[#This Row],[Jour ouvert]],$A$27-Backlog42[[#This Row],[Jour ouvert]]))</f>
        <v/>
      </c>
      <c r="K17" s="101" t="n">
        <f aca="false">IF(Backlog42[[#This Row],[Gravité]]=$O$6,1,0)</f>
        <v>0</v>
      </c>
      <c r="L17" s="101" t="n">
        <f aca="false">IF(Backlog42[[#This Row],[Gravité]]=$O$5,1,0)</f>
        <v>0</v>
      </c>
      <c r="M17" s="101" t="n">
        <f aca="false">IF(Backlog42[[#This Row],[Gravité]]=$O$4,1,0)</f>
        <v>0</v>
      </c>
      <c r="N17" s="165"/>
      <c r="AN17" s="125"/>
      <c r="AO17" s="125"/>
    </row>
    <row r="18" customFormat="false" ht="15" hidden="false" customHeight="true" outlineLevel="0" collapsed="false">
      <c r="A18" s="313"/>
      <c r="B18" s="313"/>
      <c r="C18" s="314"/>
      <c r="D18" s="323"/>
      <c r="E18" s="314"/>
      <c r="F18" s="8" t="str">
        <f aca="false">IF(ISBLANK(Backlog42[[#This Row],[Ouvert le ]]),"",VLOOKUP(Backlog42[[#This Row],[Ouvert le ]],Calendriers!$A$3:$C$368,3))</f>
        <v/>
      </c>
      <c r="G18" s="8" t="str">
        <f aca="false">IF(ISBLANK(Backlog42[[#This Row],[Fermé le ]]),"",VLOOKUP(Backlog42[[#This Row],[Fermé le ]],Calendriers!$A$3:$C$368,3))</f>
        <v/>
      </c>
      <c r="H18" s="101" t="str">
        <f aca="false">IF(ISBLANK(Backlog42[[#This Row],[Ouvert le ]]),"",IF(ISBLANK(Backlog42[[#This Row],[Fermé le ]]),1,0))</f>
        <v/>
      </c>
      <c r="I18" s="138" t="str">
        <f aca="false">IF(Backlog42[[#This Row],[Statut]]=1,$A$27-Backlog42[[#This Row],[Jour ouvert]],"")</f>
        <v/>
      </c>
      <c r="J18" s="138" t="str">
        <f aca="false">IF(Backlog42[[#This Row],[Statut]]="","",IF(Backlog42[[#This Row],[Statut]]=0,Backlog42[[#This Row],[Jour ferme]]-Backlog42[[#This Row],[Jour ouvert]],$A$27-Backlog42[[#This Row],[Jour ouvert]]))</f>
        <v/>
      </c>
      <c r="K18" s="314" t="n">
        <f aca="false">IF(Backlog42[[#This Row],[Gravité]]=$O$6,1,0)</f>
        <v>0</v>
      </c>
      <c r="L18" s="314" t="n">
        <f aca="false">IF(Backlog42[[#This Row],[Gravité]]=$O$5,1,0)</f>
        <v>0</v>
      </c>
      <c r="M18" s="314" t="n">
        <f aca="false">IF(Backlog42[[#This Row],[Gravité]]=$O$4,1,0)</f>
        <v>0</v>
      </c>
    </row>
    <row r="19" customFormat="false" ht="15" hidden="false" customHeight="true" outlineLevel="0" collapsed="false">
      <c r="A19" s="313"/>
      <c r="B19" s="313"/>
      <c r="C19" s="314"/>
      <c r="D19" s="323"/>
      <c r="E19" s="314"/>
      <c r="F19" s="8" t="str">
        <f aca="false">IF(ISBLANK(Backlog42[[#This Row],[Ouvert le ]]),"",VLOOKUP(Backlog42[[#This Row],[Ouvert le ]],Calendriers!$A$3:$C$368,3))</f>
        <v/>
      </c>
      <c r="G19" s="8" t="str">
        <f aca="false">IF(ISBLANK(Backlog42[[#This Row],[Fermé le ]]),"",VLOOKUP(Backlog42[[#This Row],[Fermé le ]],Calendriers!$A$3:$C$368,3))</f>
        <v/>
      </c>
      <c r="H19" s="101" t="str">
        <f aca="false">IF(ISBLANK(Backlog42[[#This Row],[Ouvert le ]]),"",IF(ISBLANK(Backlog42[[#This Row],[Fermé le ]]),1,0))</f>
        <v/>
      </c>
      <c r="I19" s="138" t="str">
        <f aca="false">IF(Backlog42[[#This Row],[Statut]]=1,$A$27-Backlog42[[#This Row],[Jour ouvert]],"")</f>
        <v/>
      </c>
      <c r="J19" s="138" t="str">
        <f aca="false">IF(Backlog42[[#This Row],[Statut]]="","",IF(Backlog42[[#This Row],[Statut]]=0,Backlog42[[#This Row],[Jour ferme]]-Backlog42[[#This Row],[Jour ouvert]],$A$27-Backlog42[[#This Row],[Jour ouvert]]))</f>
        <v/>
      </c>
      <c r="K19" s="314" t="n">
        <f aca="false">IF(Backlog42[[#This Row],[Gravité]]=$O$6,1,0)</f>
        <v>0</v>
      </c>
      <c r="L19" s="314" t="n">
        <f aca="false">IF(Backlog42[[#This Row],[Gravité]]=$O$5,1,0)</f>
        <v>0</v>
      </c>
      <c r="M19" s="314" t="n">
        <f aca="false">IF(Backlog42[[#This Row],[Gravité]]=$O$4,1,0)</f>
        <v>0</v>
      </c>
    </row>
    <row r="20" customFormat="false" ht="15" hidden="false" customHeight="true" outlineLevel="0" collapsed="false">
      <c r="A20" s="313"/>
      <c r="B20" s="313"/>
      <c r="C20" s="314"/>
      <c r="D20" s="323"/>
      <c r="E20" s="314"/>
      <c r="F20" s="8" t="str">
        <f aca="false">IF(ISBLANK(Backlog42[[#This Row],[Ouvert le ]]),"",VLOOKUP(Backlog42[[#This Row],[Ouvert le ]],Calendriers!$A$3:$C$368,3))</f>
        <v/>
      </c>
      <c r="G20" s="8" t="str">
        <f aca="false">IF(ISBLANK(Backlog42[[#This Row],[Fermé le ]]),"",VLOOKUP(Backlog42[[#This Row],[Fermé le ]],Calendriers!$A$3:$C$368,3))</f>
        <v/>
      </c>
      <c r="H20" s="101" t="str">
        <f aca="false">IF(ISBLANK(Backlog42[[#This Row],[Ouvert le ]]),"",IF(ISBLANK(Backlog42[[#This Row],[Fermé le ]]),1,0))</f>
        <v/>
      </c>
      <c r="I20" s="138" t="str">
        <f aca="false">IF(Backlog42[[#This Row],[Statut]]=1,$A$27-Backlog42[[#This Row],[Jour ouvert]],"")</f>
        <v/>
      </c>
      <c r="J20" s="138" t="str">
        <f aca="false">IF(Backlog42[[#This Row],[Statut]]="","",IF(Backlog42[[#This Row],[Statut]]=0,Backlog42[[#This Row],[Jour ferme]]-Backlog42[[#This Row],[Jour ouvert]],$A$27-Backlog42[[#This Row],[Jour ouvert]]))</f>
        <v/>
      </c>
      <c r="K20" s="314" t="n">
        <f aca="false">IF(Backlog42[[#This Row],[Gravité]]=$O$6,1,0)</f>
        <v>0</v>
      </c>
      <c r="L20" s="314" t="n">
        <f aca="false">IF(Backlog42[[#This Row],[Gravité]]=$O$5,1,0)</f>
        <v>0</v>
      </c>
      <c r="M20" s="314" t="n">
        <f aca="false">IF(Backlog42[[#This Row],[Gravité]]=$O$4,1,0)</f>
        <v>0</v>
      </c>
    </row>
    <row r="21" customFormat="false" ht="15" hidden="false" customHeight="true" outlineLevel="0" collapsed="false">
      <c r="A21" s="313"/>
      <c r="B21" s="313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</row>
    <row r="22" customFormat="false" ht="15" hidden="false" customHeight="true" outlineLevel="0" collapsed="false">
      <c r="A22" s="152"/>
      <c r="B22" s="152"/>
      <c r="C22" s="134"/>
      <c r="D22" s="134"/>
      <c r="E22" s="134"/>
      <c r="F22" s="134"/>
      <c r="G22" s="125"/>
      <c r="H22" s="125"/>
      <c r="I22" s="125"/>
      <c r="J22" s="125"/>
      <c r="K22" s="125"/>
      <c r="L22" s="125"/>
      <c r="M22" s="125"/>
    </row>
    <row r="23" customFormat="false" ht="15" hidden="false" customHeight="true" outlineLevel="0" collapsed="false">
      <c r="A23" s="152"/>
      <c r="B23" s="152"/>
      <c r="C23" s="134"/>
      <c r="D23" s="134"/>
      <c r="E23" s="134"/>
      <c r="F23" s="134"/>
      <c r="G23" s="125"/>
      <c r="H23" s="125"/>
      <c r="I23" s="125"/>
      <c r="J23" s="125"/>
      <c r="K23" s="125"/>
      <c r="L23" s="125"/>
      <c r="M23" s="125"/>
    </row>
    <row r="24" customFormat="false" ht="15" hidden="false" customHeight="true" outlineLevel="0" collapsed="false">
      <c r="A24" s="152"/>
      <c r="B24" s="152"/>
      <c r="C24" s="134"/>
      <c r="D24" s="134"/>
      <c r="E24" s="134"/>
      <c r="F24" s="134"/>
      <c r="G24" s="125"/>
      <c r="H24" s="125"/>
      <c r="I24" s="125"/>
      <c r="J24" s="125"/>
      <c r="K24" s="125"/>
      <c r="L24" s="125"/>
      <c r="M24" s="125"/>
    </row>
    <row r="25" customFormat="false" ht="15" hidden="false" customHeight="true" outlineLevel="0" collapsed="false">
      <c r="A25" s="152"/>
      <c r="B25" s="152"/>
      <c r="C25" s="134"/>
      <c r="D25" s="134"/>
      <c r="E25" s="134"/>
      <c r="F25" s="134"/>
      <c r="G25" s="125"/>
      <c r="H25" s="125"/>
      <c r="I25" s="125"/>
      <c r="J25" s="125"/>
      <c r="K25" s="125"/>
      <c r="L25" s="125"/>
      <c r="M25" s="125"/>
    </row>
    <row r="26" customFormat="false" ht="15" hidden="false" customHeight="true" outlineLevel="0" collapsed="false">
      <c r="A26" s="152"/>
      <c r="B26" s="152"/>
      <c r="C26" s="134"/>
      <c r="D26" s="134"/>
      <c r="E26" s="134"/>
      <c r="F26" s="134"/>
    </row>
    <row r="27" customFormat="false" ht="15" hidden="false" customHeight="true" outlineLevel="0" collapsed="false">
      <c r="A27" s="134" t="n">
        <f aca="false">VLOOKUP(C27,Calendriers!$A$3:$C$368,3)</f>
        <v>42</v>
      </c>
      <c r="B27" s="166"/>
      <c r="C27" s="315" t="n">
        <v>45373</v>
      </c>
      <c r="D27" s="125"/>
      <c r="E27" s="125"/>
      <c r="F27" s="125"/>
      <c r="G27" s="125"/>
      <c r="H27" s="125"/>
      <c r="I27" s="125"/>
      <c r="J27" s="125"/>
      <c r="K27" s="125"/>
      <c r="L27" s="125"/>
      <c r="M27" s="125"/>
    </row>
    <row r="28" customFormat="false" ht="15" hidden="false" customHeight="true" outlineLevel="0" collapsed="false">
      <c r="A28" s="152"/>
      <c r="B28" s="168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</row>
    <row r="29" customFormat="false" ht="15" hidden="false" customHeight="true" outlineLevel="0" collapsed="false">
      <c r="A29" s="324" t="s">
        <v>492</v>
      </c>
      <c r="B29" s="324" t="s">
        <v>66</v>
      </c>
      <c r="C29" s="325"/>
      <c r="D29" s="325" t="str">
        <f aca="false">O6</f>
        <v>mineur</v>
      </c>
      <c r="E29" s="325" t="str">
        <f aca="false">O5</f>
        <v>MAJEUR</v>
      </c>
      <c r="F29" s="325" t="str">
        <f aca="false">O4</f>
        <v>CRITIQUE</v>
      </c>
      <c r="G29" s="125"/>
      <c r="H29" s="125"/>
      <c r="I29" s="125"/>
      <c r="J29" s="125"/>
      <c r="K29" s="125"/>
      <c r="L29" s="125"/>
      <c r="M29" s="125"/>
    </row>
    <row r="30" customFormat="false" ht="15" hidden="false" customHeight="true" outlineLevel="0" collapsed="false">
      <c r="A30" s="326" t="n">
        <v>1</v>
      </c>
      <c r="B30" s="320" t="n">
        <f aca="false">VLOOKUP(NC!$A30,Calendriers!$C$3:$D$368,2)</f>
        <v>45313</v>
      </c>
      <c r="C30" s="320"/>
      <c r="D30" s="163" t="n">
        <f aca="false">IF($A30="","",SUMIF(Backlog42[Jour ouvert],"&lt;=" &amp; $A30,Backlog42[mineur])-SUMIF(Backlog42[Jour ferme],"&lt;=" &amp; $A30,Backlog42[mineur]))</f>
        <v>0</v>
      </c>
      <c r="E30" s="163" t="n">
        <f aca="false">IF($A30="","",SUMIF(Backlog42[Jour ouvert],"&lt;=" &amp; $A30,Backlog42[MAJEUR])-SUMIF(Backlog42[Jour ferme],"&lt;=" &amp; $A30,Backlog42[MAJEUR]))</f>
        <v>0</v>
      </c>
      <c r="F30" s="163" t="n">
        <f aca="false">IF($A30="","",SUMIF(Backlog42[Jour ouvert],"&lt;=" &amp; $A30,Backlog42[CRITIQUE])-SUMIF(Backlog42[Jour ferme],"&lt;=" &amp; $A30,Backlog42[CRITIQUE]))</f>
        <v>0</v>
      </c>
      <c r="G30" s="125"/>
      <c r="H30" s="125"/>
      <c r="I30" s="125"/>
      <c r="J30" s="125"/>
      <c r="K30" s="125"/>
      <c r="L30" s="125"/>
      <c r="M30" s="125"/>
    </row>
    <row r="31" customFormat="false" ht="15" hidden="false" customHeight="true" outlineLevel="0" collapsed="false">
      <c r="A31" s="326" t="n">
        <f aca="false">IF($A$27&gt;A30,A30+1,"")</f>
        <v>2</v>
      </c>
      <c r="B31" s="320" t="n">
        <f aca="false">VLOOKUP(NC!$A31,Calendriers!$C$3:$D$368,2)</f>
        <v>45314</v>
      </c>
      <c r="C31" s="320"/>
      <c r="D31" s="163" t="n">
        <f aca="false">IF($A31="","",SUMIF(Backlog42[Jour ouvert],"&lt;=" &amp; $A31,Backlog42[mineur])-SUMIF(Backlog42[Jour ferme],"&lt;=" &amp; $A31,Backlog42[mineur]))</f>
        <v>0</v>
      </c>
      <c r="E31" s="163" t="n">
        <f aca="false">IF($A31="","",SUMIF(Backlog42[Jour ouvert],"&lt;=" &amp; $A31,Backlog42[MAJEUR])-SUMIF(Backlog42[Jour ferme],"&lt;=" &amp; $A31,Backlog42[MAJEUR]))</f>
        <v>0</v>
      </c>
      <c r="F31" s="163" t="n">
        <f aca="false">IF($A31="","",SUMIF(Backlog42[Jour ouvert],"&lt;=" &amp; $A31,Backlog42[CRITIQUE])-SUMIF(Backlog42[Jour ferme],"&lt;=" &amp; $A31,Backlog42[CRITIQUE]))</f>
        <v>0</v>
      </c>
      <c r="G31" s="125"/>
      <c r="H31" s="125"/>
      <c r="I31" s="125"/>
      <c r="J31" s="125"/>
      <c r="K31" s="125"/>
      <c r="L31" s="125"/>
      <c r="M31" s="125"/>
    </row>
    <row r="32" customFormat="false" ht="15" hidden="false" customHeight="true" outlineLevel="0" collapsed="false">
      <c r="A32" s="326" t="n">
        <f aca="false">IF($A$27&gt;A31,A31+1,"")</f>
        <v>3</v>
      </c>
      <c r="B32" s="320" t="n">
        <f aca="false">VLOOKUP(NC!$A32,Calendriers!$C$3:$D$368,2)</f>
        <v>45315</v>
      </c>
      <c r="C32" s="320"/>
      <c r="D32" s="163" t="n">
        <f aca="false">IF($A32="","",SUMIF(Backlog42[Jour ouvert],"&lt;=" &amp; $A32,Backlog42[mineur])-SUMIF(Backlog42[Jour ferme],"&lt;=" &amp; $A32,Backlog42[mineur]))</f>
        <v>0</v>
      </c>
      <c r="E32" s="163" t="n">
        <f aca="false">IF($A32="","",SUMIF(Backlog42[Jour ouvert],"&lt;=" &amp; $A32,Backlog42[MAJEUR])-SUMIF(Backlog42[Jour ferme],"&lt;=" &amp; $A32,Backlog42[MAJEUR]))</f>
        <v>0</v>
      </c>
      <c r="F32" s="163" t="n">
        <f aca="false">IF($A32="","",SUMIF(Backlog42[Jour ouvert],"&lt;=" &amp; $A32,Backlog42[CRITIQUE])-SUMIF(Backlog42[Jour ferme],"&lt;=" &amp; $A32,Backlog42[CRITIQUE]))</f>
        <v>0</v>
      </c>
      <c r="G32" s="125"/>
      <c r="H32" s="125"/>
      <c r="I32" s="125"/>
      <c r="J32" s="125"/>
      <c r="K32" s="125"/>
      <c r="L32" s="125"/>
      <c r="M32" s="125"/>
    </row>
    <row r="33" customFormat="false" ht="15" hidden="false" customHeight="true" outlineLevel="0" collapsed="false">
      <c r="A33" s="326" t="n">
        <f aca="false">IF($A$27&gt;A32,A32+1,"")</f>
        <v>4</v>
      </c>
      <c r="B33" s="320" t="n">
        <f aca="false">VLOOKUP(NC!$A33,Calendriers!$C$3:$D$368,2)</f>
        <v>45316</v>
      </c>
      <c r="C33" s="320"/>
      <c r="D33" s="163" t="n">
        <f aca="false">IF($A33="","",SUMIF(Backlog42[Jour ouvert],"&lt;=" &amp; $A33,Backlog42[mineur])-SUMIF(Backlog42[Jour ferme],"&lt;=" &amp; $A33,Backlog42[mineur]))</f>
        <v>0</v>
      </c>
      <c r="E33" s="163" t="n">
        <f aca="false">IF($A33="","",SUMIF(Backlog42[Jour ouvert],"&lt;=" &amp; $A33,Backlog42[MAJEUR])-SUMIF(Backlog42[Jour ferme],"&lt;=" &amp; $A33,Backlog42[MAJEUR]))</f>
        <v>0</v>
      </c>
      <c r="F33" s="163" t="n">
        <f aca="false">IF($A33="","",SUMIF(Backlog42[Jour ouvert],"&lt;=" &amp; $A33,Backlog42[CRITIQUE])-SUMIF(Backlog42[Jour ferme],"&lt;=" &amp; $A33,Backlog42[CRITIQUE]))</f>
        <v>0</v>
      </c>
      <c r="G33" s="125"/>
      <c r="H33" s="125"/>
      <c r="I33" s="125"/>
      <c r="J33" s="125"/>
      <c r="K33" s="125"/>
      <c r="L33" s="125"/>
      <c r="M33" s="125"/>
    </row>
    <row r="34" customFormat="false" ht="15" hidden="false" customHeight="true" outlineLevel="0" collapsed="false">
      <c r="A34" s="326" t="n">
        <f aca="false">IF($A$27&gt;A33,A33+1,"")</f>
        <v>5</v>
      </c>
      <c r="B34" s="320" t="n">
        <f aca="false">VLOOKUP(NC!$A34,Calendriers!$C$3:$D$368,2)</f>
        <v>45317</v>
      </c>
      <c r="C34" s="320"/>
      <c r="D34" s="163" t="n">
        <f aca="false">IF($A34="","",SUMIF(Backlog42[Jour ouvert],"&lt;=" &amp; $A34,Backlog42[mineur])-SUMIF(Backlog42[Jour ferme],"&lt;=" &amp; $A34,Backlog42[mineur]))</f>
        <v>0</v>
      </c>
      <c r="E34" s="163" t="n">
        <f aca="false">IF($A34="","",SUMIF(Backlog42[Jour ouvert],"&lt;=" &amp; $A34,Backlog42[MAJEUR])-SUMIF(Backlog42[Jour ferme],"&lt;=" &amp; $A34,Backlog42[MAJEUR]))</f>
        <v>0</v>
      </c>
      <c r="F34" s="163" t="n">
        <f aca="false">IF($A34="","",SUMIF(Backlog42[Jour ouvert],"&lt;=" &amp; $A34,Backlog42[CRITIQUE])-SUMIF(Backlog42[Jour ferme],"&lt;=" &amp; $A34,Backlog42[CRITIQUE]))</f>
        <v>0</v>
      </c>
      <c r="G34" s="125"/>
      <c r="H34" s="125"/>
      <c r="I34" s="125"/>
      <c r="J34" s="125"/>
      <c r="K34" s="125"/>
      <c r="L34" s="125"/>
      <c r="M34" s="125"/>
    </row>
    <row r="35" customFormat="false" ht="16" hidden="false" customHeight="false" outlineLevel="0" collapsed="false">
      <c r="A35" s="326" t="n">
        <f aca="false">IF($A$27&gt;A34,A34+1,"")</f>
        <v>6</v>
      </c>
      <c r="B35" s="320" t="n">
        <f aca="false">VLOOKUP(NC!$A35,Calendriers!$C$3:$D$368,2)</f>
        <v>45320</v>
      </c>
      <c r="C35" s="320"/>
      <c r="D35" s="163" t="n">
        <f aca="false">IF($A35="","",SUMIF(Backlog42[Jour ouvert],"&lt;=" &amp; $A35,Backlog42[mineur])-SUMIF(Backlog42[Jour ferme],"&lt;=" &amp; $A35,Backlog42[mineur]))</f>
        <v>0</v>
      </c>
      <c r="E35" s="163" t="n">
        <f aca="false">IF($A35="","",SUMIF(Backlog42[Jour ouvert],"&lt;=" &amp; $A35,Backlog42[MAJEUR])-SUMIF(Backlog42[Jour ferme],"&lt;=" &amp; $A35,Backlog42[MAJEUR]))</f>
        <v>0</v>
      </c>
      <c r="F35" s="163" t="n">
        <f aca="false">IF($A35="","",SUMIF(Backlog42[Jour ouvert],"&lt;=" &amp; $A35,Backlog42[CRITIQUE])-SUMIF(Backlog42[Jour ferme],"&lt;=" &amp; $A35,Backlog42[CRITIQUE]))</f>
        <v>0</v>
      </c>
      <c r="G35" s="125"/>
      <c r="H35" s="125"/>
      <c r="I35" s="125"/>
      <c r="J35" s="125"/>
      <c r="K35" s="125"/>
      <c r="L35" s="125"/>
      <c r="M35" s="125"/>
    </row>
    <row r="36" customFormat="false" ht="16" hidden="false" customHeight="false" outlineLevel="0" collapsed="false">
      <c r="A36" s="326" t="n">
        <f aca="false">IF($A$27&gt;A35,A35+1,"")</f>
        <v>7</v>
      </c>
      <c r="B36" s="320" t="n">
        <f aca="false">VLOOKUP(NC!$A36,Calendriers!$C$3:$D$368,2)</f>
        <v>45321</v>
      </c>
      <c r="C36" s="320"/>
      <c r="D36" s="163" t="n">
        <f aca="false">IF($A36="","",SUMIF(Backlog42[Jour ouvert],"&lt;=" &amp; $A36,Backlog42[mineur])-SUMIF(Backlog42[Jour ferme],"&lt;=" &amp; $A36,Backlog42[mineur]))</f>
        <v>0</v>
      </c>
      <c r="E36" s="163" t="n">
        <f aca="false">IF($A36="","",SUMIF(Backlog42[Jour ouvert],"&lt;=" &amp; $A36,Backlog42[MAJEUR])-SUMIF(Backlog42[Jour ferme],"&lt;=" &amp; $A36,Backlog42[MAJEUR]))</f>
        <v>0</v>
      </c>
      <c r="F36" s="163" t="n">
        <f aca="false">IF($A36="","",SUMIF(Backlog42[Jour ouvert],"&lt;=" &amp; $A36,Backlog42[CRITIQUE])-SUMIF(Backlog42[Jour ferme],"&lt;=" &amp; $A36,Backlog42[CRITIQUE]))</f>
        <v>0</v>
      </c>
      <c r="G36" s="125"/>
      <c r="H36" s="125"/>
      <c r="I36" s="125"/>
      <c r="J36" s="125"/>
      <c r="K36" s="125"/>
      <c r="L36" s="125"/>
      <c r="M36" s="125"/>
    </row>
    <row r="37" customFormat="false" ht="16" hidden="false" customHeight="false" outlineLevel="0" collapsed="false">
      <c r="A37" s="326" t="n">
        <f aca="false">IF($A$27&gt;A36,A36+1,"")</f>
        <v>8</v>
      </c>
      <c r="B37" s="320" t="n">
        <f aca="false">VLOOKUP(NC!$A37,Calendriers!$C$3:$D$368,2)</f>
        <v>45322</v>
      </c>
      <c r="C37" s="320"/>
      <c r="D37" s="163" t="n">
        <f aca="false">IF($A37="","",SUMIF(Backlog42[Jour ouvert],"&lt;=" &amp; $A37,Backlog42[mineur])-SUMIF(Backlog42[Jour ferme],"&lt;=" &amp; $A37,Backlog42[mineur]))</f>
        <v>0</v>
      </c>
      <c r="E37" s="163" t="n">
        <f aca="false">IF($A37="","",SUMIF(Backlog42[Jour ouvert],"&lt;=" &amp; $A37,Backlog42[MAJEUR])-SUMIF(Backlog42[Jour ferme],"&lt;=" &amp; $A37,Backlog42[MAJEUR]))</f>
        <v>0</v>
      </c>
      <c r="F37" s="163" t="n">
        <f aca="false">IF($A37="","",SUMIF(Backlog42[Jour ouvert],"&lt;=" &amp; $A37,Backlog42[CRITIQUE])-SUMIF(Backlog42[Jour ferme],"&lt;=" &amp; $A37,Backlog42[CRITIQUE]))</f>
        <v>0</v>
      </c>
      <c r="G37" s="125"/>
      <c r="H37" s="125"/>
      <c r="I37" s="125"/>
      <c r="J37" s="125"/>
      <c r="K37" s="125"/>
      <c r="L37" s="125"/>
      <c r="M37" s="125"/>
    </row>
    <row r="38" customFormat="false" ht="16" hidden="false" customHeight="false" outlineLevel="0" collapsed="false">
      <c r="A38" s="326" t="n">
        <f aca="false">IF($A$27&gt;A37,A37+1,"")</f>
        <v>9</v>
      </c>
      <c r="B38" s="320" t="n">
        <f aca="false">VLOOKUP(NC!$A38,Calendriers!$C$3:$D$368,2)</f>
        <v>45323</v>
      </c>
      <c r="C38" s="320"/>
      <c r="D38" s="163" t="n">
        <f aca="false">IF($A38="","",SUMIF(Backlog42[Jour ouvert],"&lt;=" &amp; $A38,Backlog42[mineur])-SUMIF(Backlog42[Jour ferme],"&lt;=" &amp; $A38,Backlog42[mineur]))</f>
        <v>0</v>
      </c>
      <c r="E38" s="163" t="n">
        <f aca="false">IF($A38="","",SUMIF(Backlog42[Jour ouvert],"&lt;=" &amp; $A38,Backlog42[MAJEUR])-SUMIF(Backlog42[Jour ferme],"&lt;=" &amp; $A38,Backlog42[MAJEUR]))</f>
        <v>0</v>
      </c>
      <c r="F38" s="163" t="n">
        <f aca="false">IF($A38="","",SUMIF(Backlog42[Jour ouvert],"&lt;=" &amp; $A38,Backlog42[CRITIQUE])-SUMIF(Backlog42[Jour ferme],"&lt;=" &amp; $A38,Backlog42[CRITIQUE]))</f>
        <v>0</v>
      </c>
      <c r="G38" s="125"/>
      <c r="H38" s="125"/>
      <c r="I38" s="125"/>
      <c r="J38" s="125"/>
      <c r="K38" s="125"/>
      <c r="L38" s="125"/>
      <c r="M38" s="125"/>
    </row>
    <row r="39" customFormat="false" ht="16" hidden="false" customHeight="false" outlineLevel="0" collapsed="false">
      <c r="A39" s="326" t="n">
        <f aca="false">IF($A$27&gt;A38,A38+1,"")</f>
        <v>10</v>
      </c>
      <c r="B39" s="320" t="n">
        <f aca="false">VLOOKUP(NC!$A39,Calendriers!$C$3:$D$368,2)</f>
        <v>45324</v>
      </c>
      <c r="C39" s="320"/>
      <c r="D39" s="163" t="n">
        <f aca="false">IF($A39="","",SUMIF(Backlog42[Jour ouvert],"&lt;=" &amp; $A39,Backlog42[mineur])-SUMIF(Backlog42[Jour ferme],"&lt;=" &amp; $A39,Backlog42[mineur]))</f>
        <v>0</v>
      </c>
      <c r="E39" s="163" t="n">
        <f aca="false">IF($A39="","",SUMIF(Backlog42[Jour ouvert],"&lt;=" &amp; $A39,Backlog42[MAJEUR])-SUMIF(Backlog42[Jour ferme],"&lt;=" &amp; $A39,Backlog42[MAJEUR]))</f>
        <v>0</v>
      </c>
      <c r="F39" s="163" t="n">
        <f aca="false">IF($A39="","",SUMIF(Backlog42[Jour ouvert],"&lt;=" &amp; $A39,Backlog42[CRITIQUE])-SUMIF(Backlog42[Jour ferme],"&lt;=" &amp; $A39,Backlog42[CRITIQUE]))</f>
        <v>0</v>
      </c>
      <c r="G39" s="125"/>
      <c r="H39" s="125"/>
      <c r="I39" s="125"/>
      <c r="J39" s="125"/>
      <c r="K39" s="125"/>
      <c r="L39" s="125"/>
      <c r="M39" s="125"/>
    </row>
    <row r="40" customFormat="false" ht="16" hidden="false" customHeight="false" outlineLevel="0" collapsed="false">
      <c r="A40" s="326" t="n">
        <f aca="false">IF($A$27&gt;A39,A39+1,"")</f>
        <v>11</v>
      </c>
      <c r="B40" s="320" t="n">
        <f aca="false">VLOOKUP(NC!$A40,Calendriers!$C$3:$D$368,2)</f>
        <v>45327</v>
      </c>
      <c r="C40" s="320"/>
      <c r="D40" s="163" t="n">
        <f aca="false">IF($A40="","",SUMIF(Backlog42[Jour ouvert],"&lt;=" &amp; $A40,Backlog42[mineur])-SUMIF(Backlog42[Jour ferme],"&lt;=" &amp; $A40,Backlog42[mineur]))</f>
        <v>0</v>
      </c>
      <c r="E40" s="163" t="n">
        <f aca="false">IF($A40="","",SUMIF(Backlog42[Jour ouvert],"&lt;=" &amp; $A40,Backlog42[MAJEUR])-SUMIF(Backlog42[Jour ferme],"&lt;=" &amp; $A40,Backlog42[MAJEUR]))</f>
        <v>0</v>
      </c>
      <c r="F40" s="163" t="n">
        <f aca="false">IF($A40="","",SUMIF(Backlog42[Jour ouvert],"&lt;=" &amp; $A40,Backlog42[CRITIQUE])-SUMIF(Backlog42[Jour ferme],"&lt;=" &amp; $A40,Backlog42[CRITIQUE]))</f>
        <v>0</v>
      </c>
      <c r="G40" s="125"/>
      <c r="H40" s="125"/>
      <c r="I40" s="125"/>
      <c r="J40" s="125"/>
      <c r="K40" s="125"/>
      <c r="L40" s="125"/>
      <c r="M40" s="125"/>
    </row>
    <row r="41" customFormat="false" ht="16" hidden="false" customHeight="false" outlineLevel="0" collapsed="false">
      <c r="A41" s="326" t="n">
        <f aca="false">IF($A$27&gt;A40,A40+1,"")</f>
        <v>12</v>
      </c>
      <c r="B41" s="320" t="n">
        <f aca="false">VLOOKUP(NC!$A41,Calendriers!$C$3:$D$368,2)</f>
        <v>45328</v>
      </c>
      <c r="C41" s="320"/>
      <c r="D41" s="163" t="n">
        <f aca="false">IF($A41="","",SUMIF(Backlog42[Jour ouvert],"&lt;=" &amp; $A41,Backlog42[mineur])-SUMIF(Backlog42[Jour ferme],"&lt;=" &amp; $A41,Backlog42[mineur]))</f>
        <v>0</v>
      </c>
      <c r="E41" s="163" t="n">
        <f aca="false">IF($A41="","",SUMIF(Backlog42[Jour ouvert],"&lt;=" &amp; $A41,Backlog42[MAJEUR])-SUMIF(Backlog42[Jour ferme],"&lt;=" &amp; $A41,Backlog42[MAJEUR]))</f>
        <v>0</v>
      </c>
      <c r="F41" s="163" t="n">
        <f aca="false">IF($A41="","",SUMIF(Backlog42[Jour ouvert],"&lt;=" &amp; $A41,Backlog42[CRITIQUE])-SUMIF(Backlog42[Jour ferme],"&lt;=" &amp; $A41,Backlog42[CRITIQUE]))</f>
        <v>0</v>
      </c>
      <c r="G41" s="125"/>
      <c r="H41" s="125"/>
      <c r="I41" s="125"/>
      <c r="J41" s="125"/>
      <c r="K41" s="125"/>
      <c r="L41" s="125"/>
      <c r="M41" s="125"/>
    </row>
    <row r="42" customFormat="false" ht="16" hidden="false" customHeight="false" outlineLevel="0" collapsed="false">
      <c r="A42" s="326" t="n">
        <f aca="false">IF($A$27&gt;A41,A41+1,"")</f>
        <v>13</v>
      </c>
      <c r="B42" s="320" t="n">
        <f aca="false">VLOOKUP(NC!$A42,Calendriers!$C$3:$D$368,2)</f>
        <v>45329</v>
      </c>
      <c r="C42" s="320"/>
      <c r="D42" s="163" t="n">
        <f aca="false">IF($A42="","",SUMIF(Backlog42[Jour ouvert],"&lt;=" &amp; $A42,Backlog42[mineur])-SUMIF(Backlog42[Jour ferme],"&lt;=" &amp; $A42,Backlog42[mineur]))</f>
        <v>0</v>
      </c>
      <c r="E42" s="163" t="n">
        <f aca="false">IF($A42="","",SUMIF(Backlog42[Jour ouvert],"&lt;=" &amp; $A42,Backlog42[MAJEUR])-SUMIF(Backlog42[Jour ferme],"&lt;=" &amp; $A42,Backlog42[MAJEUR]))</f>
        <v>0</v>
      </c>
      <c r="F42" s="163" t="n">
        <f aca="false">IF($A42="","",SUMIF(Backlog42[Jour ouvert],"&lt;=" &amp; $A42,Backlog42[CRITIQUE])-SUMIF(Backlog42[Jour ferme],"&lt;=" &amp; $A42,Backlog42[CRITIQUE]))</f>
        <v>0</v>
      </c>
      <c r="G42" s="125"/>
    </row>
    <row r="43" customFormat="false" ht="16" hidden="false" customHeight="false" outlineLevel="0" collapsed="false">
      <c r="A43" s="326" t="n">
        <f aca="false">IF($A$27&gt;A42,A42+1,"")</f>
        <v>14</v>
      </c>
      <c r="B43" s="320" t="n">
        <f aca="false">VLOOKUP(NC!$A43,Calendriers!$C$3:$D$368,2)</f>
        <v>45330</v>
      </c>
      <c r="C43" s="320"/>
      <c r="D43" s="163" t="n">
        <f aca="false">IF($A43="","",SUMIF(Backlog42[Jour ouvert],"&lt;=" &amp; $A43,Backlog42[mineur])-SUMIF(Backlog42[Jour ferme],"&lt;=" &amp; $A43,Backlog42[mineur]))</f>
        <v>0</v>
      </c>
      <c r="E43" s="163" t="n">
        <f aca="false">IF($A43="","",SUMIF(Backlog42[Jour ouvert],"&lt;=" &amp; $A43,Backlog42[MAJEUR])-SUMIF(Backlog42[Jour ferme],"&lt;=" &amp; $A43,Backlog42[MAJEUR]))</f>
        <v>0</v>
      </c>
      <c r="F43" s="163" t="n">
        <f aca="false">IF($A43="","",SUMIF(Backlog42[Jour ouvert],"&lt;=" &amp; $A43,Backlog42[CRITIQUE])-SUMIF(Backlog42[Jour ferme],"&lt;=" &amp; $A43,Backlog42[CRITIQUE]))</f>
        <v>0</v>
      </c>
      <c r="G43" s="125"/>
    </row>
    <row r="44" customFormat="false" ht="16" hidden="false" customHeight="false" outlineLevel="0" collapsed="false">
      <c r="A44" s="326" t="n">
        <f aca="false">IF($A$27&gt;A43,A43+1,"")</f>
        <v>15</v>
      </c>
      <c r="B44" s="320" t="n">
        <f aca="false">VLOOKUP(NC!$A44,Calendriers!$C$3:$D$368,2)</f>
        <v>45331</v>
      </c>
      <c r="C44" s="320"/>
      <c r="D44" s="163" t="n">
        <f aca="false">IF($A44="","",SUMIF(Backlog42[Jour ouvert],"&lt;=" &amp; $A44,Backlog42[mineur])-SUMIF(Backlog42[Jour ferme],"&lt;=" &amp; $A44,Backlog42[mineur]))</f>
        <v>2</v>
      </c>
      <c r="E44" s="163" t="n">
        <f aca="false">IF($A44="","",SUMIF(Backlog42[Jour ouvert],"&lt;=" &amp; $A44,Backlog42[MAJEUR])-SUMIF(Backlog42[Jour ferme],"&lt;=" &amp; $A44,Backlog42[MAJEUR]))</f>
        <v>0</v>
      </c>
      <c r="F44" s="163" t="n">
        <f aca="false">IF($A44="","",SUMIF(Backlog42[Jour ouvert],"&lt;=" &amp; $A44,Backlog42[CRITIQUE])-SUMIF(Backlog42[Jour ferme],"&lt;=" &amp; $A44,Backlog42[CRITIQUE]))</f>
        <v>0</v>
      </c>
      <c r="G44" s="125"/>
    </row>
    <row r="45" customFormat="false" ht="16" hidden="false" customHeight="false" outlineLevel="0" collapsed="false">
      <c r="A45" s="326" t="n">
        <f aca="false">IF($A$27&gt;A44,A44+1,"")</f>
        <v>16</v>
      </c>
      <c r="B45" s="320" t="n">
        <f aca="false">VLOOKUP(NC!$A45,Calendriers!$C$3:$D$368,2)</f>
        <v>45334</v>
      </c>
      <c r="C45" s="320"/>
      <c r="D45" s="163" t="n">
        <f aca="false">IF($A45="","",SUMIF(Backlog42[Jour ouvert],"&lt;=" &amp; $A45,Backlog42[mineur])-SUMIF(Backlog42[Jour ferme],"&lt;=" &amp; $A45,Backlog42[mineur]))</f>
        <v>1</v>
      </c>
      <c r="E45" s="163" t="n">
        <f aca="false">IF($A45="","",SUMIF(Backlog42[Jour ouvert],"&lt;=" &amp; $A45,Backlog42[MAJEUR])-SUMIF(Backlog42[Jour ferme],"&lt;=" &amp; $A45,Backlog42[MAJEUR]))</f>
        <v>0</v>
      </c>
      <c r="F45" s="163" t="n">
        <f aca="false">IF($A45="","",SUMIF(Backlog42[Jour ouvert],"&lt;=" &amp; $A45,Backlog42[CRITIQUE])-SUMIF(Backlog42[Jour ferme],"&lt;=" &amp; $A45,Backlog42[CRITIQUE]))</f>
        <v>0</v>
      </c>
      <c r="G45" s="125"/>
    </row>
    <row r="46" customFormat="false" ht="16" hidden="false" customHeight="false" outlineLevel="0" collapsed="false">
      <c r="A46" s="326" t="n">
        <f aca="false">IF($A$27&gt;A45,A45+1,"")</f>
        <v>17</v>
      </c>
      <c r="B46" s="320" t="n">
        <f aca="false">VLOOKUP(NC!$A46,Calendriers!$C$3:$D$368,2)</f>
        <v>45335</v>
      </c>
      <c r="C46" s="320"/>
      <c r="D46" s="163" t="n">
        <f aca="false">IF($A46="","",SUMIF(Backlog42[Jour ouvert],"&lt;=" &amp; $A46,Backlog42[mineur])-SUMIF(Backlog42[Jour ferme],"&lt;=" &amp; $A46,Backlog42[mineur]))</f>
        <v>1</v>
      </c>
      <c r="E46" s="163" t="n">
        <f aca="false">IF($A46="","",SUMIF(Backlog42[Jour ouvert],"&lt;=" &amp; $A46,Backlog42[MAJEUR])-SUMIF(Backlog42[Jour ferme],"&lt;=" &amp; $A46,Backlog42[MAJEUR]))</f>
        <v>0</v>
      </c>
      <c r="F46" s="163" t="n">
        <f aca="false">IF($A46="","",SUMIF(Backlog42[Jour ouvert],"&lt;=" &amp; $A46,Backlog42[CRITIQUE])-SUMIF(Backlog42[Jour ferme],"&lt;=" &amp; $A46,Backlog42[CRITIQUE]))</f>
        <v>0</v>
      </c>
      <c r="G46" s="125"/>
    </row>
    <row r="47" customFormat="false" ht="16" hidden="false" customHeight="false" outlineLevel="0" collapsed="false">
      <c r="A47" s="326" t="n">
        <f aca="false">IF($A$27&gt;A46,A46+1,"")</f>
        <v>18</v>
      </c>
      <c r="B47" s="320" t="n">
        <f aca="false">VLOOKUP(NC!$A47,Calendriers!$C$3:$D$368,2)</f>
        <v>45336</v>
      </c>
      <c r="C47" s="320"/>
      <c r="D47" s="163" t="n">
        <f aca="false">IF($A47="","",SUMIF(Backlog42[Jour ouvert],"&lt;=" &amp; $A47,Backlog42[mineur])-SUMIF(Backlog42[Jour ferme],"&lt;=" &amp; $A47,Backlog42[mineur]))</f>
        <v>1</v>
      </c>
      <c r="E47" s="163" t="n">
        <f aca="false">IF($A47="","",SUMIF(Backlog42[Jour ouvert],"&lt;=" &amp; $A47,Backlog42[MAJEUR])-SUMIF(Backlog42[Jour ferme],"&lt;=" &amp; $A47,Backlog42[MAJEUR]))</f>
        <v>0</v>
      </c>
      <c r="F47" s="163" t="n">
        <f aca="false">IF($A47="","",SUMIF(Backlog42[Jour ouvert],"&lt;=" &amp; $A47,Backlog42[CRITIQUE])-SUMIF(Backlog42[Jour ferme],"&lt;=" &amp; $A47,Backlog42[CRITIQUE]))</f>
        <v>0</v>
      </c>
      <c r="G47" s="125"/>
    </row>
    <row r="48" customFormat="false" ht="16" hidden="false" customHeight="false" outlineLevel="0" collapsed="false">
      <c r="A48" s="326" t="n">
        <f aca="false">IF($A$27&gt;A47,A47+1,"")</f>
        <v>19</v>
      </c>
      <c r="B48" s="320" t="n">
        <f aca="false">VLOOKUP(NC!$A48,Calendriers!$C$3:$D$368,2)</f>
        <v>45337</v>
      </c>
      <c r="C48" s="320"/>
      <c r="D48" s="163" t="n">
        <f aca="false">IF($A48="","",SUMIF(Backlog42[Jour ouvert],"&lt;=" &amp; $A48,Backlog42[mineur])-SUMIF(Backlog42[Jour ferme],"&lt;=" &amp; $A48,Backlog42[mineur]))</f>
        <v>1</v>
      </c>
      <c r="E48" s="163" t="n">
        <f aca="false">IF($A48="","",SUMIF(Backlog42[Jour ouvert],"&lt;=" &amp; $A48,Backlog42[MAJEUR])-SUMIF(Backlog42[Jour ferme],"&lt;=" &amp; $A48,Backlog42[MAJEUR]))</f>
        <v>0</v>
      </c>
      <c r="F48" s="163" t="n">
        <f aca="false">IF($A48="","",SUMIF(Backlog42[Jour ouvert],"&lt;=" &amp; $A48,Backlog42[CRITIQUE])-SUMIF(Backlog42[Jour ferme],"&lt;=" &amp; $A48,Backlog42[CRITIQUE]))</f>
        <v>0</v>
      </c>
      <c r="G48" s="125"/>
    </row>
    <row r="49" customFormat="false" ht="16" hidden="false" customHeight="false" outlineLevel="0" collapsed="false">
      <c r="A49" s="326" t="n">
        <f aca="false">IF($A$27&gt;A48,A48+1,"")</f>
        <v>20</v>
      </c>
      <c r="B49" s="320" t="n">
        <f aca="false">VLOOKUP(NC!$A49,Calendriers!$C$3:$D$368,2)</f>
        <v>45338</v>
      </c>
      <c r="C49" s="320"/>
      <c r="D49" s="163" t="n">
        <f aca="false">IF($A49="","",SUMIF(Backlog42[Jour ouvert],"&lt;=" &amp; $A49,Backlog42[mineur])-SUMIF(Backlog42[Jour ferme],"&lt;=" &amp; $A49,Backlog42[mineur]))</f>
        <v>1</v>
      </c>
      <c r="E49" s="163" t="n">
        <f aca="false">IF($A49="","",SUMIF(Backlog42[Jour ouvert],"&lt;=" &amp; $A49,Backlog42[MAJEUR])-SUMIF(Backlog42[Jour ferme],"&lt;=" &amp; $A49,Backlog42[MAJEUR]))</f>
        <v>0</v>
      </c>
      <c r="F49" s="163" t="n">
        <f aca="false">IF($A49="","",SUMIF(Backlog42[Jour ouvert],"&lt;=" &amp; $A49,Backlog42[CRITIQUE])-SUMIF(Backlog42[Jour ferme],"&lt;=" &amp; $A49,Backlog42[CRITIQUE]))</f>
        <v>0</v>
      </c>
      <c r="G49" s="125"/>
    </row>
    <row r="50" customFormat="false" ht="16" hidden="false" customHeight="false" outlineLevel="0" collapsed="false">
      <c r="A50" s="326" t="n">
        <f aca="false">IF($A$27&gt;A49,A49+1,"")</f>
        <v>21</v>
      </c>
      <c r="B50" s="320" t="n">
        <f aca="false">VLOOKUP(NC!$A50,Calendriers!$C$3:$D$368,2)</f>
        <v>45339</v>
      </c>
      <c r="C50" s="320"/>
      <c r="D50" s="163" t="n">
        <f aca="false">IF($A50="","",SUMIF(Backlog42[Jour ouvert],"&lt;=" &amp; $A50,Backlog42[mineur])-SUMIF(Backlog42[Jour ferme],"&lt;=" &amp; $A50,Backlog42[mineur]))</f>
        <v>1</v>
      </c>
      <c r="E50" s="163" t="n">
        <f aca="false">IF($A50="","",SUMIF(Backlog42[Jour ouvert],"&lt;=" &amp; $A50,Backlog42[MAJEUR])-SUMIF(Backlog42[Jour ferme],"&lt;=" &amp; $A50,Backlog42[MAJEUR]))</f>
        <v>0</v>
      </c>
      <c r="F50" s="163" t="n">
        <f aca="false">IF($A50="","",SUMIF(Backlog42[Jour ouvert],"&lt;=" &amp; $A50,Backlog42[CRITIQUE])-SUMIF(Backlog42[Jour ferme],"&lt;=" &amp; $A50,Backlog42[CRITIQUE]))</f>
        <v>0</v>
      </c>
      <c r="G50" s="125"/>
    </row>
    <row r="51" customFormat="false" ht="16" hidden="false" customHeight="false" outlineLevel="0" collapsed="false">
      <c r="A51" s="326" t="n">
        <f aca="false">IF($A$27&gt;A50,A50+1,"")</f>
        <v>22</v>
      </c>
      <c r="B51" s="320" t="n">
        <f aca="false">VLOOKUP(NC!$A51,Calendriers!$C$3:$D$368,2)</f>
        <v>45340</v>
      </c>
      <c r="C51" s="320"/>
      <c r="D51" s="163" t="n">
        <f aca="false">IF($A51="","",SUMIF(Backlog42[Jour ouvert],"&lt;=" &amp; $A51,Backlog42[mineur])-SUMIF(Backlog42[Jour ferme],"&lt;=" &amp; $A51,Backlog42[mineur]))</f>
        <v>1</v>
      </c>
      <c r="E51" s="163" t="n">
        <f aca="false">IF($A51="","",SUMIF(Backlog42[Jour ouvert],"&lt;=" &amp; $A51,Backlog42[MAJEUR])-SUMIF(Backlog42[Jour ferme],"&lt;=" &amp; $A51,Backlog42[MAJEUR]))</f>
        <v>0</v>
      </c>
      <c r="F51" s="163" t="n">
        <f aca="false">IF($A51="","",SUMIF(Backlog42[Jour ouvert],"&lt;=" &amp; $A51,Backlog42[CRITIQUE])-SUMIF(Backlog42[Jour ferme],"&lt;=" &amp; $A51,Backlog42[CRITIQUE]))</f>
        <v>0</v>
      </c>
      <c r="G51" s="125"/>
    </row>
    <row r="52" customFormat="false" ht="16" hidden="false" customHeight="false" outlineLevel="0" collapsed="false">
      <c r="A52" s="326" t="n">
        <f aca="false">IF($A$27&gt;A51,A51+1,"")</f>
        <v>23</v>
      </c>
      <c r="B52" s="320" t="n">
        <f aca="false">VLOOKUP(NC!$A52,Calendriers!$C$3:$D$368,2)</f>
        <v>45341</v>
      </c>
      <c r="C52" s="320"/>
      <c r="D52" s="163" t="n">
        <f aca="false">IF($A52="","",SUMIF(Backlog42[Jour ouvert],"&lt;=" &amp; $A52,Backlog42[mineur])-SUMIF(Backlog42[Jour ferme],"&lt;=" &amp; $A52,Backlog42[mineur]))</f>
        <v>1</v>
      </c>
      <c r="E52" s="163" t="n">
        <f aca="false">IF($A52="","",SUMIF(Backlog42[Jour ouvert],"&lt;=" &amp; $A52,Backlog42[MAJEUR])-SUMIF(Backlog42[Jour ferme],"&lt;=" &amp; $A52,Backlog42[MAJEUR]))</f>
        <v>0</v>
      </c>
      <c r="F52" s="163" t="n">
        <f aca="false">IF($A52="","",SUMIF(Backlog42[Jour ouvert],"&lt;=" &amp; $A52,Backlog42[CRITIQUE])-SUMIF(Backlog42[Jour ferme],"&lt;=" &amp; $A52,Backlog42[CRITIQUE]))</f>
        <v>0</v>
      </c>
      <c r="G52" s="125"/>
    </row>
    <row r="53" customFormat="false" ht="16" hidden="false" customHeight="false" outlineLevel="0" collapsed="false">
      <c r="A53" s="326" t="n">
        <f aca="false">IF($A$27&gt;A52,A52+1,"")</f>
        <v>24</v>
      </c>
      <c r="B53" s="320" t="n">
        <f aca="false">VLOOKUP(NC!$A53,Calendriers!$C$3:$D$368,2)</f>
        <v>45342</v>
      </c>
      <c r="C53" s="320"/>
      <c r="D53" s="163" t="n">
        <f aca="false">IF($A53="","",SUMIF(Backlog42[Jour ouvert],"&lt;=" &amp; $A53,Backlog42[mineur])-SUMIF(Backlog42[Jour ferme],"&lt;=" &amp; $A53,Backlog42[mineur]))</f>
        <v>1</v>
      </c>
      <c r="E53" s="163" t="n">
        <f aca="false">IF($A53="","",SUMIF(Backlog42[Jour ouvert],"&lt;=" &amp; $A53,Backlog42[MAJEUR])-SUMIF(Backlog42[Jour ferme],"&lt;=" &amp; $A53,Backlog42[MAJEUR]))</f>
        <v>0</v>
      </c>
      <c r="F53" s="163" t="n">
        <f aca="false">IF($A53="","",SUMIF(Backlog42[Jour ouvert],"&lt;=" &amp; $A53,Backlog42[CRITIQUE])-SUMIF(Backlog42[Jour ferme],"&lt;=" &amp; $A53,Backlog42[CRITIQUE]))</f>
        <v>0</v>
      </c>
      <c r="G53" s="125"/>
    </row>
    <row r="54" customFormat="false" ht="16" hidden="false" customHeight="false" outlineLevel="0" collapsed="false">
      <c r="A54" s="326" t="n">
        <f aca="false">IF($A$27&gt;A53,A53+1,"")</f>
        <v>25</v>
      </c>
      <c r="B54" s="320" t="n">
        <f aca="false">VLOOKUP(NC!$A54,Calendriers!$C$3:$D$368,2)</f>
        <v>45343</v>
      </c>
      <c r="C54" s="320"/>
      <c r="D54" s="163" t="n">
        <f aca="false">IF($A54="","",SUMIF(Backlog42[Jour ouvert],"&lt;=" &amp; $A54,Backlog42[mineur])-SUMIF(Backlog42[Jour ferme],"&lt;=" &amp; $A54,Backlog42[mineur]))</f>
        <v>1</v>
      </c>
      <c r="E54" s="163" t="n">
        <f aca="false">IF($A54="","",SUMIF(Backlog42[Jour ouvert],"&lt;=" &amp; $A54,Backlog42[MAJEUR])-SUMIF(Backlog42[Jour ferme],"&lt;=" &amp; $A54,Backlog42[MAJEUR]))</f>
        <v>0</v>
      </c>
      <c r="F54" s="163" t="n">
        <f aca="false">IF($A54="","",SUMIF(Backlog42[Jour ouvert],"&lt;=" &amp; $A54,Backlog42[CRITIQUE])-SUMIF(Backlog42[Jour ferme],"&lt;=" &amp; $A54,Backlog42[CRITIQUE]))</f>
        <v>0</v>
      </c>
      <c r="G54" s="125"/>
    </row>
    <row r="55" customFormat="false" ht="16" hidden="false" customHeight="false" outlineLevel="0" collapsed="false">
      <c r="A55" s="326" t="n">
        <f aca="false">IF($A$27&gt;A54,A54+1,"")</f>
        <v>26</v>
      </c>
      <c r="B55" s="320" t="n">
        <f aca="false">VLOOKUP(NC!$A55,Calendriers!$C$3:$D$368,2)</f>
        <v>45344</v>
      </c>
      <c r="C55" s="320"/>
      <c r="D55" s="163" t="n">
        <f aca="false">IF($A55="","",SUMIF(Backlog42[Jour ouvert],"&lt;=" &amp; $A55,Backlog42[mineur])-SUMIF(Backlog42[Jour ferme],"&lt;=" &amp; $A55,Backlog42[mineur]))</f>
        <v>1</v>
      </c>
      <c r="E55" s="163" t="n">
        <f aca="false">IF($A55="","",SUMIF(Backlog42[Jour ouvert],"&lt;=" &amp; $A55,Backlog42[MAJEUR])-SUMIF(Backlog42[Jour ferme],"&lt;=" &amp; $A55,Backlog42[MAJEUR]))</f>
        <v>0</v>
      </c>
      <c r="F55" s="163" t="n">
        <f aca="false">IF($A55="","",SUMIF(Backlog42[Jour ouvert],"&lt;=" &amp; $A55,Backlog42[CRITIQUE])-SUMIF(Backlog42[Jour ferme],"&lt;=" &amp; $A55,Backlog42[CRITIQUE]))</f>
        <v>0</v>
      </c>
      <c r="G55" s="125"/>
    </row>
    <row r="56" customFormat="false" ht="16" hidden="false" customHeight="false" outlineLevel="0" collapsed="false">
      <c r="A56" s="326" t="n">
        <f aca="false">IF($A$27&gt;A55,A55+1,"")</f>
        <v>27</v>
      </c>
      <c r="B56" s="320" t="n">
        <f aca="false">VLOOKUP(NC!$A56,Calendriers!$C$3:$D$368,2)</f>
        <v>45345</v>
      </c>
      <c r="C56" s="320"/>
      <c r="D56" s="163" t="n">
        <f aca="false">IF($A56="","",SUMIF(Backlog42[Jour ouvert],"&lt;=" &amp; $A56,Backlog42[mineur])-SUMIF(Backlog42[Jour ferme],"&lt;=" &amp; $A56,Backlog42[mineur]))</f>
        <v>1</v>
      </c>
      <c r="E56" s="163" t="n">
        <f aca="false">IF($A56="","",SUMIF(Backlog42[Jour ouvert],"&lt;=" &amp; $A56,Backlog42[MAJEUR])-SUMIF(Backlog42[Jour ferme],"&lt;=" &amp; $A56,Backlog42[MAJEUR]))</f>
        <v>0</v>
      </c>
      <c r="F56" s="163" t="n">
        <f aca="false">IF($A56="","",SUMIF(Backlog42[Jour ouvert],"&lt;=" &amp; $A56,Backlog42[CRITIQUE])-SUMIF(Backlog42[Jour ferme],"&lt;=" &amp; $A56,Backlog42[CRITIQUE]))</f>
        <v>0</v>
      </c>
    </row>
    <row r="57" customFormat="false" ht="16" hidden="false" customHeight="false" outlineLevel="0" collapsed="false">
      <c r="A57" s="326" t="n">
        <f aca="false">IF($A$27&gt;A56,A56+1,"")</f>
        <v>28</v>
      </c>
      <c r="B57" s="320" t="n">
        <f aca="false">VLOOKUP(NC!$A57,Calendriers!$C$3:$D$368,2)</f>
        <v>45355</v>
      </c>
      <c r="C57" s="320"/>
      <c r="D57" s="163" t="n">
        <f aca="false">IF($A57="","",SUMIF(Backlog42[Jour ouvert],"&lt;=" &amp; $A57,Backlog42[mineur])-SUMIF(Backlog42[Jour ferme],"&lt;=" &amp; $A57,Backlog42[mineur]))</f>
        <v>2</v>
      </c>
      <c r="E57" s="163" t="n">
        <f aca="false">IF($A57="","",SUMIF(Backlog42[Jour ouvert],"&lt;=" &amp; $A57,Backlog42[MAJEUR])-SUMIF(Backlog42[Jour ferme],"&lt;=" &amp; $A57,Backlog42[MAJEUR]))</f>
        <v>0</v>
      </c>
      <c r="F57" s="163" t="n">
        <f aca="false">IF($A57="","",SUMIF(Backlog42[Jour ouvert],"&lt;=" &amp; $A57,Backlog42[CRITIQUE])-SUMIF(Backlog42[Jour ferme],"&lt;=" &amp; $A57,Backlog42[CRITIQUE]))</f>
        <v>0</v>
      </c>
    </row>
    <row r="58" customFormat="false" ht="16" hidden="false" customHeight="false" outlineLevel="0" collapsed="false">
      <c r="A58" s="326" t="n">
        <f aca="false">IF($A$27&gt;A57,A57+1,"")</f>
        <v>29</v>
      </c>
      <c r="B58" s="320" t="n">
        <f aca="false">VLOOKUP(NC!$A58,Calendriers!$C$3:$D$368,2)</f>
        <v>45356</v>
      </c>
      <c r="C58" s="320"/>
      <c r="D58" s="163" t="n">
        <f aca="false">IF($A58="","",SUMIF(Backlog42[Jour ouvert],"&lt;=" &amp; $A58,Backlog42[mineur])-SUMIF(Backlog42[Jour ferme],"&lt;=" &amp; $A58,Backlog42[mineur]))</f>
        <v>2</v>
      </c>
      <c r="E58" s="163" t="n">
        <f aca="false">IF($A58="","",SUMIF(Backlog42[Jour ouvert],"&lt;=" &amp; $A58,Backlog42[MAJEUR])-SUMIF(Backlog42[Jour ferme],"&lt;=" &amp; $A58,Backlog42[MAJEUR]))</f>
        <v>0</v>
      </c>
      <c r="F58" s="163" t="n">
        <f aca="false">IF($A58="","",SUMIF(Backlog42[Jour ouvert],"&lt;=" &amp; $A58,Backlog42[CRITIQUE])-SUMIF(Backlog42[Jour ferme],"&lt;=" &amp; $A58,Backlog42[CRITIQUE]))</f>
        <v>0</v>
      </c>
    </row>
    <row r="59" customFormat="false" ht="16" hidden="false" customHeight="false" outlineLevel="0" collapsed="false">
      <c r="A59" s="326" t="n">
        <f aca="false">IF($A$27&gt;A58,A58+1,"")</f>
        <v>30</v>
      </c>
      <c r="B59" s="320" t="n">
        <f aca="false">VLOOKUP(NC!$A59,Calendriers!$C$3:$D$368,2)</f>
        <v>45357</v>
      </c>
      <c r="C59" s="320"/>
      <c r="D59" s="163" t="n">
        <f aca="false">IF($A59="","",SUMIF(Backlog42[Jour ouvert],"&lt;=" &amp; $A59,Backlog42[mineur])-SUMIF(Backlog42[Jour ferme],"&lt;=" &amp; $A59,Backlog42[mineur]))</f>
        <v>2</v>
      </c>
      <c r="E59" s="163" t="n">
        <f aca="false">IF($A59="","",SUMIF(Backlog42[Jour ouvert],"&lt;=" &amp; $A59,Backlog42[MAJEUR])-SUMIF(Backlog42[Jour ferme],"&lt;=" &amp; $A59,Backlog42[MAJEUR]))</f>
        <v>0</v>
      </c>
      <c r="F59" s="163" t="n">
        <f aca="false">IF($A59="","",SUMIF(Backlog42[Jour ouvert],"&lt;=" &amp; $A59,Backlog42[CRITIQUE])-SUMIF(Backlog42[Jour ferme],"&lt;=" &amp; $A59,Backlog42[CRITIQUE]))</f>
        <v>0</v>
      </c>
    </row>
    <row r="60" customFormat="false" ht="16" hidden="false" customHeight="false" outlineLevel="0" collapsed="false">
      <c r="A60" s="326" t="n">
        <f aca="false">IF($A$27&gt;A59,A59+1,"")</f>
        <v>31</v>
      </c>
      <c r="B60" s="320" t="n">
        <f aca="false">VLOOKUP(NC!$A60,Calendriers!$C$3:$D$368,2)</f>
        <v>45358</v>
      </c>
      <c r="C60" s="320"/>
      <c r="D60" s="163" t="n">
        <f aca="false">IF($A60="","",SUMIF(Backlog42[Jour ouvert],"&lt;=" &amp; $A60,Backlog42[mineur])-SUMIF(Backlog42[Jour ferme],"&lt;=" &amp; $A60,Backlog42[mineur]))</f>
        <v>2</v>
      </c>
      <c r="E60" s="163" t="n">
        <f aca="false">IF($A60="","",SUMIF(Backlog42[Jour ouvert],"&lt;=" &amp; $A60,Backlog42[MAJEUR])-SUMIF(Backlog42[Jour ferme],"&lt;=" &amp; $A60,Backlog42[MAJEUR]))</f>
        <v>0</v>
      </c>
      <c r="F60" s="163" t="n">
        <f aca="false">IF($A60="","",SUMIF(Backlog42[Jour ouvert],"&lt;=" &amp; $A60,Backlog42[CRITIQUE])-SUMIF(Backlog42[Jour ferme],"&lt;=" &amp; $A60,Backlog42[CRITIQUE]))</f>
        <v>0</v>
      </c>
    </row>
    <row r="61" customFormat="false" ht="16" hidden="false" customHeight="false" outlineLevel="0" collapsed="false">
      <c r="A61" s="326" t="n">
        <f aca="false">IF($A$27&gt;A60,A60+1,"")</f>
        <v>32</v>
      </c>
      <c r="B61" s="320" t="n">
        <f aca="false">VLOOKUP(NC!$A61,Calendriers!$C$3:$D$368,2)</f>
        <v>45359</v>
      </c>
      <c r="C61" s="320"/>
      <c r="D61" s="163" t="n">
        <f aca="false">IF($A61="","",SUMIF(Backlog42[Jour ouvert],"&lt;=" &amp; $A61,Backlog42[mineur])-SUMIF(Backlog42[Jour ferme],"&lt;=" &amp; $A61,Backlog42[mineur]))</f>
        <v>2</v>
      </c>
      <c r="E61" s="163" t="n">
        <f aca="false">IF($A61="","",SUMIF(Backlog42[Jour ouvert],"&lt;=" &amp; $A61,Backlog42[MAJEUR])-SUMIF(Backlog42[Jour ferme],"&lt;=" &amp; $A61,Backlog42[MAJEUR]))</f>
        <v>0</v>
      </c>
      <c r="F61" s="163" t="n">
        <f aca="false">IF($A61="","",SUMIF(Backlog42[Jour ouvert],"&lt;=" &amp; $A61,Backlog42[CRITIQUE])-SUMIF(Backlog42[Jour ferme],"&lt;=" &amp; $A61,Backlog42[CRITIQUE]))</f>
        <v>0</v>
      </c>
    </row>
    <row r="62" customFormat="false" ht="16" hidden="false" customHeight="false" outlineLevel="0" collapsed="false">
      <c r="A62" s="326" t="n">
        <f aca="false">IF($A$27&gt;A61,A61+1,"")</f>
        <v>33</v>
      </c>
      <c r="B62" s="320" t="n">
        <f aca="false">VLOOKUP(NC!$A62,Calendriers!$C$3:$D$368,2)</f>
        <v>45362</v>
      </c>
      <c r="C62" s="320"/>
      <c r="D62" s="163" t="n">
        <f aca="false">IF($A62="","",SUMIF(Backlog42[Jour ouvert],"&lt;=" &amp; $A62,Backlog42[mineur])-SUMIF(Backlog42[Jour ferme],"&lt;=" &amp; $A62,Backlog42[mineur]))</f>
        <v>2</v>
      </c>
      <c r="E62" s="163" t="n">
        <f aca="false">IF($A62="","",SUMIF(Backlog42[Jour ouvert],"&lt;=" &amp; $A62,Backlog42[MAJEUR])-SUMIF(Backlog42[Jour ferme],"&lt;=" &amp; $A62,Backlog42[MAJEUR]))</f>
        <v>0</v>
      </c>
      <c r="F62" s="163" t="n">
        <f aca="false">IF($A62="","",SUMIF(Backlog42[Jour ouvert],"&lt;=" &amp; $A62,Backlog42[CRITIQUE])-SUMIF(Backlog42[Jour ferme],"&lt;=" &amp; $A62,Backlog42[CRITIQUE]))</f>
        <v>0</v>
      </c>
    </row>
    <row r="63" customFormat="false" ht="16" hidden="false" customHeight="false" outlineLevel="0" collapsed="false">
      <c r="A63" s="326" t="n">
        <f aca="false">IF($A$27&gt;A62,A62+1,"")</f>
        <v>34</v>
      </c>
      <c r="B63" s="320" t="n">
        <f aca="false">VLOOKUP(NC!$A63,Calendriers!$C$3:$D$368,2)</f>
        <v>45363</v>
      </c>
      <c r="C63" s="320"/>
      <c r="D63" s="163" t="n">
        <f aca="false">IF($A63="","",SUMIF(Backlog42[Jour ouvert],"&lt;=" &amp; $A63,Backlog42[mineur])-SUMIF(Backlog42[Jour ferme],"&lt;=" &amp; $A63,Backlog42[mineur]))</f>
        <v>2</v>
      </c>
      <c r="E63" s="163" t="n">
        <f aca="false">IF($A63="","",SUMIF(Backlog42[Jour ouvert],"&lt;=" &amp; $A63,Backlog42[MAJEUR])-SUMIF(Backlog42[Jour ferme],"&lt;=" &amp; $A63,Backlog42[MAJEUR]))</f>
        <v>0</v>
      </c>
      <c r="F63" s="163" t="n">
        <f aca="false">IF($A63="","",SUMIF(Backlog42[Jour ouvert],"&lt;=" &amp; $A63,Backlog42[CRITIQUE])-SUMIF(Backlog42[Jour ferme],"&lt;=" &amp; $A63,Backlog42[CRITIQUE]))</f>
        <v>0</v>
      </c>
    </row>
    <row r="64" customFormat="false" ht="16" hidden="false" customHeight="false" outlineLevel="0" collapsed="false">
      <c r="A64" s="327" t="n">
        <f aca="false">IF($A$27&gt;A63,A63+1,"")</f>
        <v>35</v>
      </c>
      <c r="B64" s="328" t="n">
        <f aca="false">VLOOKUP(NC!$A64,Calendriers!$C$3:$D$368,2)</f>
        <v>45364</v>
      </c>
      <c r="C64" s="328"/>
      <c r="D64" s="329" t="n">
        <f aca="false">IF($A64="","",SUMIF(Backlog42[Jour ouvert],"&lt;=" &amp; $A64,Backlog42[mineur])-SUMIF(Backlog42[Jour ferme],"&lt;=" &amp; $A64,Backlog42[mineur]))</f>
        <v>2</v>
      </c>
      <c r="E64" s="329" t="n">
        <f aca="false">IF($A64="","",SUMIF(Backlog42[Jour ouvert],"&lt;=" &amp; $A64,Backlog42[MAJEUR])-SUMIF(Backlog42[Jour ferme],"&lt;=" &amp; $A64,Backlog42[MAJEUR]))</f>
        <v>0</v>
      </c>
      <c r="F64" s="329" t="n">
        <f aca="false">IF($A64="","",SUMIF(Backlog42[Jour ouvert],"&lt;=" &amp; $A64,Backlog42[CRITIQUE])-SUMIF(Backlog42[Jour ferme],"&lt;=" &amp; $A64,Backlog42[CRITIQUE]))</f>
        <v>0</v>
      </c>
    </row>
    <row r="65" customFormat="false" ht="16" hidden="false" customHeight="false" outlineLevel="0" collapsed="false">
      <c r="A65" s="326" t="n">
        <f aca="false">IF($A$27&gt;A64,A64+1,"")</f>
        <v>36</v>
      </c>
      <c r="B65" s="320" t="n">
        <f aca="false">VLOOKUP(NC!$A65,Calendriers!$C$3:$D$368,2)</f>
        <v>45365</v>
      </c>
      <c r="C65" s="320"/>
      <c r="D65" s="329" t="n">
        <f aca="false">IF($A65="","",SUMIF(Backlog42[Jour ouvert],"&lt;=" &amp; $A65,Backlog42[mineur])-SUMIF(Backlog42[Jour ferme],"&lt;=" &amp; $A65,Backlog42[mineur]))</f>
        <v>3</v>
      </c>
      <c r="E65" s="163" t="n">
        <f aca="false">IF($A65="","",SUMIF(Backlog42[Jour ouvert],"&lt;=" &amp; $A65,Backlog42[MAJEUR])-SUMIF(Backlog42[Jour ferme],"&lt;=" &amp; $A65,Backlog42[MAJEUR]))</f>
        <v>2</v>
      </c>
      <c r="F65" s="163" t="n">
        <f aca="false">IF($A65="","",SUMIF(Backlog42[Jour ouvert],"&lt;=" &amp; $A65,Backlog42[CRITIQUE])-SUMIF(Backlog42[Jour ferme],"&lt;=" &amp; $A65,Backlog42[CRITIQUE]))</f>
        <v>0</v>
      </c>
    </row>
    <row r="66" customFormat="false" ht="16" hidden="false" customHeight="false" outlineLevel="0" collapsed="false">
      <c r="A66" s="326" t="n">
        <f aca="false">IF($A$27&gt;A65,A65+1,"")</f>
        <v>37</v>
      </c>
      <c r="B66" s="320" t="n">
        <f aca="false">VLOOKUP(NC!$A66,Calendriers!$C$3:$D$368,2)</f>
        <v>45366</v>
      </c>
      <c r="C66" s="320"/>
      <c r="D66" s="163" t="n">
        <f aca="false">IF($A66="","",SUMIF(Backlog42[Jour ouvert],"&lt;=" &amp; $A66,Backlog42[mineur])-SUMIF(Backlog42[Jour ferme],"&lt;=" &amp; $A66,Backlog42[mineur]))</f>
        <v>1</v>
      </c>
      <c r="E66" s="163" t="n">
        <f aca="false">IF($A66="","",SUMIF(Backlog42[Jour ouvert],"&lt;=" &amp; $A66,Backlog42[MAJEUR])-SUMIF(Backlog42[Jour ferme],"&lt;=" &amp; $A66,Backlog42[MAJEUR]))</f>
        <v>0</v>
      </c>
      <c r="F66" s="163" t="n">
        <f aca="false">IF($A66="","",SUMIF(Backlog42[Jour ouvert],"&lt;=" &amp; $A66,Backlog42[CRITIQUE])-SUMIF(Backlog42[Jour ferme],"&lt;=" &amp; $A66,Backlog42[CRITIQUE]))</f>
        <v>0</v>
      </c>
    </row>
    <row r="67" customFormat="false" ht="16" hidden="false" customHeight="false" outlineLevel="0" collapsed="false">
      <c r="A67" s="326" t="n">
        <f aca="false">IF($A$27&gt;A66,A66+1,"")</f>
        <v>38</v>
      </c>
      <c r="B67" s="320" t="n">
        <f aca="false">VLOOKUP(NC!$A67,Calendriers!$C$3:$D$368,2)</f>
        <v>45369</v>
      </c>
      <c r="C67" s="320"/>
      <c r="D67" s="163" t="n">
        <f aca="false">IF($A67="","",SUMIF(Backlog42[Jour ouvert],"&lt;=" &amp; $A67,Backlog42[mineur])-SUMIF(Backlog42[Jour ferme],"&lt;=" &amp; $A67,Backlog42[mineur]))</f>
        <v>1</v>
      </c>
      <c r="E67" s="163" t="n">
        <f aca="false">IF($A67="","",SUMIF(Backlog42[Jour ouvert],"&lt;=" &amp; $A67,Backlog42[MAJEUR])-SUMIF(Backlog42[Jour ferme],"&lt;=" &amp; $A67,Backlog42[MAJEUR]))</f>
        <v>0</v>
      </c>
      <c r="F67" s="163" t="n">
        <f aca="false">IF($A67="","",SUMIF(Backlog42[Jour ouvert],"&lt;=" &amp; $A67,Backlog42[CRITIQUE])-SUMIF(Backlog42[Jour ferme],"&lt;=" &amp; $A67,Backlog42[CRITIQUE]))</f>
        <v>0</v>
      </c>
    </row>
    <row r="68" customFormat="false" ht="16" hidden="false" customHeight="false" outlineLevel="0" collapsed="false">
      <c r="A68" s="326" t="n">
        <f aca="false">IF($A$27&gt;A67,A67+1,"")</f>
        <v>39</v>
      </c>
      <c r="B68" s="320" t="n">
        <f aca="false">VLOOKUP(NC!$A68,Calendriers!$C$3:$D$368,2)</f>
        <v>45370</v>
      </c>
      <c r="C68" s="320"/>
      <c r="D68" s="163" t="n">
        <f aca="false">IF($A68="","",SUMIF(Backlog42[Jour ouvert],"&lt;=" &amp; $A68,Backlog42[mineur])-SUMIF(Backlog42[Jour ferme],"&lt;=" &amp; $A68,Backlog42[mineur]))</f>
        <v>2</v>
      </c>
      <c r="E68" s="163" t="n">
        <f aca="false">IF($A68="","",SUMIF(Backlog42[Jour ouvert],"&lt;=" &amp; $A68,Backlog42[MAJEUR])-SUMIF(Backlog42[Jour ferme],"&lt;=" &amp; $A68,Backlog42[MAJEUR]))</f>
        <v>1</v>
      </c>
      <c r="F68" s="163" t="n">
        <f aca="false">IF($A68="","",SUMIF(Backlog42[Jour ouvert],"&lt;=" &amp; $A68,Backlog42[CRITIQUE])-SUMIF(Backlog42[Jour ferme],"&lt;=" &amp; $A68,Backlog42[CRITIQUE]))</f>
        <v>0</v>
      </c>
    </row>
    <row r="69" customFormat="false" ht="16" hidden="false" customHeight="false" outlineLevel="0" collapsed="false">
      <c r="A69" s="326" t="n">
        <f aca="false">IF($A$27&gt;A68,A68+1,"")</f>
        <v>40</v>
      </c>
      <c r="B69" s="320" t="n">
        <f aca="false">VLOOKUP(NC!$A69,Calendriers!$C$3:$D$368,2)</f>
        <v>45371</v>
      </c>
      <c r="C69" s="320"/>
      <c r="D69" s="163" t="n">
        <f aca="false">IF($A69="","",SUMIF(Backlog42[Jour ouvert],"&lt;=" &amp; $A69,Backlog42[mineur])-SUMIF(Backlog42[Jour ferme],"&lt;=" &amp; $A69,Backlog42[mineur]))</f>
        <v>2</v>
      </c>
      <c r="E69" s="163" t="n">
        <f aca="false">IF($A69="","",SUMIF(Backlog42[Jour ouvert],"&lt;=" &amp; $A69,Backlog42[MAJEUR])-SUMIF(Backlog42[Jour ferme],"&lt;=" &amp; $A69,Backlog42[MAJEUR]))</f>
        <v>1</v>
      </c>
      <c r="F69" s="163" t="n">
        <f aca="false">IF($A69="","",SUMIF(Backlog42[Jour ouvert],"&lt;=" &amp; $A69,Backlog42[CRITIQUE])-SUMIF(Backlog42[Jour ferme],"&lt;=" &amp; $A69,Backlog42[CRITIQUE]))</f>
        <v>0</v>
      </c>
    </row>
    <row r="70" customFormat="false" ht="16" hidden="false" customHeight="false" outlineLevel="0" collapsed="false">
      <c r="A70" s="326" t="n">
        <f aca="false">IF($A$27&gt;A69,A69+1,"")</f>
        <v>41</v>
      </c>
      <c r="B70" s="320" t="n">
        <f aca="false">VLOOKUP(NC!$A70,Calendriers!$C$3:$D$368,2)</f>
        <v>45372</v>
      </c>
      <c r="C70" s="320"/>
      <c r="D70" s="163" t="n">
        <f aca="false">IF($A70="","",SUMIF(Backlog42[Jour ouvert],"&lt;=" &amp; $A70,Backlog42[mineur])-SUMIF(Backlog42[Jour ferme],"&lt;=" &amp; $A70,Backlog42[mineur]))</f>
        <v>2</v>
      </c>
      <c r="E70" s="163" t="n">
        <f aca="false">IF($A70="","",SUMIF(Backlog42[Jour ouvert],"&lt;=" &amp; $A70,Backlog42[MAJEUR])-SUMIF(Backlog42[Jour ferme],"&lt;=" &amp; $A70,Backlog42[MAJEUR]))</f>
        <v>2</v>
      </c>
      <c r="F70" s="163" t="n">
        <f aca="false">IF($A70="","",SUMIF(Backlog42[Jour ouvert],"&lt;=" &amp; $A70,Backlog42[CRITIQUE])-SUMIF(Backlog42[Jour ferme],"&lt;=" &amp; $A70,Backlog42[CRITIQUE]))</f>
        <v>0</v>
      </c>
    </row>
    <row r="71" customFormat="false" ht="16" hidden="false" customHeight="false" outlineLevel="0" collapsed="false">
      <c r="A71" s="326" t="n">
        <f aca="false">IF($A$27&gt;A70,A70+1,"")</f>
        <v>42</v>
      </c>
      <c r="B71" s="320" t="n">
        <f aca="false">VLOOKUP(NC!$A71,Calendriers!$C$3:$D$368,2)</f>
        <v>45373</v>
      </c>
      <c r="C71" s="320"/>
      <c r="D71" s="163" t="n">
        <f aca="false">IF($A71="","",SUMIF(Backlog42[Jour ouvert],"&lt;=" &amp; $A71,Backlog42[mineur])-SUMIF(Backlog42[Jour ferme],"&lt;=" &amp; $A71,Backlog42[mineur]))</f>
        <v>2</v>
      </c>
      <c r="E71" s="163" t="n">
        <f aca="false">IF($A71="","",SUMIF(Backlog42[Jour ouvert],"&lt;=" &amp; $A71,Backlog42[MAJEUR])-SUMIF(Backlog42[Jour ferme],"&lt;=" &amp; $A71,Backlog42[MAJEUR]))</f>
        <v>2</v>
      </c>
      <c r="F71" s="163" t="n">
        <f aca="false">IF($A71="","",SUMIF(Backlog42[Jour ouvert],"&lt;=" &amp; $A71,Backlog42[CRITIQUE])-SUMIF(Backlog42[Jour ferme],"&lt;=" &amp; $A71,Backlog42[CRITIQUE]))</f>
        <v>0</v>
      </c>
    </row>
    <row r="72" customFormat="false" ht="16" hidden="false" customHeight="false" outlineLevel="0" collapsed="false">
      <c r="A72" s="326" t="str">
        <f aca="false">IF($A$27&gt;A71,A71+1,"")</f>
        <v/>
      </c>
      <c r="B72" s="320" t="str">
        <f aca="false">VLOOKUP(NC!$A72,Calendriers!$C$3:$D$368,2)</f>
        <v/>
      </c>
      <c r="C72" s="320"/>
      <c r="D72" s="163" t="str">
        <f aca="false">IF($A72="","",SUMIF(Backlog42[Jour ouvert],"&lt;=" &amp; $A72,Backlog42[mineur])-SUMIF(Backlog42[Jour ferme],"&lt;=" &amp; $A72,Backlog42[mineur]))</f>
        <v/>
      </c>
      <c r="E72" s="163" t="str">
        <f aca="false">IF($A72="","",SUMIF(Backlog42[Jour ouvert],"&lt;=" &amp; $A72,Backlog42[MAJEUR])-SUMIF(Backlog42[Jour ferme],"&lt;=" &amp; $A72,Backlog42[MAJEUR]))</f>
        <v/>
      </c>
      <c r="F72" s="163" t="str">
        <f aca="false">IF($A72="","",SUMIF(Backlog42[Jour ouvert],"&lt;=" &amp; $A72,Backlog42[CRITIQUE])-SUMIF(Backlog42[Jour ferme],"&lt;=" &amp; $A72,Backlog42[CRITIQUE]))</f>
        <v/>
      </c>
    </row>
    <row r="73" customFormat="false" ht="16" hidden="false" customHeight="false" outlineLevel="0" collapsed="false">
      <c r="A73" s="326" t="str">
        <f aca="false">IF($A$27&gt;A72,A72+1,"")</f>
        <v/>
      </c>
      <c r="B73" s="320" t="str">
        <f aca="false">VLOOKUP(NC!$A73,Calendriers!$C$3:$D$368,2)</f>
        <v/>
      </c>
      <c r="C73" s="320"/>
      <c r="D73" s="163" t="str">
        <f aca="false">IF($A73="","",SUMIF(Backlog42[Jour ouvert],"&lt;=" &amp; $A73,Backlog42[mineur])-SUMIF(Backlog42[Jour ferme],"&lt;=" &amp; $A73,Backlog42[mineur]))</f>
        <v/>
      </c>
      <c r="E73" s="163" t="str">
        <f aca="false">IF($A73="","",SUMIF(Backlog42[Jour ouvert],"&lt;=" &amp; $A73,Backlog42[MAJEUR])-SUMIF(Backlog42[Jour ferme],"&lt;=" &amp; $A73,Backlog42[MAJEUR]))</f>
        <v/>
      </c>
      <c r="F73" s="163" t="str">
        <f aca="false">IF($A73="","",SUMIF(Backlog42[Jour ouvert],"&lt;=" &amp; $A73,Backlog42[CRITIQUE])-SUMIF(Backlog42[Jour ferme],"&lt;=" &amp; $A73,Backlog42[CRITIQUE]))</f>
        <v/>
      </c>
    </row>
    <row r="74" customFormat="false" ht="16" hidden="false" customHeight="false" outlineLevel="0" collapsed="false">
      <c r="A74" s="326" t="str">
        <f aca="false">IF($A$27&gt;A73,A73+1,"")</f>
        <v/>
      </c>
      <c r="B74" s="320" t="str">
        <f aca="false">VLOOKUP(NC!$A74,Calendriers!$C$3:$D$368,2)</f>
        <v/>
      </c>
      <c r="C74" s="320"/>
      <c r="D74" s="163" t="str">
        <f aca="false">IF($A74="","",SUMIF(Backlog42[Jour ouvert],"&lt;=" &amp; $A74,Backlog42[mineur])-SUMIF(Backlog42[Jour ferme],"&lt;=" &amp; $A74,Backlog42[mineur]))</f>
        <v/>
      </c>
      <c r="E74" s="163" t="str">
        <f aca="false">IF($A74="","",SUMIF(Backlog42[Jour ouvert],"&lt;=" &amp; $A74,Backlog42[MAJEUR])-SUMIF(Backlog42[Jour ferme],"&lt;=" &amp; $A74,Backlog42[MAJEUR]))</f>
        <v/>
      </c>
      <c r="F74" s="163" t="str">
        <f aca="false">IF($A74="","",SUMIF(Backlog42[Jour ouvert],"&lt;=" &amp; $A74,Backlog42[CRITIQUE])-SUMIF(Backlog42[Jour ferme],"&lt;=" &amp; $A74,Backlog42[CRITIQUE]))</f>
        <v/>
      </c>
    </row>
    <row r="75" customFormat="false" ht="16" hidden="false" customHeight="false" outlineLevel="0" collapsed="false">
      <c r="A75" s="326" t="str">
        <f aca="false">IF($A$27&gt;A74,A74+1,"")</f>
        <v/>
      </c>
      <c r="B75" s="320" t="str">
        <f aca="false">VLOOKUP(NC!$A75,Calendriers!$C$3:$D$368,2)</f>
        <v/>
      </c>
      <c r="C75" s="320"/>
      <c r="D75" s="163" t="str">
        <f aca="false">IF($A75="","",SUMIF(Backlog42[Jour ouvert],"&lt;=" &amp; $A75,Backlog42[mineur])-SUMIF(Backlog42[Jour ferme],"&lt;=" &amp; $A75,Backlog42[mineur]))</f>
        <v/>
      </c>
      <c r="E75" s="163" t="str">
        <f aca="false">IF($A75="","",SUMIF(Backlog42[Jour ouvert],"&lt;=" &amp; $A75,Backlog42[MAJEUR])-SUMIF(Backlog42[Jour ferme],"&lt;=" &amp; $A75,Backlog42[MAJEUR]))</f>
        <v/>
      </c>
      <c r="F75" s="163" t="str">
        <f aca="false">IF($A75="","",SUMIF(Backlog42[Jour ouvert],"&lt;=" &amp; $A75,Backlog42[CRITIQUE])-SUMIF(Backlog42[Jour ferme],"&lt;=" &amp; $A75,Backlog42[CRITIQUE]))</f>
        <v/>
      </c>
    </row>
    <row r="76" customFormat="false" ht="16" hidden="false" customHeight="false" outlineLevel="0" collapsed="false">
      <c r="A76" s="326" t="str">
        <f aca="false">IF($A$27&gt;A75,A75+1,"")</f>
        <v/>
      </c>
      <c r="B76" s="320" t="str">
        <f aca="false">VLOOKUP(NC!$A76,Calendriers!$C$3:$D$368,2)</f>
        <v/>
      </c>
      <c r="C76" s="320"/>
      <c r="D76" s="163" t="str">
        <f aca="false">IF($A76="","",SUMIF(Backlog42[Jour ouvert],"&lt;=" &amp; $A76,Backlog42[mineur])-SUMIF(Backlog42[Jour ferme],"&lt;=" &amp; $A76,Backlog42[mineur]))</f>
        <v/>
      </c>
      <c r="E76" s="163" t="str">
        <f aca="false">IF($A76="","",SUMIF(Backlog42[Jour ouvert],"&lt;=" &amp; $A76,Backlog42[MAJEUR])-SUMIF(Backlog42[Jour ferme],"&lt;=" &amp; $A76,Backlog42[MAJEUR]))</f>
        <v/>
      </c>
      <c r="F76" s="163" t="str">
        <f aca="false">IF($A76="","",SUMIF(Backlog42[Jour ouvert],"&lt;=" &amp; $A76,Backlog42[CRITIQUE])-SUMIF(Backlog42[Jour ferme],"&lt;=" &amp; $A76,Backlog42[CRITIQUE]))</f>
        <v/>
      </c>
    </row>
    <row r="77" customFormat="false" ht="16" hidden="false" customHeight="false" outlineLevel="0" collapsed="false">
      <c r="A77" s="326" t="str">
        <f aca="false">IF($A$27&gt;A76,A76+1,"")</f>
        <v/>
      </c>
      <c r="B77" s="320" t="str">
        <f aca="false">VLOOKUP(NC!$A77,Calendriers!$C$3:$D$368,2)</f>
        <v/>
      </c>
      <c r="C77" s="320"/>
      <c r="D77" s="163" t="str">
        <f aca="false">IF($A77="","",SUMIF(Backlog42[Jour ouvert],"&lt;=" &amp; $A77,Backlog42[mineur])-SUMIF(Backlog42[Jour ferme],"&lt;=" &amp; $A77,Backlog42[mineur]))</f>
        <v/>
      </c>
      <c r="E77" s="163" t="str">
        <f aca="false">IF($A77="","",SUMIF(Backlog42[Jour ouvert],"&lt;=" &amp; $A77,Backlog42[MAJEUR])-SUMIF(Backlog42[Jour ferme],"&lt;=" &amp; $A77,Backlog42[MAJEUR]))</f>
        <v/>
      </c>
      <c r="F77" s="163" t="str">
        <f aca="false">IF($A77="","",SUMIF(Backlog42[Jour ouvert],"&lt;=" &amp; $A77,Backlog42[CRITIQUE])-SUMIF(Backlog42[Jour ferme],"&lt;=" &amp; $A77,Backlog42[CRITIQUE]))</f>
        <v/>
      </c>
    </row>
    <row r="78" customFormat="false" ht="16" hidden="false" customHeight="false" outlineLevel="0" collapsed="false">
      <c r="A78" s="326" t="str">
        <f aca="false">IF($A$27&gt;A77,A77+1,"")</f>
        <v/>
      </c>
      <c r="B78" s="320" t="str">
        <f aca="false">VLOOKUP(NC!$A78,Calendriers!$C$3:$D$368,2)</f>
        <v/>
      </c>
      <c r="C78" s="320"/>
      <c r="D78" s="163" t="str">
        <f aca="false">IF($A78="","",SUMIF(Backlog42[Jour ouvert],"&lt;=" &amp; $A78,Backlog42[mineur])-SUMIF(Backlog42[Jour ferme],"&lt;=" &amp; $A78,Backlog42[mineur]))</f>
        <v/>
      </c>
      <c r="E78" s="163" t="str">
        <f aca="false">IF($A78="","",SUMIF(Backlog42[Jour ouvert],"&lt;=" &amp; $A78,Backlog42[MAJEUR])-SUMIF(Backlog42[Jour ferme],"&lt;=" &amp; $A78,Backlog42[MAJEUR]))</f>
        <v/>
      </c>
      <c r="F78" s="163" t="str">
        <f aca="false">IF($A78="","",SUMIF(Backlog42[Jour ouvert],"&lt;=" &amp; $A78,Backlog42[CRITIQUE])-SUMIF(Backlog42[Jour ferme],"&lt;=" &amp; $A78,Backlog42[CRITIQUE]))</f>
        <v/>
      </c>
    </row>
    <row r="79" customFormat="false" ht="16" hidden="false" customHeight="false" outlineLevel="0" collapsed="false">
      <c r="A79" s="326" t="str">
        <f aca="false">IF($A$27&gt;A78,A78+1,"")</f>
        <v/>
      </c>
      <c r="B79" s="320" t="str">
        <f aca="false">VLOOKUP(NC!$A79,Calendriers!$C$3:$D$368,2)</f>
        <v/>
      </c>
      <c r="C79" s="320"/>
      <c r="D79" s="163" t="str">
        <f aca="false">IF($A79="","",SUMIF(Backlog42[Jour ouvert],"&lt;=" &amp; $A79,Backlog42[mineur])-SUMIF(Backlog42[Jour ferme],"&lt;=" &amp; $A79,Backlog42[mineur]))</f>
        <v/>
      </c>
      <c r="E79" s="163" t="str">
        <f aca="false">IF($A79="","",SUMIF(Backlog42[Jour ouvert],"&lt;=" &amp; $A79,Backlog42[MAJEUR])-SUMIF(Backlog42[Jour ferme],"&lt;=" &amp; $A79,Backlog42[MAJEUR]))</f>
        <v/>
      </c>
      <c r="F79" s="163" t="str">
        <f aca="false">IF($A79="","",SUMIF(Backlog42[Jour ouvert],"&lt;=" &amp; $A79,Backlog42[CRITIQUE])-SUMIF(Backlog42[Jour ferme],"&lt;=" &amp; $A79,Backlog42[CRITIQUE]))</f>
        <v/>
      </c>
    </row>
    <row r="80" customFormat="false" ht="16" hidden="false" customHeight="false" outlineLevel="0" collapsed="false">
      <c r="A80" s="326" t="str">
        <f aca="false">IF($A$27&gt;A79,A79+1,"")</f>
        <v/>
      </c>
      <c r="B80" s="320" t="str">
        <f aca="false">VLOOKUP(NC!$A80,Calendriers!$C$3:$D$368,2)</f>
        <v/>
      </c>
      <c r="C80" s="320"/>
      <c r="D80" s="163" t="str">
        <f aca="false">IF($A80="","",SUMIF(Backlog42[Jour ouvert],"&lt;=" &amp; $A80,Backlog42[mineur])-SUMIF(Backlog42[Jour ferme],"&lt;=" &amp; $A80,Backlog42[mineur]))</f>
        <v/>
      </c>
      <c r="E80" s="163" t="str">
        <f aca="false">IF($A80="","",SUMIF(Backlog42[Jour ouvert],"&lt;=" &amp; $A80,Backlog42[MAJEUR])-SUMIF(Backlog42[Jour ferme],"&lt;=" &amp; $A80,Backlog42[MAJEUR]))</f>
        <v/>
      </c>
      <c r="F80" s="163" t="str">
        <f aca="false">IF($A80="","",SUMIF(Backlog42[Jour ouvert],"&lt;=" &amp; $A80,Backlog42[CRITIQUE])-SUMIF(Backlog42[Jour ferme],"&lt;=" &amp; $A80,Backlog42[CRITIQUE]))</f>
        <v/>
      </c>
    </row>
    <row r="81" customFormat="false" ht="16" hidden="false" customHeight="false" outlineLevel="0" collapsed="false">
      <c r="A81" s="326" t="str">
        <f aca="false">IF($A$27&gt;A80,A80+1,"")</f>
        <v/>
      </c>
      <c r="B81" s="320" t="str">
        <f aca="false">VLOOKUP(NC!$A81,Calendriers!$C$3:$D$368,2)</f>
        <v/>
      </c>
      <c r="C81" s="320"/>
      <c r="D81" s="163" t="str">
        <f aca="false">IF($A81="","",SUMIF(Backlog42[Jour ouvert],"&lt;=" &amp; $A81,Backlog42[mineur])-SUMIF(Backlog42[Jour ferme],"&lt;=" &amp; $A81,Backlog42[mineur]))</f>
        <v/>
      </c>
      <c r="E81" s="163" t="str">
        <f aca="false">IF($A81="","",SUMIF(Backlog42[Jour ouvert],"&lt;=" &amp; $A81,Backlog42[MAJEUR])-SUMIF(Backlog42[Jour ferme],"&lt;=" &amp; $A81,Backlog42[MAJEUR]))</f>
        <v/>
      </c>
      <c r="F81" s="163" t="str">
        <f aca="false">IF($A81="","",SUMIF(Backlog42[Jour ouvert],"&lt;=" &amp; $A81,Backlog42[CRITIQUE])-SUMIF(Backlog42[Jour ferme],"&lt;=" &amp; $A81,Backlog42[CRITIQUE]))</f>
        <v/>
      </c>
    </row>
    <row r="82" customFormat="false" ht="16" hidden="false" customHeight="false" outlineLevel="0" collapsed="false">
      <c r="A82" s="326" t="str">
        <f aca="false">IF($A$27&gt;A81,A81+1,"")</f>
        <v/>
      </c>
      <c r="B82" s="320" t="str">
        <f aca="false">VLOOKUP(NC!$A82,Calendriers!$C$3:$D$368,2)</f>
        <v/>
      </c>
      <c r="C82" s="320"/>
      <c r="D82" s="163" t="str">
        <f aca="false">IF($A82="","",SUMIF(Backlog42[Jour ouvert],"&lt;=" &amp; $A82,Backlog42[mineur])-SUMIF(Backlog42[Jour ferme],"&lt;=" &amp; $A82,Backlog42[mineur]))</f>
        <v/>
      </c>
      <c r="E82" s="163" t="str">
        <f aca="false">IF($A82="","",SUMIF(Backlog42[Jour ouvert],"&lt;=" &amp; $A82,Backlog42[MAJEUR])-SUMIF(Backlog42[Jour ferme],"&lt;=" &amp; $A82,Backlog42[MAJEUR]))</f>
        <v/>
      </c>
      <c r="F82" s="163" t="str">
        <f aca="false">IF($A82="","",SUMIF(Backlog42[Jour ouvert],"&lt;=" &amp; $A82,Backlog42[CRITIQUE])-SUMIF(Backlog42[Jour ferme],"&lt;=" &amp; $A82,Backlog42[CRITIQUE]))</f>
        <v/>
      </c>
    </row>
    <row r="83" customFormat="false" ht="16" hidden="false" customHeight="false" outlineLevel="0" collapsed="false">
      <c r="A83" s="326" t="str">
        <f aca="false">IF($A$27&gt;A82,A82+1,"")</f>
        <v/>
      </c>
      <c r="B83" s="320" t="str">
        <f aca="false">VLOOKUP(NC!$A83,Calendriers!$C$3:$D$368,2)</f>
        <v/>
      </c>
      <c r="C83" s="320"/>
      <c r="D83" s="163" t="str">
        <f aca="false">IF($A83="","",SUMIF(Backlog42[Jour ouvert],"&lt;=" &amp; $A83,Backlog42[mineur])-SUMIF(Backlog42[Jour ferme],"&lt;=" &amp; $A83,Backlog42[mineur]))</f>
        <v/>
      </c>
      <c r="E83" s="163" t="str">
        <f aca="false">IF($A83="","",SUMIF(Backlog42[Jour ouvert],"&lt;=" &amp; $A83,Backlog42[MAJEUR])-SUMIF(Backlog42[Jour ferme],"&lt;=" &amp; $A83,Backlog42[MAJEUR]))</f>
        <v/>
      </c>
      <c r="F83" s="163" t="str">
        <f aca="false">IF($A83="","",SUMIF(Backlog42[Jour ouvert],"&lt;=" &amp; $A83,Backlog42[CRITIQUE])-SUMIF(Backlog42[Jour ferme],"&lt;=" &amp; $A83,Backlog42[CRITIQUE]))</f>
        <v/>
      </c>
    </row>
    <row r="84" customFormat="false" ht="16" hidden="false" customHeight="false" outlineLevel="0" collapsed="false">
      <c r="A84" s="326" t="str">
        <f aca="false">IF($A$27&gt;A83,A83+1,"")</f>
        <v/>
      </c>
      <c r="B84" s="320" t="str">
        <f aca="false">VLOOKUP(NC!$A84,Calendriers!$C$3:$D$368,2)</f>
        <v/>
      </c>
      <c r="C84" s="320"/>
      <c r="D84" s="163" t="str">
        <f aca="false">IF($A84="","",SUMIF(Backlog42[Jour ouvert],"&lt;=" &amp; $A84,Backlog42[mineur])-SUMIF(Backlog42[Jour ferme],"&lt;=" &amp; $A84,Backlog42[mineur]))</f>
        <v/>
      </c>
      <c r="E84" s="163" t="str">
        <f aca="false">IF($A84="","",SUMIF(Backlog42[Jour ouvert],"&lt;=" &amp; $A84,Backlog42[MAJEUR])-SUMIF(Backlog42[Jour ferme],"&lt;=" &amp; $A84,Backlog42[MAJEUR]))</f>
        <v/>
      </c>
      <c r="F84" s="163" t="str">
        <f aca="false">IF($A84="","",SUMIF(Backlog42[Jour ouvert],"&lt;=" &amp; $A84,Backlog42[CRITIQUE])-SUMIF(Backlog42[Jour ferme],"&lt;=" &amp; $A84,Backlog42[CRITIQUE]))</f>
        <v/>
      </c>
    </row>
    <row r="85" customFormat="false" ht="16" hidden="false" customHeight="false" outlineLevel="0" collapsed="false">
      <c r="A85" s="326" t="str">
        <f aca="false">IF($A$27&gt;A84,A84+1,"")</f>
        <v/>
      </c>
      <c r="B85" s="320" t="str">
        <f aca="false">VLOOKUP(NC!$A85,Calendriers!$C$3:$D$368,2)</f>
        <v/>
      </c>
      <c r="C85" s="320"/>
      <c r="D85" s="163" t="str">
        <f aca="false">IF($A85="","",SUMIF(Backlog42[Jour ouvert],"&lt;=" &amp; $A85,Backlog42[mineur])-SUMIF(Backlog42[Jour ferme],"&lt;=" &amp; $A85,Backlog42[mineur]))</f>
        <v/>
      </c>
      <c r="E85" s="163" t="str">
        <f aca="false">IF($A85="","",SUMIF(Backlog42[Jour ouvert],"&lt;=" &amp; $A85,Backlog42[MAJEUR])-SUMIF(Backlog42[Jour ferme],"&lt;=" &amp; $A85,Backlog42[MAJEUR]))</f>
        <v/>
      </c>
      <c r="F85" s="163" t="str">
        <f aca="false">IF($A85="","",SUMIF(Backlog42[Jour ouvert],"&lt;=" &amp; $A85,Backlog42[CRITIQUE])-SUMIF(Backlog42[Jour ferme],"&lt;=" &amp; $A85,Backlog42[CRITIQUE]))</f>
        <v/>
      </c>
    </row>
    <row r="86" customFormat="false" ht="16" hidden="false" customHeight="false" outlineLevel="0" collapsed="false">
      <c r="A86" s="326" t="str">
        <f aca="false">IF($A$27&gt;A85,A85+1,"")</f>
        <v/>
      </c>
      <c r="B86" s="320" t="str">
        <f aca="false">VLOOKUP(NC!$A86,Calendriers!$C$3:$D$368,2)</f>
        <v/>
      </c>
      <c r="C86" s="320"/>
      <c r="D86" s="163" t="str">
        <f aca="false">IF($A86="","",SUMIF(Backlog42[Jour ouvert],"&lt;=" &amp; $A86,Backlog42[mineur])-SUMIF(Backlog42[Jour ferme],"&lt;=" &amp; $A86,Backlog42[mineur]))</f>
        <v/>
      </c>
      <c r="E86" s="163" t="str">
        <f aca="false">IF($A86="","",SUMIF(Backlog42[Jour ouvert],"&lt;=" &amp; $A86,Backlog42[MAJEUR])-SUMIF(Backlog42[Jour ferme],"&lt;=" &amp; $A86,Backlog42[MAJEUR]))</f>
        <v/>
      </c>
      <c r="F86" s="163" t="str">
        <f aca="false">IF($A86="","",SUMIF(Backlog42[Jour ouvert],"&lt;=" &amp; $A86,Backlog42[CRITIQUE])-SUMIF(Backlog42[Jour ferme],"&lt;=" &amp; $A86,Backlog42[CRITIQUE]))</f>
        <v/>
      </c>
    </row>
    <row r="87" customFormat="false" ht="16" hidden="false" customHeight="false" outlineLevel="0" collapsed="false">
      <c r="A87" s="326" t="str">
        <f aca="false">IF($A$27&gt;A86,A86+1,"")</f>
        <v/>
      </c>
      <c r="B87" s="320" t="str">
        <f aca="false">VLOOKUP(NC!$A87,Calendriers!$C$3:$D$368,2)</f>
        <v/>
      </c>
      <c r="C87" s="320"/>
      <c r="D87" s="163" t="str">
        <f aca="false">IF($A87="","",SUMIF(Backlog42[Jour ouvert],"&lt;=" &amp; $A87,Backlog42[mineur])-SUMIF(Backlog42[Jour ferme],"&lt;=" &amp; $A87,Backlog42[mineur]))</f>
        <v/>
      </c>
      <c r="E87" s="163" t="str">
        <f aca="false">IF($A87="","",SUMIF(Backlog42[Jour ouvert],"&lt;=" &amp; $A87,Backlog42[MAJEUR])-SUMIF(Backlog42[Jour ferme],"&lt;=" &amp; $A87,Backlog42[MAJEUR]))</f>
        <v/>
      </c>
      <c r="F87" s="163" t="str">
        <f aca="false">IF($A87="","",SUMIF(Backlog42[Jour ouvert],"&lt;=" &amp; $A87,Backlog42[CRITIQUE])-SUMIF(Backlog42[Jour ferme],"&lt;=" &amp; $A87,Backlog42[CRITIQUE]))</f>
        <v/>
      </c>
    </row>
    <row r="88" customFormat="false" ht="16" hidden="false" customHeight="false" outlineLevel="0" collapsed="false">
      <c r="A88" s="326" t="str">
        <f aca="false">IF($A$27&gt;A87,A87+1,"")</f>
        <v/>
      </c>
      <c r="B88" s="320" t="str">
        <f aca="false">VLOOKUP(NC!$A88,Calendriers!$C$3:$D$368,2)</f>
        <v/>
      </c>
      <c r="C88" s="320"/>
      <c r="D88" s="163" t="str">
        <f aca="false">IF($A88="","",SUMIF(Backlog42[Jour ouvert],"&lt;=" &amp; $A88,Backlog42[mineur])-SUMIF(Backlog42[Jour ferme],"&lt;=" &amp; $A88,Backlog42[mineur]))</f>
        <v/>
      </c>
      <c r="E88" s="163" t="str">
        <f aca="false">IF($A88="","",SUMIF(Backlog42[Jour ouvert],"&lt;=" &amp; $A88,Backlog42[MAJEUR])-SUMIF(Backlog42[Jour ferme],"&lt;=" &amp; $A88,Backlog42[MAJEUR]))</f>
        <v/>
      </c>
      <c r="F88" s="163" t="str">
        <f aca="false">IF($A88="","",SUMIF(Backlog42[Jour ouvert],"&lt;=" &amp; $A88,Backlog42[CRITIQUE])-SUMIF(Backlog42[Jour ferme],"&lt;=" &amp; $A88,Backlog42[CRITIQUE]))</f>
        <v/>
      </c>
    </row>
    <row r="89" customFormat="false" ht="16" hidden="false" customHeight="false" outlineLevel="0" collapsed="false">
      <c r="A89" s="326" t="str">
        <f aca="false">IF($A$27&gt;A88,A88+1,"")</f>
        <v/>
      </c>
      <c r="B89" s="320" t="str">
        <f aca="false">VLOOKUP(NC!$A89,Calendriers!$C$3:$D$368,2)</f>
        <v/>
      </c>
      <c r="C89" s="320"/>
      <c r="D89" s="163" t="str">
        <f aca="false">IF($A89="","",SUMIF(Backlog42[Jour ouvert],"&lt;=" &amp; $A89,Backlog42[mineur])-SUMIF(Backlog42[Jour ferme],"&lt;=" &amp; $A89,Backlog42[mineur]))</f>
        <v/>
      </c>
      <c r="E89" s="163" t="str">
        <f aca="false">IF($A89="","",SUMIF(Backlog42[Jour ouvert],"&lt;=" &amp; $A89,Backlog42[MAJEUR])-SUMIF(Backlog42[Jour ferme],"&lt;=" &amp; $A89,Backlog42[MAJEUR]))</f>
        <v/>
      </c>
      <c r="F89" s="163" t="str">
        <f aca="false">IF($A89="","",SUMIF(Backlog42[Jour ouvert],"&lt;=" &amp; $A89,Backlog42[CRITIQUE])-SUMIF(Backlog42[Jour ferme],"&lt;=" &amp; $A89,Backlog42[CRITIQUE]))</f>
        <v/>
      </c>
    </row>
    <row r="90" customFormat="false" ht="16" hidden="false" customHeight="false" outlineLevel="0" collapsed="false">
      <c r="A90" s="326" t="str">
        <f aca="false">IF($A$27&gt;A89,A89+1,"")</f>
        <v/>
      </c>
      <c r="B90" s="320" t="str">
        <f aca="false">VLOOKUP(NC!$A90,Calendriers!$C$3:$D$368,2)</f>
        <v/>
      </c>
      <c r="C90" s="320"/>
      <c r="D90" s="163" t="str">
        <f aca="false">IF($A90="","",SUMIF(Backlog42[Jour ouvert],"&lt;=" &amp; $A90,Backlog42[mineur])-SUMIF(Backlog42[Jour ferme],"&lt;=" &amp; $A90,Backlog42[mineur]))</f>
        <v/>
      </c>
      <c r="E90" s="163" t="str">
        <f aca="false">IF($A90="","",SUMIF(Backlog42[Jour ouvert],"&lt;=" &amp; $A90,Backlog42[MAJEUR])-SUMIF(Backlog42[Jour ferme],"&lt;=" &amp; $A90,Backlog42[MAJEUR]))</f>
        <v/>
      </c>
      <c r="F90" s="163" t="str">
        <f aca="false">IF($A90="","",SUMIF(Backlog42[Jour ouvert],"&lt;=" &amp; $A90,Backlog42[CRITIQUE])-SUMIF(Backlog42[Jour ferme],"&lt;=" &amp; $A90,Backlog42[CRITIQUE]))</f>
        <v/>
      </c>
    </row>
    <row r="91" customFormat="false" ht="16" hidden="false" customHeight="false" outlineLevel="0" collapsed="false">
      <c r="A91" s="326" t="str">
        <f aca="false">IF($A$27&gt;A90,A90+1,"")</f>
        <v/>
      </c>
      <c r="B91" s="320" t="str">
        <f aca="false">VLOOKUP(NC!$A91,Calendriers!$C$3:$D$368,2)</f>
        <v/>
      </c>
      <c r="C91" s="320"/>
      <c r="D91" s="163" t="str">
        <f aca="false">IF($A91="","",SUMIF(Backlog42[Jour ouvert],"&lt;=" &amp; $A91,Backlog42[mineur])-SUMIF(Backlog42[Jour ferme],"&lt;=" &amp; $A91,Backlog42[mineur]))</f>
        <v/>
      </c>
      <c r="E91" s="163" t="str">
        <f aca="false">IF($A91="","",SUMIF(Backlog42[Jour ouvert],"&lt;=" &amp; $A91,Backlog42[MAJEUR])-SUMIF(Backlog42[Jour ferme],"&lt;=" &amp; $A91,Backlog42[MAJEUR]))</f>
        <v/>
      </c>
      <c r="F91" s="163" t="str">
        <f aca="false">IF($A91="","",SUMIF(Backlog42[Jour ouvert],"&lt;=" &amp; $A91,Backlog42[CRITIQUE])-SUMIF(Backlog42[Jour ferme],"&lt;=" &amp; $A91,Backlog42[CRITIQUE]))</f>
        <v/>
      </c>
    </row>
    <row r="92" customFormat="false" ht="16" hidden="false" customHeight="false" outlineLevel="0" collapsed="false">
      <c r="A92" s="326" t="str">
        <f aca="false">IF($A$27&gt;A91,A91+1,"")</f>
        <v/>
      </c>
      <c r="B92" s="320" t="str">
        <f aca="false">VLOOKUP(NC!$A92,Calendriers!$C$3:$D$368,2)</f>
        <v/>
      </c>
      <c r="C92" s="320"/>
      <c r="D92" s="163" t="str">
        <f aca="false">IF($A92="","",SUMIF(Backlog42[Jour ouvert],"&lt;=" &amp; $A92,Backlog42[mineur])-SUMIF(Backlog42[Jour ferme],"&lt;=" &amp; $A92,Backlog42[mineur]))</f>
        <v/>
      </c>
      <c r="E92" s="163" t="str">
        <f aca="false">IF($A92="","",SUMIF(Backlog42[Jour ouvert],"&lt;=" &amp; $A92,Backlog42[MAJEUR])-SUMIF(Backlog42[Jour ferme],"&lt;=" &amp; $A92,Backlog42[MAJEUR]))</f>
        <v/>
      </c>
      <c r="F92" s="163" t="str">
        <f aca="false">IF($A92="","",SUMIF(Backlog42[Jour ouvert],"&lt;=" &amp; $A92,Backlog42[CRITIQUE])-SUMIF(Backlog42[Jour ferme],"&lt;=" &amp; $A92,Backlog42[CRITIQUE]))</f>
        <v/>
      </c>
    </row>
    <row r="93" customFormat="false" ht="16" hidden="false" customHeight="false" outlineLevel="0" collapsed="false">
      <c r="A93" s="326" t="str">
        <f aca="false">IF($A$27&gt;A92,A92+1,"")</f>
        <v/>
      </c>
      <c r="B93" s="320" t="str">
        <f aca="false">VLOOKUP(NC!$A93,Calendriers!$C$3:$D$368,2)</f>
        <v/>
      </c>
      <c r="C93" s="320"/>
      <c r="D93" s="163" t="str">
        <f aca="false">IF($A93="","",SUMIF(Backlog42[Jour ouvert],"&lt;=" &amp; $A93,Backlog42[mineur])-SUMIF(Backlog42[Jour ferme],"&lt;=" &amp; $A93,Backlog42[mineur]))</f>
        <v/>
      </c>
      <c r="E93" s="163" t="str">
        <f aca="false">IF($A93="","",SUMIF(Backlog42[Jour ouvert],"&lt;=" &amp; $A93,Backlog42[MAJEUR])-SUMIF(Backlog42[Jour ferme],"&lt;=" &amp; $A93,Backlog42[MAJEUR]))</f>
        <v/>
      </c>
      <c r="F93" s="163" t="str">
        <f aca="false">IF($A93="","",SUMIF(Backlog42[Jour ouvert],"&lt;=" &amp; $A93,Backlog42[CRITIQUE])-SUMIF(Backlog42[Jour ferme],"&lt;=" &amp; $A93,Backlog42[CRITIQUE]))</f>
        <v/>
      </c>
    </row>
    <row r="94" customFormat="false" ht="16" hidden="false" customHeight="false" outlineLevel="0" collapsed="false">
      <c r="A94" s="326" t="str">
        <f aca="false">IF($A$27&gt;A93,A93+1,"")</f>
        <v/>
      </c>
      <c r="B94" s="320" t="str">
        <f aca="false">VLOOKUP(NC!$A94,Calendriers!$C$3:$D$368,2)</f>
        <v/>
      </c>
      <c r="C94" s="320"/>
      <c r="D94" s="163" t="str">
        <f aca="false">IF($A94="","",SUMIF(Backlog42[Jour ouvert],"&lt;=" &amp; $A94,Backlog42[mineur])-SUMIF(Backlog42[Jour ferme],"&lt;=" &amp; $A94,Backlog42[mineur]))</f>
        <v/>
      </c>
      <c r="E94" s="163" t="str">
        <f aca="false">IF($A94="","",SUMIF(Backlog42[Jour ouvert],"&lt;=" &amp; $A94,Backlog42[MAJEUR])-SUMIF(Backlog42[Jour ferme],"&lt;=" &amp; $A94,Backlog42[MAJEUR]))</f>
        <v/>
      </c>
      <c r="F94" s="163" t="str">
        <f aca="false">IF($A94="","",SUMIF(Backlog42[Jour ouvert],"&lt;=" &amp; $A94,Backlog42[CRITIQUE])-SUMIF(Backlog42[Jour ferme],"&lt;=" &amp; $A94,Backlog42[CRITIQUE]))</f>
        <v/>
      </c>
    </row>
    <row r="95" customFormat="false" ht="16" hidden="false" customHeight="false" outlineLevel="0" collapsed="false">
      <c r="A95" s="326" t="str">
        <f aca="false">IF($A$27&gt;A94,A94+1,"")</f>
        <v/>
      </c>
      <c r="B95" s="320" t="str">
        <f aca="false">VLOOKUP(NC!$A95,Calendriers!$C$3:$D$368,2)</f>
        <v/>
      </c>
      <c r="C95" s="320"/>
      <c r="D95" s="163" t="str">
        <f aca="false">IF($A95="","",SUMIF(Backlog42[Jour ouvert],"&lt;=" &amp; $A95,Backlog42[mineur])-SUMIF(Backlog42[Jour ferme],"&lt;=" &amp; $A95,Backlog42[mineur]))</f>
        <v/>
      </c>
      <c r="E95" s="163" t="str">
        <f aca="false">IF($A95="","",SUMIF(Backlog42[Jour ouvert],"&lt;=" &amp; $A95,Backlog42[MAJEUR])-SUMIF(Backlog42[Jour ferme],"&lt;=" &amp; $A95,Backlog42[MAJEUR]))</f>
        <v/>
      </c>
      <c r="F95" s="163" t="str">
        <f aca="false">IF($A95="","",SUMIF(Backlog42[Jour ouvert],"&lt;=" &amp; $A95,Backlog42[CRITIQUE])-SUMIF(Backlog42[Jour ferme],"&lt;=" &amp; $A95,Backlog42[CRITIQUE]))</f>
        <v/>
      </c>
    </row>
    <row r="96" customFormat="false" ht="16" hidden="false" customHeight="false" outlineLevel="0" collapsed="false">
      <c r="A96" s="326" t="str">
        <f aca="false">IF($A$27&gt;A95,A95+1,"")</f>
        <v/>
      </c>
      <c r="B96" s="320" t="str">
        <f aca="false">VLOOKUP(NC!$A96,Calendriers!$C$3:$D$368,2)</f>
        <v/>
      </c>
      <c r="C96" s="320"/>
      <c r="D96" s="163" t="str">
        <f aca="false">IF($A96="","",SUMIF(Backlog42[Jour ouvert],"&lt;=" &amp; $A96,Backlog42[mineur])-SUMIF(Backlog42[Jour ferme],"&lt;=" &amp; $A96,Backlog42[mineur]))</f>
        <v/>
      </c>
      <c r="E96" s="163" t="str">
        <f aca="false">IF($A96="","",SUMIF(Backlog42[Jour ouvert],"&lt;=" &amp; $A96,Backlog42[MAJEUR])-SUMIF(Backlog42[Jour ferme],"&lt;=" &amp; $A96,Backlog42[MAJEUR]))</f>
        <v/>
      </c>
      <c r="F96" s="163" t="str">
        <f aca="false">IF($A96="","",SUMIF(Backlog42[Jour ouvert],"&lt;=" &amp; $A96,Backlog42[CRITIQUE])-SUMIF(Backlog42[Jour ferme],"&lt;=" &amp; $A96,Backlog42[CRITIQUE]))</f>
        <v/>
      </c>
    </row>
    <row r="97" customFormat="false" ht="16" hidden="false" customHeight="false" outlineLevel="0" collapsed="false">
      <c r="A97" s="326" t="str">
        <f aca="false">IF($A$27&gt;A96,A96+1,"")</f>
        <v/>
      </c>
      <c r="B97" s="320" t="str">
        <f aca="false">VLOOKUP(NC!$A97,Calendriers!$C$3:$D$368,2)</f>
        <v/>
      </c>
      <c r="C97" s="320"/>
      <c r="D97" s="163" t="str">
        <f aca="false">IF($A97="","",SUMIF(Backlog42[Jour ouvert],"&lt;=" &amp; $A97,Backlog42[mineur])-SUMIF(Backlog42[Jour ferme],"&lt;=" &amp; $A97,Backlog42[mineur]))</f>
        <v/>
      </c>
      <c r="E97" s="163" t="str">
        <f aca="false">IF($A97="","",SUMIF(Backlog42[Jour ouvert],"&lt;=" &amp; $A97,Backlog42[MAJEUR])-SUMIF(Backlog42[Jour ferme],"&lt;=" &amp; $A97,Backlog42[MAJEUR]))</f>
        <v/>
      </c>
      <c r="F97" s="163" t="str">
        <f aca="false">IF($A97="","",SUMIF(Backlog42[Jour ouvert],"&lt;=" &amp; $A97,Backlog42[CRITIQUE])-SUMIF(Backlog42[Jour ferme],"&lt;=" &amp; $A97,Backlog42[CRITIQUE]))</f>
        <v/>
      </c>
    </row>
    <row r="98" customFormat="false" ht="16" hidden="false" customHeight="false" outlineLevel="0" collapsed="false">
      <c r="A98" s="326" t="str">
        <f aca="false">IF($A$27&gt;A97,A97+1,"")</f>
        <v/>
      </c>
      <c r="B98" s="320" t="str">
        <f aca="false">VLOOKUP(NC!$A98,Calendriers!$C$3:$D$368,2)</f>
        <v/>
      </c>
      <c r="C98" s="320"/>
      <c r="D98" s="163" t="str">
        <f aca="false">IF($A98="","",SUMIF(Backlog42[Jour ouvert],"&lt;=" &amp; $A98,Backlog42[mineur])-SUMIF(Backlog42[Jour ferme],"&lt;=" &amp; $A98,Backlog42[mineur]))</f>
        <v/>
      </c>
      <c r="E98" s="163" t="str">
        <f aca="false">IF($A98="","",SUMIF(Backlog42[Jour ouvert],"&lt;=" &amp; $A98,Backlog42[MAJEUR])-SUMIF(Backlog42[Jour ferme],"&lt;=" &amp; $A98,Backlog42[MAJEUR]))</f>
        <v/>
      </c>
      <c r="F98" s="163" t="str">
        <f aca="false">IF($A98="","",SUMIF(Backlog42[Jour ouvert],"&lt;=" &amp; $A98,Backlog42[CRITIQUE])-SUMIF(Backlog42[Jour ferme],"&lt;=" &amp; $A98,Backlog42[CRITIQUE]))</f>
        <v/>
      </c>
    </row>
    <row r="99" customFormat="false" ht="16" hidden="false" customHeight="false" outlineLevel="0" collapsed="false">
      <c r="A99" s="326" t="str">
        <f aca="false">IF($A$27&gt;A98,A98+1,"")</f>
        <v/>
      </c>
      <c r="B99" s="320" t="str">
        <f aca="false">VLOOKUP(NC!$A99,Calendriers!$C$3:$D$368,2)</f>
        <v/>
      </c>
      <c r="C99" s="320"/>
      <c r="D99" s="163" t="str">
        <f aca="false">IF($A99="","",SUMIF(Backlog42[Jour ouvert],"&lt;=" &amp; $A99,Backlog42[mineur])-SUMIF(Backlog42[Jour ferme],"&lt;=" &amp; $A99,Backlog42[mineur]))</f>
        <v/>
      </c>
      <c r="E99" s="163" t="str">
        <f aca="false">IF($A99="","",SUMIF(Backlog42[Jour ouvert],"&lt;=" &amp; $A99,Backlog42[MAJEUR])-SUMIF(Backlog42[Jour ferme],"&lt;=" &amp; $A99,Backlog42[MAJEUR]))</f>
        <v/>
      </c>
      <c r="F99" s="163" t="str">
        <f aca="false">IF($A99="","",SUMIF(Backlog42[Jour ouvert],"&lt;=" &amp; $A99,Backlog42[CRITIQUE])-SUMIF(Backlog42[Jour ferme],"&lt;=" &amp; $A99,Backlog42[CRITIQUE]))</f>
        <v/>
      </c>
    </row>
    <row r="100" customFormat="false" ht="16" hidden="false" customHeight="false" outlineLevel="0" collapsed="false">
      <c r="A100" s="326" t="str">
        <f aca="false">IF($A$27&gt;A99,A99+1,"")</f>
        <v/>
      </c>
      <c r="B100" s="320" t="str">
        <f aca="false">VLOOKUP(NC!$A100,Calendriers!$C$3:$D$368,2)</f>
        <v/>
      </c>
      <c r="C100" s="320"/>
      <c r="D100" s="163" t="str">
        <f aca="false">IF($A100="","",SUMIF(Backlog42[Jour ouvert],"&lt;=" &amp; $A100,Backlog42[mineur])-SUMIF(Backlog42[Jour ferme],"&lt;=" &amp; $A100,Backlog42[mineur]))</f>
        <v/>
      </c>
      <c r="E100" s="163" t="str">
        <f aca="false">IF($A100="","",SUMIF(Backlog42[Jour ouvert],"&lt;=" &amp; $A100,Backlog42[MAJEUR])-SUMIF(Backlog42[Jour ferme],"&lt;=" &amp; $A100,Backlog42[MAJEUR]))</f>
        <v/>
      </c>
      <c r="F100" s="163" t="str">
        <f aca="false">IF($A100="","",SUMIF(Backlog42[Jour ouvert],"&lt;=" &amp; $A100,Backlog42[CRITIQUE])-SUMIF(Backlog42[Jour ferme],"&lt;=" &amp; $A100,Backlog42[CRITIQUE]))</f>
        <v/>
      </c>
    </row>
    <row r="101" customFormat="false" ht="16" hidden="false" customHeight="false" outlineLevel="0" collapsed="false">
      <c r="A101" s="326" t="str">
        <f aca="false">IF($A$27&gt;A100,A100+1,"")</f>
        <v/>
      </c>
      <c r="B101" s="320" t="str">
        <f aca="false">VLOOKUP(NC!$A101,Calendriers!$C$3:$D$368,2)</f>
        <v/>
      </c>
      <c r="C101" s="320"/>
      <c r="D101" s="163" t="str">
        <f aca="false">IF($A101="","",SUMIF(Backlog42[Jour ouvert],"&lt;=" &amp; $A101,Backlog42[mineur])-SUMIF(Backlog42[Jour ferme],"&lt;=" &amp; $A101,Backlog42[mineur]))</f>
        <v/>
      </c>
      <c r="E101" s="163" t="str">
        <f aca="false">IF($A101="","",SUMIF(Backlog42[Jour ouvert],"&lt;=" &amp; $A101,Backlog42[MAJEUR])-SUMIF(Backlog42[Jour ferme],"&lt;=" &amp; $A101,Backlog42[MAJEUR]))</f>
        <v/>
      </c>
      <c r="F101" s="163" t="str">
        <f aca="false">IF($A101="","",SUMIF(Backlog42[Jour ouvert],"&lt;=" &amp; $A101,Backlog42[CRITIQUE])-SUMIF(Backlog42[Jour ferme],"&lt;=" &amp; $A101,Backlog42[CRITIQUE]))</f>
        <v/>
      </c>
    </row>
    <row r="102" customFormat="false" ht="16" hidden="false" customHeight="false" outlineLevel="0" collapsed="false">
      <c r="A102" s="326" t="str">
        <f aca="false">IF($A$27&gt;A101,A101+1,"")</f>
        <v/>
      </c>
      <c r="B102" s="320" t="str">
        <f aca="false">VLOOKUP(NC!$A102,Calendriers!$C$3:$D$368,2)</f>
        <v/>
      </c>
      <c r="C102" s="320"/>
      <c r="D102" s="163" t="str">
        <f aca="false">IF($A102="","",SUMIF(Backlog42[Jour ouvert],"&lt;=" &amp; $A102,Backlog42[mineur])-SUMIF(Backlog42[Jour ferme],"&lt;=" &amp; $A102,Backlog42[mineur]))</f>
        <v/>
      </c>
      <c r="E102" s="163" t="str">
        <f aca="false">IF($A102="","",SUMIF(Backlog42[Jour ouvert],"&lt;=" &amp; $A102,Backlog42[MAJEUR])-SUMIF(Backlog42[Jour ferme],"&lt;=" &amp; $A102,Backlog42[MAJEUR]))</f>
        <v/>
      </c>
      <c r="F102" s="163" t="str">
        <f aca="false">IF($A102="","",SUMIF(Backlog42[Jour ouvert],"&lt;=" &amp; $A102,Backlog42[CRITIQUE])-SUMIF(Backlog42[Jour ferme],"&lt;=" &amp; $A102,Backlog42[CRITIQUE]))</f>
        <v/>
      </c>
    </row>
    <row r="103" customFormat="false" ht="16" hidden="false" customHeight="false" outlineLevel="0" collapsed="false">
      <c r="A103" s="326" t="str">
        <f aca="false">IF($A$27&gt;A102,A102+1,"")</f>
        <v/>
      </c>
      <c r="B103" s="320" t="str">
        <f aca="false">VLOOKUP(NC!$A103,Calendriers!$C$3:$D$368,2)</f>
        <v/>
      </c>
      <c r="C103" s="320"/>
      <c r="D103" s="163" t="str">
        <f aca="false">IF($A103="","",SUMIF(Backlog42[Jour ouvert],"&lt;=" &amp; $A103,Backlog42[mineur])-SUMIF(Backlog42[Jour ferme],"&lt;=" &amp; $A103,Backlog42[mineur]))</f>
        <v/>
      </c>
      <c r="E103" s="163" t="str">
        <f aca="false">IF($A103="","",SUMIF(Backlog42[Jour ouvert],"&lt;=" &amp; $A103,Backlog42[MAJEUR])-SUMIF(Backlog42[Jour ferme],"&lt;=" &amp; $A103,Backlog42[MAJEUR]))</f>
        <v/>
      </c>
      <c r="F103" s="163" t="str">
        <f aca="false">IF($A103="","",SUMIF(Backlog42[Jour ouvert],"&lt;=" &amp; $A103,Backlog42[CRITIQUE])-SUMIF(Backlog42[Jour ferme],"&lt;=" &amp; $A103,Backlog42[CRITIQUE]))</f>
        <v/>
      </c>
    </row>
    <row r="104" customFormat="false" ht="16" hidden="false" customHeight="false" outlineLevel="0" collapsed="false">
      <c r="A104" s="326" t="str">
        <f aca="false">IF($A$27&gt;A103,A103+1,"")</f>
        <v/>
      </c>
      <c r="B104" s="320" t="str">
        <f aca="false">VLOOKUP(NC!$A104,Calendriers!$C$3:$D$368,2)</f>
        <v/>
      </c>
      <c r="C104" s="320"/>
      <c r="D104" s="163" t="str">
        <f aca="false">IF($A104="","",SUMIF(Backlog42[Jour ouvert],"&lt;=" &amp; $A104,Backlog42[mineur])-SUMIF(Backlog42[Jour ferme],"&lt;=" &amp; $A104,Backlog42[mineur]))</f>
        <v/>
      </c>
      <c r="E104" s="163" t="str">
        <f aca="false">IF($A104="","",SUMIF(Backlog42[Jour ouvert],"&lt;=" &amp; $A104,Backlog42[MAJEUR])-SUMIF(Backlog42[Jour ferme],"&lt;=" &amp; $A104,Backlog42[MAJEUR]))</f>
        <v/>
      </c>
      <c r="F104" s="163" t="str">
        <f aca="false">IF($A104="","",SUMIF(Backlog42[Jour ouvert],"&lt;=" &amp; $A104,Backlog42[CRITIQUE])-SUMIF(Backlog42[Jour ferme],"&lt;=" &amp; $A104,Backlog42[CRITIQUE]))</f>
        <v/>
      </c>
    </row>
    <row r="105" customFormat="false" ht="16" hidden="false" customHeight="false" outlineLevel="0" collapsed="false">
      <c r="A105" s="326" t="str">
        <f aca="false">IF($A$27&gt;A104,A104+1,"")</f>
        <v/>
      </c>
      <c r="B105" s="320" t="str">
        <f aca="false">VLOOKUP(NC!$A105,Calendriers!$C$3:$D$368,2)</f>
        <v/>
      </c>
      <c r="C105" s="320"/>
      <c r="D105" s="163" t="str">
        <f aca="false">IF($A105="","",SUMIF(Backlog42[Jour ouvert],"&lt;=" &amp; $A105,Backlog42[mineur])-SUMIF(Backlog42[Jour ferme],"&lt;=" &amp; $A105,Backlog42[mineur]))</f>
        <v/>
      </c>
      <c r="E105" s="163" t="str">
        <f aca="false">IF($A105="","",SUMIF(Backlog42[Jour ouvert],"&lt;=" &amp; $A105,Backlog42[MAJEUR])-SUMIF(Backlog42[Jour ferme],"&lt;=" &amp; $A105,Backlog42[MAJEUR]))</f>
        <v/>
      </c>
      <c r="F105" s="163" t="str">
        <f aca="false">IF($A105="","",SUMIF(Backlog42[Jour ouvert],"&lt;=" &amp; $A105,Backlog42[CRITIQUE])-SUMIF(Backlog42[Jour ferme],"&lt;=" &amp; $A105,Backlog42[CRITIQUE]))</f>
        <v/>
      </c>
    </row>
    <row r="106" customFormat="false" ht="16" hidden="false" customHeight="false" outlineLevel="0" collapsed="false">
      <c r="A106" s="326" t="str">
        <f aca="false">IF($A$27&gt;A105,A105+1,"")</f>
        <v/>
      </c>
      <c r="B106" s="320" t="str">
        <f aca="false">VLOOKUP(NC!$A106,Calendriers!$C$3:$D$368,2)</f>
        <v/>
      </c>
      <c r="C106" s="320"/>
      <c r="D106" s="163" t="str">
        <f aca="false">IF($A106="","",SUMIF(Backlog42[Jour ouvert],"&lt;=" &amp; $A106,Backlog42[mineur])-SUMIF(Backlog42[Jour ferme],"&lt;=" &amp; $A106,Backlog42[mineur]))</f>
        <v/>
      </c>
      <c r="E106" s="163" t="str">
        <f aca="false">IF($A106="","",SUMIF(Backlog42[Jour ouvert],"&lt;=" &amp; $A106,Backlog42[MAJEUR])-SUMIF(Backlog42[Jour ferme],"&lt;=" &amp; $A106,Backlog42[MAJEUR]))</f>
        <v/>
      </c>
      <c r="F106" s="163" t="str">
        <f aca="false">IF($A106="","",SUMIF(Backlog42[Jour ouvert],"&lt;=" &amp; $A106,Backlog42[CRITIQUE])-SUMIF(Backlog42[Jour ferme],"&lt;=" &amp; $A106,Backlog42[CRITIQUE]))</f>
        <v/>
      </c>
    </row>
    <row r="107" customFormat="false" ht="16" hidden="false" customHeight="false" outlineLevel="0" collapsed="false">
      <c r="A107" s="326" t="str">
        <f aca="false">IF($A$27&gt;A106,A106+1,"")</f>
        <v/>
      </c>
      <c r="B107" s="320" t="str">
        <f aca="false">VLOOKUP(NC!$A107,Calendriers!$C$3:$D$368,2)</f>
        <v/>
      </c>
      <c r="C107" s="320"/>
      <c r="D107" s="163" t="str">
        <f aca="false">IF($A107="","",SUMIF(Backlog42[Jour ouvert],"&lt;=" &amp; $A107,Backlog42[mineur])-SUMIF(Backlog42[Jour ferme],"&lt;=" &amp; $A107,Backlog42[mineur]))</f>
        <v/>
      </c>
      <c r="E107" s="163" t="str">
        <f aca="false">IF($A107="","",SUMIF(Backlog42[Jour ouvert],"&lt;=" &amp; $A107,Backlog42[MAJEUR])-SUMIF(Backlog42[Jour ferme],"&lt;=" &amp; $A107,Backlog42[MAJEUR]))</f>
        <v/>
      </c>
      <c r="F107" s="163" t="str">
        <f aca="false">IF($A107="","",SUMIF(Backlog42[Jour ouvert],"&lt;=" &amp; $A107,Backlog42[CRITIQUE])-SUMIF(Backlog42[Jour ferme],"&lt;=" &amp; $A107,Backlog42[CRITIQUE]))</f>
        <v/>
      </c>
    </row>
    <row r="108" customFormat="false" ht="16" hidden="false" customHeight="false" outlineLevel="0" collapsed="false">
      <c r="A108" s="326" t="str">
        <f aca="false">IF($A$27&gt;A107,A107+1,"")</f>
        <v/>
      </c>
      <c r="B108" s="320" t="str">
        <f aca="false">VLOOKUP(NC!$A108,Calendriers!$C$3:$D$368,2)</f>
        <v/>
      </c>
      <c r="C108" s="320"/>
      <c r="D108" s="163" t="str">
        <f aca="false">IF($A108="","",SUMIF(Backlog42[Jour ouvert],"&lt;=" &amp; $A108,Backlog42[mineur])-SUMIF(Backlog42[Jour ferme],"&lt;=" &amp; $A108,Backlog42[mineur]))</f>
        <v/>
      </c>
      <c r="E108" s="163" t="str">
        <f aca="false">IF($A108="","",SUMIF(Backlog42[Jour ouvert],"&lt;=" &amp; $A108,Backlog42[MAJEUR])-SUMIF(Backlog42[Jour ferme],"&lt;=" &amp; $A108,Backlog42[MAJEUR]))</f>
        <v/>
      </c>
      <c r="F108" s="163" t="str">
        <f aca="false">IF($A108="","",SUMIF(Backlog42[Jour ouvert],"&lt;=" &amp; $A108,Backlog42[CRITIQUE])-SUMIF(Backlog42[Jour ferme],"&lt;=" &amp; $A108,Backlog42[CRITIQUE]))</f>
        <v/>
      </c>
    </row>
    <row r="109" customFormat="false" ht="16" hidden="false" customHeight="false" outlineLevel="0" collapsed="false">
      <c r="A109" s="326" t="str">
        <f aca="false">IF($A$27&gt;A108,A108+1,"")</f>
        <v/>
      </c>
      <c r="B109" s="320" t="str">
        <f aca="false">VLOOKUP(NC!$A109,Calendriers!$C$3:$D$368,2)</f>
        <v/>
      </c>
      <c r="C109" s="320"/>
      <c r="D109" s="163" t="str">
        <f aca="false">IF($A109="","",SUMIF(Backlog42[Jour ouvert],"&lt;=" &amp; $A109,Backlog42[mineur])-SUMIF(Backlog42[Jour ferme],"&lt;=" &amp; $A109,Backlog42[mineur]))</f>
        <v/>
      </c>
      <c r="E109" s="163" t="str">
        <f aca="false">IF($A109="","",SUMIF(Backlog42[Jour ouvert],"&lt;=" &amp; $A109,Backlog42[MAJEUR])-SUMIF(Backlog42[Jour ferme],"&lt;=" &amp; $A109,Backlog42[MAJEUR]))</f>
        <v/>
      </c>
      <c r="F109" s="163" t="str">
        <f aca="false">IF($A109="","",SUMIF(Backlog42[Jour ouvert],"&lt;=" &amp; $A109,Backlog42[CRITIQUE])-SUMIF(Backlog42[Jour ferme],"&lt;=" &amp; $A109,Backlog42[CRITIQUE]))</f>
        <v/>
      </c>
    </row>
    <row r="110" customFormat="false" ht="16" hidden="false" customHeight="false" outlineLevel="0" collapsed="false">
      <c r="A110" s="326" t="str">
        <f aca="false">IF($A$27&gt;A109,A109+1,"")</f>
        <v/>
      </c>
      <c r="B110" s="320" t="str">
        <f aca="false">VLOOKUP(NC!$A110,Calendriers!$C$3:$D$368,2)</f>
        <v/>
      </c>
      <c r="C110" s="320"/>
      <c r="D110" s="163" t="str">
        <f aca="false">IF($A110="","",SUMIF(Backlog42[Jour ouvert],"&lt;=" &amp; $A110,Backlog42[mineur])-SUMIF(Backlog42[Jour ferme],"&lt;=" &amp; $A110,Backlog42[mineur]))</f>
        <v/>
      </c>
      <c r="E110" s="163" t="str">
        <f aca="false">IF($A110="","",SUMIF(Backlog42[Jour ouvert],"&lt;=" &amp; $A110,Backlog42[MAJEUR])-SUMIF(Backlog42[Jour ferme],"&lt;=" &amp; $A110,Backlog42[MAJEUR]))</f>
        <v/>
      </c>
      <c r="F110" s="163" t="str">
        <f aca="false">IF($A110="","",SUMIF(Backlog42[Jour ouvert],"&lt;=" &amp; $A110,Backlog42[CRITIQUE])-SUMIF(Backlog42[Jour ferme],"&lt;=" &amp; $A110,Backlog42[CRITIQUE]))</f>
        <v/>
      </c>
    </row>
    <row r="111" customFormat="false" ht="16" hidden="false" customHeight="false" outlineLevel="0" collapsed="false">
      <c r="A111" s="326" t="str">
        <f aca="false">IF($A$27&gt;A110,A110+1,"")</f>
        <v/>
      </c>
      <c r="B111" s="320" t="str">
        <f aca="false">VLOOKUP(NC!$A111,Calendriers!$C$3:$D$368,2)</f>
        <v/>
      </c>
      <c r="C111" s="320"/>
      <c r="D111" s="163" t="str">
        <f aca="false">IF($A111="","",SUMIF(Backlog42[Jour ouvert],"&lt;=" &amp; $A111,Backlog42[mineur])-SUMIF(Backlog42[Jour ferme],"&lt;=" &amp; $A111,Backlog42[mineur]))</f>
        <v/>
      </c>
      <c r="E111" s="163" t="str">
        <f aca="false">IF($A111="","",SUMIF(Backlog42[Jour ouvert],"&lt;=" &amp; $A111,Backlog42[MAJEUR])-SUMIF(Backlog42[Jour ferme],"&lt;=" &amp; $A111,Backlog42[MAJEUR]))</f>
        <v/>
      </c>
      <c r="F111" s="163" t="str">
        <f aca="false">IF($A111="","",SUMIF(Backlog42[Jour ouvert],"&lt;=" &amp; $A111,Backlog42[CRITIQUE])-SUMIF(Backlog42[Jour ferme],"&lt;=" &amp; $A111,Backlog42[CRITIQUE]))</f>
        <v/>
      </c>
    </row>
    <row r="112" customFormat="false" ht="16" hidden="false" customHeight="false" outlineLevel="0" collapsed="false">
      <c r="A112" s="326" t="str">
        <f aca="false">IF($A$27&gt;A111,A111+1,"")</f>
        <v/>
      </c>
      <c r="B112" s="320" t="str">
        <f aca="false">VLOOKUP(NC!$A112,Calendriers!$C$3:$D$368,2)</f>
        <v/>
      </c>
      <c r="C112" s="320"/>
      <c r="D112" s="163" t="str">
        <f aca="false">IF($A112="","",SUMIF(Backlog42[Jour ouvert],"&lt;=" &amp; $A112,Backlog42[mineur])-SUMIF(Backlog42[Jour ferme],"&lt;=" &amp; $A112,Backlog42[mineur]))</f>
        <v/>
      </c>
      <c r="E112" s="163" t="str">
        <f aca="false">IF($A112="","",SUMIF(Backlog42[Jour ouvert],"&lt;=" &amp; $A112,Backlog42[MAJEUR])-SUMIF(Backlog42[Jour ferme],"&lt;=" &amp; $A112,Backlog42[MAJEUR]))</f>
        <v/>
      </c>
      <c r="F112" s="163" t="str">
        <f aca="false">IF($A112="","",SUMIF(Backlog42[Jour ouvert],"&lt;=" &amp; $A112,Backlog42[CRITIQUE])-SUMIF(Backlog42[Jour ferme],"&lt;=" &amp; $A112,Backlog42[CRITIQUE]))</f>
        <v/>
      </c>
    </row>
    <row r="113" customFormat="false" ht="16" hidden="false" customHeight="false" outlineLevel="0" collapsed="false">
      <c r="A113" s="326" t="str">
        <f aca="false">IF($A$27&gt;A112,A112+1,"")</f>
        <v/>
      </c>
      <c r="B113" s="320" t="str">
        <f aca="false">VLOOKUP(NC!$A113,Calendriers!$C$3:$D$368,2)</f>
        <v/>
      </c>
      <c r="C113" s="320"/>
      <c r="D113" s="163" t="str">
        <f aca="false">IF($A113="","",SUMIF(Backlog42[Jour ouvert],"&lt;=" &amp; $A113,Backlog42[mineur])-SUMIF(Backlog42[Jour ferme],"&lt;=" &amp; $A113,Backlog42[mineur]))</f>
        <v/>
      </c>
      <c r="E113" s="163" t="str">
        <f aca="false">IF($A113="","",SUMIF(Backlog42[Jour ouvert],"&lt;=" &amp; $A113,Backlog42[MAJEUR])-SUMIF(Backlog42[Jour ferme],"&lt;=" &amp; $A113,Backlog42[MAJEUR]))</f>
        <v/>
      </c>
      <c r="F113" s="163" t="str">
        <f aca="false">IF($A113="","",SUMIF(Backlog42[Jour ouvert],"&lt;=" &amp; $A113,Backlog42[CRITIQUE])-SUMIF(Backlog42[Jour ferme],"&lt;=" &amp; $A113,Backlog42[CRITIQUE]))</f>
        <v/>
      </c>
    </row>
    <row r="114" customFormat="false" ht="16" hidden="false" customHeight="false" outlineLevel="0" collapsed="false">
      <c r="A114" s="326" t="str">
        <f aca="false">IF($A$27&gt;A113,A113+1,"")</f>
        <v/>
      </c>
      <c r="B114" s="320" t="str">
        <f aca="false">VLOOKUP(NC!$A114,Calendriers!$C$3:$D$368,2)</f>
        <v/>
      </c>
      <c r="C114" s="320"/>
      <c r="D114" s="163" t="str">
        <f aca="false">IF($A114="","",SUMIF(Backlog42[Jour ouvert],"&lt;=" &amp; $A114,Backlog42[mineur])-SUMIF(Backlog42[Jour ferme],"&lt;=" &amp; $A114,Backlog42[mineur]))</f>
        <v/>
      </c>
      <c r="E114" s="163" t="str">
        <f aca="false">IF($A114="","",SUMIF(Backlog42[Jour ouvert],"&lt;=" &amp; $A114,Backlog42[MAJEUR])-SUMIF(Backlog42[Jour ferme],"&lt;=" &amp; $A114,Backlog42[MAJEUR]))</f>
        <v/>
      </c>
      <c r="F114" s="163" t="str">
        <f aca="false">IF($A114="","",SUMIF(Backlog42[Jour ouvert],"&lt;=" &amp; $A114,Backlog42[CRITIQUE])-SUMIF(Backlog42[Jour ferme],"&lt;=" &amp; $A114,Backlog42[CRITIQUE]))</f>
        <v/>
      </c>
    </row>
    <row r="115" customFormat="false" ht="16" hidden="false" customHeight="false" outlineLevel="0" collapsed="false">
      <c r="A115" s="326" t="str">
        <f aca="false">IF($A$27&gt;A114,A114+1,"")</f>
        <v/>
      </c>
      <c r="B115" s="320" t="str">
        <f aca="false">VLOOKUP(NC!$A115,Calendriers!$C$3:$D$368,2)</f>
        <v/>
      </c>
      <c r="C115" s="320"/>
      <c r="D115" s="163" t="str">
        <f aca="false">IF($A115="","",SUMIF(Backlog42[Jour ouvert],"&lt;=" &amp; $A115,Backlog42[mineur])-SUMIF(Backlog42[Jour ferme],"&lt;=" &amp; $A115,Backlog42[mineur]))</f>
        <v/>
      </c>
      <c r="E115" s="163" t="str">
        <f aca="false">IF($A115="","",SUMIF(Backlog42[Jour ouvert],"&lt;=" &amp; $A115,Backlog42[MAJEUR])-SUMIF(Backlog42[Jour ferme],"&lt;=" &amp; $A115,Backlog42[MAJEUR]))</f>
        <v/>
      </c>
      <c r="F115" s="163" t="str">
        <f aca="false">IF($A115="","",SUMIF(Backlog42[Jour ouvert],"&lt;=" &amp; $A115,Backlog42[CRITIQUE])-SUMIF(Backlog42[Jour ferme],"&lt;=" &amp; $A115,Backlog42[CRITIQUE]))</f>
        <v/>
      </c>
    </row>
    <row r="116" customFormat="false" ht="16" hidden="false" customHeight="false" outlineLevel="0" collapsed="false">
      <c r="A116" s="326" t="str">
        <f aca="false">IF($A$27&gt;A115,A115+1,"")</f>
        <v/>
      </c>
      <c r="B116" s="320" t="str">
        <f aca="false">VLOOKUP(NC!$A116,Calendriers!$C$3:$D$368,2)</f>
        <v/>
      </c>
      <c r="C116" s="320"/>
      <c r="D116" s="163" t="str">
        <f aca="false">IF($A116="","",SUMIF(Backlog42[Jour ouvert],"&lt;=" &amp; $A116,Backlog42[mineur])-SUMIF(Backlog42[Jour ferme],"&lt;=" &amp; $A116,Backlog42[mineur]))</f>
        <v/>
      </c>
      <c r="E116" s="163" t="str">
        <f aca="false">IF($A116="","",SUMIF(Backlog42[Jour ouvert],"&lt;=" &amp; $A116,Backlog42[MAJEUR])-SUMIF(Backlog42[Jour ferme],"&lt;=" &amp; $A116,Backlog42[MAJEUR]))</f>
        <v/>
      </c>
      <c r="F116" s="163" t="str">
        <f aca="false">IF($A116="","",SUMIF(Backlog42[Jour ouvert],"&lt;=" &amp; $A116,Backlog42[CRITIQUE])-SUMIF(Backlog42[Jour ferme],"&lt;=" &amp; $A116,Backlog42[CRITIQUE]))</f>
        <v/>
      </c>
    </row>
    <row r="117" customFormat="false" ht="16" hidden="false" customHeight="false" outlineLevel="0" collapsed="false">
      <c r="A117" s="326" t="str">
        <f aca="false">IF($A$27&gt;A116,A116+1,"")</f>
        <v/>
      </c>
      <c r="B117" s="320" t="str">
        <f aca="false">VLOOKUP(NC!$A117,Calendriers!$C$3:$D$368,2)</f>
        <v/>
      </c>
      <c r="C117" s="320"/>
      <c r="D117" s="163" t="str">
        <f aca="false">IF($A117="","",SUMIF(Backlog42[Jour ouvert],"&lt;=" &amp; $A117,Backlog42[mineur])-SUMIF(Backlog42[Jour ferme],"&lt;=" &amp; $A117,Backlog42[mineur]))</f>
        <v/>
      </c>
      <c r="E117" s="163" t="str">
        <f aca="false">IF($A117="","",SUMIF(Backlog42[Jour ouvert],"&lt;=" &amp; $A117,Backlog42[MAJEUR])-SUMIF(Backlog42[Jour ferme],"&lt;=" &amp; $A117,Backlog42[MAJEUR]))</f>
        <v/>
      </c>
      <c r="F117" s="163" t="str">
        <f aca="false">IF($A117="","",SUMIF(Backlog42[Jour ouvert],"&lt;=" &amp; $A117,Backlog42[CRITIQUE])-SUMIF(Backlog42[Jour ferme],"&lt;=" &amp; $A117,Backlog42[CRITIQUE]))</f>
        <v/>
      </c>
    </row>
    <row r="118" customFormat="false" ht="16" hidden="false" customHeight="false" outlineLevel="0" collapsed="false">
      <c r="A118" s="326" t="str">
        <f aca="false">IF($A$27&gt;A117,A117+1,"")</f>
        <v/>
      </c>
      <c r="B118" s="320" t="str">
        <f aca="false">VLOOKUP(NC!$A118,Calendriers!$C$3:$D$368,2)</f>
        <v/>
      </c>
      <c r="C118" s="320"/>
      <c r="D118" s="163" t="str">
        <f aca="false">IF($A118="","",SUMIF(Backlog42[Jour ouvert],"&lt;=" &amp; $A118,Backlog42[mineur])-SUMIF(Backlog42[Jour ferme],"&lt;=" &amp; $A118,Backlog42[mineur]))</f>
        <v/>
      </c>
      <c r="E118" s="163" t="str">
        <f aca="false">IF($A118="","",SUMIF(Backlog42[Jour ouvert],"&lt;=" &amp; $A118,Backlog42[MAJEUR])-SUMIF(Backlog42[Jour ferme],"&lt;=" &amp; $A118,Backlog42[MAJEUR]))</f>
        <v/>
      </c>
      <c r="F118" s="163" t="str">
        <f aca="false">IF($A118="","",SUMIF(Backlog42[Jour ouvert],"&lt;=" &amp; $A118,Backlog42[CRITIQUE])-SUMIF(Backlog42[Jour ferme],"&lt;=" &amp; $A118,Backlog42[CRITIQUE]))</f>
        <v/>
      </c>
    </row>
    <row r="119" customFormat="false" ht="16" hidden="false" customHeight="false" outlineLevel="0" collapsed="false">
      <c r="A119" s="326" t="str">
        <f aca="false">IF($A$27&gt;A118,A118+1,"")</f>
        <v/>
      </c>
      <c r="B119" s="320" t="str">
        <f aca="false">VLOOKUP(NC!$A119,Calendriers!$C$3:$D$368,2)</f>
        <v/>
      </c>
      <c r="C119" s="320"/>
      <c r="D119" s="163" t="str">
        <f aca="false">IF($A119="","",SUMIF(Backlog42[Jour ouvert],"&lt;=" &amp; $A119,Backlog42[mineur])-SUMIF(Backlog42[Jour ferme],"&lt;=" &amp; $A119,Backlog42[mineur]))</f>
        <v/>
      </c>
      <c r="E119" s="163" t="str">
        <f aca="false">IF($A119="","",SUMIF(Backlog42[Jour ouvert],"&lt;=" &amp; $A119,Backlog42[MAJEUR])-SUMIF(Backlog42[Jour ferme],"&lt;=" &amp; $A119,Backlog42[MAJEUR]))</f>
        <v/>
      </c>
      <c r="F119" s="163" t="str">
        <f aca="false">IF($A119="","",SUMIF(Backlog42[Jour ouvert],"&lt;=" &amp; $A119,Backlog42[CRITIQUE])-SUMIF(Backlog42[Jour ferme],"&lt;=" &amp; $A119,Backlog42[CRITIQUE]))</f>
        <v/>
      </c>
    </row>
    <row r="120" customFormat="false" ht="16" hidden="false" customHeight="false" outlineLevel="0" collapsed="false">
      <c r="A120" s="326" t="str">
        <f aca="false">IF($A$27&gt;A119,A119+1,"")</f>
        <v/>
      </c>
      <c r="B120" s="320" t="str">
        <f aca="false">VLOOKUP(NC!$A120,Calendriers!$C$3:$D$368,2)</f>
        <v/>
      </c>
      <c r="C120" s="320"/>
      <c r="D120" s="163" t="str">
        <f aca="false">IF($A120="","",SUMIF(Backlog42[Jour ouvert],"&lt;=" &amp; $A120,Backlog42[mineur])-SUMIF(Backlog42[Jour ferme],"&lt;=" &amp; $A120,Backlog42[mineur]))</f>
        <v/>
      </c>
      <c r="E120" s="163" t="str">
        <f aca="false">IF($A120="","",SUMIF(Backlog42[Jour ouvert],"&lt;=" &amp; $A120,Backlog42[MAJEUR])-SUMIF(Backlog42[Jour ferme],"&lt;=" &amp; $A120,Backlog42[MAJEUR]))</f>
        <v/>
      </c>
      <c r="F120" s="163" t="str">
        <f aca="false">IF($A120="","",SUMIF(Backlog42[Jour ouvert],"&lt;=" &amp; $A120,Backlog42[CRITIQUE])-SUMIF(Backlog42[Jour ferme],"&lt;=" &amp; $A120,Backlog42[CRITIQUE]))</f>
        <v/>
      </c>
    </row>
    <row r="121" customFormat="false" ht="16" hidden="false" customHeight="false" outlineLevel="0" collapsed="false">
      <c r="A121" s="326" t="str">
        <f aca="false">IF($A$27&gt;A120,A120+1,"")</f>
        <v/>
      </c>
      <c r="B121" s="320" t="str">
        <f aca="false">VLOOKUP(NC!$A121,Calendriers!$C$3:$D$368,2)</f>
        <v/>
      </c>
      <c r="C121" s="320"/>
      <c r="D121" s="163" t="str">
        <f aca="false">IF($A121="","",SUMIF(Backlog42[Jour ouvert],"&lt;=" &amp; $A121,Backlog42[mineur])-SUMIF(Backlog42[Jour ferme],"&lt;=" &amp; $A121,Backlog42[mineur]))</f>
        <v/>
      </c>
      <c r="E121" s="163" t="str">
        <f aca="false">IF($A121="","",SUMIF(Backlog42[Jour ouvert],"&lt;=" &amp; $A121,Backlog42[MAJEUR])-SUMIF(Backlog42[Jour ferme],"&lt;=" &amp; $A121,Backlog42[MAJEUR]))</f>
        <v/>
      </c>
      <c r="F121" s="163" t="str">
        <f aca="false">IF($A121="","",SUMIF(Backlog42[Jour ouvert],"&lt;=" &amp; $A121,Backlog42[CRITIQUE])-SUMIF(Backlog42[Jour ferme],"&lt;=" &amp; $A121,Backlog42[CRITIQUE]))</f>
        <v/>
      </c>
    </row>
    <row r="122" customFormat="false" ht="16" hidden="false" customHeight="false" outlineLevel="0" collapsed="false">
      <c r="A122" s="326" t="str">
        <f aca="false">IF($A$27&gt;A121,A121+1,"")</f>
        <v/>
      </c>
      <c r="B122" s="320" t="str">
        <f aca="false">VLOOKUP(NC!$A122,Calendriers!$C$3:$D$368,2)</f>
        <v/>
      </c>
      <c r="C122" s="320"/>
      <c r="D122" s="163" t="str">
        <f aca="false">IF($A122="","",SUMIF(Backlog42[Jour ouvert],"&lt;=" &amp; $A122,Backlog42[mineur])-SUMIF(Backlog42[Jour ferme],"&lt;=" &amp; $A122,Backlog42[mineur]))</f>
        <v/>
      </c>
      <c r="E122" s="163" t="str">
        <f aca="false">IF($A122="","",SUMIF(Backlog42[Jour ouvert],"&lt;=" &amp; $A122,Backlog42[MAJEUR])-SUMIF(Backlog42[Jour ferme],"&lt;=" &amp; $A122,Backlog42[MAJEUR]))</f>
        <v/>
      </c>
      <c r="F122" s="163" t="str">
        <f aca="false">IF($A122="","",SUMIF(Backlog42[Jour ouvert],"&lt;=" &amp; $A122,Backlog42[CRITIQUE])-SUMIF(Backlog42[Jour ferme],"&lt;=" &amp; $A122,Backlog42[CRITIQUE]))</f>
        <v/>
      </c>
    </row>
    <row r="123" customFormat="false" ht="16" hidden="false" customHeight="false" outlineLevel="0" collapsed="false">
      <c r="A123" s="326" t="str">
        <f aca="false">IF($A$27&gt;A122,A122+1,"")</f>
        <v/>
      </c>
      <c r="B123" s="320" t="str">
        <f aca="false">VLOOKUP(NC!$A123,Calendriers!$C$3:$D$368,2)</f>
        <v/>
      </c>
      <c r="C123" s="163"/>
      <c r="D123" s="163" t="str">
        <f aca="false">IF($A123="","",SUMIF(Backlog42[Jour ouvert],"&lt;=" &amp; $A123,Backlog42[mineur])-SUMIF(Backlog42[Jour ferme],"&lt;=" &amp; $A123,Backlog42[mineur]))</f>
        <v/>
      </c>
      <c r="E123" s="163" t="str">
        <f aca="false">IF($A123="","",SUMIF(Backlog42[Jour ouvert],"&lt;=" &amp; $A123,Backlog42[MAJEUR])-SUMIF(Backlog42[Jour ferme],"&lt;=" &amp; $A123,Backlog42[MAJEUR]))</f>
        <v/>
      </c>
      <c r="F123" s="163" t="str">
        <f aca="false">IF($A123="","",SUMIF(Backlog42[Jour ouvert],"&lt;=" &amp; $A123,Backlog42[CRITIQUE])-SUMIF(Backlog42[Jour ferme],"&lt;=" &amp; $A123,Backlog42[CRITIQUE]))</f>
        <v/>
      </c>
    </row>
    <row r="124" customFormat="false" ht="16" hidden="false" customHeight="false" outlineLevel="0" collapsed="false">
      <c r="A124" s="326" t="str">
        <f aca="false">IF($A$27&gt;A123,A123+1,"")</f>
        <v/>
      </c>
      <c r="B124" s="320" t="str">
        <f aca="false">VLOOKUP(NC!$A124,Calendriers!$C$3:$D$368,2)</f>
        <v/>
      </c>
      <c r="C124" s="163"/>
      <c r="D124" s="163" t="str">
        <f aca="false">IF($A124="","",SUMIF(Backlog42[Jour ouvert],"&lt;=" &amp; $A124,Backlog42[mineur])-SUMIF(Backlog42[Jour ferme],"&lt;=" &amp; $A124,Backlog42[mineur]))</f>
        <v/>
      </c>
      <c r="E124" s="163" t="str">
        <f aca="false">IF($A124="","",SUMIF(Backlog42[Jour ouvert],"&lt;=" &amp; $A124,Backlog42[MAJEUR])-SUMIF(Backlog42[Jour ferme],"&lt;=" &amp; $A124,Backlog42[MAJEUR]))</f>
        <v/>
      </c>
      <c r="F124" s="163" t="str">
        <f aca="false">IF($A124="","",SUMIF(Backlog42[Jour ouvert],"&lt;=" &amp; $A124,Backlog42[CRITIQUE])-SUMIF(Backlog42[Jour ferme],"&lt;=" &amp; $A124,Backlog42[CRITIQUE]))</f>
        <v/>
      </c>
    </row>
    <row r="125" customFormat="false" ht="16" hidden="false" customHeight="false" outlineLevel="0" collapsed="false">
      <c r="A125" s="326" t="str">
        <f aca="false">IF($A$27&gt;A124,A124+1,"")</f>
        <v/>
      </c>
      <c r="B125" s="320" t="str">
        <f aca="false">VLOOKUP(NC!$A125,Calendriers!$C$3:$D$368,2)</f>
        <v/>
      </c>
      <c r="C125" s="163"/>
      <c r="D125" s="163" t="str">
        <f aca="false">IF($A125="","",SUMIF(Backlog42[Jour ouvert],"&lt;=" &amp; $A125,Backlog42[mineur])-SUMIF(Backlog42[Jour ferme],"&lt;=" &amp; $A125,Backlog42[mineur]))</f>
        <v/>
      </c>
      <c r="E125" s="163" t="str">
        <f aca="false">IF($A125="","",SUMIF(Backlog42[Jour ouvert],"&lt;=" &amp; $A125,Backlog42[MAJEUR])-SUMIF(Backlog42[Jour ferme],"&lt;=" &amp; $A125,Backlog42[MAJEUR]))</f>
        <v/>
      </c>
      <c r="F125" s="163" t="str">
        <f aca="false">IF($A125="","",SUMIF(Backlog42[Jour ouvert],"&lt;=" &amp; $A125,Backlog42[CRITIQUE])-SUMIF(Backlog42[Jour ferme],"&lt;=" &amp; $A125,Backlog42[CRITIQUE]))</f>
        <v/>
      </c>
    </row>
    <row r="126" customFormat="false" ht="16" hidden="false" customHeight="false" outlineLevel="0" collapsed="false">
      <c r="A126" s="326" t="str">
        <f aca="false">IF($A$27&gt;A125,A125+1,"")</f>
        <v/>
      </c>
      <c r="B126" s="320" t="str">
        <f aca="false">VLOOKUP(NC!$A126,Calendriers!$C$3:$D$368,2)</f>
        <v/>
      </c>
      <c r="C126" s="163"/>
      <c r="D126" s="163" t="str">
        <f aca="false">IF($A126="","",SUMIF(Backlog42[Jour ouvert],"&lt;=" &amp; $A126,Backlog42[mineur])-SUMIF(Backlog42[Jour ferme],"&lt;=" &amp; $A126,Backlog42[mineur]))</f>
        <v/>
      </c>
      <c r="E126" s="163" t="str">
        <f aca="false">IF($A126="","",SUMIF(Backlog42[Jour ouvert],"&lt;=" &amp; $A126,Backlog42[MAJEUR])-SUMIF(Backlog42[Jour ferme],"&lt;=" &amp; $A126,Backlog42[MAJEUR]))</f>
        <v/>
      </c>
      <c r="F126" s="163" t="str">
        <f aca="false">IF($A126="","",SUMIF(Backlog42[Jour ouvert],"&lt;=" &amp; $A126,Backlog42[CRITIQUE])-SUMIF(Backlog42[Jour ferme],"&lt;=" &amp; $A126,Backlog42[CRITIQUE]))</f>
        <v/>
      </c>
    </row>
    <row r="127" customFormat="false" ht="16" hidden="false" customHeight="false" outlineLevel="0" collapsed="false">
      <c r="A127" s="326" t="str">
        <f aca="false">IF($A$27&gt;A126,A126+1,"")</f>
        <v/>
      </c>
      <c r="B127" s="320" t="str">
        <f aca="false">VLOOKUP(NC!$A127,Calendriers!$C$3:$D$368,2)</f>
        <v/>
      </c>
      <c r="C127" s="163"/>
      <c r="D127" s="163" t="str">
        <f aca="false">IF($A127="","",SUMIF(Backlog42[Jour ouvert],"&lt;=" &amp; $A127,Backlog42[mineur])-SUMIF(Backlog42[Jour ferme],"&lt;=" &amp; $A127,Backlog42[mineur]))</f>
        <v/>
      </c>
      <c r="E127" s="163" t="str">
        <f aca="false">IF($A127="","",SUMIF(Backlog42[Jour ouvert],"&lt;=" &amp; $A127,Backlog42[MAJEUR])-SUMIF(Backlog42[Jour ferme],"&lt;=" &amp; $A127,Backlog42[MAJEUR]))</f>
        <v/>
      </c>
      <c r="F127" s="163" t="str">
        <f aca="false">IF($A127="","",SUMIF(Backlog42[Jour ouvert],"&lt;=" &amp; $A127,Backlog42[CRITIQUE])-SUMIF(Backlog42[Jour ferme],"&lt;=" &amp; $A127,Backlog42[CRITIQUE]))</f>
        <v/>
      </c>
    </row>
    <row r="128" customFormat="false" ht="16" hidden="false" customHeight="false" outlineLevel="0" collapsed="false">
      <c r="A128" s="326" t="str">
        <f aca="false">IF($A$27&gt;A127,A127+1,"")</f>
        <v/>
      </c>
      <c r="B128" s="320" t="str">
        <f aca="false">VLOOKUP(NC!$A128,Calendriers!$C$3:$D$368,2)</f>
        <v/>
      </c>
      <c r="C128" s="163"/>
      <c r="D128" s="163" t="str">
        <f aca="false">IF($A128="","",SUMIF(Backlog42[Jour ouvert],"&lt;=" &amp; $A128,Backlog42[mineur])-SUMIF(Backlog42[Jour ferme],"&lt;=" &amp; $A128,Backlog42[mineur]))</f>
        <v/>
      </c>
      <c r="E128" s="163" t="str">
        <f aca="false">IF($A128="","",SUMIF(Backlog42[Jour ouvert],"&lt;=" &amp; $A128,Backlog42[MAJEUR])-SUMIF(Backlog42[Jour ferme],"&lt;=" &amp; $A128,Backlog42[MAJEUR]))</f>
        <v/>
      </c>
      <c r="F128" s="163" t="str">
        <f aca="false">IF($A128="","",SUMIF(Backlog42[Jour ouvert],"&lt;=" &amp; $A128,Backlog42[CRITIQUE])-SUMIF(Backlog42[Jour ferme],"&lt;=" &amp; $A128,Backlog42[CRITIQUE]))</f>
        <v/>
      </c>
    </row>
    <row r="129" customFormat="false" ht="16" hidden="false" customHeight="false" outlineLevel="0" collapsed="false">
      <c r="A129" s="326" t="str">
        <f aca="false">IF($A$27&gt;A128,A128+1,"")</f>
        <v/>
      </c>
      <c r="B129" s="320" t="str">
        <f aca="false">VLOOKUP(NC!$A129,Calendriers!$C$3:$D$368,2)</f>
        <v/>
      </c>
      <c r="C129" s="163"/>
      <c r="D129" s="163" t="str">
        <f aca="false">IF($A129="","",SUMIF(Backlog42[Jour ouvert],"&lt;=" &amp; $A129,Backlog42[mineur])-SUMIF(Backlog42[Jour ferme],"&lt;=" &amp; $A129,Backlog42[mineur]))</f>
        <v/>
      </c>
      <c r="E129" s="163" t="str">
        <f aca="false">IF($A129="","",SUMIF(Backlog42[Jour ouvert],"&lt;=" &amp; $A129,Backlog42[MAJEUR])-SUMIF(Backlog42[Jour ferme],"&lt;=" &amp; $A129,Backlog42[MAJEUR]))</f>
        <v/>
      </c>
      <c r="F129" s="163" t="str">
        <f aca="false">IF($A129="","",SUMIF(Backlog42[Jour ouvert],"&lt;=" &amp; $A129,Backlog42[CRITIQUE])-SUMIF(Backlog42[Jour ferme],"&lt;=" &amp; $A129,Backlog42[CRITIQUE]))</f>
        <v/>
      </c>
    </row>
  </sheetData>
  <mergeCells count="1">
    <mergeCell ref="A1:N1"/>
  </mergeCells>
  <dataValidations count="1">
    <dataValidation allowBlank="true" errorStyle="stop" operator="between" showDropDown="false" showErrorMessage="true" showInputMessage="true" sqref="B4:B20" type="list">
      <formula1>$O$4:$O$8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2" min="2" style="0" width="11.83"/>
    <col collapsed="false" customWidth="true" hidden="false" outlineLevel="0" max="8" min="3" style="0" width="5.83"/>
    <col collapsed="false" customWidth="true" hidden="false" outlineLevel="0" max="9" min="9" style="0" width="10.16"/>
    <col collapsed="false" customWidth="true" hidden="false" outlineLevel="0" max="10" min="10" style="0" width="5.83"/>
    <col collapsed="false" customWidth="true" hidden="false" outlineLevel="0" max="11" min="11" style="0" width="12"/>
    <col collapsed="false" customWidth="true" hidden="false" outlineLevel="0" max="17" min="12" style="0" width="5.83"/>
    <col collapsed="false" customWidth="true" hidden="false" outlineLevel="0" max="19" min="18" style="0" width="6.83"/>
  </cols>
  <sheetData>
    <row r="1" customFormat="false" ht="26" hidden="false" customHeight="true" outlineLevel="0" collapsed="false">
      <c r="A1" s="330" t="s">
        <v>502</v>
      </c>
      <c r="B1" s="330"/>
      <c r="C1" s="330"/>
      <c r="D1" s="330"/>
      <c r="E1" s="330"/>
      <c r="F1" s="330"/>
      <c r="G1" s="330"/>
      <c r="H1" s="330"/>
      <c r="I1" s="330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customFormat="false" ht="16" hidden="false" customHeight="false" outlineLevel="0" collapsed="false">
      <c r="B2" s="0" t="s">
        <v>503</v>
      </c>
      <c r="I2" s="16"/>
      <c r="J2" s="16"/>
      <c r="K2" s="331" t="s">
        <v>504</v>
      </c>
      <c r="L2" s="16"/>
      <c r="M2" s="16"/>
      <c r="N2" s="16"/>
      <c r="O2" s="332"/>
      <c r="P2" s="332"/>
      <c r="Q2" s="332"/>
    </row>
    <row r="3" customFormat="false" ht="133" hidden="false" customHeight="false" outlineLevel="0" collapsed="false">
      <c r="B3" s="333" t="s">
        <v>505</v>
      </c>
      <c r="C3" s="334" t="s">
        <v>506</v>
      </c>
      <c r="D3" s="335" t="s">
        <v>507</v>
      </c>
      <c r="E3" s="336" t="s">
        <v>508</v>
      </c>
      <c r="F3" s="337" t="s">
        <v>509</v>
      </c>
      <c r="G3" s="338" t="s">
        <v>510</v>
      </c>
      <c r="H3" s="339" t="s">
        <v>511</v>
      </c>
      <c r="I3" s="340"/>
      <c r="J3" s="340"/>
      <c r="K3" s="333" t="s">
        <v>505</v>
      </c>
      <c r="L3" s="334" t="s">
        <v>512</v>
      </c>
      <c r="M3" s="335" t="s">
        <v>513</v>
      </c>
      <c r="N3" s="336" t="s">
        <v>514</v>
      </c>
      <c r="O3" s="340"/>
      <c r="P3" s="340"/>
      <c r="Q3" s="340"/>
    </row>
    <row r="4" customFormat="false" ht="16" hidden="false" customHeight="false" outlineLevel="0" collapsed="false">
      <c r="B4" s="341" t="s">
        <v>515</v>
      </c>
      <c r="C4" s="33" t="n">
        <v>2</v>
      </c>
      <c r="D4" s="33" t="n">
        <v>1</v>
      </c>
      <c r="E4" s="33"/>
      <c r="F4" s="342"/>
      <c r="G4" s="343"/>
      <c r="H4" s="344"/>
      <c r="I4" s="340"/>
      <c r="J4" s="340"/>
      <c r="K4" s="345" t="s">
        <v>516</v>
      </c>
      <c r="L4" s="346" t="n">
        <v>3.2</v>
      </c>
      <c r="M4" s="346" t="n">
        <v>1.1</v>
      </c>
      <c r="N4" s="346" t="n">
        <v>0</v>
      </c>
      <c r="O4" s="340"/>
      <c r="P4" s="340"/>
      <c r="Q4" s="340"/>
    </row>
    <row r="5" customFormat="false" ht="16" hidden="false" customHeight="false" outlineLevel="0" collapsed="false">
      <c r="B5" s="8" t="s">
        <v>517</v>
      </c>
      <c r="C5" s="347"/>
      <c r="D5" s="347"/>
      <c r="E5" s="347"/>
      <c r="F5" s="33" t="n">
        <v>5</v>
      </c>
      <c r="G5" s="33" t="n">
        <v>1</v>
      </c>
      <c r="H5" s="33"/>
      <c r="I5" s="16"/>
      <c r="J5" s="16"/>
      <c r="K5" s="33" t="n">
        <v>2</v>
      </c>
      <c r="L5" s="346" t="n">
        <v>6.5</v>
      </c>
      <c r="M5" s="346" t="n">
        <v>3.8</v>
      </c>
      <c r="N5" s="346" t="n">
        <v>1</v>
      </c>
      <c r="O5" s="16"/>
      <c r="P5" s="16"/>
      <c r="Q5" s="16"/>
    </row>
    <row r="6" customFormat="false" ht="16" hidden="false" customHeight="false" outlineLevel="0" collapsed="false">
      <c r="B6" s="120"/>
      <c r="C6" s="33"/>
      <c r="D6" s="33"/>
      <c r="E6" s="33"/>
      <c r="F6" s="33"/>
      <c r="G6" s="33"/>
      <c r="H6" s="33"/>
      <c r="I6" s="16"/>
      <c r="J6" s="16"/>
      <c r="K6" s="92" t="n">
        <v>3</v>
      </c>
      <c r="L6" s="346" t="n">
        <v>8.3</v>
      </c>
      <c r="M6" s="346" t="n">
        <v>4.2</v>
      </c>
      <c r="N6" s="346" t="n">
        <v>1</v>
      </c>
      <c r="O6" s="16"/>
      <c r="P6" s="16"/>
      <c r="Q6" s="16"/>
    </row>
    <row r="7" customFormat="false" ht="16" hidden="false" customHeight="false" outlineLevel="0" collapsed="false">
      <c r="B7" s="341" t="s">
        <v>518</v>
      </c>
      <c r="C7" s="33" t="n">
        <v>3</v>
      </c>
      <c r="D7" s="33" t="n">
        <v>1</v>
      </c>
      <c r="E7" s="33" t="n">
        <v>1</v>
      </c>
      <c r="F7" s="348"/>
      <c r="G7" s="348"/>
      <c r="H7" s="348"/>
      <c r="I7" s="16"/>
      <c r="J7" s="16"/>
      <c r="K7" s="345" t="s">
        <v>519</v>
      </c>
      <c r="L7" s="346" t="n">
        <v>7.8</v>
      </c>
      <c r="M7" s="346" t="n">
        <v>4.2</v>
      </c>
      <c r="N7" s="346" t="n">
        <v>1</v>
      </c>
      <c r="O7" s="16"/>
      <c r="P7" s="16"/>
      <c r="Q7" s="16"/>
    </row>
    <row r="8" customFormat="false" ht="16" hidden="false" customHeight="false" outlineLevel="0" collapsed="false">
      <c r="B8" s="8" t="s">
        <v>520</v>
      </c>
      <c r="C8" s="347"/>
      <c r="D8" s="347"/>
      <c r="E8" s="347"/>
      <c r="F8" s="33" t="n">
        <v>2</v>
      </c>
      <c r="G8" s="33" t="n">
        <v>3</v>
      </c>
      <c r="H8" s="33" t="n">
        <v>0</v>
      </c>
      <c r="I8" s="16"/>
      <c r="J8" s="16"/>
      <c r="K8" s="33" t="n">
        <v>5</v>
      </c>
      <c r="L8" s="346"/>
      <c r="M8" s="346"/>
      <c r="N8" s="346"/>
      <c r="O8" s="16"/>
      <c r="P8" s="16"/>
      <c r="Q8" s="16"/>
    </row>
    <row r="9" customFormat="false" ht="16" hidden="false" customHeight="false" outlineLevel="0" collapsed="false">
      <c r="B9" s="349"/>
      <c r="C9" s="8"/>
      <c r="D9" s="8"/>
      <c r="E9" s="8"/>
      <c r="F9" s="33"/>
      <c r="G9" s="33"/>
      <c r="H9" s="33"/>
      <c r="I9" s="16"/>
      <c r="J9" s="16"/>
      <c r="K9" s="350" t="s">
        <v>521</v>
      </c>
      <c r="L9" s="346"/>
      <c r="M9" s="346"/>
      <c r="N9" s="346"/>
      <c r="O9" s="16"/>
      <c r="P9" s="16"/>
      <c r="Q9" s="16"/>
    </row>
    <row r="10" customFormat="false" ht="16" hidden="false" customHeight="false" outlineLevel="0" collapsed="false">
      <c r="B10" s="341" t="s">
        <v>522</v>
      </c>
      <c r="C10" s="33" t="n">
        <v>2</v>
      </c>
      <c r="D10" s="33" t="n">
        <v>0</v>
      </c>
      <c r="E10" s="33" t="n">
        <v>0</v>
      </c>
      <c r="F10" s="33"/>
      <c r="G10" s="33"/>
      <c r="H10" s="33"/>
      <c r="I10" s="16"/>
      <c r="J10" s="16"/>
      <c r="K10" s="341"/>
      <c r="L10" s="346"/>
      <c r="M10" s="346"/>
      <c r="N10" s="346"/>
      <c r="O10" s="16"/>
      <c r="P10" s="16"/>
      <c r="Q10" s="16"/>
    </row>
    <row r="11" customFormat="false" ht="16" hidden="false" customHeight="false" outlineLevel="0" collapsed="false">
      <c r="B11" s="8" t="s">
        <v>523</v>
      </c>
      <c r="C11" s="8"/>
      <c r="D11" s="8"/>
      <c r="E11" s="8"/>
      <c r="F11" s="33" t="n">
        <v>3</v>
      </c>
      <c r="G11" s="33" t="n">
        <v>1</v>
      </c>
      <c r="H11" s="33" t="n">
        <v>0</v>
      </c>
      <c r="I11" s="16"/>
      <c r="J11" s="16"/>
      <c r="K11" s="8"/>
      <c r="L11" s="346"/>
      <c r="M11" s="346"/>
      <c r="N11" s="346"/>
      <c r="O11" s="16"/>
      <c r="P11" s="16"/>
      <c r="Q11" s="16"/>
    </row>
    <row r="12" customFormat="false" ht="16" hidden="false" customHeight="false" outlineLevel="0" collapsed="false">
      <c r="B12" s="349"/>
      <c r="C12" s="33"/>
      <c r="D12" s="33"/>
      <c r="E12" s="33"/>
      <c r="F12" s="33"/>
      <c r="G12" s="33"/>
      <c r="H12" s="33"/>
      <c r="I12" s="16"/>
      <c r="J12" s="16"/>
      <c r="K12" s="349"/>
      <c r="L12" s="346"/>
      <c r="M12" s="346"/>
      <c r="N12" s="346"/>
      <c r="O12" s="16"/>
      <c r="P12" s="16"/>
      <c r="Q12" s="16"/>
    </row>
    <row r="13" customFormat="false" ht="16" hidden="false" customHeight="false" outlineLevel="0" collapsed="false">
      <c r="B13" s="341" t="s">
        <v>524</v>
      </c>
      <c r="C13" s="33" t="n">
        <v>1</v>
      </c>
      <c r="D13" s="33" t="n">
        <v>0</v>
      </c>
      <c r="E13" s="33" t="n">
        <v>0</v>
      </c>
      <c r="F13" s="33"/>
      <c r="G13" s="33"/>
      <c r="H13" s="33"/>
      <c r="I13" s="16"/>
      <c r="J13" s="16"/>
      <c r="K13" s="341"/>
      <c r="L13" s="346"/>
      <c r="M13" s="346"/>
      <c r="N13" s="346"/>
      <c r="O13" s="16"/>
      <c r="P13" s="16"/>
      <c r="Q13" s="16"/>
    </row>
    <row r="14" customFormat="false" ht="16" hidden="false" customHeight="false" outlineLevel="0" collapsed="false">
      <c r="B14" s="8" t="s">
        <v>525</v>
      </c>
      <c r="C14" s="8"/>
      <c r="D14" s="8"/>
      <c r="E14" s="8"/>
      <c r="F14" s="33" t="n">
        <v>1</v>
      </c>
      <c r="G14" s="33" t="n">
        <v>0</v>
      </c>
      <c r="H14" s="33" t="n">
        <v>0</v>
      </c>
      <c r="I14" s="16"/>
      <c r="J14" s="16"/>
      <c r="K14" s="8"/>
      <c r="L14" s="351"/>
      <c r="M14" s="351"/>
      <c r="N14" s="351"/>
      <c r="O14" s="16"/>
      <c r="P14" s="16"/>
      <c r="Q14" s="16"/>
    </row>
    <row r="15" customFormat="false" ht="16" hidden="false" customHeight="false" outlineLevel="0" collapsed="false">
      <c r="B15" s="8"/>
      <c r="C15" s="8"/>
      <c r="D15" s="8"/>
      <c r="E15" s="8"/>
      <c r="F15" s="33"/>
      <c r="G15" s="33"/>
      <c r="H15" s="33"/>
      <c r="I15" s="16"/>
      <c r="J15" s="16"/>
      <c r="K15" s="8"/>
      <c r="L15" s="351"/>
      <c r="M15" s="351"/>
      <c r="N15" s="351"/>
      <c r="O15" s="16"/>
      <c r="P15" s="16"/>
      <c r="Q15" s="16"/>
    </row>
  </sheetData>
  <mergeCells count="2">
    <mergeCell ref="A1:I1"/>
    <mergeCell ref="O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X38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15" activeCellId="0" sqref="A15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51.66"/>
    <col collapsed="false" customWidth="true" hidden="false" outlineLevel="0" max="13" min="2" style="0" width="6.83"/>
    <col collapsed="false" customWidth="true" hidden="false" outlineLevel="0" max="14" min="14" style="0" width="6.51"/>
    <col collapsed="false" customWidth="true" hidden="false" outlineLevel="0" max="15" min="15" style="106" width="6.51"/>
    <col collapsed="false" customWidth="true" hidden="false" outlineLevel="0" max="16" min="16" style="352" width="5.83"/>
    <col collapsed="false" customWidth="true" hidden="false" outlineLevel="0" max="19" min="19" style="0" width="6"/>
    <col collapsed="false" customWidth="true" hidden="false" outlineLevel="0" max="20" min="20" style="0" width="30.5"/>
    <col collapsed="false" customWidth="true" hidden="false" outlineLevel="0" max="21" min="21" style="0" width="6.16"/>
    <col collapsed="false" customWidth="true" hidden="false" outlineLevel="0" max="22" min="22" style="0" width="7"/>
    <col collapsed="false" customWidth="true" hidden="false" outlineLevel="0" max="23" min="23" style="0" width="6.66"/>
    <col collapsed="false" customWidth="true" hidden="false" outlineLevel="0" max="24" min="24" style="0" width="37.83"/>
  </cols>
  <sheetData>
    <row r="1" customFormat="false" ht="24" hidden="false" customHeight="false" outlineLevel="0" collapsed="false">
      <c r="A1" s="330" t="s">
        <v>526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</row>
    <row r="3" customFormat="false" ht="16" hidden="false" customHeight="false" outlineLevel="0" collapsed="false">
      <c r="A3" s="0" t="s">
        <v>527</v>
      </c>
      <c r="B3" s="353" t="s">
        <v>528</v>
      </c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</row>
    <row r="4" customFormat="false" ht="70" hidden="false" customHeight="true" outlineLevel="0" collapsed="false">
      <c r="A4" s="303" t="s">
        <v>529</v>
      </c>
      <c r="B4" s="354" t="n">
        <f aca="false">'Fiche PIC'!B5</f>
        <v>45313</v>
      </c>
      <c r="C4" s="354" t="n">
        <f aca="false">B4+7</f>
        <v>45320</v>
      </c>
      <c r="D4" s="354" t="n">
        <f aca="false">C4+7</f>
        <v>45327</v>
      </c>
      <c r="E4" s="354" t="n">
        <f aca="false">D4+7</f>
        <v>45334</v>
      </c>
      <c r="F4" s="354" t="n">
        <f aca="false">E4+7</f>
        <v>45341</v>
      </c>
      <c r="G4" s="354" t="n">
        <f aca="false">F4+7</f>
        <v>45348</v>
      </c>
      <c r="H4" s="354" t="n">
        <f aca="false">G4+7</f>
        <v>45355</v>
      </c>
      <c r="I4" s="354" t="n">
        <f aca="false">H4+7</f>
        <v>45362</v>
      </c>
      <c r="J4" s="354" t="n">
        <f aca="false">I4+7</f>
        <v>45369</v>
      </c>
      <c r="K4" s="354" t="n">
        <f aca="false">J4+7</f>
        <v>45376</v>
      </c>
      <c r="L4" s="354" t="n">
        <f aca="false">K4+7</f>
        <v>45383</v>
      </c>
      <c r="M4" s="354" t="n">
        <f aca="false">L4+7</f>
        <v>45390</v>
      </c>
      <c r="N4" s="355" t="s">
        <v>530</v>
      </c>
      <c r="O4" s="356" t="s">
        <v>531</v>
      </c>
    </row>
    <row r="5" customFormat="false" ht="16" hidden="false" customHeight="false" outlineLevel="0" collapsed="false">
      <c r="A5" s="8" t="str">
        <f aca="false">CONCATENATE(OTP!A6," - ",OTP!B6)</f>
        <v>WP0 - Management général</v>
      </c>
      <c r="B5" s="8" t="n">
        <v>36</v>
      </c>
      <c r="C5" s="8" t="n">
        <v>30</v>
      </c>
      <c r="D5" s="8" t="n">
        <v>27</v>
      </c>
      <c r="E5" s="8"/>
      <c r="F5" s="8"/>
      <c r="G5" s="8"/>
      <c r="H5" s="8"/>
      <c r="I5" s="8"/>
      <c r="J5" s="8"/>
      <c r="K5" s="8"/>
      <c r="L5" s="8"/>
      <c r="M5" s="8"/>
      <c r="N5" s="8" t="n">
        <f aca="false">SUM(B5:M5)</f>
        <v>93</v>
      </c>
      <c r="O5" s="357" t="n">
        <f aca="false">K17</f>
        <v>27</v>
      </c>
    </row>
    <row r="6" customFormat="false" ht="16" hidden="false" customHeight="false" outlineLevel="0" collapsed="false">
      <c r="A6" s="8" t="str">
        <f aca="false">CONCATENATE(OTP!A7," - ",OTP!B7)</f>
        <v>WP1 - Définition du produit</v>
      </c>
      <c r="B6" s="8" t="n">
        <v>70</v>
      </c>
      <c r="C6" s="8" t="n">
        <v>52</v>
      </c>
      <c r="D6" s="8" t="n">
        <v>56</v>
      </c>
      <c r="E6" s="8"/>
      <c r="F6" s="8"/>
      <c r="G6" s="8"/>
      <c r="H6" s="8"/>
      <c r="I6" s="8"/>
      <c r="J6" s="8"/>
      <c r="K6" s="8"/>
      <c r="L6" s="8"/>
      <c r="M6" s="8"/>
      <c r="N6" s="8" t="n">
        <f aca="false">SUM(B6:M6)</f>
        <v>178</v>
      </c>
      <c r="O6" s="357" t="n">
        <f aca="false">K18</f>
        <v>56</v>
      </c>
    </row>
    <row r="7" customFormat="false" ht="16" hidden="false" customHeight="false" outlineLevel="0" collapsed="false">
      <c r="A7" s="8" t="str">
        <f aca="false">CONCATENATE(OTP!A8," - ",OTP!B8)</f>
        <v>WP2 - Développement Front End</v>
      </c>
      <c r="B7" s="8" t="n">
        <v>0</v>
      </c>
      <c r="C7" s="8" t="n">
        <v>14</v>
      </c>
      <c r="D7" s="8" t="n">
        <v>10</v>
      </c>
      <c r="E7" s="8"/>
      <c r="F7" s="8"/>
      <c r="G7" s="8"/>
      <c r="H7" s="8"/>
      <c r="I7" s="8"/>
      <c r="J7" s="8"/>
      <c r="K7" s="8"/>
      <c r="L7" s="8"/>
      <c r="M7" s="8"/>
      <c r="N7" s="8" t="n">
        <f aca="false">SUM(B7:M7)</f>
        <v>24</v>
      </c>
      <c r="O7" s="357" t="n">
        <f aca="false">K19</f>
        <v>10</v>
      </c>
    </row>
    <row r="8" customFormat="false" ht="16" hidden="false" customHeight="false" outlineLevel="0" collapsed="false">
      <c r="A8" s="8" t="str">
        <f aca="false">CONCATENATE(OTP!A9," - ",OTP!B9)</f>
        <v>WP3 - Développement Back End</v>
      </c>
      <c r="B8" s="8" t="n">
        <v>0</v>
      </c>
      <c r="C8" s="8" t="n">
        <v>14</v>
      </c>
      <c r="D8" s="8" t="n">
        <v>10</v>
      </c>
      <c r="E8" s="8"/>
      <c r="F8" s="8"/>
      <c r="G8" s="8"/>
      <c r="H8" s="8"/>
      <c r="I8" s="8"/>
      <c r="J8" s="8"/>
      <c r="K8" s="8"/>
      <c r="L8" s="8"/>
      <c r="M8" s="8"/>
      <c r="N8" s="8" t="n">
        <f aca="false">SUM(B8:M8)</f>
        <v>24</v>
      </c>
      <c r="O8" s="357" t="n">
        <f aca="false">K20</f>
        <v>10</v>
      </c>
    </row>
    <row r="9" customFormat="false" ht="16" hidden="false" customHeight="false" outlineLevel="0" collapsed="false">
      <c r="A9" s="8" t="str">
        <f aca="false">CONCATENATE(OTP!A10," - ",OTP!B10)</f>
        <v>WP4 - Intégration/Validation/Livraison</v>
      </c>
      <c r="B9" s="8" t="n">
        <v>10</v>
      </c>
      <c r="C9" s="8" t="n">
        <v>10</v>
      </c>
      <c r="D9" s="8" t="n">
        <v>9</v>
      </c>
      <c r="E9" s="8"/>
      <c r="F9" s="8"/>
      <c r="G9" s="8"/>
      <c r="H9" s="8"/>
      <c r="I9" s="8"/>
      <c r="J9" s="8"/>
      <c r="K9" s="8"/>
      <c r="L9" s="8"/>
      <c r="M9" s="8"/>
      <c r="N9" s="8" t="n">
        <f aca="false">SUM(B9:M9)</f>
        <v>29</v>
      </c>
      <c r="O9" s="357" t="n">
        <f aca="false">K21</f>
        <v>9</v>
      </c>
    </row>
    <row r="10" customFormat="false" ht="16" hidden="false" customHeight="false" outlineLevel="0" collapsed="false">
      <c r="A10" s="8" t="str">
        <f aca="false">CONCATENATE(OTP!A11," - ",OTP!B11)</f>
        <v>WP5 - Auto-Formation, Tutorats</v>
      </c>
      <c r="B10" s="8" t="n">
        <v>36</v>
      </c>
      <c r="C10" s="8" t="n">
        <v>32</v>
      </c>
      <c r="D10" s="8" t="n">
        <v>40</v>
      </c>
      <c r="E10" s="8"/>
      <c r="F10" s="8"/>
      <c r="G10" s="8"/>
      <c r="H10" s="8"/>
      <c r="I10" s="8"/>
      <c r="J10" s="8"/>
      <c r="K10" s="8"/>
      <c r="L10" s="8"/>
      <c r="M10" s="8"/>
      <c r="N10" s="8" t="n">
        <f aca="false">SUM(B10:M10)</f>
        <v>108</v>
      </c>
      <c r="O10" s="357" t="n">
        <f aca="false">K22</f>
        <v>40</v>
      </c>
    </row>
    <row r="11" customFormat="false" ht="16" hidden="false" customHeight="false" outlineLevel="0" collapsed="false">
      <c r="A11" s="8" t="e">
        <f aca="false">CONCATENATE(otp!#ref!," - ",otp!#ref!)</f>
        <v>#NAME?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 t="n">
        <f aca="false">SUM(B11:M11)</f>
        <v>0</v>
      </c>
      <c r="O11" s="357" t="n">
        <f aca="false">K23</f>
        <v>0</v>
      </c>
    </row>
    <row r="12" customFormat="false" ht="16" hidden="false" customHeight="false" outlineLevel="0" collapsed="false">
      <c r="A12" s="8" t="e">
        <f aca="false">CONCATENATE(otp!#ref!," - ",otp!#ref!)</f>
        <v>#NAME?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 t="n">
        <f aca="false">SUM(B12:M12)</f>
        <v>0</v>
      </c>
      <c r="O12" s="357" t="n">
        <f aca="false">K24</f>
        <v>0</v>
      </c>
    </row>
    <row r="13" customFormat="false" ht="16" hidden="false" customHeight="false" outlineLevel="0" collapsed="false">
      <c r="A13" s="8" t="e">
        <f aca="false">CONCATENATE(otp!#ref!," - ",OTP!B13)</f>
        <v>#NAME?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 t="n">
        <f aca="false">SUM(B13:M13)</f>
        <v>0</v>
      </c>
      <c r="O13" s="357" t="n">
        <f aca="false">K25</f>
        <v>0</v>
      </c>
    </row>
    <row r="14" customFormat="false" ht="16" hidden="false" customHeight="false" outlineLevel="0" collapsed="false">
      <c r="A14" s="358" t="s">
        <v>40</v>
      </c>
      <c r="B14" s="358" t="n">
        <f aca="false">SUM(B5:B13)</f>
        <v>152</v>
      </c>
      <c r="C14" s="358" t="n">
        <f aca="false">SUM(C5:C13)</f>
        <v>152</v>
      </c>
      <c r="D14" s="358" t="n">
        <f aca="false">SUM(D5:D13)</f>
        <v>152</v>
      </c>
      <c r="E14" s="358" t="n">
        <f aca="false">SUM(E5:E13)</f>
        <v>0</v>
      </c>
      <c r="F14" s="358" t="n">
        <f aca="false">SUM(F5:F13)</f>
        <v>0</v>
      </c>
      <c r="G14" s="358" t="n">
        <f aca="false">SUM(G5:G13)</f>
        <v>0</v>
      </c>
      <c r="H14" s="358" t="n">
        <f aca="false">SUM(H5:H13)</f>
        <v>0</v>
      </c>
      <c r="I14" s="358" t="n">
        <f aca="false">SUM(I5:I13)</f>
        <v>0</v>
      </c>
      <c r="J14" s="358" t="n">
        <f aca="false">SUM(J5:J13)</f>
        <v>0</v>
      </c>
      <c r="K14" s="358" t="n">
        <f aca="false">SUM(K5:K13)</f>
        <v>0</v>
      </c>
      <c r="L14" s="358" t="n">
        <f aca="false">SUM(L5:L13)</f>
        <v>0</v>
      </c>
      <c r="M14" s="358" t="n">
        <f aca="false">SUM(M5:M13)</f>
        <v>0</v>
      </c>
      <c r="N14" s="358" t="n">
        <f aca="false">SUM(N5:N13)</f>
        <v>456</v>
      </c>
    </row>
    <row r="15" customFormat="false" ht="117" hidden="false" customHeight="true" outlineLevel="0" collapsed="false"/>
    <row r="16" customFormat="false" ht="72" hidden="false" customHeight="true" outlineLevel="0" collapsed="false">
      <c r="A16" s="303" t="s">
        <v>529</v>
      </c>
      <c r="B16" s="359" t="str">
        <f aca="false">'Fiche PIC'!D5</f>
        <v>Anne</v>
      </c>
      <c r="C16" s="359" t="str">
        <f aca="false">'Fiche PIC'!D6</f>
        <v>Jean</v>
      </c>
      <c r="D16" s="359" t="str">
        <f aca="false">'Fiche PIC'!D7</f>
        <v>Louise</v>
      </c>
      <c r="E16" s="359" t="str">
        <f aca="false">'Fiche PIC'!D8</f>
        <v>Marie</v>
      </c>
      <c r="F16" s="359" t="str">
        <f aca="false">'Fiche PIC'!D9</f>
        <v>Paul</v>
      </c>
      <c r="G16" s="359" t="str">
        <f aca="false">'Fiche PIC'!D10</f>
        <v>Pierre</v>
      </c>
      <c r="H16" s="359" t="str">
        <f aca="false">'Fiche PIC'!D11</f>
        <v>Victor</v>
      </c>
      <c r="I16" s="359" t="str">
        <f aca="false">'Fiche PIC'!D12</f>
        <v>Antoine</v>
      </c>
      <c r="J16" s="359" t="n">
        <f aca="false">'Fiche PIC'!D13</f>
        <v>0</v>
      </c>
      <c r="K16" s="360" t="s">
        <v>532</v>
      </c>
      <c r="S16" s="361"/>
      <c r="V16" s="361" t="s">
        <v>533</v>
      </c>
    </row>
    <row r="17" customFormat="false" ht="16" hidden="false" customHeight="false" outlineLevel="0" collapsed="false">
      <c r="A17" s="8" t="str">
        <f aca="false">A5</f>
        <v>WP0 - Management général</v>
      </c>
      <c r="B17" s="8"/>
      <c r="C17" s="8" t="n">
        <v>25</v>
      </c>
      <c r="D17" s="8" t="s">
        <v>468</v>
      </c>
      <c r="E17" s="8" t="s">
        <v>468</v>
      </c>
      <c r="F17" s="8" t="s">
        <v>468</v>
      </c>
      <c r="G17" s="8" t="n">
        <v>2</v>
      </c>
      <c r="H17" s="8"/>
      <c r="I17" s="8"/>
      <c r="J17" s="8"/>
      <c r="K17" s="362" t="n">
        <f aca="false">SUM(B17:J17)</f>
        <v>27</v>
      </c>
      <c r="S17" s="361" t="s">
        <v>534</v>
      </c>
      <c r="T17" s="361" t="s">
        <v>535</v>
      </c>
      <c r="U17" s="361" t="s">
        <v>536</v>
      </c>
    </row>
    <row r="18" customFormat="false" ht="28" hidden="false" customHeight="false" outlineLevel="0" collapsed="false">
      <c r="A18" s="8" t="str">
        <f aca="false">A6</f>
        <v>WP1 - Définition du produit</v>
      </c>
      <c r="B18" s="8" t="n">
        <v>20</v>
      </c>
      <c r="C18" s="8"/>
      <c r="D18" s="8" t="n">
        <v>20</v>
      </c>
      <c r="E18" s="8"/>
      <c r="F18" s="8"/>
      <c r="G18" s="8" t="n">
        <v>16</v>
      </c>
      <c r="H18" s="8"/>
      <c r="I18" s="8"/>
      <c r="J18" s="8"/>
      <c r="K18" s="362" t="n">
        <f aca="false">SUM(B18:J18)</f>
        <v>56</v>
      </c>
      <c r="S18" s="363" t="s">
        <v>537</v>
      </c>
      <c r="T18" s="363" t="s">
        <v>538</v>
      </c>
      <c r="U18" s="363" t="s">
        <v>539</v>
      </c>
      <c r="V18" s="363" t="s">
        <v>540</v>
      </c>
      <c r="W18" s="363" t="s">
        <v>541</v>
      </c>
      <c r="X18" s="363" t="s">
        <v>542</v>
      </c>
    </row>
    <row r="19" customFormat="false" ht="16" hidden="false" customHeight="false" outlineLevel="0" collapsed="false">
      <c r="A19" s="8" t="str">
        <f aca="false">A7</f>
        <v>WP2 - Développement Front End</v>
      </c>
      <c r="B19" s="8"/>
      <c r="C19" s="8"/>
      <c r="D19" s="8"/>
      <c r="E19" s="8" t="n">
        <v>10</v>
      </c>
      <c r="F19" s="8"/>
      <c r="G19" s="8"/>
      <c r="H19" s="8"/>
      <c r="I19" s="8"/>
      <c r="J19" s="8"/>
      <c r="K19" s="362" t="n">
        <f aca="false">SUM(B19:J19)</f>
        <v>10</v>
      </c>
      <c r="S19" s="363" t="s">
        <v>543</v>
      </c>
      <c r="T19" s="364" t="s">
        <v>544</v>
      </c>
      <c r="U19" s="363" t="s">
        <v>241</v>
      </c>
      <c r="V19" s="363" t="n">
        <v>2</v>
      </c>
      <c r="W19" s="363" t="n">
        <v>0</v>
      </c>
      <c r="X19" s="364" t="s">
        <v>545</v>
      </c>
    </row>
    <row r="20" customFormat="false" ht="15" hidden="false" customHeight="true" outlineLevel="0" collapsed="false">
      <c r="A20" s="8" t="str">
        <f aca="false">A8</f>
        <v>WP3 - Développement Back End</v>
      </c>
      <c r="B20" s="8"/>
      <c r="C20" s="8"/>
      <c r="D20" s="8"/>
      <c r="E20" s="8"/>
      <c r="F20" s="8" t="n">
        <v>10</v>
      </c>
      <c r="G20" s="8"/>
      <c r="H20" s="8"/>
      <c r="I20" s="8"/>
      <c r="J20" s="8"/>
      <c r="K20" s="362" t="n">
        <f aca="false">SUM(B20:J20)</f>
        <v>10</v>
      </c>
      <c r="S20" s="363" t="s">
        <v>546</v>
      </c>
      <c r="T20" s="364" t="s">
        <v>547</v>
      </c>
      <c r="U20" s="363" t="s">
        <v>243</v>
      </c>
      <c r="V20" s="363" t="n">
        <v>12</v>
      </c>
      <c r="W20" s="363" t="n">
        <v>60</v>
      </c>
      <c r="X20" s="364" t="s">
        <v>548</v>
      </c>
    </row>
    <row r="21" customFormat="false" ht="16" hidden="false" customHeight="false" outlineLevel="0" collapsed="false">
      <c r="A21" s="8" t="str">
        <f aca="false">A9</f>
        <v>WP4 - Intégration/Validation/Livraison</v>
      </c>
      <c r="B21" s="8"/>
      <c r="C21" s="8" t="n">
        <v>2</v>
      </c>
      <c r="D21" s="8"/>
      <c r="E21" s="8"/>
      <c r="F21" s="8"/>
      <c r="G21" s="8" t="n">
        <v>7</v>
      </c>
      <c r="H21" s="8"/>
      <c r="I21" s="8"/>
      <c r="J21" s="8"/>
      <c r="K21" s="362" t="n">
        <f aca="false">SUM(B21:J21)</f>
        <v>9</v>
      </c>
      <c r="S21" s="363" t="s">
        <v>549</v>
      </c>
      <c r="T21" s="364" t="s">
        <v>550</v>
      </c>
      <c r="U21" s="363" t="s">
        <v>251</v>
      </c>
      <c r="V21" s="363" t="n">
        <v>6</v>
      </c>
      <c r="W21" s="363" t="n">
        <v>0</v>
      </c>
      <c r="X21" s="364"/>
    </row>
    <row r="22" customFormat="false" ht="16" hidden="false" customHeight="false" outlineLevel="0" collapsed="false">
      <c r="A22" s="8" t="str">
        <f aca="false">A10</f>
        <v>WP5 - Auto-Formation, Tutorats</v>
      </c>
      <c r="B22" s="8" t="n">
        <v>5</v>
      </c>
      <c r="C22" s="8"/>
      <c r="D22" s="8" t="n">
        <v>5</v>
      </c>
      <c r="E22" s="8" t="n">
        <v>15</v>
      </c>
      <c r="F22" s="8" t="n">
        <v>15</v>
      </c>
      <c r="G22" s="8"/>
      <c r="H22" s="8"/>
      <c r="I22" s="8"/>
      <c r="J22" s="8"/>
      <c r="K22" s="362" t="n">
        <f aca="false">SUM(B22:J22)</f>
        <v>40</v>
      </c>
      <c r="S22" s="363" t="s">
        <v>551</v>
      </c>
      <c r="T22" s="364" t="s">
        <v>552</v>
      </c>
      <c r="U22" s="363" t="s">
        <v>247</v>
      </c>
      <c r="V22" s="363" t="n">
        <v>2</v>
      </c>
      <c r="W22" s="363" t="n">
        <v>10</v>
      </c>
      <c r="X22" s="364" t="s">
        <v>553</v>
      </c>
    </row>
    <row r="23" customFormat="false" ht="16" hidden="false" customHeight="false" outlineLevel="0" collapsed="false">
      <c r="A23" s="8" t="e">
        <f aca="false">A11</f>
        <v>#NAME?</v>
      </c>
      <c r="B23" s="8"/>
      <c r="C23" s="8"/>
      <c r="D23" s="8"/>
      <c r="E23" s="8"/>
      <c r="F23" s="8"/>
      <c r="G23" s="8"/>
      <c r="H23" s="8"/>
      <c r="I23" s="8"/>
      <c r="J23" s="8"/>
      <c r="K23" s="362" t="n">
        <f aca="false">SUM(B23:J23)</f>
        <v>0</v>
      </c>
      <c r="S23" s="363" t="s">
        <v>554</v>
      </c>
      <c r="T23" s="364" t="s">
        <v>555</v>
      </c>
      <c r="U23" s="363"/>
      <c r="V23" s="363" t="n">
        <v>3</v>
      </c>
      <c r="W23" s="363" t="s">
        <v>554</v>
      </c>
      <c r="X23" s="364" t="s">
        <v>556</v>
      </c>
    </row>
    <row r="24" customFormat="false" ht="16" hidden="false" customHeight="false" outlineLevel="0" collapsed="false">
      <c r="A24" s="8" t="e">
        <f aca="false">A12</f>
        <v>#NAME?</v>
      </c>
      <c r="B24" s="8"/>
      <c r="C24" s="8"/>
      <c r="D24" s="8"/>
      <c r="E24" s="8"/>
      <c r="F24" s="8"/>
      <c r="G24" s="8"/>
      <c r="H24" s="8"/>
      <c r="I24" s="8"/>
      <c r="J24" s="8"/>
      <c r="K24" s="362"/>
      <c r="S24" s="365"/>
      <c r="T24" s="365"/>
      <c r="U24" s="365"/>
      <c r="V24" s="365"/>
      <c r="W24" s="365"/>
      <c r="X24" s="365"/>
    </row>
    <row r="25" customFormat="false" ht="16" hidden="false" customHeight="false" outlineLevel="0" collapsed="false">
      <c r="A25" s="8" t="e">
        <f aca="false">A13</f>
        <v>#NAME?</v>
      </c>
      <c r="B25" s="8"/>
      <c r="C25" s="8"/>
      <c r="D25" s="8"/>
      <c r="E25" s="8"/>
      <c r="F25" s="8"/>
      <c r="G25" s="8"/>
      <c r="H25" s="8"/>
      <c r="I25" s="8"/>
      <c r="J25" s="8"/>
      <c r="K25" s="362" t="n">
        <f aca="false">SUM(B25:J25)</f>
        <v>0</v>
      </c>
      <c r="S25" s="365"/>
      <c r="T25" s="365"/>
      <c r="U25" s="365"/>
      <c r="V25" s="365"/>
      <c r="W25" s="365"/>
      <c r="X25" s="365"/>
    </row>
    <row r="26" customFormat="false" ht="16" hidden="false" customHeight="false" outlineLevel="0" collapsed="false">
      <c r="A26" s="366" t="s">
        <v>40</v>
      </c>
      <c r="B26" s="366" t="n">
        <f aca="false">SUM(B17:B25)</f>
        <v>25</v>
      </c>
      <c r="C26" s="366" t="n">
        <f aca="false">SUM(C17:C25)</f>
        <v>27</v>
      </c>
      <c r="D26" s="366" t="n">
        <f aca="false">SUM(D17:D25)</f>
        <v>25</v>
      </c>
      <c r="E26" s="366" t="n">
        <f aca="false">SUM(E17:E25)</f>
        <v>25</v>
      </c>
      <c r="F26" s="366" t="n">
        <f aca="false">SUM(F17:F25)</f>
        <v>25</v>
      </c>
      <c r="G26" s="366" t="n">
        <f aca="false">SUM(G17:G25)</f>
        <v>25</v>
      </c>
      <c r="H26" s="366" t="n">
        <f aca="false">SUM(H17:H25)</f>
        <v>0</v>
      </c>
      <c r="I26" s="366" t="n">
        <f aca="false">SUM(I17:I25)</f>
        <v>0</v>
      </c>
      <c r="J26" s="366" t="n">
        <f aca="false">SUM(J17:J25)</f>
        <v>0</v>
      </c>
      <c r="K26" s="366" t="n">
        <f aca="false">SUM(K17:K25)</f>
        <v>152</v>
      </c>
      <c r="S26" s="365"/>
      <c r="T26" s="365"/>
      <c r="U26" s="365"/>
      <c r="V26" s="365"/>
      <c r="W26" s="365"/>
      <c r="X26" s="365"/>
    </row>
    <row r="27" customFormat="false" ht="17" hidden="false" customHeight="false" outlineLevel="0" collapsed="false">
      <c r="A27" s="367" t="n">
        <f aca="false">'Fiche PIC'!D13</f>
        <v>0</v>
      </c>
      <c r="S27" s="363" t="s">
        <v>554</v>
      </c>
      <c r="T27" s="364"/>
      <c r="U27" s="363"/>
      <c r="V27" s="363"/>
      <c r="W27" s="363" t="s">
        <v>554</v>
      </c>
      <c r="X27" s="364"/>
    </row>
    <row r="28" customFormat="false" ht="16" hidden="false" customHeight="true" outlineLevel="0" collapsed="false">
      <c r="A28" s="368" t="s">
        <v>557</v>
      </c>
      <c r="B28" s="369"/>
      <c r="C28" s="369"/>
      <c r="D28" s="370"/>
      <c r="S28" s="371"/>
      <c r="T28" s="372" t="s">
        <v>40</v>
      </c>
      <c r="U28" s="372"/>
      <c r="V28" s="373" t="n">
        <f aca="false">SUM(V19:V27)</f>
        <v>25</v>
      </c>
      <c r="W28" s="371"/>
      <c r="X28" s="371"/>
    </row>
    <row r="29" customFormat="false" ht="19" hidden="false" customHeight="false" outlineLevel="0" collapsed="false">
      <c r="A29" s="374" t="s">
        <v>558</v>
      </c>
      <c r="B29" s="375" t="n">
        <v>32500</v>
      </c>
      <c r="C29" s="375"/>
      <c r="D29" s="376"/>
    </row>
    <row r="30" customFormat="false" ht="19" hidden="false" customHeight="false" outlineLevel="0" collapsed="false">
      <c r="A30" s="374" t="s">
        <v>559</v>
      </c>
      <c r="B30" s="375" t="n">
        <f aca="false">(B29*1.42)/(216*8)</f>
        <v>26.7071759259259</v>
      </c>
      <c r="C30" s="375"/>
      <c r="D30" s="376"/>
      <c r="F30" s="377" t="s">
        <v>560</v>
      </c>
    </row>
    <row r="31" customFormat="false" ht="19" hidden="false" customHeight="false" outlineLevel="0" collapsed="false">
      <c r="A31" s="378" t="s">
        <v>561</v>
      </c>
      <c r="B31" s="375" t="n">
        <f aca="false">N14*B30</f>
        <v>12178.4722222222</v>
      </c>
      <c r="C31" s="375"/>
      <c r="D31" s="376"/>
      <c r="F31" s="377" t="s">
        <v>562</v>
      </c>
    </row>
    <row r="32" customFormat="false" ht="17" hidden="false" customHeight="false" outlineLevel="0" collapsed="false">
      <c r="A32" s="379" t="s">
        <v>563</v>
      </c>
      <c r="B32" s="380"/>
      <c r="C32" s="380"/>
      <c r="D32" s="381"/>
      <c r="F32" s="377" t="s">
        <v>564</v>
      </c>
    </row>
    <row r="33" customFormat="false" ht="16" hidden="false" customHeight="false" outlineLevel="0" collapsed="false">
      <c r="F33" s="377" t="s">
        <v>565</v>
      </c>
    </row>
    <row r="34" customFormat="false" ht="16" hidden="false" customHeight="false" outlineLevel="0" collapsed="false">
      <c r="F34" s="377" t="s">
        <v>566</v>
      </c>
    </row>
    <row r="35" customFormat="false" ht="16" hidden="false" customHeight="false" outlineLevel="0" collapsed="false">
      <c r="F35" s="377" t="s">
        <v>567</v>
      </c>
    </row>
    <row r="36" customFormat="false" ht="16" hidden="false" customHeight="false" outlineLevel="0" collapsed="false">
      <c r="F36" s="377" t="s">
        <v>568</v>
      </c>
    </row>
    <row r="37" customFormat="false" ht="16" hidden="false" customHeight="false" outlineLevel="0" collapsed="false">
      <c r="F37" s="377" t="s">
        <v>569</v>
      </c>
    </row>
    <row r="38" customFormat="false" ht="16" hidden="false" customHeight="false" outlineLevel="0" collapsed="false">
      <c r="F38" s="377" t="s">
        <v>570</v>
      </c>
    </row>
  </sheetData>
  <mergeCells count="6">
    <mergeCell ref="A1:P1"/>
    <mergeCell ref="B3:M3"/>
    <mergeCell ref="T28:U28"/>
    <mergeCell ref="B29:C29"/>
    <mergeCell ref="B30:C30"/>
    <mergeCell ref="B31:C31"/>
  </mergeCells>
  <dataValidations count="1">
    <dataValidation allowBlank="true" errorStyle="stop" operator="between" showDropDown="false" showErrorMessage="true" showInputMessage="true" sqref="U19:U23 U27" type="list">
      <formula1>OTP!A6:A12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8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C2" activeCellId="0" sqref="C2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16" width="3.33"/>
    <col collapsed="false" customWidth="true" hidden="false" outlineLevel="0" max="3" min="3" style="16" width="5.67"/>
    <col collapsed="false" customWidth="true" hidden="false" outlineLevel="0" max="4" min="4" style="16" width="28.16"/>
    <col collapsed="false" customWidth="true" hidden="false" outlineLevel="0" max="5" min="5" style="0" width="26.84"/>
    <col collapsed="false" customWidth="true" hidden="false" outlineLevel="0" max="6" min="6" style="0" width="26.67"/>
    <col collapsed="false" customWidth="true" hidden="false" outlineLevel="0" max="7" min="7" style="16" width="4"/>
    <col collapsed="false" customWidth="true" hidden="false" outlineLevel="0" max="8" min="8" style="382" width="6.51"/>
  </cols>
  <sheetData>
    <row r="1" customFormat="false" ht="16" hidden="false" customHeight="false" outlineLevel="0" collapsed="false">
      <c r="A1" s="383" t="s">
        <v>571</v>
      </c>
      <c r="B1" s="383"/>
      <c r="C1" s="383"/>
      <c r="D1" s="384"/>
      <c r="F1" s="385" t="s">
        <v>572</v>
      </c>
      <c r="G1" s="385"/>
      <c r="H1" s="385"/>
    </row>
    <row r="2" customFormat="false" ht="80" hidden="false" customHeight="false" outlineLevel="0" collapsed="false">
      <c r="A2" s="386" t="s">
        <v>66</v>
      </c>
      <c r="B2" s="387" t="s">
        <v>573</v>
      </c>
      <c r="C2" s="387" t="s">
        <v>574</v>
      </c>
      <c r="D2" s="388"/>
      <c r="F2" s="389" t="s">
        <v>66</v>
      </c>
      <c r="G2" s="390" t="s">
        <v>573</v>
      </c>
      <c r="H2" s="390" t="s">
        <v>574</v>
      </c>
    </row>
    <row r="3" customFormat="false" ht="16" hidden="false" customHeight="false" outlineLevel="0" collapsed="false">
      <c r="A3" s="391" t="n">
        <f aca="false">'Fiche PIC'!B5</f>
        <v>45313</v>
      </c>
      <c r="B3" s="392" t="n">
        <f aca="false">IF(WEEKDAY(A3,2)&gt;5,0,1)</f>
        <v>1</v>
      </c>
      <c r="C3" s="392" t="n">
        <f aca="false">IF(B3=1,SUM($B$3:B3),"")</f>
        <v>1</v>
      </c>
      <c r="D3" s="393" t="n">
        <f aca="false">IF(B3=1,A3,"")</f>
        <v>45313</v>
      </c>
      <c r="F3" s="394" t="n">
        <f aca="false">SPRINT!$C$16</f>
        <v>45313</v>
      </c>
      <c r="G3" s="33" t="n">
        <f aca="false">IF(WEEKDAY(F3,2)&gt;5,0,1)</f>
        <v>1</v>
      </c>
      <c r="H3" s="395" t="n">
        <f aca="false">IF(G3=1,SUM($G$2:G3),"")</f>
        <v>1</v>
      </c>
      <c r="L3" s="190"/>
    </row>
    <row r="4" customFormat="false" ht="16" hidden="false" customHeight="false" outlineLevel="0" collapsed="false">
      <c r="A4" s="394" t="n">
        <f aca="false">A3+1</f>
        <v>45314</v>
      </c>
      <c r="B4" s="33" t="n">
        <f aca="false">IF(WEEKDAY(A4,2)&gt;5,0,1)</f>
        <v>1</v>
      </c>
      <c r="C4" s="33" t="n">
        <f aca="false">IF(B4=1,SUM($B$3:B4),"")</f>
        <v>2</v>
      </c>
      <c r="D4" s="393" t="n">
        <f aca="false">IF(B4=1,A4,"")</f>
        <v>45314</v>
      </c>
      <c r="F4" s="394" t="n">
        <f aca="false">F3+1</f>
        <v>45314</v>
      </c>
      <c r="G4" s="33" t="n">
        <f aca="false">IF(WEEKDAY(F4,2)&gt;5,0,1)</f>
        <v>1</v>
      </c>
      <c r="H4" s="395" t="n">
        <f aca="false">IF(G4=1,SUM($G$2:G4),"")</f>
        <v>2</v>
      </c>
    </row>
    <row r="5" customFormat="false" ht="16" hidden="false" customHeight="false" outlineLevel="0" collapsed="false">
      <c r="A5" s="394" t="n">
        <f aca="false">A4+1</f>
        <v>45315</v>
      </c>
      <c r="B5" s="33" t="n">
        <f aca="false">IF(WEEKDAY(A5,2)&gt;5,0,1)</f>
        <v>1</v>
      </c>
      <c r="C5" s="33" t="n">
        <f aca="false">IF(B5=1,SUM($B$3:B5),"")</f>
        <v>3</v>
      </c>
      <c r="D5" s="393" t="n">
        <f aca="false">IF(B5=1,A5,"")</f>
        <v>45315</v>
      </c>
      <c r="F5" s="394" t="n">
        <f aca="false">F4+1</f>
        <v>45315</v>
      </c>
      <c r="G5" s="33" t="n">
        <f aca="false">IF(WEEKDAY(F5,2)&gt;5,0,1)</f>
        <v>1</v>
      </c>
      <c r="H5" s="395" t="n">
        <f aca="false">IF(G5=1,SUM($G$2:G5),"")</f>
        <v>3</v>
      </c>
    </row>
    <row r="6" customFormat="false" ht="16" hidden="false" customHeight="false" outlineLevel="0" collapsed="false">
      <c r="A6" s="394" t="n">
        <f aca="false">A5+1</f>
        <v>45316</v>
      </c>
      <c r="B6" s="33" t="n">
        <f aca="false">IF(WEEKDAY(A6,2)&gt;5,0,1)</f>
        <v>1</v>
      </c>
      <c r="C6" s="33" t="n">
        <f aca="false">IF(B6=1,SUM($B$3:B6),"")</f>
        <v>4</v>
      </c>
      <c r="D6" s="393" t="n">
        <f aca="false">IF(B6=1,A6,"")</f>
        <v>45316</v>
      </c>
      <c r="F6" s="394" t="n">
        <f aca="false">F5+1</f>
        <v>45316</v>
      </c>
      <c r="G6" s="33" t="n">
        <f aca="false">IF(WEEKDAY(F6,2)&gt;5,0,1)</f>
        <v>1</v>
      </c>
      <c r="H6" s="395" t="n">
        <f aca="false">IF(G6=1,SUM($G$2:G6),"")</f>
        <v>4</v>
      </c>
    </row>
    <row r="7" customFormat="false" ht="16" hidden="false" customHeight="false" outlineLevel="0" collapsed="false">
      <c r="A7" s="394" t="n">
        <f aca="false">A6+1</f>
        <v>45317</v>
      </c>
      <c r="B7" s="33" t="n">
        <f aca="false">IF(WEEKDAY(A7,2)&gt;5,0,1)</f>
        <v>1</v>
      </c>
      <c r="C7" s="33" t="n">
        <f aca="false">IF(B7=1,SUM($B$3:B7),"")</f>
        <v>5</v>
      </c>
      <c r="D7" s="393" t="n">
        <f aca="false">IF(B7=1,A7,"")</f>
        <v>45317</v>
      </c>
      <c r="F7" s="394" t="n">
        <f aca="false">F6+1</f>
        <v>45317</v>
      </c>
      <c r="G7" s="33" t="n">
        <f aca="false">IF(WEEKDAY(F7,2)&gt;5,0,1)</f>
        <v>1</v>
      </c>
      <c r="H7" s="395" t="n">
        <f aca="false">IF(G7=1,SUM($G$2:G7),"")</f>
        <v>5</v>
      </c>
    </row>
    <row r="8" customFormat="false" ht="16" hidden="false" customHeight="false" outlineLevel="0" collapsed="false">
      <c r="A8" s="394" t="n">
        <f aca="false">A7+1</f>
        <v>45318</v>
      </c>
      <c r="B8" s="33" t="n">
        <f aca="false">IF(WEEKDAY(A8,2)&gt;5,0,1)</f>
        <v>0</v>
      </c>
      <c r="C8" s="33" t="str">
        <f aca="false">IF(B8=1,SUM($B$3:B8),"")</f>
        <v/>
      </c>
      <c r="D8" s="393" t="str">
        <f aca="false">IF(B8=1,A8,"")</f>
        <v/>
      </c>
      <c r="F8" s="394" t="n">
        <f aca="false">F7+1</f>
        <v>45318</v>
      </c>
      <c r="G8" s="33" t="n">
        <f aca="false">IF(WEEKDAY(F8,2)&gt;5,0,1)</f>
        <v>0</v>
      </c>
      <c r="H8" s="395" t="str">
        <f aca="false">IF(G8=1,SUM($G$2:G8),"")</f>
        <v/>
      </c>
    </row>
    <row r="9" customFormat="false" ht="16" hidden="false" customHeight="false" outlineLevel="0" collapsed="false">
      <c r="A9" s="394" t="n">
        <f aca="false">A8+1</f>
        <v>45319</v>
      </c>
      <c r="B9" s="33" t="n">
        <f aca="false">IF(WEEKDAY(A9,2)&gt;5,0,1)</f>
        <v>0</v>
      </c>
      <c r="C9" s="33" t="str">
        <f aca="false">IF(B9=1,SUM($B$3:B9),"")</f>
        <v/>
      </c>
      <c r="D9" s="393" t="str">
        <f aca="false">IF(B9=1,A9,"")</f>
        <v/>
      </c>
      <c r="F9" s="394" t="n">
        <f aca="false">F8+1</f>
        <v>45319</v>
      </c>
      <c r="G9" s="33" t="n">
        <f aca="false">IF(WEEKDAY(F9,2)&gt;5,0,1)</f>
        <v>0</v>
      </c>
      <c r="H9" s="395" t="str">
        <f aca="false">IF(G9=1,SUM($G$2:G9),"")</f>
        <v/>
      </c>
    </row>
    <row r="10" customFormat="false" ht="16" hidden="false" customHeight="false" outlineLevel="0" collapsed="false">
      <c r="A10" s="394" t="n">
        <f aca="false">A9+1</f>
        <v>45320</v>
      </c>
      <c r="B10" s="33" t="n">
        <f aca="false">IF(WEEKDAY(A10,2)&gt;5,0,1)</f>
        <v>1</v>
      </c>
      <c r="C10" s="33" t="n">
        <f aca="false">IF(B10=1,SUM($B$3:B10),"")</f>
        <v>6</v>
      </c>
      <c r="D10" s="393" t="n">
        <f aca="false">IF(B10=1,A10,"")</f>
        <v>45320</v>
      </c>
      <c r="F10" s="394" t="n">
        <f aca="false">F9+1</f>
        <v>45320</v>
      </c>
      <c r="G10" s="33" t="n">
        <f aca="false">IF(WEEKDAY(F10,2)&gt;5,0,1)</f>
        <v>1</v>
      </c>
      <c r="H10" s="395" t="n">
        <f aca="false">IF(G10=1,SUM($G$2:G10),"")</f>
        <v>6</v>
      </c>
    </row>
    <row r="11" customFormat="false" ht="16" hidden="false" customHeight="false" outlineLevel="0" collapsed="false">
      <c r="A11" s="394" t="n">
        <f aca="false">A10+1</f>
        <v>45321</v>
      </c>
      <c r="B11" s="33" t="n">
        <f aca="false">IF(WEEKDAY(A11,2)&gt;5,0,1)</f>
        <v>1</v>
      </c>
      <c r="C11" s="33" t="n">
        <f aca="false">IF(B11=1,SUM($B$3:B11),"")</f>
        <v>7</v>
      </c>
      <c r="D11" s="393" t="n">
        <f aca="false">IF(B11=1,A11,"")</f>
        <v>45321</v>
      </c>
      <c r="F11" s="394" t="n">
        <f aca="false">F10+1</f>
        <v>45321</v>
      </c>
      <c r="G11" s="33" t="n">
        <f aca="false">IF(WEEKDAY(F11,2)&gt;5,0,1)</f>
        <v>1</v>
      </c>
      <c r="H11" s="395" t="n">
        <f aca="false">IF(G11=1,SUM($G$2:G11),"")</f>
        <v>7</v>
      </c>
    </row>
    <row r="12" customFormat="false" ht="16" hidden="false" customHeight="false" outlineLevel="0" collapsed="false">
      <c r="A12" s="394" t="n">
        <f aca="false">A11+1</f>
        <v>45322</v>
      </c>
      <c r="B12" s="33" t="n">
        <v>1</v>
      </c>
      <c r="C12" s="33" t="n">
        <f aca="false">IF(B12=1,SUM($B$3:B12),"")</f>
        <v>8</v>
      </c>
      <c r="D12" s="393" t="n">
        <f aca="false">IF(B12=1,A12,"")</f>
        <v>45322</v>
      </c>
      <c r="F12" s="394" t="n">
        <f aca="false">F11+1</f>
        <v>45322</v>
      </c>
      <c r="G12" s="33" t="n">
        <v>1</v>
      </c>
      <c r="H12" s="395" t="n">
        <f aca="false">IF(G12=1,SUM($G$2:G12),"")</f>
        <v>8</v>
      </c>
    </row>
    <row r="13" customFormat="false" ht="16" hidden="false" customHeight="false" outlineLevel="0" collapsed="false">
      <c r="A13" s="394" t="n">
        <f aca="false">A12+1</f>
        <v>45323</v>
      </c>
      <c r="B13" s="33" t="n">
        <f aca="false">IF(WEEKDAY(A13,2)&gt;5,0,1)</f>
        <v>1</v>
      </c>
      <c r="C13" s="33" t="n">
        <f aca="false">IF(B13=1,SUM($B$3:B13),"")</f>
        <v>9</v>
      </c>
      <c r="D13" s="393" t="n">
        <f aca="false">IF(B13=1,A13,"")</f>
        <v>45323</v>
      </c>
      <c r="F13" s="394" t="n">
        <f aca="false">F12+1</f>
        <v>45323</v>
      </c>
      <c r="G13" s="33" t="n">
        <f aca="false">IF(WEEKDAY(F13,2)&gt;5,0,1)</f>
        <v>1</v>
      </c>
      <c r="H13" s="395" t="n">
        <f aca="false">IF(G13=1,SUM($G$2:G13),"")</f>
        <v>9</v>
      </c>
    </row>
    <row r="14" customFormat="false" ht="16" hidden="false" customHeight="false" outlineLevel="0" collapsed="false">
      <c r="A14" s="394" t="n">
        <f aca="false">A13+1</f>
        <v>45324</v>
      </c>
      <c r="B14" s="33" t="n">
        <f aca="false">IF(WEEKDAY(A14,2)&gt;5,0,1)</f>
        <v>1</v>
      </c>
      <c r="C14" s="33" t="n">
        <f aca="false">IF(B14=1,SUM($B$3:B14),"")</f>
        <v>10</v>
      </c>
      <c r="D14" s="393" t="n">
        <f aca="false">IF(B14=1,A14,"")</f>
        <v>45324</v>
      </c>
      <c r="F14" s="394" t="n">
        <f aca="false">F13+1</f>
        <v>45324</v>
      </c>
      <c r="G14" s="33" t="n">
        <f aca="false">IF(WEEKDAY(F14,2)&gt;5,0,1)</f>
        <v>1</v>
      </c>
      <c r="H14" s="395" t="n">
        <f aca="false">IF(G14=1,SUM($G$2:G14),"")</f>
        <v>10</v>
      </c>
    </row>
    <row r="15" customFormat="false" ht="16" hidden="false" customHeight="false" outlineLevel="0" collapsed="false">
      <c r="A15" s="394" t="n">
        <f aca="false">A14+1</f>
        <v>45325</v>
      </c>
      <c r="B15" s="33" t="n">
        <f aca="false">IF(WEEKDAY(A15,2)&gt;5,0,1)</f>
        <v>0</v>
      </c>
      <c r="C15" s="33" t="str">
        <f aca="false">IF(B15=1,SUM($B$3:B15),"")</f>
        <v/>
      </c>
      <c r="D15" s="393" t="str">
        <f aca="false">IF(B15=1,A15,"")</f>
        <v/>
      </c>
      <c r="F15" s="394" t="n">
        <f aca="false">F14+1</f>
        <v>45325</v>
      </c>
      <c r="G15" s="33" t="n">
        <f aca="false">IF(WEEKDAY(F15,2)&gt;5,0,1)</f>
        <v>0</v>
      </c>
      <c r="H15" s="395" t="str">
        <f aca="false">IF(G15=1,SUM($G$2:G15),"")</f>
        <v/>
      </c>
    </row>
    <row r="16" customFormat="false" ht="16" hidden="false" customHeight="false" outlineLevel="0" collapsed="false">
      <c r="A16" s="394" t="n">
        <f aca="false">A15+1</f>
        <v>45326</v>
      </c>
      <c r="B16" s="33" t="n">
        <f aca="false">IF(WEEKDAY(A16,2)&gt;5,0,1)</f>
        <v>0</v>
      </c>
      <c r="C16" s="33" t="str">
        <f aca="false">IF(B16=1,SUM($B$3:B16),"")</f>
        <v/>
      </c>
      <c r="D16" s="393" t="str">
        <f aca="false">IF(B16=1,A16,"")</f>
        <v/>
      </c>
      <c r="F16" s="394" t="n">
        <f aca="false">F15+1</f>
        <v>45326</v>
      </c>
      <c r="G16" s="33" t="n">
        <f aca="false">IF(WEEKDAY(F16,2)&gt;5,0,1)</f>
        <v>0</v>
      </c>
      <c r="H16" s="395" t="str">
        <f aca="false">IF(G16=1,SUM($G$2:G16),"")</f>
        <v/>
      </c>
    </row>
    <row r="17" customFormat="false" ht="16" hidden="false" customHeight="false" outlineLevel="0" collapsed="false">
      <c r="A17" s="394" t="n">
        <f aca="false">A16+1</f>
        <v>45327</v>
      </c>
      <c r="B17" s="33" t="n">
        <f aca="false">IF(WEEKDAY(A17,2)&gt;5,0,1)</f>
        <v>1</v>
      </c>
      <c r="C17" s="33" t="n">
        <f aca="false">IF(B17=1,SUM($B$3:B17),"")</f>
        <v>11</v>
      </c>
      <c r="D17" s="393" t="n">
        <f aca="false">IF(B17=1,A17,"")</f>
        <v>45327</v>
      </c>
      <c r="F17" s="394" t="n">
        <f aca="false">F16+1</f>
        <v>45327</v>
      </c>
      <c r="G17" s="33" t="n">
        <f aca="false">IF(WEEKDAY(F17,2)&gt;5,0,1)</f>
        <v>1</v>
      </c>
      <c r="H17" s="395" t="n">
        <f aca="false">IF(G17=1,SUM($G$2:G17),"")</f>
        <v>11</v>
      </c>
    </row>
    <row r="18" customFormat="false" ht="16" hidden="false" customHeight="false" outlineLevel="0" collapsed="false">
      <c r="A18" s="394" t="n">
        <f aca="false">A17+1</f>
        <v>45328</v>
      </c>
      <c r="B18" s="33" t="n">
        <f aca="false">IF(WEEKDAY(A18,2)&gt;5,0,1)</f>
        <v>1</v>
      </c>
      <c r="C18" s="33" t="n">
        <f aca="false">IF(B18=1,SUM($B$3:B18),"")</f>
        <v>12</v>
      </c>
      <c r="D18" s="393" t="n">
        <f aca="false">IF(B18=1,A18,"")</f>
        <v>45328</v>
      </c>
      <c r="F18" s="394" t="n">
        <f aca="false">F17+1</f>
        <v>45328</v>
      </c>
      <c r="G18" s="33" t="n">
        <f aca="false">IF(WEEKDAY(F18,2)&gt;5,0,1)</f>
        <v>1</v>
      </c>
      <c r="H18" s="395" t="n">
        <f aca="false">IF(G18=1,SUM($G$2:G18),"")</f>
        <v>12</v>
      </c>
    </row>
    <row r="19" customFormat="false" ht="16" hidden="false" customHeight="false" outlineLevel="0" collapsed="false">
      <c r="A19" s="394" t="n">
        <f aca="false">A18+1</f>
        <v>45329</v>
      </c>
      <c r="B19" s="33" t="n">
        <f aca="false">IF(WEEKDAY(A19,2)&gt;5,0,1)</f>
        <v>1</v>
      </c>
      <c r="C19" s="33" t="n">
        <f aca="false">IF(B19=1,SUM($B$3:B19),"")</f>
        <v>13</v>
      </c>
      <c r="D19" s="393" t="n">
        <f aca="false">IF(B19=1,A19,"")</f>
        <v>45329</v>
      </c>
      <c r="F19" s="394" t="n">
        <f aca="false">F18+1</f>
        <v>45329</v>
      </c>
      <c r="G19" s="33" t="n">
        <f aca="false">IF(WEEKDAY(F19,2)&gt;5,0,1)</f>
        <v>1</v>
      </c>
      <c r="H19" s="395" t="n">
        <f aca="false">IF(G19=1,SUM($G$2:G19),"")</f>
        <v>13</v>
      </c>
    </row>
    <row r="20" customFormat="false" ht="16" hidden="false" customHeight="false" outlineLevel="0" collapsed="false">
      <c r="A20" s="394" t="n">
        <f aca="false">A19+1</f>
        <v>45330</v>
      </c>
      <c r="B20" s="33" t="n">
        <f aca="false">IF(WEEKDAY(A20,2)&gt;5,0,1)</f>
        <v>1</v>
      </c>
      <c r="C20" s="33" t="n">
        <f aca="false">IF(B20=1,SUM($B$3:B20),"")</f>
        <v>14</v>
      </c>
      <c r="D20" s="393" t="n">
        <f aca="false">IF(B20=1,A20,"")</f>
        <v>45330</v>
      </c>
      <c r="F20" s="394" t="n">
        <f aca="false">F19+1</f>
        <v>45330</v>
      </c>
      <c r="G20" s="33" t="n">
        <f aca="false">IF(WEEKDAY(F20,2)&gt;5,0,1)</f>
        <v>1</v>
      </c>
      <c r="H20" s="395" t="n">
        <f aca="false">IF(G20=1,SUM($G$2:G20),"")</f>
        <v>14</v>
      </c>
    </row>
    <row r="21" customFormat="false" ht="16" hidden="false" customHeight="false" outlineLevel="0" collapsed="false">
      <c r="A21" s="394" t="n">
        <f aca="false">A20+1</f>
        <v>45331</v>
      </c>
      <c r="B21" s="33" t="n">
        <f aca="false">IF(WEEKDAY(A21,2)&gt;5,0,1)</f>
        <v>1</v>
      </c>
      <c r="C21" s="33" t="n">
        <f aca="false">IF(B21=1,SUM($B$3:B21),"")</f>
        <v>15</v>
      </c>
      <c r="D21" s="393" t="n">
        <f aca="false">IF(B21=1,A21,"")</f>
        <v>45331</v>
      </c>
      <c r="F21" s="394" t="n">
        <f aca="false">F20+1</f>
        <v>45331</v>
      </c>
      <c r="G21" s="33" t="n">
        <f aca="false">IF(WEEKDAY(F21,2)&gt;5,0,1)</f>
        <v>1</v>
      </c>
      <c r="H21" s="395" t="n">
        <f aca="false">IF(G21=1,SUM($G$2:G21),"")</f>
        <v>15</v>
      </c>
    </row>
    <row r="22" customFormat="false" ht="16" hidden="false" customHeight="false" outlineLevel="0" collapsed="false">
      <c r="A22" s="394" t="n">
        <f aca="false">A21+1</f>
        <v>45332</v>
      </c>
      <c r="B22" s="33" t="n">
        <f aca="false">IF(WEEKDAY(A22,2)&gt;5,0,1)</f>
        <v>0</v>
      </c>
      <c r="C22" s="33" t="str">
        <f aca="false">IF(B22=1,SUM($B$3:B22),"")</f>
        <v/>
      </c>
      <c r="D22" s="393" t="str">
        <f aca="false">IF(B22=1,A22,"")</f>
        <v/>
      </c>
      <c r="F22" s="394" t="n">
        <f aca="false">F21+1</f>
        <v>45332</v>
      </c>
      <c r="G22" s="33" t="n">
        <f aca="false">IF(WEEKDAY(F22,2)&gt;5,0,1)</f>
        <v>0</v>
      </c>
      <c r="H22" s="395" t="str">
        <f aca="false">IF(G22=1,SUM($G$2:G22),"")</f>
        <v/>
      </c>
    </row>
    <row r="23" customFormat="false" ht="16" hidden="false" customHeight="false" outlineLevel="0" collapsed="false">
      <c r="A23" s="394" t="n">
        <f aca="false">A22+1</f>
        <v>45333</v>
      </c>
      <c r="B23" s="33" t="n">
        <f aca="false">IF(WEEKDAY(A23,2)&gt;5,0,1)</f>
        <v>0</v>
      </c>
      <c r="C23" s="33" t="str">
        <f aca="false">IF(B23=1,SUM($B$3:B23),"")</f>
        <v/>
      </c>
      <c r="D23" s="393" t="str">
        <f aca="false">IF(B23=1,A23,"")</f>
        <v/>
      </c>
      <c r="F23" s="394" t="n">
        <f aca="false">F22+1</f>
        <v>45333</v>
      </c>
      <c r="G23" s="33" t="n">
        <f aca="false">IF(WEEKDAY(F23,2)&gt;5,0,1)</f>
        <v>0</v>
      </c>
      <c r="H23" s="395" t="str">
        <f aca="false">IF(G23=1,SUM($G$2:G23),"")</f>
        <v/>
      </c>
    </row>
    <row r="24" customFormat="false" ht="16" hidden="false" customHeight="false" outlineLevel="0" collapsed="false">
      <c r="A24" s="394" t="n">
        <f aca="false">A23+1</f>
        <v>45334</v>
      </c>
      <c r="B24" s="33" t="n">
        <v>1</v>
      </c>
      <c r="C24" s="33" t="n">
        <f aca="false">IF(B24=1,SUM($B$3:B24),"")</f>
        <v>16</v>
      </c>
      <c r="D24" s="393" t="n">
        <f aca="false">IF(B24=1,A24,"")</f>
        <v>45334</v>
      </c>
      <c r="F24" s="394" t="n">
        <f aca="false">F23+1</f>
        <v>45334</v>
      </c>
      <c r="G24" s="33" t="n">
        <f aca="false">IF(WEEKDAY(F24,2)&gt;5,0,1)</f>
        <v>1</v>
      </c>
      <c r="H24" s="395" t="n">
        <f aca="false">IF(G24=1,SUM($G$2:G24),"")</f>
        <v>16</v>
      </c>
    </row>
    <row r="25" customFormat="false" ht="16" hidden="false" customHeight="false" outlineLevel="0" collapsed="false">
      <c r="A25" s="394" t="n">
        <f aca="false">A24+1</f>
        <v>45335</v>
      </c>
      <c r="B25" s="33" t="n">
        <v>1</v>
      </c>
      <c r="C25" s="33" t="n">
        <f aca="false">IF(B25=1,SUM($B$3:B25),"")</f>
        <v>17</v>
      </c>
      <c r="D25" s="393" t="n">
        <f aca="false">IF(B25=1,A25,"")</f>
        <v>45335</v>
      </c>
      <c r="F25" s="394" t="n">
        <f aca="false">F24+1</f>
        <v>45335</v>
      </c>
      <c r="G25" s="33" t="n">
        <f aca="false">IF(WEEKDAY(F25,2)&gt;5,0,1)</f>
        <v>1</v>
      </c>
      <c r="H25" s="395" t="n">
        <f aca="false">IF(G25=1,SUM($G$2:G25),"")</f>
        <v>17</v>
      </c>
    </row>
    <row r="26" customFormat="false" ht="16" hidden="false" customHeight="false" outlineLevel="0" collapsed="false">
      <c r="A26" s="394" t="n">
        <f aca="false">A25+1</f>
        <v>45336</v>
      </c>
      <c r="B26" s="33" t="n">
        <v>1</v>
      </c>
      <c r="C26" s="33" t="n">
        <f aca="false">IF(B26=1,SUM($B$3:B26),"")</f>
        <v>18</v>
      </c>
      <c r="D26" s="393" t="n">
        <f aca="false">IF(B26=1,A26,"")</f>
        <v>45336</v>
      </c>
      <c r="F26" s="394" t="n">
        <f aca="false">F25+1</f>
        <v>45336</v>
      </c>
      <c r="G26" s="33" t="n">
        <f aca="false">IF(WEEKDAY(F26,2)&gt;5,0,1)</f>
        <v>1</v>
      </c>
      <c r="H26" s="395" t="n">
        <f aca="false">IF(G26=1,SUM($G$2:G26),"")</f>
        <v>18</v>
      </c>
    </row>
    <row r="27" customFormat="false" ht="16" hidden="false" customHeight="false" outlineLevel="0" collapsed="false">
      <c r="A27" s="394" t="n">
        <f aca="false">A26+1</f>
        <v>45337</v>
      </c>
      <c r="B27" s="33" t="n">
        <v>1</v>
      </c>
      <c r="C27" s="33" t="n">
        <f aca="false">IF(B27=1,SUM($B$3:B27),"")</f>
        <v>19</v>
      </c>
      <c r="D27" s="393" t="n">
        <f aca="false">IF(B27=1,A27,"")</f>
        <v>45337</v>
      </c>
      <c r="F27" s="394" t="n">
        <f aca="false">F26+1</f>
        <v>45337</v>
      </c>
      <c r="G27" s="33" t="n">
        <f aca="false">IF(WEEKDAY(F27,2)&gt;5,0,1)</f>
        <v>1</v>
      </c>
      <c r="H27" s="395" t="n">
        <f aca="false">IF(G27=1,SUM($G$2:G27),"")</f>
        <v>19</v>
      </c>
    </row>
    <row r="28" customFormat="false" ht="16" hidden="false" customHeight="false" outlineLevel="0" collapsed="false">
      <c r="A28" s="394" t="n">
        <f aca="false">A27+1</f>
        <v>45338</v>
      </c>
      <c r="B28" s="33" t="n">
        <v>1</v>
      </c>
      <c r="C28" s="33" t="n">
        <f aca="false">IF(B28=1,SUM($B$3:B28),"")</f>
        <v>20</v>
      </c>
      <c r="D28" s="393" t="n">
        <f aca="false">IF(B28=1,A28,"")</f>
        <v>45338</v>
      </c>
      <c r="F28" s="394" t="n">
        <f aca="false">F27+1</f>
        <v>45338</v>
      </c>
      <c r="G28" s="33" t="n">
        <f aca="false">IF(WEEKDAY(F28,2)&gt;5,0,1)</f>
        <v>1</v>
      </c>
      <c r="H28" s="395" t="n">
        <f aca="false">IF(G28=1,SUM($G$2:G28),"")</f>
        <v>20</v>
      </c>
    </row>
    <row r="29" customFormat="false" ht="16" hidden="false" customHeight="false" outlineLevel="0" collapsed="false">
      <c r="A29" s="394" t="n">
        <f aca="false">A28+1</f>
        <v>45339</v>
      </c>
      <c r="B29" s="33" t="n">
        <v>1</v>
      </c>
      <c r="C29" s="33" t="n">
        <f aca="false">IF(B29=1,SUM($B$3:B29),"")</f>
        <v>21</v>
      </c>
      <c r="D29" s="393" t="n">
        <f aca="false">IF(B29=1,A29,"")</f>
        <v>45339</v>
      </c>
      <c r="F29" s="394" t="n">
        <f aca="false">F28+1</f>
        <v>45339</v>
      </c>
      <c r="G29" s="33" t="n">
        <f aca="false">IF(WEEKDAY(F29,2)&gt;5,0,1)</f>
        <v>0</v>
      </c>
      <c r="H29" s="395" t="str">
        <f aca="false">IF(G29=1,SUM($G$2:G29),"")</f>
        <v/>
      </c>
    </row>
    <row r="30" customFormat="false" ht="16" hidden="false" customHeight="false" outlineLevel="0" collapsed="false">
      <c r="A30" s="394" t="n">
        <f aca="false">A29+1</f>
        <v>45340</v>
      </c>
      <c r="B30" s="33" t="n">
        <v>1</v>
      </c>
      <c r="C30" s="33" t="n">
        <f aca="false">IF(B30=1,SUM($B$3:B30),"")</f>
        <v>22</v>
      </c>
      <c r="D30" s="393" t="n">
        <f aca="false">IF(B30=1,A30,"")</f>
        <v>45340</v>
      </c>
      <c r="F30" s="394" t="n">
        <f aca="false">F29+1</f>
        <v>45340</v>
      </c>
      <c r="G30" s="33" t="n">
        <f aca="false">IF(WEEKDAY(F30,2)&gt;5,0,1)</f>
        <v>0</v>
      </c>
      <c r="H30" s="395" t="str">
        <f aca="false">IF(G30=1,SUM($G$2:G30),"")</f>
        <v/>
      </c>
    </row>
    <row r="31" customFormat="false" ht="16" hidden="false" customHeight="false" outlineLevel="0" collapsed="false">
      <c r="A31" s="394" t="n">
        <f aca="false">A30+1</f>
        <v>45341</v>
      </c>
      <c r="B31" s="33" t="n">
        <v>1</v>
      </c>
      <c r="C31" s="33" t="n">
        <f aca="false">IF(B31=1,SUM($B$3:B31),"")</f>
        <v>23</v>
      </c>
      <c r="D31" s="393" t="n">
        <f aca="false">IF(B31=1,A31,"")</f>
        <v>45341</v>
      </c>
      <c r="F31" s="394" t="n">
        <f aca="false">F30+1</f>
        <v>45341</v>
      </c>
      <c r="G31" s="33" t="n">
        <f aca="false">IF(WEEKDAY(F31,2)&gt;5,0,1)</f>
        <v>1</v>
      </c>
      <c r="H31" s="395" t="n">
        <f aca="false">IF(G31=1,SUM($G$2:G31),"")</f>
        <v>21</v>
      </c>
    </row>
    <row r="32" customFormat="false" ht="16" hidden="false" customHeight="false" outlineLevel="0" collapsed="false">
      <c r="A32" s="394" t="n">
        <f aca="false">A31+1</f>
        <v>45342</v>
      </c>
      <c r="B32" s="33" t="n">
        <v>1</v>
      </c>
      <c r="C32" s="33" t="n">
        <f aca="false">IF(B32=1,SUM($B$3:B32),"")</f>
        <v>24</v>
      </c>
      <c r="D32" s="393" t="n">
        <f aca="false">IF(B32=1,A32,"")</f>
        <v>45342</v>
      </c>
      <c r="F32" s="394" t="n">
        <f aca="false">F31+1</f>
        <v>45342</v>
      </c>
      <c r="G32" s="33" t="n">
        <f aca="false">IF(WEEKDAY(F32,2)&gt;5,0,1)</f>
        <v>1</v>
      </c>
      <c r="H32" s="395" t="n">
        <f aca="false">IF(G32=1,SUM($G$2:G32),"")</f>
        <v>22</v>
      </c>
    </row>
    <row r="33" customFormat="false" ht="16" hidden="false" customHeight="false" outlineLevel="0" collapsed="false">
      <c r="A33" s="394" t="n">
        <f aca="false">A32+1</f>
        <v>45343</v>
      </c>
      <c r="B33" s="33" t="n">
        <v>1</v>
      </c>
      <c r="C33" s="33" t="n">
        <f aca="false">IF(B33=1,SUM($B$3:B33),"")</f>
        <v>25</v>
      </c>
      <c r="D33" s="393" t="n">
        <f aca="false">IF(B33=1,A33,"")</f>
        <v>45343</v>
      </c>
      <c r="F33" s="394" t="n">
        <f aca="false">F32+1</f>
        <v>45343</v>
      </c>
      <c r="G33" s="33" t="n">
        <f aca="false">IF(WEEKDAY(F33,2)&gt;5,0,1)</f>
        <v>1</v>
      </c>
      <c r="H33" s="395" t="n">
        <f aca="false">IF(G33=1,SUM($G$2:G33),"")</f>
        <v>23</v>
      </c>
    </row>
    <row r="34" customFormat="false" ht="16" hidden="false" customHeight="false" outlineLevel="0" collapsed="false">
      <c r="A34" s="394" t="n">
        <f aca="false">A33+1</f>
        <v>45344</v>
      </c>
      <c r="B34" s="33" t="n">
        <v>1</v>
      </c>
      <c r="C34" s="33" t="n">
        <f aca="false">IF(B34=1,SUM($B$3:B34),"")</f>
        <v>26</v>
      </c>
      <c r="D34" s="393" t="n">
        <f aca="false">IF(B34=1,A34,"")</f>
        <v>45344</v>
      </c>
      <c r="F34" s="394" t="n">
        <f aca="false">F33+1</f>
        <v>45344</v>
      </c>
      <c r="G34" s="33" t="n">
        <f aca="false">IF(WEEKDAY(F34,2)&gt;5,0,1)</f>
        <v>1</v>
      </c>
      <c r="H34" s="395" t="n">
        <f aca="false">IF(G34=1,SUM($G$2:G34),"")</f>
        <v>24</v>
      </c>
    </row>
    <row r="35" customFormat="false" ht="16" hidden="false" customHeight="false" outlineLevel="0" collapsed="false">
      <c r="A35" s="394" t="n">
        <f aca="false">A34+1</f>
        <v>45345</v>
      </c>
      <c r="B35" s="33" t="n">
        <v>1</v>
      </c>
      <c r="C35" s="33" t="n">
        <f aca="false">IF(B35=1,SUM($B$3:B35),"")</f>
        <v>27</v>
      </c>
      <c r="D35" s="393" t="n">
        <f aca="false">IF(B35=1,A35,"")</f>
        <v>45345</v>
      </c>
      <c r="F35" s="394" t="n">
        <f aca="false">F34+1</f>
        <v>45345</v>
      </c>
      <c r="G35" s="33" t="n">
        <f aca="false">IF(WEEKDAY(F35,2)&gt;5,0,1)</f>
        <v>1</v>
      </c>
      <c r="H35" s="395" t="n">
        <f aca="false">IF(G35=1,SUM($G$2:G35),"")</f>
        <v>25</v>
      </c>
    </row>
    <row r="36" customFormat="false" ht="16" hidden="false" customHeight="false" outlineLevel="0" collapsed="false">
      <c r="A36" s="394" t="n">
        <f aca="false">A35+1</f>
        <v>45346</v>
      </c>
      <c r="B36" s="33" t="n">
        <f aca="false">IF(WEEKDAY(A36,2)&gt;5,0,1)</f>
        <v>0</v>
      </c>
      <c r="C36" s="33" t="str">
        <f aca="false">IF(B36=1,SUM($B$3:B36),"")</f>
        <v/>
      </c>
      <c r="D36" s="393" t="str">
        <f aca="false">IF(B36=1,A36,"")</f>
        <v/>
      </c>
      <c r="F36" s="394" t="n">
        <f aca="false">F35+1</f>
        <v>45346</v>
      </c>
      <c r="G36" s="33" t="n">
        <f aca="false">IF(WEEKDAY(F36,2)&gt;5,0,1)</f>
        <v>0</v>
      </c>
      <c r="H36" s="395" t="str">
        <f aca="false">IF(G36=1,SUM($G$2:G36),"")</f>
        <v/>
      </c>
    </row>
    <row r="37" customFormat="false" ht="16" hidden="false" customHeight="false" outlineLevel="0" collapsed="false">
      <c r="A37" s="394" t="n">
        <f aca="false">A36+1</f>
        <v>45347</v>
      </c>
      <c r="B37" s="33" t="n">
        <f aca="false">IF(WEEKDAY(A37,2)&gt;5,0,1)</f>
        <v>0</v>
      </c>
      <c r="C37" s="33" t="str">
        <f aca="false">IF(B37=1,SUM($B$3:B37),"")</f>
        <v/>
      </c>
      <c r="D37" s="393" t="str">
        <f aca="false">IF(B37=1,A37,"")</f>
        <v/>
      </c>
      <c r="F37" s="394" t="n">
        <f aca="false">F36+1</f>
        <v>45347</v>
      </c>
      <c r="G37" s="33" t="n">
        <f aca="false">IF(WEEKDAY(F37,2)&gt;5,0,1)</f>
        <v>0</v>
      </c>
      <c r="H37" s="395" t="str">
        <f aca="false">IF(G37=1,SUM($G$2:G37),"")</f>
        <v/>
      </c>
    </row>
    <row r="38" customFormat="false" ht="16" hidden="false" customHeight="false" outlineLevel="0" collapsed="false">
      <c r="A38" s="394" t="n">
        <f aca="false">A37+1</f>
        <v>45348</v>
      </c>
      <c r="B38" s="33" t="n">
        <v>0</v>
      </c>
      <c r="C38" s="33" t="str">
        <f aca="false">IF(B38=1,SUM($B$3:B38),"")</f>
        <v/>
      </c>
      <c r="D38" s="393" t="str">
        <f aca="false">IF(B38=1,A38,"")</f>
        <v/>
      </c>
      <c r="F38" s="394" t="n">
        <f aca="false">F37+1</f>
        <v>45348</v>
      </c>
      <c r="G38" s="33" t="n">
        <f aca="false">IF(WEEKDAY(F38,2)&gt;5,0,1)</f>
        <v>1</v>
      </c>
      <c r="H38" s="395" t="n">
        <f aca="false">IF(G38=1,SUM($G$2:G38),"")</f>
        <v>26</v>
      </c>
    </row>
    <row r="39" customFormat="false" ht="16" hidden="false" customHeight="false" outlineLevel="0" collapsed="false">
      <c r="A39" s="394" t="n">
        <f aca="false">A38+1</f>
        <v>45349</v>
      </c>
      <c r="B39" s="33" t="n">
        <v>0</v>
      </c>
      <c r="C39" s="33" t="str">
        <f aca="false">IF(B39=1,SUM($B$3:B39),"")</f>
        <v/>
      </c>
      <c r="D39" s="393" t="str">
        <f aca="false">IF(B39=1,A39,"")</f>
        <v/>
      </c>
      <c r="F39" s="394" t="n">
        <f aca="false">F38+1</f>
        <v>45349</v>
      </c>
      <c r="G39" s="33" t="n">
        <f aca="false">IF(WEEKDAY(F39,2)&gt;5,0,1)</f>
        <v>1</v>
      </c>
      <c r="H39" s="395" t="n">
        <f aca="false">IF(G39=1,SUM($G$2:G39),"")</f>
        <v>27</v>
      </c>
    </row>
    <row r="40" customFormat="false" ht="16" hidden="false" customHeight="false" outlineLevel="0" collapsed="false">
      <c r="A40" s="394" t="n">
        <f aca="false">A39+1</f>
        <v>45350</v>
      </c>
      <c r="B40" s="33" t="n">
        <v>0</v>
      </c>
      <c r="C40" s="33" t="str">
        <f aca="false">IF(B40=1,SUM($B$3:B40),"")</f>
        <v/>
      </c>
      <c r="D40" s="393" t="str">
        <f aca="false">IF(B40=1,A40,"")</f>
        <v/>
      </c>
      <c r="F40" s="394" t="n">
        <f aca="false">F39+1</f>
        <v>45350</v>
      </c>
      <c r="G40" s="33" t="n">
        <f aca="false">IF(WEEKDAY(F40,2)&gt;5,0,1)</f>
        <v>1</v>
      </c>
      <c r="H40" s="395" t="n">
        <f aca="false">IF(G40=1,SUM($G$2:G40),"")</f>
        <v>28</v>
      </c>
    </row>
    <row r="41" customFormat="false" ht="16" hidden="false" customHeight="false" outlineLevel="0" collapsed="false">
      <c r="A41" s="394" t="n">
        <f aca="false">A40+1</f>
        <v>45351</v>
      </c>
      <c r="B41" s="33" t="n">
        <v>0</v>
      </c>
      <c r="C41" s="33" t="str">
        <f aca="false">IF(B41=1,SUM($B$3:B41),"")</f>
        <v/>
      </c>
      <c r="D41" s="393" t="str">
        <f aca="false">IF(B41=1,A41,"")</f>
        <v/>
      </c>
      <c r="F41" s="394" t="n">
        <f aca="false">F40+1</f>
        <v>45351</v>
      </c>
      <c r="G41" s="33" t="n">
        <f aca="false">IF(WEEKDAY(F41,2)&gt;5,0,1)</f>
        <v>1</v>
      </c>
      <c r="H41" s="395" t="n">
        <f aca="false">IF(G41=1,SUM($G$2:G41),"")</f>
        <v>29</v>
      </c>
    </row>
    <row r="42" customFormat="false" ht="16" hidden="false" customHeight="false" outlineLevel="0" collapsed="false">
      <c r="A42" s="394" t="n">
        <f aca="false">A41+1</f>
        <v>45352</v>
      </c>
      <c r="B42" s="33" t="n">
        <v>0</v>
      </c>
      <c r="C42" s="33" t="str">
        <f aca="false">IF(B42=1,SUM($B$3:B42),"")</f>
        <v/>
      </c>
      <c r="D42" s="393" t="str">
        <f aca="false">IF(B42=1,A42,"")</f>
        <v/>
      </c>
      <c r="F42" s="394" t="n">
        <f aca="false">F41+1</f>
        <v>45352</v>
      </c>
      <c r="G42" s="33" t="n">
        <f aca="false">IF(WEEKDAY(F42,2)&gt;5,0,1)</f>
        <v>1</v>
      </c>
      <c r="H42" s="395" t="n">
        <f aca="false">IF(G42=1,SUM($G$2:G42),"")</f>
        <v>30</v>
      </c>
    </row>
    <row r="43" customFormat="false" ht="16" hidden="false" customHeight="false" outlineLevel="0" collapsed="false">
      <c r="A43" s="394" t="n">
        <f aca="false">A42+1</f>
        <v>45353</v>
      </c>
      <c r="B43" s="33" t="n">
        <f aca="false">IF(WEEKDAY(A43,2)&gt;5,0,1)</f>
        <v>0</v>
      </c>
      <c r="C43" s="33" t="str">
        <f aca="false">IF(B43=1,SUM($B$3:B43),"")</f>
        <v/>
      </c>
      <c r="D43" s="393" t="str">
        <f aca="false">IF(B43=1,A43,"")</f>
        <v/>
      </c>
      <c r="F43" s="394" t="n">
        <f aca="false">F42+1</f>
        <v>45353</v>
      </c>
      <c r="G43" s="33" t="n">
        <f aca="false">IF(WEEKDAY(F43,2)&gt;5,0,1)</f>
        <v>0</v>
      </c>
      <c r="H43" s="395" t="str">
        <f aca="false">IF(G43=1,SUM($G$2:G43),"")</f>
        <v/>
      </c>
    </row>
    <row r="44" customFormat="false" ht="16" hidden="false" customHeight="false" outlineLevel="0" collapsed="false">
      <c r="A44" s="394" t="n">
        <f aca="false">A43+1</f>
        <v>45354</v>
      </c>
      <c r="B44" s="33" t="n">
        <f aca="false">IF(WEEKDAY(A44,2)&gt;5,0,1)</f>
        <v>0</v>
      </c>
      <c r="C44" s="33" t="str">
        <f aca="false">IF(B44=1,SUM($B$3:B44),"")</f>
        <v/>
      </c>
      <c r="D44" s="393" t="str">
        <f aca="false">IF(B44=1,A44,"")</f>
        <v/>
      </c>
      <c r="F44" s="394" t="n">
        <f aca="false">F43+1</f>
        <v>45354</v>
      </c>
      <c r="G44" s="33" t="n">
        <f aca="false">IF(WEEKDAY(F44,2)&gt;5,0,1)</f>
        <v>0</v>
      </c>
      <c r="H44" s="395" t="str">
        <f aca="false">IF(G44=1,SUM($G$2:G44),"")</f>
        <v/>
      </c>
    </row>
    <row r="45" customFormat="false" ht="16" hidden="false" customHeight="false" outlineLevel="0" collapsed="false">
      <c r="A45" s="394" t="n">
        <f aca="false">A44+1</f>
        <v>45355</v>
      </c>
      <c r="B45" s="33" t="n">
        <f aca="false">IF(WEEKDAY(A45,2)&gt;5,0,1)</f>
        <v>1</v>
      </c>
      <c r="C45" s="33" t="n">
        <f aca="false">IF(B45=1,SUM($B$3:B45),"")</f>
        <v>28</v>
      </c>
      <c r="D45" s="393" t="n">
        <f aca="false">IF(B45=1,A45,"")</f>
        <v>45355</v>
      </c>
      <c r="F45" s="394" t="n">
        <f aca="false">F44+1</f>
        <v>45355</v>
      </c>
      <c r="G45" s="33" t="n">
        <f aca="false">IF(WEEKDAY(F45,2)&gt;5,0,1)</f>
        <v>1</v>
      </c>
      <c r="H45" s="395" t="n">
        <f aca="false">IF(G45=1,SUM($G$2:G45),"")</f>
        <v>31</v>
      </c>
    </row>
    <row r="46" customFormat="false" ht="16" hidden="false" customHeight="false" outlineLevel="0" collapsed="false">
      <c r="A46" s="394" t="n">
        <f aca="false">A45+1</f>
        <v>45356</v>
      </c>
      <c r="B46" s="33" t="n">
        <f aca="false">IF(WEEKDAY(A46,2)&gt;5,0,1)</f>
        <v>1</v>
      </c>
      <c r="C46" s="33" t="n">
        <f aca="false">IF(B46=1,SUM($B$3:B46),"")</f>
        <v>29</v>
      </c>
      <c r="D46" s="393" t="n">
        <f aca="false">IF(B46=1,A46,"")</f>
        <v>45356</v>
      </c>
      <c r="F46" s="394" t="n">
        <f aca="false">F45+1</f>
        <v>45356</v>
      </c>
      <c r="G46" s="33" t="n">
        <f aca="false">IF(WEEKDAY(F46,2)&gt;5,0,1)</f>
        <v>1</v>
      </c>
      <c r="H46" s="395" t="n">
        <f aca="false">IF(G46=1,SUM($G$2:G46),"")</f>
        <v>32</v>
      </c>
    </row>
    <row r="47" customFormat="false" ht="16" hidden="false" customHeight="false" outlineLevel="0" collapsed="false">
      <c r="A47" s="394" t="n">
        <f aca="false">A46+1</f>
        <v>45357</v>
      </c>
      <c r="B47" s="33" t="n">
        <f aca="false">IF(WEEKDAY(A47,2)&gt;5,0,1)</f>
        <v>1</v>
      </c>
      <c r="C47" s="33" t="n">
        <f aca="false">IF(B47=1,SUM($B$3:B47),"")</f>
        <v>30</v>
      </c>
      <c r="D47" s="393" t="n">
        <f aca="false">IF(B47=1,A47,"")</f>
        <v>45357</v>
      </c>
      <c r="F47" s="394" t="n">
        <f aca="false">F46+1</f>
        <v>45357</v>
      </c>
      <c r="G47" s="33" t="n">
        <f aca="false">IF(WEEKDAY(F47,2)&gt;5,0,1)</f>
        <v>1</v>
      </c>
      <c r="H47" s="395" t="n">
        <f aca="false">IF(G47=1,SUM($G$2:G47),"")</f>
        <v>33</v>
      </c>
    </row>
    <row r="48" customFormat="false" ht="16" hidden="false" customHeight="false" outlineLevel="0" collapsed="false">
      <c r="A48" s="394" t="n">
        <f aca="false">A47+1</f>
        <v>45358</v>
      </c>
      <c r="B48" s="33" t="n">
        <f aca="false">IF(WEEKDAY(A48,2)&gt;5,0,1)</f>
        <v>1</v>
      </c>
      <c r="C48" s="33" t="n">
        <f aca="false">IF(B48=1,SUM($B$3:B48),"")</f>
        <v>31</v>
      </c>
      <c r="D48" s="393" t="n">
        <f aca="false">IF(B48=1,A48,"")</f>
        <v>45358</v>
      </c>
      <c r="F48" s="394" t="n">
        <f aca="false">F47+1</f>
        <v>45358</v>
      </c>
      <c r="G48" s="33" t="n">
        <f aca="false">IF(WEEKDAY(F48,2)&gt;5,0,1)</f>
        <v>1</v>
      </c>
      <c r="H48" s="395" t="n">
        <f aca="false">IF(G48=1,SUM($G$2:G48),"")</f>
        <v>34</v>
      </c>
    </row>
    <row r="49" customFormat="false" ht="16" hidden="false" customHeight="false" outlineLevel="0" collapsed="false">
      <c r="A49" s="394" t="n">
        <f aca="false">A48+1</f>
        <v>45359</v>
      </c>
      <c r="B49" s="33" t="n">
        <f aca="false">IF(WEEKDAY(A49,2)&gt;5,0,1)</f>
        <v>1</v>
      </c>
      <c r="C49" s="33" t="n">
        <f aca="false">IF(B49=1,SUM($B$3:B49),"")</f>
        <v>32</v>
      </c>
      <c r="D49" s="393" t="n">
        <f aca="false">IF(B49=1,A49,"")</f>
        <v>45359</v>
      </c>
      <c r="F49" s="394" t="n">
        <f aca="false">F48+1</f>
        <v>45359</v>
      </c>
      <c r="G49" s="33" t="n">
        <f aca="false">IF(WEEKDAY(F49,2)&gt;5,0,1)</f>
        <v>1</v>
      </c>
      <c r="H49" s="395" t="n">
        <f aca="false">IF(G49=1,SUM($G$2:G49),"")</f>
        <v>35</v>
      </c>
    </row>
    <row r="50" customFormat="false" ht="16" hidden="false" customHeight="false" outlineLevel="0" collapsed="false">
      <c r="A50" s="394" t="n">
        <f aca="false">A49+1</f>
        <v>45360</v>
      </c>
      <c r="B50" s="33" t="n">
        <f aca="false">IF(WEEKDAY(A50,2)&gt;5,0,1)</f>
        <v>0</v>
      </c>
      <c r="C50" s="33" t="str">
        <f aca="false">IF(B50=1,SUM($B$3:B50),"")</f>
        <v/>
      </c>
      <c r="D50" s="393" t="str">
        <f aca="false">IF(B50=1,A50,"")</f>
        <v/>
      </c>
      <c r="F50" s="394" t="n">
        <f aca="false">F49+1</f>
        <v>45360</v>
      </c>
      <c r="G50" s="33" t="n">
        <f aca="false">IF(WEEKDAY(F50,2)&gt;5,0,1)</f>
        <v>0</v>
      </c>
      <c r="H50" s="395" t="str">
        <f aca="false">IF(G50=1,SUM($G$2:G50),"")</f>
        <v/>
      </c>
    </row>
    <row r="51" customFormat="false" ht="16" hidden="false" customHeight="false" outlineLevel="0" collapsed="false">
      <c r="A51" s="394" t="n">
        <f aca="false">A50+1</f>
        <v>45361</v>
      </c>
      <c r="B51" s="33" t="n">
        <f aca="false">IF(WEEKDAY(A51,2)&gt;5,0,1)</f>
        <v>0</v>
      </c>
      <c r="C51" s="33" t="str">
        <f aca="false">IF(B51=1,SUM($B$3:B51),"")</f>
        <v/>
      </c>
      <c r="D51" s="393" t="str">
        <f aca="false">IF(B51=1,A51,"")</f>
        <v/>
      </c>
      <c r="F51" s="394" t="n">
        <f aca="false">F50+1</f>
        <v>45361</v>
      </c>
      <c r="G51" s="33" t="n">
        <f aca="false">IF(WEEKDAY(F51,2)&gt;5,0,1)</f>
        <v>0</v>
      </c>
      <c r="H51" s="395" t="str">
        <f aca="false">IF(G51=1,SUM($G$2:G51),"")</f>
        <v/>
      </c>
    </row>
    <row r="52" customFormat="false" ht="16" hidden="false" customHeight="false" outlineLevel="0" collapsed="false">
      <c r="A52" s="394" t="n">
        <f aca="false">A51+1</f>
        <v>45362</v>
      </c>
      <c r="B52" s="33" t="n">
        <v>1</v>
      </c>
      <c r="C52" s="33" t="n">
        <f aca="false">IF(B52=1,SUM($B$3:B52),"")</f>
        <v>33</v>
      </c>
      <c r="D52" s="393" t="n">
        <f aca="false">IF(B52=1,A52,"")</f>
        <v>45362</v>
      </c>
      <c r="F52" s="394" t="n">
        <f aca="false">F51+1</f>
        <v>45362</v>
      </c>
      <c r="G52" s="33" t="n">
        <v>0</v>
      </c>
      <c r="H52" s="395" t="str">
        <f aca="false">IF(G52=1,SUM($G$2:G52),"")</f>
        <v/>
      </c>
    </row>
    <row r="53" customFormat="false" ht="16" hidden="false" customHeight="false" outlineLevel="0" collapsed="false">
      <c r="A53" s="394" t="n">
        <f aca="false">A52+1</f>
        <v>45363</v>
      </c>
      <c r="B53" s="33" t="n">
        <v>1</v>
      </c>
      <c r="C53" s="33" t="n">
        <f aca="false">IF(B53=1,SUM($B$3:B53),"")</f>
        <v>34</v>
      </c>
      <c r="D53" s="393" t="n">
        <f aca="false">IF(B53=1,A53,"")</f>
        <v>45363</v>
      </c>
      <c r="F53" s="394" t="n">
        <f aca="false">F52+1</f>
        <v>45363</v>
      </c>
      <c r="G53" s="33" t="n">
        <v>0</v>
      </c>
      <c r="H53" s="395" t="str">
        <f aca="false">IF(G53=1,SUM($G$2:G53),"")</f>
        <v/>
      </c>
    </row>
    <row r="54" customFormat="false" ht="16" hidden="false" customHeight="false" outlineLevel="0" collapsed="false">
      <c r="A54" s="394" t="n">
        <f aca="false">A53+1</f>
        <v>45364</v>
      </c>
      <c r="B54" s="33" t="n">
        <v>1</v>
      </c>
      <c r="C54" s="33" t="n">
        <f aca="false">IF(B54=1,SUM($B$3:B54),"")</f>
        <v>35</v>
      </c>
      <c r="D54" s="393" t="n">
        <f aca="false">IF(B54=1,A54,"")</f>
        <v>45364</v>
      </c>
      <c r="F54" s="394" t="n">
        <f aca="false">F53+1</f>
        <v>45364</v>
      </c>
      <c r="G54" s="33" t="n">
        <v>0</v>
      </c>
      <c r="H54" s="395" t="str">
        <f aca="false">IF(G54=1,SUM($G$2:G54),"")</f>
        <v/>
      </c>
    </row>
    <row r="55" customFormat="false" ht="16" hidden="false" customHeight="false" outlineLevel="0" collapsed="false">
      <c r="A55" s="394" t="n">
        <f aca="false">A54+1</f>
        <v>45365</v>
      </c>
      <c r="B55" s="33" t="n">
        <v>1</v>
      </c>
      <c r="C55" s="33" t="n">
        <f aca="false">IF(B55=1,SUM($B$3:B55),"")</f>
        <v>36</v>
      </c>
      <c r="D55" s="393" t="n">
        <f aca="false">IF(B55=1,A55,"")</f>
        <v>45365</v>
      </c>
      <c r="F55" s="394" t="n">
        <f aca="false">F54+1</f>
        <v>45365</v>
      </c>
      <c r="G55" s="33" t="n">
        <v>0</v>
      </c>
      <c r="H55" s="395" t="str">
        <f aca="false">IF(G55=1,SUM($G$2:G55),"")</f>
        <v/>
      </c>
    </row>
    <row r="56" customFormat="false" ht="16" hidden="false" customHeight="false" outlineLevel="0" collapsed="false">
      <c r="A56" s="394" t="n">
        <f aca="false">A55+1</f>
        <v>45366</v>
      </c>
      <c r="B56" s="33" t="n">
        <v>1</v>
      </c>
      <c r="C56" s="33" t="n">
        <f aca="false">IF(B56=1,SUM($B$3:B56),"")</f>
        <v>37</v>
      </c>
      <c r="D56" s="393" t="n">
        <f aca="false">IF(B56=1,A56,"")</f>
        <v>45366</v>
      </c>
      <c r="F56" s="394" t="n">
        <f aca="false">F55+1</f>
        <v>45366</v>
      </c>
      <c r="G56" s="33" t="n">
        <v>0</v>
      </c>
      <c r="H56" s="395" t="str">
        <f aca="false">IF(G56=1,SUM($G$2:G56),"")</f>
        <v/>
      </c>
    </row>
    <row r="57" customFormat="false" ht="16" hidden="false" customHeight="false" outlineLevel="0" collapsed="false">
      <c r="A57" s="394" t="n">
        <f aca="false">A56+1</f>
        <v>45367</v>
      </c>
      <c r="B57" s="33" t="n">
        <f aca="false">IF(WEEKDAY(A57,2)&gt;5,0,1)</f>
        <v>0</v>
      </c>
      <c r="C57" s="33" t="str">
        <f aca="false">IF(B57=1,SUM($B$3:B57),"")</f>
        <v/>
      </c>
      <c r="D57" s="393" t="str">
        <f aca="false">IF(B57=1,A57,"")</f>
        <v/>
      </c>
      <c r="F57" s="394" t="n">
        <f aca="false">F56+1</f>
        <v>45367</v>
      </c>
      <c r="G57" s="33" t="n">
        <f aca="false">IF(WEEKDAY(F57,2)&gt;5,0,1)</f>
        <v>0</v>
      </c>
      <c r="H57" s="395" t="str">
        <f aca="false">IF(G57=1,SUM($G$2:G57),"")</f>
        <v/>
      </c>
    </row>
    <row r="58" customFormat="false" ht="16" hidden="false" customHeight="false" outlineLevel="0" collapsed="false">
      <c r="A58" s="394" t="n">
        <f aca="false">A57+1</f>
        <v>45368</v>
      </c>
      <c r="B58" s="33" t="n">
        <f aca="false">IF(WEEKDAY(A58,2)&gt;5,0,1)</f>
        <v>0</v>
      </c>
      <c r="C58" s="33" t="str">
        <f aca="false">IF(B58=1,SUM($B$3:B58),"")</f>
        <v/>
      </c>
      <c r="D58" s="393" t="str">
        <f aca="false">IF(B58=1,A58,"")</f>
        <v/>
      </c>
      <c r="F58" s="394" t="n">
        <f aca="false">F57+1</f>
        <v>45368</v>
      </c>
      <c r="G58" s="33" t="n">
        <f aca="false">IF(WEEKDAY(F58,2)&gt;5,0,1)</f>
        <v>0</v>
      </c>
      <c r="H58" s="395" t="str">
        <f aca="false">IF(G58=1,SUM($G$2:G58),"")</f>
        <v/>
      </c>
    </row>
    <row r="59" customFormat="false" ht="16" hidden="false" customHeight="false" outlineLevel="0" collapsed="false">
      <c r="A59" s="394" t="n">
        <f aca="false">A58+1</f>
        <v>45369</v>
      </c>
      <c r="B59" s="33" t="n">
        <v>1</v>
      </c>
      <c r="C59" s="33" t="n">
        <f aca="false">IF(B59=1,SUM($B$3:B59),"")</f>
        <v>38</v>
      </c>
      <c r="D59" s="393" t="n">
        <f aca="false">IF(B59=1,A59,"")</f>
        <v>45369</v>
      </c>
      <c r="F59" s="394" t="n">
        <f aca="false">F58+1</f>
        <v>45369</v>
      </c>
      <c r="G59" s="33" t="n">
        <v>0</v>
      </c>
      <c r="H59" s="395" t="str">
        <f aca="false">IF(G59=1,SUM($G$2:G59),"")</f>
        <v/>
      </c>
    </row>
    <row r="60" customFormat="false" ht="16" hidden="false" customHeight="false" outlineLevel="0" collapsed="false">
      <c r="A60" s="394" t="n">
        <f aca="false">A59+1</f>
        <v>45370</v>
      </c>
      <c r="B60" s="33" t="n">
        <v>1</v>
      </c>
      <c r="C60" s="33" t="n">
        <f aca="false">IF(B60=1,SUM($B$3:B60),"")</f>
        <v>39</v>
      </c>
      <c r="D60" s="393" t="n">
        <f aca="false">IF(B60=1,A60,"")</f>
        <v>45370</v>
      </c>
      <c r="F60" s="394" t="n">
        <f aca="false">F59+1</f>
        <v>45370</v>
      </c>
      <c r="G60" s="33" t="n">
        <v>0</v>
      </c>
      <c r="H60" s="395" t="str">
        <f aca="false">IF(G60=1,SUM($G$2:G60),"")</f>
        <v/>
      </c>
    </row>
    <row r="61" customFormat="false" ht="16" hidden="false" customHeight="false" outlineLevel="0" collapsed="false">
      <c r="A61" s="394" t="n">
        <f aca="false">A60+1</f>
        <v>45371</v>
      </c>
      <c r="B61" s="33" t="n">
        <v>1</v>
      </c>
      <c r="C61" s="33" t="n">
        <f aca="false">IF(B61=1,SUM($B$3:B61),"")</f>
        <v>40</v>
      </c>
      <c r="D61" s="393" t="n">
        <f aca="false">IF(B61=1,A61,"")</f>
        <v>45371</v>
      </c>
      <c r="F61" s="394" t="n">
        <f aca="false">F60+1</f>
        <v>45371</v>
      </c>
      <c r="G61" s="33" t="n">
        <v>0</v>
      </c>
      <c r="H61" s="395" t="str">
        <f aca="false">IF(G61=1,SUM($G$2:G61),"")</f>
        <v/>
      </c>
    </row>
    <row r="62" customFormat="false" ht="16" hidden="false" customHeight="false" outlineLevel="0" collapsed="false">
      <c r="A62" s="394" t="n">
        <f aca="false">A61+1</f>
        <v>45372</v>
      </c>
      <c r="B62" s="33" t="n">
        <v>1</v>
      </c>
      <c r="C62" s="33" t="n">
        <f aca="false">IF(B62=1,SUM($B$3:B62),"")</f>
        <v>41</v>
      </c>
      <c r="D62" s="393" t="n">
        <f aca="false">IF(B62=1,A62,"")</f>
        <v>45372</v>
      </c>
      <c r="F62" s="394" t="n">
        <f aca="false">F61+1</f>
        <v>45372</v>
      </c>
      <c r="G62" s="33" t="n">
        <v>0</v>
      </c>
      <c r="H62" s="395" t="str">
        <f aca="false">IF(G62=1,SUM($G$2:G62),"")</f>
        <v/>
      </c>
    </row>
    <row r="63" customFormat="false" ht="16" hidden="false" customHeight="false" outlineLevel="0" collapsed="false">
      <c r="A63" s="394" t="n">
        <f aca="false">A62+1</f>
        <v>45373</v>
      </c>
      <c r="B63" s="33" t="n">
        <v>1</v>
      </c>
      <c r="C63" s="33" t="n">
        <f aca="false">IF(B63=1,SUM($B$3:B63),"")</f>
        <v>42</v>
      </c>
      <c r="D63" s="393" t="n">
        <f aca="false">IF(B63=1,A63,"")</f>
        <v>45373</v>
      </c>
      <c r="F63" s="394" t="n">
        <f aca="false">F62+1</f>
        <v>45373</v>
      </c>
      <c r="G63" s="33" t="n">
        <v>0</v>
      </c>
      <c r="H63" s="395" t="str">
        <f aca="false">IF(G63=1,SUM($G$2:G63),"")</f>
        <v/>
      </c>
    </row>
    <row r="64" customFormat="false" ht="16" hidden="false" customHeight="false" outlineLevel="0" collapsed="false">
      <c r="A64" s="394" t="n">
        <f aca="false">A63+1</f>
        <v>45374</v>
      </c>
      <c r="B64" s="33" t="n">
        <f aca="false">IF(WEEKDAY(A64,2)&gt;5,0,1)</f>
        <v>0</v>
      </c>
      <c r="C64" s="33" t="str">
        <f aca="false">IF(B64=1,SUM($B$3:B64),"")</f>
        <v/>
      </c>
      <c r="D64" s="393" t="str">
        <f aca="false">IF(B64=1,A64,"")</f>
        <v/>
      </c>
      <c r="F64" s="394" t="n">
        <f aca="false">F63+1</f>
        <v>45374</v>
      </c>
      <c r="G64" s="33" t="n">
        <f aca="false">IF(WEEKDAY(F64,2)&gt;5,0,1)</f>
        <v>0</v>
      </c>
      <c r="H64" s="395" t="str">
        <f aca="false">IF(G64=1,SUM($G$2:G64),"")</f>
        <v/>
      </c>
    </row>
    <row r="65" customFormat="false" ht="16" hidden="false" customHeight="false" outlineLevel="0" collapsed="false">
      <c r="A65" s="394" t="n">
        <f aca="false">A64+1</f>
        <v>45375</v>
      </c>
      <c r="B65" s="33" t="n">
        <f aca="false">IF(WEEKDAY(A65,2)&gt;5,0,1)</f>
        <v>0</v>
      </c>
      <c r="C65" s="33" t="str">
        <f aca="false">IF(B65=1,SUM($B$3:B65),"")</f>
        <v/>
      </c>
      <c r="D65" s="393" t="str">
        <f aca="false">IF(B65=1,A65,"")</f>
        <v/>
      </c>
      <c r="F65" s="394" t="n">
        <f aca="false">F64+1</f>
        <v>45375</v>
      </c>
      <c r="G65" s="33" t="n">
        <f aca="false">IF(WEEKDAY(F65,2)&gt;5,0,1)</f>
        <v>0</v>
      </c>
      <c r="H65" s="395" t="str">
        <f aca="false">IF(G65=1,SUM($G$2:G65),"")</f>
        <v/>
      </c>
    </row>
    <row r="66" customFormat="false" ht="16" hidden="false" customHeight="false" outlineLevel="0" collapsed="false">
      <c r="A66" s="394" t="n">
        <f aca="false">A65+1</f>
        <v>45376</v>
      </c>
      <c r="B66" s="33" t="n">
        <f aca="false">IF(WEEKDAY(A66,2)&gt;5,0,1)</f>
        <v>1</v>
      </c>
      <c r="C66" s="33" t="n">
        <f aca="false">IF(B66=1,SUM($B$3:B66),"")</f>
        <v>43</v>
      </c>
      <c r="D66" s="393" t="n">
        <f aca="false">IF(B66=1,A66,"")</f>
        <v>45376</v>
      </c>
      <c r="F66" s="394" t="n">
        <f aca="false">F65+1</f>
        <v>45376</v>
      </c>
      <c r="G66" s="33" t="n">
        <f aca="false">IF(WEEKDAY(F66,2)&gt;5,0,1)</f>
        <v>1</v>
      </c>
      <c r="H66" s="395" t="n">
        <f aca="false">IF(G66=1,SUM($G$2:G66),"")</f>
        <v>36</v>
      </c>
    </row>
    <row r="67" customFormat="false" ht="16" hidden="false" customHeight="false" outlineLevel="0" collapsed="false">
      <c r="A67" s="394" t="n">
        <f aca="false">A66+1</f>
        <v>45377</v>
      </c>
      <c r="B67" s="33" t="n">
        <f aca="false">IF(WEEKDAY(A67,2)&gt;5,0,1)</f>
        <v>1</v>
      </c>
      <c r="C67" s="33" t="n">
        <f aca="false">IF(B67=1,SUM($B$3:B67),"")</f>
        <v>44</v>
      </c>
      <c r="D67" s="393" t="n">
        <f aca="false">IF(B67=1,A67,"")</f>
        <v>45377</v>
      </c>
      <c r="F67" s="394" t="n">
        <f aca="false">F66+1</f>
        <v>45377</v>
      </c>
      <c r="G67" s="33" t="n">
        <f aca="false">IF(WEEKDAY(F67,2)&gt;5,0,1)</f>
        <v>1</v>
      </c>
      <c r="H67" s="395" t="n">
        <f aca="false">IF(G67=1,SUM($G$2:G67),"")</f>
        <v>37</v>
      </c>
    </row>
    <row r="68" customFormat="false" ht="16" hidden="false" customHeight="false" outlineLevel="0" collapsed="false">
      <c r="A68" s="394" t="n">
        <f aca="false">A67+1</f>
        <v>45378</v>
      </c>
      <c r="B68" s="33" t="n">
        <f aca="false">IF(WEEKDAY(A68,2)&gt;5,0,1)</f>
        <v>1</v>
      </c>
      <c r="C68" s="33" t="n">
        <f aca="false">IF(B68=1,SUM($B$3:B68),"")</f>
        <v>45</v>
      </c>
      <c r="D68" s="393" t="n">
        <f aca="false">IF(B68=1,A68,"")</f>
        <v>45378</v>
      </c>
      <c r="F68" s="394" t="n">
        <f aca="false">F67+1</f>
        <v>45378</v>
      </c>
      <c r="G68" s="33" t="n">
        <f aca="false">IF(WEEKDAY(F68,2)&gt;5,0,1)</f>
        <v>1</v>
      </c>
      <c r="H68" s="395" t="n">
        <f aca="false">IF(G68=1,SUM($G$2:G68),"")</f>
        <v>38</v>
      </c>
    </row>
    <row r="69" customFormat="false" ht="16" hidden="false" customHeight="false" outlineLevel="0" collapsed="false">
      <c r="A69" s="394" t="n">
        <f aca="false">A68+1</f>
        <v>45379</v>
      </c>
      <c r="B69" s="33" t="n">
        <f aca="false">IF(WEEKDAY(A69,2)&gt;5,0,1)</f>
        <v>1</v>
      </c>
      <c r="C69" s="33" t="n">
        <f aca="false">IF(B69=1,SUM($B$3:B69),"")</f>
        <v>46</v>
      </c>
      <c r="D69" s="393" t="n">
        <f aca="false">IF(B69=1,A69,"")</f>
        <v>45379</v>
      </c>
      <c r="F69" s="394" t="n">
        <f aca="false">F68+1</f>
        <v>45379</v>
      </c>
      <c r="G69" s="33" t="n">
        <f aca="false">IF(WEEKDAY(F69,2)&gt;5,0,1)</f>
        <v>1</v>
      </c>
      <c r="H69" s="395" t="n">
        <f aca="false">IF(G69=1,SUM($G$2:G69),"")</f>
        <v>39</v>
      </c>
    </row>
    <row r="70" customFormat="false" ht="16" hidden="false" customHeight="false" outlineLevel="0" collapsed="false">
      <c r="A70" s="394" t="n">
        <f aca="false">A69+1</f>
        <v>45380</v>
      </c>
      <c r="B70" s="33" t="n">
        <f aca="false">IF(WEEKDAY(A70,2)&gt;5,0,1)</f>
        <v>1</v>
      </c>
      <c r="C70" s="33" t="n">
        <f aca="false">IF(B70=1,SUM($B$3:B70),"")</f>
        <v>47</v>
      </c>
      <c r="D70" s="393" t="n">
        <f aca="false">IF(B70=1,A70,"")</f>
        <v>45380</v>
      </c>
      <c r="F70" s="394" t="n">
        <f aca="false">F69+1</f>
        <v>45380</v>
      </c>
      <c r="G70" s="33" t="n">
        <f aca="false">IF(WEEKDAY(F70,2)&gt;5,0,1)</f>
        <v>1</v>
      </c>
      <c r="H70" s="395" t="n">
        <f aca="false">IF(G70=1,SUM($G$2:G70),"")</f>
        <v>40</v>
      </c>
    </row>
    <row r="71" customFormat="false" ht="16" hidden="false" customHeight="false" outlineLevel="0" collapsed="false">
      <c r="A71" s="394" t="n">
        <f aca="false">A70+1</f>
        <v>45381</v>
      </c>
      <c r="B71" s="33" t="n">
        <f aca="false">IF(WEEKDAY(A71,2)&gt;5,0,1)</f>
        <v>0</v>
      </c>
      <c r="C71" s="33" t="str">
        <f aca="false">IF(B71=1,SUM($B$3:B71),"")</f>
        <v/>
      </c>
      <c r="D71" s="393" t="str">
        <f aca="false">IF(B71=1,A71,"")</f>
        <v/>
      </c>
      <c r="F71" s="394" t="n">
        <f aca="false">F70+1</f>
        <v>45381</v>
      </c>
      <c r="G71" s="33" t="n">
        <f aca="false">IF(WEEKDAY(F71,2)&gt;5,0,1)</f>
        <v>0</v>
      </c>
      <c r="H71" s="395" t="str">
        <f aca="false">IF(G71=1,SUM($G$2:G71),"")</f>
        <v/>
      </c>
    </row>
    <row r="72" customFormat="false" ht="16" hidden="false" customHeight="false" outlineLevel="0" collapsed="false">
      <c r="A72" s="394" t="n">
        <f aca="false">A71+1</f>
        <v>45382</v>
      </c>
      <c r="B72" s="33" t="n">
        <f aca="false">IF(WEEKDAY(A72,2)&gt;5,0,1)</f>
        <v>0</v>
      </c>
      <c r="C72" s="33" t="str">
        <f aca="false">IF(B72=1,SUM($B$3:B72),"")</f>
        <v/>
      </c>
      <c r="D72" s="393" t="str">
        <f aca="false">IF(B72=1,A72,"")</f>
        <v/>
      </c>
      <c r="F72" s="394" t="n">
        <f aca="false">F71+1</f>
        <v>45382</v>
      </c>
      <c r="G72" s="33" t="n">
        <f aca="false">IF(WEEKDAY(F72,2)&gt;5,0,1)</f>
        <v>0</v>
      </c>
      <c r="H72" s="395" t="str">
        <f aca="false">IF(G72=1,SUM($G$2:G72),"")</f>
        <v/>
      </c>
    </row>
    <row r="73" customFormat="false" ht="16" hidden="false" customHeight="false" outlineLevel="0" collapsed="false">
      <c r="A73" s="394" t="n">
        <f aca="false">A72+1</f>
        <v>45383</v>
      </c>
      <c r="B73" s="33" t="n">
        <f aca="false">IF(WEEKDAY(A73,2)&gt;5,0,1)</f>
        <v>1</v>
      </c>
      <c r="C73" s="33" t="n">
        <f aca="false">IF(B73=1,SUM($B$3:B73),"")</f>
        <v>48</v>
      </c>
      <c r="D73" s="393" t="n">
        <f aca="false">IF(B73=1,A73,"")</f>
        <v>45383</v>
      </c>
      <c r="F73" s="394" t="n">
        <f aca="false">F72+1</f>
        <v>45383</v>
      </c>
      <c r="G73" s="33" t="n">
        <f aca="false">IF(WEEKDAY(F73,2)&gt;5,0,1)</f>
        <v>1</v>
      </c>
      <c r="H73" s="395" t="n">
        <f aca="false">IF(G73=1,SUM($G$2:G73),"")</f>
        <v>41</v>
      </c>
    </row>
    <row r="74" customFormat="false" ht="16" hidden="false" customHeight="false" outlineLevel="0" collapsed="false">
      <c r="A74" s="394" t="n">
        <f aca="false">A73+1</f>
        <v>45384</v>
      </c>
      <c r="B74" s="33" t="n">
        <f aca="false">IF(WEEKDAY(A74,2)&gt;5,0,1)</f>
        <v>1</v>
      </c>
      <c r="C74" s="33" t="n">
        <f aca="false">IF(B74=1,SUM($B$3:B74),"")</f>
        <v>49</v>
      </c>
      <c r="D74" s="393" t="n">
        <f aca="false">IF(B74=1,A74,"")</f>
        <v>45384</v>
      </c>
      <c r="F74" s="394" t="n">
        <f aca="false">F73+1</f>
        <v>45384</v>
      </c>
      <c r="G74" s="33" t="n">
        <f aca="false">IF(WEEKDAY(F74,2)&gt;5,0,1)</f>
        <v>1</v>
      </c>
      <c r="H74" s="395" t="n">
        <f aca="false">IF(G74=1,SUM($G$2:G74),"")</f>
        <v>42</v>
      </c>
    </row>
    <row r="75" customFormat="false" ht="16" hidden="false" customHeight="false" outlineLevel="0" collapsed="false">
      <c r="A75" s="394" t="n">
        <f aca="false">A74+1</f>
        <v>45385</v>
      </c>
      <c r="B75" s="33" t="n">
        <f aca="false">IF(WEEKDAY(A75,2)&gt;5,0,1)</f>
        <v>1</v>
      </c>
      <c r="C75" s="33" t="n">
        <f aca="false">IF(B75=1,SUM($B$3:B75),"")</f>
        <v>50</v>
      </c>
      <c r="D75" s="393" t="n">
        <f aca="false">IF(B75=1,A75,"")</f>
        <v>45385</v>
      </c>
      <c r="F75" s="394" t="n">
        <f aca="false">F74+1</f>
        <v>45385</v>
      </c>
      <c r="G75" s="33" t="n">
        <f aca="false">IF(WEEKDAY(F75,2)&gt;5,0,1)</f>
        <v>1</v>
      </c>
      <c r="H75" s="395" t="n">
        <f aca="false">IF(G75=1,SUM($G$2:G75),"")</f>
        <v>43</v>
      </c>
    </row>
    <row r="76" customFormat="false" ht="16" hidden="false" customHeight="false" outlineLevel="0" collapsed="false">
      <c r="A76" s="394" t="n">
        <f aca="false">A75+1</f>
        <v>45386</v>
      </c>
      <c r="B76" s="33" t="n">
        <f aca="false">IF(WEEKDAY(A76,2)&gt;5,0,1)</f>
        <v>1</v>
      </c>
      <c r="C76" s="33" t="n">
        <f aca="false">IF(B76=1,SUM($B$3:B76),"")</f>
        <v>51</v>
      </c>
      <c r="D76" s="393" t="n">
        <f aca="false">IF(B76=1,A76,"")</f>
        <v>45386</v>
      </c>
      <c r="F76" s="394" t="n">
        <f aca="false">F75+1</f>
        <v>45386</v>
      </c>
      <c r="G76" s="33" t="n">
        <f aca="false">IF(WEEKDAY(F76,2)&gt;5,0,1)</f>
        <v>1</v>
      </c>
      <c r="H76" s="395" t="n">
        <f aca="false">IF(G76=1,SUM($G$2:G76),"")</f>
        <v>44</v>
      </c>
    </row>
    <row r="77" customFormat="false" ht="16" hidden="false" customHeight="false" outlineLevel="0" collapsed="false">
      <c r="A77" s="394" t="n">
        <f aca="false">A76+1</f>
        <v>45387</v>
      </c>
      <c r="B77" s="33" t="n">
        <f aca="false">IF(WEEKDAY(A77,2)&gt;5,0,1)</f>
        <v>1</v>
      </c>
      <c r="C77" s="33" t="n">
        <f aca="false">IF(B77=1,SUM($B$3:B77),"")</f>
        <v>52</v>
      </c>
      <c r="D77" s="393" t="n">
        <f aca="false">IF(B77=1,A77,"")</f>
        <v>45387</v>
      </c>
      <c r="F77" s="394" t="n">
        <f aca="false">F76+1</f>
        <v>45387</v>
      </c>
      <c r="G77" s="33" t="n">
        <f aca="false">IF(WEEKDAY(F77,2)&gt;5,0,1)</f>
        <v>1</v>
      </c>
      <c r="H77" s="395" t="n">
        <f aca="false">IF(G77=1,SUM($G$2:G77),"")</f>
        <v>45</v>
      </c>
    </row>
    <row r="78" customFormat="false" ht="16" hidden="false" customHeight="false" outlineLevel="0" collapsed="false">
      <c r="A78" s="394" t="n">
        <f aca="false">A77+1</f>
        <v>45388</v>
      </c>
      <c r="B78" s="33" t="n">
        <f aca="false">IF(WEEKDAY(A78,2)&gt;5,0,1)</f>
        <v>0</v>
      </c>
      <c r="C78" s="33" t="str">
        <f aca="false">IF(B78=1,SUM($B$3:B78),"")</f>
        <v/>
      </c>
      <c r="D78" s="393" t="str">
        <f aca="false">IF(B78=1,A78,"")</f>
        <v/>
      </c>
      <c r="F78" s="394" t="n">
        <f aca="false">F77+1</f>
        <v>45388</v>
      </c>
      <c r="G78" s="33" t="n">
        <f aca="false">IF(WEEKDAY(F78,2)&gt;5,0,1)</f>
        <v>0</v>
      </c>
      <c r="H78" s="395" t="str">
        <f aca="false">IF(G78=1,SUM($G$2:G78),"")</f>
        <v/>
      </c>
    </row>
    <row r="79" customFormat="false" ht="16" hidden="false" customHeight="false" outlineLevel="0" collapsed="false">
      <c r="A79" s="394" t="n">
        <f aca="false">A78+1</f>
        <v>45389</v>
      </c>
      <c r="B79" s="33" t="n">
        <f aca="false">IF(WEEKDAY(A79,2)&gt;5,0,1)</f>
        <v>0</v>
      </c>
      <c r="C79" s="33" t="str">
        <f aca="false">IF(B79=1,SUM($B$3:B79),"")</f>
        <v/>
      </c>
      <c r="D79" s="393" t="str">
        <f aca="false">IF(B79=1,A79,"")</f>
        <v/>
      </c>
      <c r="F79" s="394" t="n">
        <f aca="false">F78+1</f>
        <v>45389</v>
      </c>
      <c r="G79" s="33" t="n">
        <f aca="false">IF(WEEKDAY(F79,2)&gt;5,0,1)</f>
        <v>0</v>
      </c>
      <c r="H79" s="395" t="str">
        <f aca="false">IF(G79=1,SUM($G$2:G79),"")</f>
        <v/>
      </c>
    </row>
    <row r="80" customFormat="false" ht="16" hidden="false" customHeight="false" outlineLevel="0" collapsed="false">
      <c r="A80" s="394" t="n">
        <f aca="false">A79+1</f>
        <v>45390</v>
      </c>
      <c r="B80" s="33" t="n">
        <f aca="false">IF(WEEKDAY(A80,2)&gt;5,0,1)</f>
        <v>1</v>
      </c>
      <c r="C80" s="33" t="n">
        <f aca="false">IF(B80=1,SUM($B$3:B80),"")</f>
        <v>53</v>
      </c>
      <c r="D80" s="393" t="n">
        <f aca="false">IF(B80=1,A80,"")</f>
        <v>45390</v>
      </c>
      <c r="F80" s="394" t="n">
        <f aca="false">F79+1</f>
        <v>45390</v>
      </c>
      <c r="G80" s="33" t="n">
        <f aca="false">IF(WEEKDAY(F80,2)&gt;5,0,1)</f>
        <v>1</v>
      </c>
      <c r="H80" s="395" t="n">
        <f aca="false">IF(G80=1,SUM($G$2:G80),"")</f>
        <v>46</v>
      </c>
    </row>
    <row r="81" customFormat="false" ht="16" hidden="false" customHeight="false" outlineLevel="0" collapsed="false">
      <c r="A81" s="394" t="n">
        <f aca="false">A80+1</f>
        <v>45391</v>
      </c>
      <c r="B81" s="33" t="n">
        <f aca="false">IF(WEEKDAY(A81,2)&gt;5,0,1)</f>
        <v>1</v>
      </c>
      <c r="C81" s="33" t="n">
        <f aca="false">IF(B81=1,SUM($B$3:B81),"")</f>
        <v>54</v>
      </c>
      <c r="D81" s="393" t="n">
        <f aca="false">IF(B81=1,A81,"")</f>
        <v>45391</v>
      </c>
      <c r="F81" s="394" t="n">
        <f aca="false">F80+1</f>
        <v>45391</v>
      </c>
      <c r="G81" s="33" t="n">
        <f aca="false">IF(WEEKDAY(F81,2)&gt;5,0,1)</f>
        <v>1</v>
      </c>
      <c r="H81" s="395" t="n">
        <f aca="false">IF(G81=1,SUM($G$2:G81),"")</f>
        <v>47</v>
      </c>
    </row>
    <row r="82" customFormat="false" ht="16" hidden="false" customHeight="false" outlineLevel="0" collapsed="false">
      <c r="A82" s="394" t="n">
        <f aca="false">A81+1</f>
        <v>45392</v>
      </c>
      <c r="B82" s="33" t="n">
        <f aca="false">IF(WEEKDAY(A82,2)&gt;5,0,1)</f>
        <v>1</v>
      </c>
      <c r="C82" s="33" t="n">
        <f aca="false">IF(B82=1,SUM($B$3:B82),"")</f>
        <v>55</v>
      </c>
      <c r="D82" s="393" t="n">
        <f aca="false">IF(B82=1,A82,"")</f>
        <v>45392</v>
      </c>
      <c r="F82" s="394" t="n">
        <f aca="false">F81+1</f>
        <v>45392</v>
      </c>
      <c r="G82" s="33" t="n">
        <f aca="false">IF(WEEKDAY(F82,2)&gt;5,0,1)</f>
        <v>1</v>
      </c>
      <c r="H82" s="395" t="n">
        <f aca="false">IF(G82=1,SUM($G$2:G82),"")</f>
        <v>48</v>
      </c>
    </row>
    <row r="83" customFormat="false" ht="16" hidden="false" customHeight="false" outlineLevel="0" collapsed="false">
      <c r="A83" s="394" t="n">
        <f aca="false">A82+1</f>
        <v>45393</v>
      </c>
      <c r="B83" s="33" t="n">
        <f aca="false">IF(WEEKDAY(A83,2)&gt;5,0,1)</f>
        <v>1</v>
      </c>
      <c r="C83" s="33" t="n">
        <f aca="false">IF(B83=1,SUM($B$3:B83),"")</f>
        <v>56</v>
      </c>
      <c r="D83" s="393" t="n">
        <f aca="false">IF(B83=1,A83,"")</f>
        <v>45393</v>
      </c>
      <c r="F83" s="394" t="n">
        <f aca="false">F82+1</f>
        <v>45393</v>
      </c>
      <c r="G83" s="33" t="n">
        <f aca="false">IF(WEEKDAY(F83,2)&gt;5,0,1)</f>
        <v>1</v>
      </c>
      <c r="H83" s="395" t="n">
        <f aca="false">IF(G83=1,SUM($G$2:G83),"")</f>
        <v>49</v>
      </c>
    </row>
    <row r="84" customFormat="false" ht="16" hidden="false" customHeight="false" outlineLevel="0" collapsed="false">
      <c r="A84" s="394" t="n">
        <f aca="false">A83+1</f>
        <v>45394</v>
      </c>
      <c r="B84" s="33" t="n">
        <f aca="false">IF(WEEKDAY(A84,2)&gt;5,0,1)</f>
        <v>1</v>
      </c>
      <c r="C84" s="33" t="n">
        <f aca="false">IF(B84=1,SUM($B$3:B84),"")</f>
        <v>57</v>
      </c>
      <c r="D84" s="393" t="n">
        <f aca="false">IF(B84=1,A84,"")</f>
        <v>45394</v>
      </c>
      <c r="F84" s="394" t="n">
        <f aca="false">F83+1</f>
        <v>45394</v>
      </c>
      <c r="G84" s="33" t="n">
        <f aca="false">IF(WEEKDAY(F84,2)&gt;5,0,1)</f>
        <v>1</v>
      </c>
      <c r="H84" s="395" t="n">
        <f aca="false">IF(G84=1,SUM($G$2:G84),"")</f>
        <v>50</v>
      </c>
    </row>
    <row r="85" customFormat="false" ht="16" hidden="false" customHeight="false" outlineLevel="0" collapsed="false">
      <c r="A85" s="394" t="n">
        <f aca="false">A84+1</f>
        <v>45395</v>
      </c>
      <c r="B85" s="33" t="n">
        <f aca="false">IF(WEEKDAY(A85,2)&gt;5,0,1)</f>
        <v>0</v>
      </c>
      <c r="C85" s="33" t="str">
        <f aca="false">IF(B85=1,SUM($B$3:B85),"")</f>
        <v/>
      </c>
      <c r="D85" s="393" t="str">
        <f aca="false">IF(B85=1,A85,"")</f>
        <v/>
      </c>
      <c r="F85" s="394" t="n">
        <f aca="false">F84+1</f>
        <v>45395</v>
      </c>
      <c r="G85" s="33" t="n">
        <f aca="false">IF(WEEKDAY(F85,2)&gt;5,0,1)</f>
        <v>0</v>
      </c>
      <c r="H85" s="395" t="str">
        <f aca="false">IF(G85=1,SUM($G$2:G85),"")</f>
        <v/>
      </c>
    </row>
    <row r="86" customFormat="false" ht="16" hidden="false" customHeight="false" outlineLevel="0" collapsed="false">
      <c r="A86" s="394" t="n">
        <f aca="false">A85+1</f>
        <v>45396</v>
      </c>
      <c r="B86" s="33" t="n">
        <f aca="false">IF(WEEKDAY(A86,2)&gt;5,0,1)</f>
        <v>0</v>
      </c>
      <c r="C86" s="33" t="str">
        <f aca="false">IF(B86=1,SUM($B$3:B86),"")</f>
        <v/>
      </c>
      <c r="D86" s="393" t="str">
        <f aca="false">IF(B86=1,A86,"")</f>
        <v/>
      </c>
      <c r="F86" s="394" t="n">
        <f aca="false">F85+1</f>
        <v>45396</v>
      </c>
      <c r="G86" s="33" t="n">
        <f aca="false">IF(WEEKDAY(F86,2)&gt;5,0,1)</f>
        <v>0</v>
      </c>
      <c r="H86" s="395" t="str">
        <f aca="false">IF(G86=1,SUM($G$2:G86),"")</f>
        <v/>
      </c>
    </row>
    <row r="87" customFormat="false" ht="16" hidden="false" customHeight="false" outlineLevel="0" collapsed="false">
      <c r="A87" s="394" t="n">
        <f aca="false">A86+1</f>
        <v>45397</v>
      </c>
      <c r="B87" s="33" t="n">
        <v>0</v>
      </c>
      <c r="C87" s="33" t="str">
        <f aca="false">IF(B87=1,SUM($B$3:B87),"")</f>
        <v/>
      </c>
      <c r="D87" s="393" t="str">
        <f aca="false">IF(B87=1,A87,"")</f>
        <v/>
      </c>
      <c r="F87" s="394" t="n">
        <f aca="false">F86+1</f>
        <v>45397</v>
      </c>
      <c r="G87" s="33" t="n">
        <f aca="false">IF(WEEKDAY(F87,2)&gt;5,0,1)</f>
        <v>1</v>
      </c>
      <c r="H87" s="395" t="n">
        <f aca="false">IF(G87=1,SUM($G$2:G87),"")</f>
        <v>51</v>
      </c>
    </row>
    <row r="88" customFormat="false" ht="16" hidden="false" customHeight="false" outlineLevel="0" collapsed="false">
      <c r="A88" s="394" t="n">
        <f aca="false">A87+1</f>
        <v>45398</v>
      </c>
      <c r="B88" s="33" t="n">
        <v>0</v>
      </c>
      <c r="C88" s="33" t="str">
        <f aca="false">IF(B88=1,SUM($B$3:B88),"")</f>
        <v/>
      </c>
      <c r="D88" s="393" t="str">
        <f aca="false">IF(B88=1,A88,"")</f>
        <v/>
      </c>
      <c r="F88" s="394" t="n">
        <f aca="false">F87+1</f>
        <v>45398</v>
      </c>
      <c r="G88" s="33" t="n">
        <f aca="false">IF(WEEKDAY(F88,2)&gt;5,0,1)</f>
        <v>1</v>
      </c>
      <c r="H88" s="395" t="n">
        <f aca="false">IF(G88=1,SUM($G$2:G88),"")</f>
        <v>52</v>
      </c>
    </row>
    <row r="89" customFormat="false" ht="16" hidden="false" customHeight="false" outlineLevel="0" collapsed="false">
      <c r="A89" s="394" t="n">
        <f aca="false">A88+1</f>
        <v>45399</v>
      </c>
      <c r="B89" s="33" t="n">
        <v>0</v>
      </c>
      <c r="C89" s="33" t="str">
        <f aca="false">IF(B89=1,SUM($B$3:B89),"")</f>
        <v/>
      </c>
      <c r="D89" s="393" t="str">
        <f aca="false">IF(B89=1,A89,"")</f>
        <v/>
      </c>
      <c r="F89" s="394" t="n">
        <f aca="false">F88+1</f>
        <v>45399</v>
      </c>
      <c r="G89" s="33" t="n">
        <f aca="false">IF(WEEKDAY(F89,2)&gt;5,0,1)</f>
        <v>1</v>
      </c>
      <c r="H89" s="395" t="n">
        <f aca="false">IF(G89=1,SUM($G$2:G89),"")</f>
        <v>53</v>
      </c>
    </row>
    <row r="90" customFormat="false" ht="16" hidden="false" customHeight="false" outlineLevel="0" collapsed="false">
      <c r="A90" s="394" t="n">
        <f aca="false">A89+1</f>
        <v>45400</v>
      </c>
      <c r="B90" s="33" t="n">
        <v>0</v>
      </c>
      <c r="C90" s="33" t="str">
        <f aca="false">IF(B90=1,SUM($B$3:B90),"")</f>
        <v/>
      </c>
      <c r="D90" s="393" t="str">
        <f aca="false">IF(B90=1,A90,"")</f>
        <v/>
      </c>
      <c r="F90" s="394" t="n">
        <f aca="false">F89+1</f>
        <v>45400</v>
      </c>
      <c r="G90" s="33" t="n">
        <f aca="false">IF(WEEKDAY(F90,2)&gt;5,0,1)</f>
        <v>1</v>
      </c>
      <c r="H90" s="395" t="n">
        <f aca="false">IF(G90=1,SUM($G$2:G90),"")</f>
        <v>54</v>
      </c>
    </row>
    <row r="91" customFormat="false" ht="16" hidden="false" customHeight="false" outlineLevel="0" collapsed="false">
      <c r="A91" s="394" t="n">
        <f aca="false">A90+1</f>
        <v>45401</v>
      </c>
      <c r="B91" s="33" t="n">
        <v>0</v>
      </c>
      <c r="C91" s="33" t="str">
        <f aca="false">IF(B91=1,SUM($B$3:B91),"")</f>
        <v/>
      </c>
      <c r="D91" s="393" t="str">
        <f aca="false">IF(B91=1,A91,"")</f>
        <v/>
      </c>
      <c r="F91" s="394" t="n">
        <f aca="false">F90+1</f>
        <v>45401</v>
      </c>
      <c r="G91" s="33" t="n">
        <f aca="false">IF(WEEKDAY(F91,2)&gt;5,0,1)</f>
        <v>1</v>
      </c>
      <c r="H91" s="395" t="n">
        <f aca="false">IF(G91=1,SUM($G$2:G91),"")</f>
        <v>55</v>
      </c>
    </row>
    <row r="92" customFormat="false" ht="16" hidden="false" customHeight="false" outlineLevel="0" collapsed="false">
      <c r="A92" s="394" t="n">
        <f aca="false">A91+1</f>
        <v>45402</v>
      </c>
      <c r="B92" s="33" t="n">
        <f aca="false">IF(WEEKDAY(A92,2)&gt;5,0,1)</f>
        <v>0</v>
      </c>
      <c r="C92" s="33" t="str">
        <f aca="false">IF(B92=1,SUM($B$3:B92),"")</f>
        <v/>
      </c>
      <c r="D92" s="393" t="str">
        <f aca="false">IF(B92=1,A92,"")</f>
        <v/>
      </c>
      <c r="F92" s="394" t="n">
        <f aca="false">F91+1</f>
        <v>45402</v>
      </c>
      <c r="G92" s="33" t="n">
        <f aca="false">IF(WEEKDAY(F92,2)&gt;5,0,1)</f>
        <v>0</v>
      </c>
      <c r="H92" s="395" t="str">
        <f aca="false">IF(G92=1,SUM($G$2:G92),"")</f>
        <v/>
      </c>
    </row>
    <row r="93" customFormat="false" ht="16" hidden="false" customHeight="false" outlineLevel="0" collapsed="false">
      <c r="A93" s="394" t="n">
        <f aca="false">A92+1</f>
        <v>45403</v>
      </c>
      <c r="B93" s="33" t="n">
        <f aca="false">IF(WEEKDAY(A93,2)&gt;5,0,1)</f>
        <v>0</v>
      </c>
      <c r="C93" s="33" t="str">
        <f aca="false">IF(B93=1,SUM($B$3:B93),"")</f>
        <v/>
      </c>
      <c r="D93" s="393" t="str">
        <f aca="false">IF(B93=1,A93,"")</f>
        <v/>
      </c>
      <c r="F93" s="394" t="n">
        <f aca="false">F92+1</f>
        <v>45403</v>
      </c>
      <c r="G93" s="33" t="n">
        <f aca="false">IF(WEEKDAY(F93,2)&gt;5,0,1)</f>
        <v>0</v>
      </c>
      <c r="H93" s="395" t="str">
        <f aca="false">IF(G93=1,SUM($G$2:G93),"")</f>
        <v/>
      </c>
    </row>
    <row r="94" customFormat="false" ht="16" hidden="false" customHeight="false" outlineLevel="0" collapsed="false">
      <c r="A94" s="394" t="n">
        <f aca="false">A93+1</f>
        <v>45404</v>
      </c>
      <c r="B94" s="33" t="n">
        <v>0</v>
      </c>
      <c r="C94" s="33" t="str">
        <f aca="false">IF(B94=1,SUM($B$3:B94),"")</f>
        <v/>
      </c>
      <c r="D94" s="393" t="str">
        <f aca="false">IF(B94=1,A94,"")</f>
        <v/>
      </c>
      <c r="F94" s="394" t="n">
        <f aca="false">F93+1</f>
        <v>45404</v>
      </c>
      <c r="G94" s="33" t="n">
        <f aca="false">IF(WEEKDAY(F94,2)&gt;5,0,1)</f>
        <v>1</v>
      </c>
      <c r="H94" s="395" t="n">
        <f aca="false">IF(G94=1,SUM($G$2:G94),"")</f>
        <v>56</v>
      </c>
    </row>
    <row r="95" customFormat="false" ht="16" hidden="false" customHeight="false" outlineLevel="0" collapsed="false">
      <c r="A95" s="394" t="n">
        <f aca="false">A94+1</f>
        <v>45405</v>
      </c>
      <c r="B95" s="33" t="n">
        <v>0</v>
      </c>
      <c r="C95" s="33" t="str">
        <f aca="false">IF(B95=1,SUM($B$3:B95),"")</f>
        <v/>
      </c>
      <c r="D95" s="393" t="str">
        <f aca="false">IF(B95=1,A95,"")</f>
        <v/>
      </c>
      <c r="F95" s="394" t="n">
        <f aca="false">F94+1</f>
        <v>45405</v>
      </c>
      <c r="G95" s="33" t="n">
        <f aca="false">IF(WEEKDAY(F95,2)&gt;5,0,1)</f>
        <v>1</v>
      </c>
      <c r="H95" s="395" t="n">
        <f aca="false">IF(G95=1,SUM($G$2:G95),"")</f>
        <v>57</v>
      </c>
    </row>
    <row r="96" customFormat="false" ht="16" hidden="false" customHeight="false" outlineLevel="0" collapsed="false">
      <c r="A96" s="394" t="n">
        <f aca="false">A95+1</f>
        <v>45406</v>
      </c>
      <c r="B96" s="33" t="n">
        <v>0</v>
      </c>
      <c r="C96" s="33" t="str">
        <f aca="false">IF(B96=1,SUM($B$3:B96),"")</f>
        <v/>
      </c>
      <c r="D96" s="393" t="str">
        <f aca="false">IF(B96=1,A96,"")</f>
        <v/>
      </c>
      <c r="F96" s="394" t="n">
        <f aca="false">F95+1</f>
        <v>45406</v>
      </c>
      <c r="G96" s="33" t="n">
        <f aca="false">IF(WEEKDAY(F96,2)&gt;5,0,1)</f>
        <v>1</v>
      </c>
      <c r="H96" s="395" t="n">
        <f aca="false">IF(G96=1,SUM($G$2:G96),"")</f>
        <v>58</v>
      </c>
    </row>
    <row r="97" customFormat="false" ht="16" hidden="false" customHeight="false" outlineLevel="0" collapsed="false">
      <c r="A97" s="394" t="n">
        <f aca="false">A96+1</f>
        <v>45407</v>
      </c>
      <c r="B97" s="33" t="n">
        <v>0</v>
      </c>
      <c r="C97" s="33" t="str">
        <f aca="false">IF(B97=1,SUM($B$3:B97),"")</f>
        <v/>
      </c>
      <c r="D97" s="393" t="str">
        <f aca="false">IF(B97=1,A97,"")</f>
        <v/>
      </c>
      <c r="F97" s="394" t="n">
        <f aca="false">F96+1</f>
        <v>45407</v>
      </c>
      <c r="G97" s="33" t="n">
        <f aca="false">IF(WEEKDAY(F97,2)&gt;5,0,1)</f>
        <v>1</v>
      </c>
      <c r="H97" s="395" t="n">
        <f aca="false">IF(G97=1,SUM($G$2:G97),"")</f>
        <v>59</v>
      </c>
    </row>
    <row r="98" customFormat="false" ht="16" hidden="false" customHeight="false" outlineLevel="0" collapsed="false">
      <c r="A98" s="394" t="n">
        <f aca="false">A97+1</f>
        <v>45408</v>
      </c>
      <c r="B98" s="33" t="n">
        <v>0</v>
      </c>
      <c r="C98" s="33" t="str">
        <f aca="false">IF(B98=1,SUM($B$3:B98),"")</f>
        <v/>
      </c>
      <c r="D98" s="393" t="str">
        <f aca="false">IF(B98=1,A98,"")</f>
        <v/>
      </c>
      <c r="F98" s="394" t="n">
        <f aca="false">F97+1</f>
        <v>45408</v>
      </c>
      <c r="G98" s="33" t="n">
        <f aca="false">IF(WEEKDAY(F98,2)&gt;5,0,1)</f>
        <v>1</v>
      </c>
      <c r="H98" s="395" t="n">
        <f aca="false">IF(G98=1,SUM($G$2:G98),"")</f>
        <v>60</v>
      </c>
    </row>
    <row r="99" customFormat="false" ht="16" hidden="false" customHeight="false" outlineLevel="0" collapsed="false">
      <c r="A99" s="394" t="n">
        <f aca="false">A98+1</f>
        <v>45409</v>
      </c>
      <c r="B99" s="33" t="n">
        <f aca="false">IF(WEEKDAY(A99,2)&gt;5,0,1)</f>
        <v>0</v>
      </c>
      <c r="C99" s="33" t="str">
        <f aca="false">IF(B99=1,SUM($B$3:B99),"")</f>
        <v/>
      </c>
      <c r="D99" s="393" t="str">
        <f aca="false">IF(B99=1,A99,"")</f>
        <v/>
      </c>
      <c r="F99" s="394" t="n">
        <f aca="false">F98+1</f>
        <v>45409</v>
      </c>
      <c r="G99" s="33" t="n">
        <f aca="false">IF(WEEKDAY(F99,2)&gt;5,0,1)</f>
        <v>0</v>
      </c>
      <c r="H99" s="395" t="str">
        <f aca="false">IF(G99=1,SUM($G$2:G99),"")</f>
        <v/>
      </c>
    </row>
    <row r="100" customFormat="false" ht="16" hidden="false" customHeight="false" outlineLevel="0" collapsed="false">
      <c r="A100" s="394" t="n">
        <f aca="false">A99+1</f>
        <v>45410</v>
      </c>
      <c r="B100" s="33" t="n">
        <f aca="false">IF(WEEKDAY(A100,2)&gt;5,0,1)</f>
        <v>0</v>
      </c>
      <c r="C100" s="33" t="str">
        <f aca="false">IF(B100=1,SUM($B$3:B100),"")</f>
        <v/>
      </c>
      <c r="D100" s="393" t="str">
        <f aca="false">IF(B100=1,A100,"")</f>
        <v/>
      </c>
      <c r="F100" s="394" t="n">
        <f aca="false">F99+1</f>
        <v>45410</v>
      </c>
      <c r="G100" s="33" t="n">
        <f aca="false">IF(WEEKDAY(F100,2)&gt;5,0,1)</f>
        <v>0</v>
      </c>
      <c r="H100" s="395" t="str">
        <f aca="false">IF(G100=1,SUM($G$2:G100),"")</f>
        <v/>
      </c>
    </row>
    <row r="101" customFormat="false" ht="16" hidden="false" customHeight="false" outlineLevel="0" collapsed="false">
      <c r="A101" s="394" t="n">
        <f aca="false">A100+1</f>
        <v>45411</v>
      </c>
      <c r="B101" s="33" t="n">
        <f aca="false">IF(WEEKDAY(A101,2)&gt;5,0,1)</f>
        <v>1</v>
      </c>
      <c r="C101" s="33" t="n">
        <f aca="false">IF(B101=1,SUM($B$3:B101),"")</f>
        <v>58</v>
      </c>
      <c r="D101" s="393" t="n">
        <f aca="false">IF(B101=1,A101,"")</f>
        <v>45411</v>
      </c>
      <c r="F101" s="394" t="n">
        <f aca="false">F100+1</f>
        <v>45411</v>
      </c>
      <c r="G101" s="33" t="n">
        <f aca="false">IF(WEEKDAY(F101,2)&gt;5,0,1)</f>
        <v>1</v>
      </c>
      <c r="H101" s="395" t="n">
        <f aca="false">IF(G101=1,SUM($G$2:G101),"")</f>
        <v>61</v>
      </c>
    </row>
    <row r="102" customFormat="false" ht="16" hidden="false" customHeight="false" outlineLevel="0" collapsed="false">
      <c r="A102" s="394" t="n">
        <f aca="false">A101+1</f>
        <v>45412</v>
      </c>
      <c r="B102" s="33" t="n">
        <f aca="false">IF(WEEKDAY(A102,2)&gt;5,0,1)</f>
        <v>1</v>
      </c>
      <c r="C102" s="33" t="n">
        <f aca="false">IF(B102=1,SUM($B$3:B102),"")</f>
        <v>59</v>
      </c>
      <c r="D102" s="393" t="n">
        <f aca="false">IF(B102=1,A102,"")</f>
        <v>45412</v>
      </c>
      <c r="F102" s="394" t="n">
        <f aca="false">F101+1</f>
        <v>45412</v>
      </c>
      <c r="G102" s="33" t="n">
        <f aca="false">IF(WEEKDAY(F102,2)&gt;5,0,1)</f>
        <v>1</v>
      </c>
      <c r="H102" s="395" t="n">
        <f aca="false">IF(G102=1,SUM($G$2:G102),"")</f>
        <v>62</v>
      </c>
    </row>
    <row r="103" customFormat="false" ht="16" hidden="false" customHeight="false" outlineLevel="0" collapsed="false">
      <c r="A103" s="394" t="n">
        <f aca="false">A102+1</f>
        <v>45413</v>
      </c>
      <c r="B103" s="33" t="n">
        <f aca="false">IF(WEEKDAY(A103,2)&gt;5,0,1)</f>
        <v>1</v>
      </c>
      <c r="C103" s="33" t="n">
        <f aca="false">IF(B103=1,SUM($B$3:B103),"")</f>
        <v>60</v>
      </c>
      <c r="D103" s="393" t="n">
        <f aca="false">IF(B103=1,A103,"")</f>
        <v>45413</v>
      </c>
      <c r="F103" s="394" t="n">
        <f aca="false">F102+1</f>
        <v>45413</v>
      </c>
      <c r="G103" s="33" t="n">
        <f aca="false">IF(WEEKDAY(F103,2)&gt;5,0,1)</f>
        <v>1</v>
      </c>
      <c r="H103" s="395" t="n">
        <f aca="false">IF(G103=1,SUM($G$2:G103),"")</f>
        <v>63</v>
      </c>
    </row>
    <row r="104" customFormat="false" ht="16" hidden="false" customHeight="false" outlineLevel="0" collapsed="false">
      <c r="A104" s="394" t="n">
        <f aca="false">A103+1</f>
        <v>45414</v>
      </c>
      <c r="B104" s="33" t="n">
        <f aca="false">IF(WEEKDAY(A104,2)&gt;5,0,1)</f>
        <v>1</v>
      </c>
      <c r="C104" s="33" t="n">
        <f aca="false">IF(B104=1,SUM($B$3:B104),"")</f>
        <v>61</v>
      </c>
      <c r="D104" s="393" t="n">
        <f aca="false">IF(B104=1,A104,"")</f>
        <v>45414</v>
      </c>
      <c r="F104" s="394" t="n">
        <f aca="false">F103+1</f>
        <v>45414</v>
      </c>
      <c r="G104" s="33" t="n">
        <f aca="false">IF(WEEKDAY(F104,2)&gt;5,0,1)</f>
        <v>1</v>
      </c>
      <c r="H104" s="395" t="n">
        <f aca="false">IF(G104=1,SUM($G$2:G104),"")</f>
        <v>64</v>
      </c>
    </row>
    <row r="105" customFormat="false" ht="16" hidden="false" customHeight="false" outlineLevel="0" collapsed="false">
      <c r="A105" s="394" t="n">
        <f aca="false">A104+1</f>
        <v>45415</v>
      </c>
      <c r="B105" s="33" t="n">
        <f aca="false">IF(WEEKDAY(A105,2)&gt;5,0,1)</f>
        <v>1</v>
      </c>
      <c r="C105" s="33" t="n">
        <f aca="false">IF(B105=1,SUM($B$3:B105),"")</f>
        <v>62</v>
      </c>
      <c r="D105" s="393" t="n">
        <f aca="false">IF(B105=1,A105,"")</f>
        <v>45415</v>
      </c>
      <c r="F105" s="394" t="n">
        <f aca="false">F104+1</f>
        <v>45415</v>
      </c>
      <c r="G105" s="33" t="n">
        <f aca="false">IF(WEEKDAY(F105,2)&gt;5,0,1)</f>
        <v>1</v>
      </c>
      <c r="H105" s="395" t="n">
        <f aca="false">IF(G105=1,SUM($G$2:G105),"")</f>
        <v>65</v>
      </c>
    </row>
    <row r="106" customFormat="false" ht="16" hidden="false" customHeight="false" outlineLevel="0" collapsed="false">
      <c r="A106" s="394" t="n">
        <f aca="false">A105+1</f>
        <v>45416</v>
      </c>
      <c r="B106" s="33" t="n">
        <f aca="false">IF(WEEKDAY(A106,2)&gt;5,0,1)</f>
        <v>0</v>
      </c>
      <c r="C106" s="33" t="str">
        <f aca="false">IF(B106=1,SUM($B$3:B106),"")</f>
        <v/>
      </c>
      <c r="D106" s="393" t="str">
        <f aca="false">IF(B106=1,A106,"")</f>
        <v/>
      </c>
      <c r="F106" s="394" t="n">
        <f aca="false">F105+1</f>
        <v>45416</v>
      </c>
      <c r="G106" s="33" t="n">
        <f aca="false">IF(WEEKDAY(F106,2)&gt;5,0,1)</f>
        <v>0</v>
      </c>
      <c r="H106" s="395" t="str">
        <f aca="false">IF(G106=1,SUM($G$2:G106),"")</f>
        <v/>
      </c>
    </row>
    <row r="107" customFormat="false" ht="16" hidden="false" customHeight="false" outlineLevel="0" collapsed="false">
      <c r="A107" s="394" t="n">
        <f aca="false">A106+1</f>
        <v>45417</v>
      </c>
      <c r="B107" s="33" t="n">
        <f aca="false">IF(WEEKDAY(A107,2)&gt;5,0,1)</f>
        <v>0</v>
      </c>
      <c r="C107" s="33" t="str">
        <f aca="false">IF(B107=1,SUM($B$3:B107),"")</f>
        <v/>
      </c>
      <c r="D107" s="393" t="str">
        <f aca="false">IF(B107=1,A107,"")</f>
        <v/>
      </c>
      <c r="F107" s="394" t="n">
        <f aca="false">F106+1</f>
        <v>45417</v>
      </c>
      <c r="G107" s="33" t="n">
        <f aca="false">IF(WEEKDAY(F107,2)&gt;5,0,1)</f>
        <v>0</v>
      </c>
      <c r="H107" s="395" t="str">
        <f aca="false">IF(G107=1,SUM($G$2:G107),"")</f>
        <v/>
      </c>
    </row>
    <row r="108" customFormat="false" ht="16" hidden="false" customHeight="false" outlineLevel="0" collapsed="false">
      <c r="A108" s="394" t="n">
        <f aca="false">A107+1</f>
        <v>45418</v>
      </c>
      <c r="B108" s="33" t="n">
        <f aca="false">IF(WEEKDAY(A108,2)&gt;5,0,1)</f>
        <v>1</v>
      </c>
      <c r="C108" s="33" t="n">
        <f aca="false">IF(B108=1,SUM($B$3:B108),"")</f>
        <v>63</v>
      </c>
      <c r="D108" s="393" t="n">
        <f aca="false">IF(B108=1,A108,"")</f>
        <v>45418</v>
      </c>
      <c r="F108" s="394" t="n">
        <f aca="false">F107+1</f>
        <v>45418</v>
      </c>
      <c r="G108" s="33" t="n">
        <f aca="false">IF(WEEKDAY(F108,2)&gt;5,0,1)</f>
        <v>1</v>
      </c>
      <c r="H108" s="395" t="n">
        <f aca="false">IF(G108=1,SUM($G$2:G108),"")</f>
        <v>66</v>
      </c>
    </row>
    <row r="109" customFormat="false" ht="16" hidden="false" customHeight="false" outlineLevel="0" collapsed="false">
      <c r="A109" s="394" t="n">
        <f aca="false">A108+1</f>
        <v>45419</v>
      </c>
      <c r="B109" s="33" t="n">
        <f aca="false">IF(WEEKDAY(A109,2)&gt;5,0,1)</f>
        <v>1</v>
      </c>
      <c r="C109" s="33" t="n">
        <f aca="false">IF(B109=1,SUM($B$3:B109),"")</f>
        <v>64</v>
      </c>
      <c r="D109" s="393" t="n">
        <f aca="false">IF(B109=1,A109,"")</f>
        <v>45419</v>
      </c>
      <c r="F109" s="394" t="n">
        <f aca="false">F108+1</f>
        <v>45419</v>
      </c>
      <c r="G109" s="33" t="n">
        <f aca="false">IF(WEEKDAY(F109,2)&gt;5,0,1)</f>
        <v>1</v>
      </c>
      <c r="H109" s="395" t="n">
        <f aca="false">IF(G109=1,SUM($G$2:G109),"")</f>
        <v>67</v>
      </c>
    </row>
    <row r="110" customFormat="false" ht="16" hidden="false" customHeight="false" outlineLevel="0" collapsed="false">
      <c r="A110" s="394" t="n">
        <f aca="false">A109+1</f>
        <v>45420</v>
      </c>
      <c r="B110" s="33" t="n">
        <f aca="false">IF(WEEKDAY(A110,2)&gt;5,0,1)</f>
        <v>1</v>
      </c>
      <c r="C110" s="33" t="n">
        <f aca="false">IF(B110=1,SUM($B$3:B110),"")</f>
        <v>65</v>
      </c>
      <c r="D110" s="393" t="n">
        <f aca="false">IF(B110=1,A110,"")</f>
        <v>45420</v>
      </c>
      <c r="F110" s="394" t="n">
        <f aca="false">F109+1</f>
        <v>45420</v>
      </c>
      <c r="G110" s="33" t="n">
        <f aca="false">IF(WEEKDAY(F110,2)&gt;5,0,1)</f>
        <v>1</v>
      </c>
      <c r="H110" s="395" t="n">
        <f aca="false">IF(G110=1,SUM($G$2:G110),"")</f>
        <v>68</v>
      </c>
    </row>
    <row r="111" customFormat="false" ht="16" hidden="false" customHeight="false" outlineLevel="0" collapsed="false">
      <c r="A111" s="394" t="n">
        <f aca="false">A110+1</f>
        <v>45421</v>
      </c>
      <c r="B111" s="33" t="n">
        <f aca="false">IF(WEEKDAY(A111,2)&gt;5,0,1)</f>
        <v>1</v>
      </c>
      <c r="C111" s="33" t="n">
        <f aca="false">IF(B111=1,SUM($B$3:B111),"")</f>
        <v>66</v>
      </c>
      <c r="D111" s="393" t="n">
        <f aca="false">IF(B111=1,A111,"")</f>
        <v>45421</v>
      </c>
      <c r="F111" s="394" t="n">
        <f aca="false">F110+1</f>
        <v>45421</v>
      </c>
      <c r="G111" s="33" t="n">
        <f aca="false">IF(WEEKDAY(F111,2)&gt;5,0,1)</f>
        <v>1</v>
      </c>
      <c r="H111" s="395" t="n">
        <f aca="false">IF(G111=1,SUM($G$2:G111),"")</f>
        <v>69</v>
      </c>
    </row>
    <row r="112" customFormat="false" ht="16" hidden="false" customHeight="false" outlineLevel="0" collapsed="false">
      <c r="A112" s="394" t="n">
        <f aca="false">A111+1</f>
        <v>45422</v>
      </c>
      <c r="B112" s="33" t="n">
        <f aca="false">IF(WEEKDAY(A112,2)&gt;5,0,1)</f>
        <v>1</v>
      </c>
      <c r="C112" s="33" t="n">
        <f aca="false">IF(B112=1,SUM($B$3:B112),"")</f>
        <v>67</v>
      </c>
      <c r="D112" s="393" t="n">
        <f aca="false">IF(B112=1,A112,"")</f>
        <v>45422</v>
      </c>
      <c r="F112" s="394" t="n">
        <f aca="false">F111+1</f>
        <v>45422</v>
      </c>
      <c r="G112" s="33" t="n">
        <f aca="false">IF(WEEKDAY(F112,2)&gt;5,0,1)</f>
        <v>1</v>
      </c>
      <c r="H112" s="395" t="n">
        <f aca="false">IF(G112=1,SUM($G$2:G112),"")</f>
        <v>70</v>
      </c>
    </row>
    <row r="113" customFormat="false" ht="16" hidden="false" customHeight="false" outlineLevel="0" collapsed="false">
      <c r="A113" s="394" t="n">
        <f aca="false">A112+1</f>
        <v>45423</v>
      </c>
      <c r="B113" s="33" t="n">
        <f aca="false">IF(WEEKDAY(A113,2)&gt;5,0,1)</f>
        <v>0</v>
      </c>
      <c r="C113" s="33" t="str">
        <f aca="false">IF(B113=1,SUM($B$3:B113),"")</f>
        <v/>
      </c>
      <c r="D113" s="393" t="str">
        <f aca="false">IF(B113=1,A113,"")</f>
        <v/>
      </c>
      <c r="F113" s="394" t="n">
        <f aca="false">F112+1</f>
        <v>45423</v>
      </c>
      <c r="G113" s="33" t="n">
        <f aca="false">IF(WEEKDAY(F113,2)&gt;5,0,1)</f>
        <v>0</v>
      </c>
      <c r="H113" s="395" t="str">
        <f aca="false">IF(G113=1,SUM($G$2:G113),"")</f>
        <v/>
      </c>
    </row>
    <row r="114" customFormat="false" ht="16" hidden="false" customHeight="false" outlineLevel="0" collapsed="false">
      <c r="A114" s="394" t="n">
        <f aca="false">A113+1</f>
        <v>45424</v>
      </c>
      <c r="B114" s="33" t="n">
        <f aca="false">IF(WEEKDAY(A114,2)&gt;5,0,1)</f>
        <v>0</v>
      </c>
      <c r="C114" s="33" t="str">
        <f aca="false">IF(B114=1,SUM($B$3:B114),"")</f>
        <v/>
      </c>
      <c r="D114" s="393" t="str">
        <f aca="false">IF(B114=1,A114,"")</f>
        <v/>
      </c>
      <c r="F114" s="394" t="n">
        <f aca="false">F113+1</f>
        <v>45424</v>
      </c>
      <c r="G114" s="33" t="n">
        <f aca="false">IF(WEEKDAY(F114,2)&gt;5,0,1)</f>
        <v>0</v>
      </c>
      <c r="H114" s="395" t="str">
        <f aca="false">IF(G114=1,SUM($G$2:G114),"")</f>
        <v/>
      </c>
    </row>
    <row r="115" customFormat="false" ht="16" hidden="false" customHeight="false" outlineLevel="0" collapsed="false">
      <c r="A115" s="394" t="n">
        <f aca="false">A114+1</f>
        <v>45425</v>
      </c>
      <c r="B115" s="33" t="n">
        <f aca="false">IF(WEEKDAY(A115,2)&gt;5,0,1)</f>
        <v>1</v>
      </c>
      <c r="C115" s="33" t="n">
        <f aca="false">IF(B115=1,SUM($B$3:B115),"")</f>
        <v>68</v>
      </c>
      <c r="D115" s="393" t="n">
        <f aca="false">IF(B115=1,A115,"")</f>
        <v>45425</v>
      </c>
      <c r="F115" s="394" t="n">
        <f aca="false">F114+1</f>
        <v>45425</v>
      </c>
      <c r="G115" s="33" t="n">
        <f aca="false">IF(WEEKDAY(F115,2)&gt;5,0,1)</f>
        <v>1</v>
      </c>
      <c r="H115" s="395" t="n">
        <f aca="false">IF(G115=1,SUM($G$2:G115),"")</f>
        <v>71</v>
      </c>
    </row>
    <row r="116" customFormat="false" ht="16" hidden="false" customHeight="false" outlineLevel="0" collapsed="false">
      <c r="A116" s="394" t="n">
        <f aca="false">A115+1</f>
        <v>45426</v>
      </c>
      <c r="B116" s="33" t="n">
        <f aca="false">IF(WEEKDAY(A116,2)&gt;5,0,1)</f>
        <v>1</v>
      </c>
      <c r="C116" s="33" t="n">
        <f aca="false">IF(B116=1,SUM($B$3:B116),"")</f>
        <v>69</v>
      </c>
      <c r="D116" s="393" t="n">
        <f aca="false">IF(B116=1,A116,"")</f>
        <v>45426</v>
      </c>
      <c r="F116" s="394" t="n">
        <f aca="false">F115+1</f>
        <v>45426</v>
      </c>
      <c r="G116" s="33" t="n">
        <f aca="false">IF(WEEKDAY(F116,2)&gt;5,0,1)</f>
        <v>1</v>
      </c>
      <c r="H116" s="395" t="n">
        <f aca="false">IF(G116=1,SUM($G$2:G116),"")</f>
        <v>72</v>
      </c>
    </row>
    <row r="117" customFormat="false" ht="16" hidden="false" customHeight="false" outlineLevel="0" collapsed="false">
      <c r="A117" s="394" t="n">
        <f aca="false">A116+1</f>
        <v>45427</v>
      </c>
      <c r="B117" s="33" t="n">
        <f aca="false">IF(WEEKDAY(A117,2)&gt;5,0,1)</f>
        <v>1</v>
      </c>
      <c r="C117" s="33" t="n">
        <f aca="false">IF(B117=1,SUM($B$3:B117),"")</f>
        <v>70</v>
      </c>
      <c r="D117" s="393" t="n">
        <f aca="false">IF(B117=1,A117,"")</f>
        <v>45427</v>
      </c>
      <c r="F117" s="394" t="n">
        <f aca="false">F116+1</f>
        <v>45427</v>
      </c>
      <c r="G117" s="33" t="n">
        <f aca="false">IF(WEEKDAY(F117,2)&gt;5,0,1)</f>
        <v>1</v>
      </c>
      <c r="H117" s="395" t="n">
        <f aca="false">IF(G117=1,SUM($G$2:G117),"")</f>
        <v>73</v>
      </c>
    </row>
    <row r="118" customFormat="false" ht="16" hidden="false" customHeight="false" outlineLevel="0" collapsed="false">
      <c r="A118" s="394" t="n">
        <f aca="false">A117+1</f>
        <v>45428</v>
      </c>
      <c r="B118" s="33" t="n">
        <f aca="false">IF(WEEKDAY(A118,2)&gt;5,0,1)</f>
        <v>1</v>
      </c>
      <c r="C118" s="33" t="n">
        <f aca="false">IF(B118=1,SUM($B$3:B118),"")</f>
        <v>71</v>
      </c>
      <c r="D118" s="393" t="n">
        <f aca="false">IF(B118=1,A118,"")</f>
        <v>45428</v>
      </c>
      <c r="F118" s="394" t="n">
        <f aca="false">F117+1</f>
        <v>45428</v>
      </c>
      <c r="G118" s="33" t="n">
        <f aca="false">IF(WEEKDAY(F118,2)&gt;5,0,1)</f>
        <v>1</v>
      </c>
      <c r="H118" s="395" t="n">
        <f aca="false">IF(G118=1,SUM($G$2:G118),"")</f>
        <v>74</v>
      </c>
    </row>
    <row r="119" customFormat="false" ht="16" hidden="false" customHeight="false" outlineLevel="0" collapsed="false">
      <c r="A119" s="394" t="n">
        <f aca="false">A118+1</f>
        <v>45429</v>
      </c>
      <c r="B119" s="33" t="n">
        <f aca="false">IF(WEEKDAY(A119,2)&gt;5,0,1)</f>
        <v>1</v>
      </c>
      <c r="C119" s="33" t="n">
        <f aca="false">IF(B119=1,SUM($B$3:B119),"")</f>
        <v>72</v>
      </c>
      <c r="D119" s="393" t="n">
        <f aca="false">IF(B119=1,A119,"")</f>
        <v>45429</v>
      </c>
      <c r="F119" s="394" t="n">
        <f aca="false">F118+1</f>
        <v>45429</v>
      </c>
      <c r="G119" s="33" t="n">
        <f aca="false">IF(WEEKDAY(F119,2)&gt;5,0,1)</f>
        <v>1</v>
      </c>
      <c r="H119" s="395" t="n">
        <f aca="false">IF(G119=1,SUM($G$2:G119),"")</f>
        <v>75</v>
      </c>
    </row>
    <row r="120" customFormat="false" ht="16" hidden="false" customHeight="false" outlineLevel="0" collapsed="false">
      <c r="A120" s="394" t="n">
        <f aca="false">A119+1</f>
        <v>45430</v>
      </c>
      <c r="B120" s="33" t="n">
        <f aca="false">IF(WEEKDAY(A120,2)&gt;5,0,1)</f>
        <v>0</v>
      </c>
      <c r="C120" s="33" t="str">
        <f aca="false">IF(B120=1,SUM($B$3:B120),"")</f>
        <v/>
      </c>
      <c r="D120" s="393" t="str">
        <f aca="false">IF(B120=1,A120,"")</f>
        <v/>
      </c>
      <c r="F120" s="394" t="n">
        <f aca="false">F119+1</f>
        <v>45430</v>
      </c>
      <c r="G120" s="33" t="n">
        <f aca="false">IF(WEEKDAY(F120,2)&gt;5,0,1)</f>
        <v>0</v>
      </c>
      <c r="H120" s="395" t="str">
        <f aca="false">IF(G120=1,SUM($G$2:G120),"")</f>
        <v/>
      </c>
    </row>
    <row r="121" customFormat="false" ht="16" hidden="false" customHeight="false" outlineLevel="0" collapsed="false">
      <c r="A121" s="394" t="n">
        <f aca="false">A120+1</f>
        <v>45431</v>
      </c>
      <c r="B121" s="33" t="n">
        <f aca="false">IF(WEEKDAY(A121,2)&gt;5,0,1)</f>
        <v>0</v>
      </c>
      <c r="C121" s="33" t="str">
        <f aca="false">IF(B121=1,SUM($B$3:B121),"")</f>
        <v/>
      </c>
      <c r="D121" s="393" t="str">
        <f aca="false">IF(B121=1,A121,"")</f>
        <v/>
      </c>
      <c r="F121" s="394" t="n">
        <f aca="false">F120+1</f>
        <v>45431</v>
      </c>
      <c r="G121" s="33" t="n">
        <f aca="false">IF(WEEKDAY(F121,2)&gt;5,0,1)</f>
        <v>0</v>
      </c>
      <c r="H121" s="395" t="str">
        <f aca="false">IF(G121=1,SUM($G$2:G121),"")</f>
        <v/>
      </c>
    </row>
    <row r="122" customFormat="false" ht="16" hidden="false" customHeight="false" outlineLevel="0" collapsed="false">
      <c r="A122" s="394" t="n">
        <f aca="false">A121+1</f>
        <v>45432</v>
      </c>
      <c r="B122" s="33" t="n">
        <f aca="false">IF(WEEKDAY(A122,2)&gt;5,0,1)</f>
        <v>1</v>
      </c>
      <c r="C122" s="33" t="n">
        <f aca="false">IF(B122=1,SUM($B$3:B122),"")</f>
        <v>73</v>
      </c>
      <c r="D122" s="393" t="n">
        <f aca="false">IF(B122=1,A122,"")</f>
        <v>45432</v>
      </c>
      <c r="F122" s="394" t="n">
        <f aca="false">F121+1</f>
        <v>45432</v>
      </c>
      <c r="G122" s="33" t="n">
        <f aca="false">IF(WEEKDAY(F122,2)&gt;5,0,1)</f>
        <v>1</v>
      </c>
      <c r="H122" s="395" t="n">
        <f aca="false">IF(G122=1,SUM($G$2:G122),"")</f>
        <v>76</v>
      </c>
    </row>
    <row r="123" customFormat="false" ht="16" hidden="false" customHeight="false" outlineLevel="0" collapsed="false">
      <c r="A123" s="394" t="n">
        <f aca="false">A122+1</f>
        <v>45433</v>
      </c>
      <c r="B123" s="33" t="n">
        <f aca="false">IF(WEEKDAY(A123,2)&gt;5,0,1)</f>
        <v>1</v>
      </c>
      <c r="C123" s="33" t="n">
        <f aca="false">IF(B123=1,SUM($B$3:B123),"")</f>
        <v>74</v>
      </c>
      <c r="D123" s="393" t="n">
        <f aca="false">IF(B123=1,A123,"")</f>
        <v>45433</v>
      </c>
      <c r="F123" s="394" t="n">
        <f aca="false">F122+1</f>
        <v>45433</v>
      </c>
      <c r="G123" s="33" t="n">
        <f aca="false">IF(WEEKDAY(F123,2)&gt;5,0,1)</f>
        <v>1</v>
      </c>
      <c r="H123" s="395" t="n">
        <f aca="false">IF(G123=1,SUM($G$2:G123),"")</f>
        <v>77</v>
      </c>
    </row>
    <row r="124" customFormat="false" ht="16" hidden="false" customHeight="false" outlineLevel="0" collapsed="false">
      <c r="A124" s="394" t="n">
        <f aca="false">A123+1</f>
        <v>45434</v>
      </c>
      <c r="B124" s="33" t="n">
        <f aca="false">IF(WEEKDAY(A124,2)&gt;5,0,1)</f>
        <v>1</v>
      </c>
      <c r="C124" s="33" t="n">
        <f aca="false">IF(B124=1,SUM($B$3:B124),"")</f>
        <v>75</v>
      </c>
      <c r="D124" s="393" t="n">
        <f aca="false">IF(B124=1,A124,"")</f>
        <v>45434</v>
      </c>
      <c r="F124" s="394" t="n">
        <f aca="false">F123+1</f>
        <v>45434</v>
      </c>
      <c r="G124" s="33" t="n">
        <f aca="false">IF(WEEKDAY(F124,2)&gt;5,0,1)</f>
        <v>1</v>
      </c>
      <c r="H124" s="395" t="n">
        <f aca="false">IF(G124=1,SUM($G$2:G124),"")</f>
        <v>78</v>
      </c>
    </row>
    <row r="125" customFormat="false" ht="16" hidden="false" customHeight="false" outlineLevel="0" collapsed="false">
      <c r="A125" s="394" t="n">
        <f aca="false">A124+1</f>
        <v>45435</v>
      </c>
      <c r="B125" s="33" t="n">
        <f aca="false">IF(WEEKDAY(A125,2)&gt;5,0,1)</f>
        <v>1</v>
      </c>
      <c r="C125" s="33" t="n">
        <f aca="false">IF(B125=1,SUM($B$3:B125),"")</f>
        <v>76</v>
      </c>
      <c r="D125" s="393" t="n">
        <f aca="false">IF(B125=1,A125,"")</f>
        <v>45435</v>
      </c>
      <c r="F125" s="394" t="n">
        <f aca="false">F124+1</f>
        <v>45435</v>
      </c>
      <c r="G125" s="33" t="n">
        <f aca="false">IF(WEEKDAY(F125,2)&gt;5,0,1)</f>
        <v>1</v>
      </c>
      <c r="H125" s="395" t="n">
        <f aca="false">IF(G125=1,SUM($G$2:G125),"")</f>
        <v>79</v>
      </c>
    </row>
    <row r="126" customFormat="false" ht="16" hidden="false" customHeight="false" outlineLevel="0" collapsed="false">
      <c r="A126" s="394" t="n">
        <f aca="false">A125+1</f>
        <v>45436</v>
      </c>
      <c r="B126" s="33" t="n">
        <f aca="false">IF(WEEKDAY(A126,2)&gt;5,0,1)</f>
        <v>1</v>
      </c>
      <c r="C126" s="33" t="n">
        <f aca="false">IF(B126=1,SUM($B$3:B126),"")</f>
        <v>77</v>
      </c>
      <c r="D126" s="393" t="n">
        <f aca="false">IF(B126=1,A126,"")</f>
        <v>45436</v>
      </c>
      <c r="F126" s="394" t="n">
        <f aca="false">F125+1</f>
        <v>45436</v>
      </c>
      <c r="G126" s="33" t="n">
        <f aca="false">IF(WEEKDAY(F126,2)&gt;5,0,1)</f>
        <v>1</v>
      </c>
      <c r="H126" s="395" t="n">
        <f aca="false">IF(G126=1,SUM($G$2:G126),"")</f>
        <v>80</v>
      </c>
    </row>
    <row r="127" customFormat="false" ht="16" hidden="false" customHeight="false" outlineLevel="0" collapsed="false">
      <c r="A127" s="394" t="n">
        <f aca="false">A126+1</f>
        <v>45437</v>
      </c>
      <c r="B127" s="33" t="n">
        <f aca="false">IF(WEEKDAY(A127,2)&gt;5,0,1)</f>
        <v>0</v>
      </c>
      <c r="C127" s="33" t="str">
        <f aca="false">IF(B127=1,SUM($B$3:B127),"")</f>
        <v/>
      </c>
      <c r="D127" s="393" t="str">
        <f aca="false">IF(B127=1,A127,"")</f>
        <v/>
      </c>
      <c r="F127" s="394" t="n">
        <f aca="false">F126+1</f>
        <v>45437</v>
      </c>
      <c r="G127" s="33" t="n">
        <f aca="false">IF(WEEKDAY(F127,2)&gt;5,0,1)</f>
        <v>0</v>
      </c>
      <c r="H127" s="395" t="str">
        <f aca="false">IF(G127=1,SUM($G$2:G127),"")</f>
        <v/>
      </c>
    </row>
    <row r="128" customFormat="false" ht="16" hidden="false" customHeight="false" outlineLevel="0" collapsed="false">
      <c r="A128" s="394" t="n">
        <f aca="false">A127+1</f>
        <v>45438</v>
      </c>
      <c r="B128" s="33" t="n">
        <f aca="false">IF(WEEKDAY(A128,2)&gt;5,0,1)</f>
        <v>0</v>
      </c>
      <c r="C128" s="33" t="str">
        <f aca="false">IF(B128=1,SUM($B$3:B128),"")</f>
        <v/>
      </c>
      <c r="D128" s="393" t="str">
        <f aca="false">IF(B128=1,A128,"")</f>
        <v/>
      </c>
      <c r="F128" s="394" t="n">
        <f aca="false">F127+1</f>
        <v>45438</v>
      </c>
      <c r="G128" s="33" t="n">
        <f aca="false">IF(WEEKDAY(F128,2)&gt;5,0,1)</f>
        <v>0</v>
      </c>
      <c r="H128" s="395" t="str">
        <f aca="false">IF(G128=1,SUM($G$2:G128),"")</f>
        <v/>
      </c>
    </row>
    <row r="129" customFormat="false" ht="16" hidden="false" customHeight="false" outlineLevel="0" collapsed="false">
      <c r="A129" s="394" t="n">
        <f aca="false">A128+1</f>
        <v>45439</v>
      </c>
      <c r="B129" s="33" t="n">
        <f aca="false">IF(WEEKDAY(A129,2)&gt;5,0,1)</f>
        <v>1</v>
      </c>
      <c r="C129" s="33" t="n">
        <f aca="false">IF(B129=1,SUM($B$3:B129),"")</f>
        <v>78</v>
      </c>
      <c r="D129" s="393" t="n">
        <f aca="false">IF(B129=1,A129,"")</f>
        <v>45439</v>
      </c>
      <c r="F129" s="394" t="n">
        <f aca="false">F128+1</f>
        <v>45439</v>
      </c>
      <c r="G129" s="33" t="n">
        <f aca="false">IF(WEEKDAY(F129,2)&gt;5,0,1)</f>
        <v>1</v>
      </c>
      <c r="H129" s="395" t="n">
        <f aca="false">IF(G129=1,SUM($G$2:G129),"")</f>
        <v>81</v>
      </c>
    </row>
    <row r="130" customFormat="false" ht="16" hidden="false" customHeight="false" outlineLevel="0" collapsed="false">
      <c r="A130" s="394" t="n">
        <f aca="false">A129+1</f>
        <v>45440</v>
      </c>
      <c r="B130" s="33" t="n">
        <f aca="false">IF(WEEKDAY(A130,2)&gt;5,0,1)</f>
        <v>1</v>
      </c>
      <c r="C130" s="33" t="n">
        <f aca="false">IF(B130=1,SUM($B$3:B130),"")</f>
        <v>79</v>
      </c>
      <c r="D130" s="393" t="n">
        <f aca="false">IF(B130=1,A130,"")</f>
        <v>45440</v>
      </c>
      <c r="F130" s="394" t="n">
        <f aca="false">F129+1</f>
        <v>45440</v>
      </c>
      <c r="G130" s="33" t="n">
        <f aca="false">IF(WEEKDAY(F130,2)&gt;5,0,1)</f>
        <v>1</v>
      </c>
      <c r="H130" s="395" t="n">
        <f aca="false">IF(G130=1,SUM($G$2:G130),"")</f>
        <v>82</v>
      </c>
    </row>
    <row r="131" customFormat="false" ht="16" hidden="false" customHeight="false" outlineLevel="0" collapsed="false">
      <c r="A131" s="394" t="n">
        <f aca="false">A130+1</f>
        <v>45441</v>
      </c>
      <c r="B131" s="33" t="n">
        <f aca="false">IF(WEEKDAY(A131,2)&gt;5,0,1)</f>
        <v>1</v>
      </c>
      <c r="C131" s="33" t="n">
        <f aca="false">IF(B131=1,SUM($B$3:B131),"")</f>
        <v>80</v>
      </c>
      <c r="D131" s="393" t="n">
        <f aca="false">IF(B131=1,A131,"")</f>
        <v>45441</v>
      </c>
      <c r="F131" s="394" t="n">
        <f aca="false">F130+1</f>
        <v>45441</v>
      </c>
      <c r="G131" s="33" t="n">
        <f aca="false">IF(WEEKDAY(F131,2)&gt;5,0,1)</f>
        <v>1</v>
      </c>
      <c r="H131" s="395" t="n">
        <f aca="false">IF(G131=1,SUM($G$2:G131),"")</f>
        <v>83</v>
      </c>
    </row>
    <row r="132" customFormat="false" ht="16" hidden="false" customHeight="false" outlineLevel="0" collapsed="false">
      <c r="A132" s="394" t="n">
        <f aca="false">A131+1</f>
        <v>45442</v>
      </c>
      <c r="B132" s="33" t="n">
        <f aca="false">IF(WEEKDAY(A132,2)&gt;5,0,1)</f>
        <v>1</v>
      </c>
      <c r="C132" s="33" t="n">
        <f aca="false">IF(B132=1,SUM($B$3:B132),"")</f>
        <v>81</v>
      </c>
      <c r="D132" s="393" t="n">
        <f aca="false">IF(B132=1,A132,"")</f>
        <v>45442</v>
      </c>
      <c r="F132" s="394" t="n">
        <f aca="false">F131+1</f>
        <v>45442</v>
      </c>
      <c r="G132" s="33" t="n">
        <f aca="false">IF(WEEKDAY(F132,2)&gt;5,0,1)</f>
        <v>1</v>
      </c>
      <c r="H132" s="395" t="n">
        <f aca="false">IF(G132=1,SUM($G$2:G132),"")</f>
        <v>84</v>
      </c>
    </row>
    <row r="133" customFormat="false" ht="16" hidden="false" customHeight="false" outlineLevel="0" collapsed="false">
      <c r="A133" s="394" t="n">
        <f aca="false">A132+1</f>
        <v>45443</v>
      </c>
      <c r="B133" s="33" t="n">
        <f aca="false">IF(WEEKDAY(A133,2)&gt;5,0,1)</f>
        <v>1</v>
      </c>
      <c r="C133" s="33" t="n">
        <f aca="false">IF(B133=1,SUM($B$3:B133),"")</f>
        <v>82</v>
      </c>
      <c r="D133" s="393" t="n">
        <f aca="false">IF(B133=1,A133,"")</f>
        <v>45443</v>
      </c>
      <c r="F133" s="394" t="n">
        <f aca="false">F132+1</f>
        <v>45443</v>
      </c>
      <c r="G133" s="33" t="n">
        <f aca="false">IF(WEEKDAY(F133,2)&gt;5,0,1)</f>
        <v>1</v>
      </c>
      <c r="H133" s="395" t="n">
        <f aca="false">IF(G133=1,SUM($G$2:G133),"")</f>
        <v>85</v>
      </c>
    </row>
    <row r="134" customFormat="false" ht="16" hidden="false" customHeight="false" outlineLevel="0" collapsed="false">
      <c r="A134" s="394" t="n">
        <f aca="false">A133+1</f>
        <v>45444</v>
      </c>
      <c r="B134" s="33" t="n">
        <f aca="false">IF(WEEKDAY(A134,2)&gt;5,0,1)</f>
        <v>0</v>
      </c>
      <c r="C134" s="33" t="str">
        <f aca="false">IF(B134=1,SUM($B$3:B134),"")</f>
        <v/>
      </c>
      <c r="D134" s="393" t="str">
        <f aca="false">IF(B134=1,A134,"")</f>
        <v/>
      </c>
      <c r="F134" s="394" t="n">
        <f aca="false">F133+1</f>
        <v>45444</v>
      </c>
      <c r="G134" s="33" t="n">
        <f aca="false">IF(WEEKDAY(F134,2)&gt;5,0,1)</f>
        <v>0</v>
      </c>
      <c r="H134" s="395" t="str">
        <f aca="false">IF(G134=1,SUM($G$2:G134),"")</f>
        <v/>
      </c>
    </row>
    <row r="135" customFormat="false" ht="16" hidden="false" customHeight="false" outlineLevel="0" collapsed="false">
      <c r="A135" s="394" t="n">
        <f aca="false">A134+1</f>
        <v>45445</v>
      </c>
      <c r="B135" s="33" t="n">
        <f aca="false">IF(WEEKDAY(A135,2)&gt;5,0,1)</f>
        <v>0</v>
      </c>
      <c r="C135" s="33" t="str">
        <f aca="false">IF(B135=1,SUM($B$3:B135),"")</f>
        <v/>
      </c>
      <c r="D135" s="393" t="str">
        <f aca="false">IF(B135=1,A135,"")</f>
        <v/>
      </c>
      <c r="F135" s="394" t="n">
        <f aca="false">F134+1</f>
        <v>45445</v>
      </c>
      <c r="G135" s="33" t="n">
        <f aca="false">IF(WEEKDAY(F135,2)&gt;5,0,1)</f>
        <v>0</v>
      </c>
      <c r="H135" s="395" t="str">
        <f aca="false">IF(G135=1,SUM($G$2:G135),"")</f>
        <v/>
      </c>
    </row>
    <row r="136" customFormat="false" ht="16" hidden="false" customHeight="false" outlineLevel="0" collapsed="false">
      <c r="A136" s="394" t="n">
        <f aca="false">A135+1</f>
        <v>45446</v>
      </c>
      <c r="B136" s="33" t="n">
        <f aca="false">IF(WEEKDAY(A136,2)&gt;5,0,1)</f>
        <v>1</v>
      </c>
      <c r="C136" s="33" t="n">
        <f aca="false">IF(B136=1,SUM($B$3:B136),"")</f>
        <v>83</v>
      </c>
      <c r="D136" s="393" t="n">
        <f aca="false">IF(B136=1,A136,"")</f>
        <v>45446</v>
      </c>
      <c r="F136" s="394" t="n">
        <f aca="false">F135+1</f>
        <v>45446</v>
      </c>
      <c r="G136" s="33" t="n">
        <f aca="false">IF(WEEKDAY(F136,2)&gt;5,0,1)</f>
        <v>1</v>
      </c>
      <c r="H136" s="395" t="n">
        <f aca="false">IF(G136=1,SUM($G$2:G136),"")</f>
        <v>86</v>
      </c>
    </row>
    <row r="137" customFormat="false" ht="16" hidden="false" customHeight="false" outlineLevel="0" collapsed="false">
      <c r="A137" s="394" t="n">
        <f aca="false">A136+1</f>
        <v>45447</v>
      </c>
      <c r="B137" s="33" t="n">
        <f aca="false">IF(WEEKDAY(A137,2)&gt;5,0,1)</f>
        <v>1</v>
      </c>
      <c r="C137" s="33" t="n">
        <f aca="false">IF(B137=1,SUM($B$3:B137),"")</f>
        <v>84</v>
      </c>
      <c r="D137" s="393" t="n">
        <f aca="false">IF(B137=1,A137,"")</f>
        <v>45447</v>
      </c>
      <c r="F137" s="394" t="n">
        <f aca="false">F136+1</f>
        <v>45447</v>
      </c>
      <c r="G137" s="33" t="n">
        <f aca="false">IF(WEEKDAY(F137,2)&gt;5,0,1)</f>
        <v>1</v>
      </c>
      <c r="H137" s="395" t="n">
        <f aca="false">IF(G137=1,SUM($G$2:G137),"")</f>
        <v>87</v>
      </c>
    </row>
    <row r="138" customFormat="false" ht="16" hidden="false" customHeight="false" outlineLevel="0" collapsed="false">
      <c r="A138" s="394" t="n">
        <f aca="false">A137+1</f>
        <v>45448</v>
      </c>
      <c r="B138" s="33" t="n">
        <f aca="false">IF(WEEKDAY(A138,2)&gt;5,0,1)</f>
        <v>1</v>
      </c>
      <c r="C138" s="33" t="n">
        <f aca="false">IF(B138=1,SUM($B$3:B138),"")</f>
        <v>85</v>
      </c>
      <c r="D138" s="393" t="n">
        <f aca="false">IF(B138=1,A138,"")</f>
        <v>45448</v>
      </c>
      <c r="F138" s="394" t="n">
        <f aca="false">F137+1</f>
        <v>45448</v>
      </c>
      <c r="G138" s="33" t="n">
        <f aca="false">IF(WEEKDAY(F138,2)&gt;5,0,1)</f>
        <v>1</v>
      </c>
      <c r="H138" s="395" t="n">
        <f aca="false">IF(G138=1,SUM($G$2:G138),"")</f>
        <v>88</v>
      </c>
    </row>
    <row r="139" customFormat="false" ht="16" hidden="false" customHeight="false" outlineLevel="0" collapsed="false">
      <c r="A139" s="394" t="n">
        <f aca="false">A138+1</f>
        <v>45449</v>
      </c>
      <c r="B139" s="33" t="n">
        <f aca="false">IF(WEEKDAY(A139,2)&gt;5,0,1)</f>
        <v>1</v>
      </c>
      <c r="C139" s="33" t="n">
        <f aca="false">IF(B139=1,SUM($B$3:B139),"")</f>
        <v>86</v>
      </c>
      <c r="D139" s="393" t="n">
        <f aca="false">IF(B139=1,A139,"")</f>
        <v>45449</v>
      </c>
      <c r="F139" s="394" t="n">
        <f aca="false">F138+1</f>
        <v>45449</v>
      </c>
      <c r="G139" s="33" t="n">
        <f aca="false">IF(WEEKDAY(F139,2)&gt;5,0,1)</f>
        <v>1</v>
      </c>
      <c r="H139" s="395" t="n">
        <f aca="false">IF(G139=1,SUM($G$2:G139),"")</f>
        <v>89</v>
      </c>
    </row>
    <row r="140" customFormat="false" ht="16" hidden="false" customHeight="false" outlineLevel="0" collapsed="false">
      <c r="A140" s="394" t="n">
        <f aca="false">A139+1</f>
        <v>45450</v>
      </c>
      <c r="B140" s="33" t="n">
        <f aca="false">IF(WEEKDAY(A140,2)&gt;5,0,1)</f>
        <v>1</v>
      </c>
      <c r="C140" s="33" t="n">
        <f aca="false">IF(B140=1,SUM($B$3:B140),"")</f>
        <v>87</v>
      </c>
      <c r="D140" s="393" t="n">
        <f aca="false">IF(B140=1,A140,"")</f>
        <v>45450</v>
      </c>
      <c r="F140" s="394" t="n">
        <f aca="false">F139+1</f>
        <v>45450</v>
      </c>
      <c r="G140" s="33" t="n">
        <f aca="false">IF(WEEKDAY(F140,2)&gt;5,0,1)</f>
        <v>1</v>
      </c>
      <c r="H140" s="395" t="n">
        <f aca="false">IF(G140=1,SUM($G$2:G140),"")</f>
        <v>90</v>
      </c>
    </row>
    <row r="141" customFormat="false" ht="16" hidden="false" customHeight="false" outlineLevel="0" collapsed="false">
      <c r="A141" s="394" t="n">
        <f aca="false">A140+1</f>
        <v>45451</v>
      </c>
      <c r="B141" s="33" t="n">
        <f aca="false">IF(WEEKDAY(A141,2)&gt;5,0,1)</f>
        <v>0</v>
      </c>
      <c r="C141" s="33" t="str">
        <f aca="false">IF(B141=1,SUM($B$3:B141),"")</f>
        <v/>
      </c>
      <c r="D141" s="393" t="str">
        <f aca="false">IF(B141=1,A141,"")</f>
        <v/>
      </c>
      <c r="F141" s="394" t="n">
        <f aca="false">F140+1</f>
        <v>45451</v>
      </c>
      <c r="G141" s="33" t="n">
        <f aca="false">IF(WEEKDAY(F141,2)&gt;5,0,1)</f>
        <v>0</v>
      </c>
      <c r="H141" s="395" t="str">
        <f aca="false">IF(G141=1,SUM($G$2:G141),"")</f>
        <v/>
      </c>
    </row>
    <row r="142" customFormat="false" ht="16" hidden="false" customHeight="false" outlineLevel="0" collapsed="false">
      <c r="A142" s="394" t="n">
        <f aca="false">A141+1</f>
        <v>45452</v>
      </c>
      <c r="B142" s="33" t="n">
        <f aca="false">IF(WEEKDAY(A142,2)&gt;5,0,1)</f>
        <v>0</v>
      </c>
      <c r="C142" s="33" t="str">
        <f aca="false">IF(B142=1,SUM($B$3:B142),"")</f>
        <v/>
      </c>
      <c r="D142" s="393" t="str">
        <f aca="false">IF(B142=1,A142,"")</f>
        <v/>
      </c>
      <c r="F142" s="394" t="n">
        <f aca="false">F141+1</f>
        <v>45452</v>
      </c>
      <c r="G142" s="33" t="n">
        <f aca="false">IF(WEEKDAY(F142,2)&gt;5,0,1)</f>
        <v>0</v>
      </c>
      <c r="H142" s="395" t="str">
        <f aca="false">IF(G142=1,SUM($G$2:G142),"")</f>
        <v/>
      </c>
    </row>
    <row r="143" customFormat="false" ht="16" hidden="false" customHeight="false" outlineLevel="0" collapsed="false">
      <c r="A143" s="394" t="n">
        <f aca="false">A142+1</f>
        <v>45453</v>
      </c>
      <c r="B143" s="33" t="n">
        <f aca="false">IF(WEEKDAY(A143,2)&gt;5,0,1)</f>
        <v>1</v>
      </c>
      <c r="C143" s="33" t="n">
        <f aca="false">IF(B143=1,SUM($B$3:B143),"")</f>
        <v>88</v>
      </c>
      <c r="D143" s="393" t="n">
        <f aca="false">IF(B143=1,A143,"")</f>
        <v>45453</v>
      </c>
      <c r="F143" s="394" t="n">
        <f aca="false">F142+1</f>
        <v>45453</v>
      </c>
      <c r="G143" s="33" t="n">
        <f aca="false">IF(WEEKDAY(F143,2)&gt;5,0,1)</f>
        <v>1</v>
      </c>
      <c r="H143" s="395" t="n">
        <f aca="false">IF(G143=1,SUM($G$2:G143),"")</f>
        <v>91</v>
      </c>
    </row>
    <row r="144" customFormat="false" ht="16" hidden="false" customHeight="false" outlineLevel="0" collapsed="false">
      <c r="A144" s="394" t="n">
        <f aca="false">A143+1</f>
        <v>45454</v>
      </c>
      <c r="B144" s="33" t="n">
        <f aca="false">IF(WEEKDAY(A144,2)&gt;5,0,1)</f>
        <v>1</v>
      </c>
      <c r="C144" s="33" t="n">
        <f aca="false">IF(B144=1,SUM($B$3:B144),"")</f>
        <v>89</v>
      </c>
      <c r="D144" s="393" t="n">
        <f aca="false">IF(B144=1,A144,"")</f>
        <v>45454</v>
      </c>
      <c r="F144" s="394" t="n">
        <f aca="false">F143+1</f>
        <v>45454</v>
      </c>
      <c r="G144" s="33" t="n">
        <f aca="false">IF(WEEKDAY(F144,2)&gt;5,0,1)</f>
        <v>1</v>
      </c>
      <c r="H144" s="395" t="n">
        <f aca="false">IF(G144=1,SUM($G$2:G144),"")</f>
        <v>92</v>
      </c>
    </row>
    <row r="145" customFormat="false" ht="16" hidden="false" customHeight="false" outlineLevel="0" collapsed="false">
      <c r="A145" s="394" t="n">
        <f aca="false">A144+1</f>
        <v>45455</v>
      </c>
      <c r="B145" s="33" t="n">
        <f aca="false">IF(WEEKDAY(A145,2)&gt;5,0,1)</f>
        <v>1</v>
      </c>
      <c r="C145" s="33" t="n">
        <f aca="false">IF(B145=1,SUM($B$3:B145),"")</f>
        <v>90</v>
      </c>
      <c r="D145" s="393" t="n">
        <f aca="false">IF(B145=1,A145,"")</f>
        <v>45455</v>
      </c>
      <c r="F145" s="394" t="n">
        <f aca="false">F144+1</f>
        <v>45455</v>
      </c>
      <c r="G145" s="33" t="n">
        <f aca="false">IF(WEEKDAY(F145,2)&gt;5,0,1)</f>
        <v>1</v>
      </c>
      <c r="H145" s="395" t="n">
        <f aca="false">IF(G145=1,SUM($G$2:G145),"")</f>
        <v>93</v>
      </c>
    </row>
    <row r="146" customFormat="false" ht="16" hidden="false" customHeight="false" outlineLevel="0" collapsed="false">
      <c r="A146" s="394" t="n">
        <f aca="false">A145+1</f>
        <v>45456</v>
      </c>
      <c r="B146" s="33" t="n">
        <f aca="false">IF(WEEKDAY(A146,2)&gt;5,0,1)</f>
        <v>1</v>
      </c>
      <c r="C146" s="33" t="n">
        <f aca="false">IF(B146=1,SUM($B$3:B146),"")</f>
        <v>91</v>
      </c>
      <c r="D146" s="393" t="n">
        <f aca="false">IF(B146=1,A146,"")</f>
        <v>45456</v>
      </c>
      <c r="F146" s="394" t="n">
        <f aca="false">F145+1</f>
        <v>45456</v>
      </c>
      <c r="G146" s="33" t="n">
        <f aca="false">IF(WEEKDAY(F146,2)&gt;5,0,1)</f>
        <v>1</v>
      </c>
      <c r="H146" s="395" t="n">
        <f aca="false">IF(G146=1,SUM($G$2:G146),"")</f>
        <v>94</v>
      </c>
    </row>
    <row r="147" customFormat="false" ht="16" hidden="false" customHeight="false" outlineLevel="0" collapsed="false">
      <c r="A147" s="394" t="n">
        <f aca="false">A146+1</f>
        <v>45457</v>
      </c>
      <c r="B147" s="33" t="n">
        <f aca="false">IF(WEEKDAY(A147,2)&gt;5,0,1)</f>
        <v>1</v>
      </c>
      <c r="C147" s="33" t="n">
        <f aca="false">IF(B147=1,SUM($B$3:B147),"")</f>
        <v>92</v>
      </c>
      <c r="D147" s="393" t="n">
        <f aca="false">IF(B147=1,A147,"")</f>
        <v>45457</v>
      </c>
      <c r="F147" s="394" t="n">
        <f aca="false">F146+1</f>
        <v>45457</v>
      </c>
      <c r="G147" s="33" t="n">
        <f aca="false">IF(WEEKDAY(F147,2)&gt;5,0,1)</f>
        <v>1</v>
      </c>
      <c r="H147" s="395" t="n">
        <f aca="false">IF(G147=1,SUM($G$2:G147),"")</f>
        <v>95</v>
      </c>
    </row>
    <row r="148" customFormat="false" ht="16" hidden="false" customHeight="false" outlineLevel="0" collapsed="false">
      <c r="A148" s="394" t="n">
        <f aca="false">A147+1</f>
        <v>45458</v>
      </c>
      <c r="B148" s="33" t="n">
        <f aca="false">IF(WEEKDAY(A148,2)&gt;5,0,1)</f>
        <v>0</v>
      </c>
      <c r="C148" s="33" t="str">
        <f aca="false">IF(B148=1,SUM($B$3:B148),"")</f>
        <v/>
      </c>
      <c r="D148" s="393" t="str">
        <f aca="false">IF(B148=1,A148,"")</f>
        <v/>
      </c>
      <c r="F148" s="394" t="n">
        <f aca="false">F147+1</f>
        <v>45458</v>
      </c>
      <c r="G148" s="33" t="n">
        <f aca="false">IF(WEEKDAY(F148,2)&gt;5,0,1)</f>
        <v>0</v>
      </c>
      <c r="H148" s="395" t="str">
        <f aca="false">IF(G148=1,SUM($G$2:G148),"")</f>
        <v/>
      </c>
    </row>
    <row r="149" customFormat="false" ht="16" hidden="false" customHeight="false" outlineLevel="0" collapsed="false">
      <c r="A149" s="394" t="n">
        <f aca="false">A148+1</f>
        <v>45459</v>
      </c>
      <c r="B149" s="33" t="n">
        <f aca="false">IF(WEEKDAY(A149,2)&gt;5,0,1)</f>
        <v>0</v>
      </c>
      <c r="C149" s="33" t="str">
        <f aca="false">IF(B149=1,SUM($B$3:B149),"")</f>
        <v/>
      </c>
      <c r="D149" s="393" t="str">
        <f aca="false">IF(B149=1,A149,"")</f>
        <v/>
      </c>
      <c r="F149" s="394" t="n">
        <f aca="false">F148+1</f>
        <v>45459</v>
      </c>
      <c r="G149" s="33" t="n">
        <f aca="false">IF(WEEKDAY(F149,2)&gt;5,0,1)</f>
        <v>0</v>
      </c>
      <c r="H149" s="395" t="str">
        <f aca="false">IF(G149=1,SUM($G$2:G149),"")</f>
        <v/>
      </c>
    </row>
    <row r="150" customFormat="false" ht="16" hidden="false" customHeight="false" outlineLevel="0" collapsed="false">
      <c r="A150" s="394" t="n">
        <f aca="false">A149+1</f>
        <v>45460</v>
      </c>
      <c r="B150" s="33" t="n">
        <f aca="false">IF(WEEKDAY(A150,2)&gt;5,0,1)</f>
        <v>1</v>
      </c>
      <c r="C150" s="33" t="n">
        <f aca="false">IF(B150=1,SUM($B$3:B150),"")</f>
        <v>93</v>
      </c>
      <c r="D150" s="393" t="n">
        <f aca="false">IF(B150=1,A150,"")</f>
        <v>45460</v>
      </c>
      <c r="F150" s="394" t="n">
        <f aca="false">F149+1</f>
        <v>45460</v>
      </c>
      <c r="G150" s="33" t="n">
        <f aca="false">IF(WEEKDAY(F150,2)&gt;5,0,1)</f>
        <v>1</v>
      </c>
      <c r="H150" s="395" t="n">
        <f aca="false">IF(G150=1,SUM($G$2:G150),"")</f>
        <v>96</v>
      </c>
    </row>
    <row r="151" customFormat="false" ht="16" hidden="false" customHeight="false" outlineLevel="0" collapsed="false">
      <c r="A151" s="394" t="n">
        <f aca="false">A150+1</f>
        <v>45461</v>
      </c>
      <c r="B151" s="33" t="n">
        <f aca="false">IF(WEEKDAY(A151,2)&gt;5,0,1)</f>
        <v>1</v>
      </c>
      <c r="C151" s="33" t="n">
        <f aca="false">IF(B151=1,SUM($B$3:B151),"")</f>
        <v>94</v>
      </c>
      <c r="D151" s="393" t="n">
        <f aca="false">IF(B151=1,A151,"")</f>
        <v>45461</v>
      </c>
      <c r="F151" s="394" t="n">
        <f aca="false">F150+1</f>
        <v>45461</v>
      </c>
      <c r="G151" s="33" t="n">
        <f aca="false">IF(WEEKDAY(F151,2)&gt;5,0,1)</f>
        <v>1</v>
      </c>
      <c r="H151" s="395" t="n">
        <f aca="false">IF(G151=1,SUM($G$2:G151),"")</f>
        <v>97</v>
      </c>
    </row>
    <row r="152" customFormat="false" ht="16" hidden="false" customHeight="false" outlineLevel="0" collapsed="false">
      <c r="A152" s="394" t="n">
        <f aca="false">A151+1</f>
        <v>45462</v>
      </c>
      <c r="B152" s="33" t="n">
        <f aca="false">IF(WEEKDAY(A152,2)&gt;5,0,1)</f>
        <v>1</v>
      </c>
      <c r="C152" s="33" t="n">
        <f aca="false">IF(B152=1,SUM($B$3:B152),"")</f>
        <v>95</v>
      </c>
      <c r="D152" s="393" t="n">
        <f aca="false">IF(B152=1,A152,"")</f>
        <v>45462</v>
      </c>
      <c r="F152" s="394" t="n">
        <f aca="false">F151+1</f>
        <v>45462</v>
      </c>
      <c r="G152" s="33" t="n">
        <f aca="false">IF(WEEKDAY(F152,2)&gt;5,0,1)</f>
        <v>1</v>
      </c>
      <c r="H152" s="395" t="n">
        <f aca="false">IF(G152=1,SUM($G$2:G152),"")</f>
        <v>98</v>
      </c>
    </row>
    <row r="153" customFormat="false" ht="16" hidden="false" customHeight="false" outlineLevel="0" collapsed="false">
      <c r="A153" s="394" t="n">
        <f aca="false">A152+1</f>
        <v>45463</v>
      </c>
      <c r="B153" s="33" t="n">
        <f aca="false">IF(WEEKDAY(A153,2)&gt;5,0,1)</f>
        <v>1</v>
      </c>
      <c r="C153" s="33" t="n">
        <f aca="false">IF(B153=1,SUM($B$3:B153),"")</f>
        <v>96</v>
      </c>
      <c r="D153" s="393" t="n">
        <f aca="false">IF(B153=1,A153,"")</f>
        <v>45463</v>
      </c>
      <c r="F153" s="394" t="n">
        <f aca="false">F152+1</f>
        <v>45463</v>
      </c>
      <c r="G153" s="33" t="n">
        <f aca="false">IF(WEEKDAY(F153,2)&gt;5,0,1)</f>
        <v>1</v>
      </c>
      <c r="H153" s="395" t="n">
        <f aca="false">IF(G153=1,SUM($G$2:G153),"")</f>
        <v>99</v>
      </c>
    </row>
    <row r="154" customFormat="false" ht="16" hidden="false" customHeight="false" outlineLevel="0" collapsed="false">
      <c r="A154" s="394" t="n">
        <f aca="false">A153+1</f>
        <v>45464</v>
      </c>
      <c r="B154" s="33" t="n">
        <f aca="false">IF(WEEKDAY(A154,2)&gt;5,0,1)</f>
        <v>1</v>
      </c>
      <c r="C154" s="33" t="n">
        <f aca="false">IF(B154=1,SUM($B$3:B154),"")</f>
        <v>97</v>
      </c>
      <c r="D154" s="393" t="n">
        <f aca="false">IF(B154=1,A154,"")</f>
        <v>45464</v>
      </c>
      <c r="F154" s="394" t="n">
        <f aca="false">F153+1</f>
        <v>45464</v>
      </c>
      <c r="G154" s="33" t="n">
        <f aca="false">IF(WEEKDAY(F154,2)&gt;5,0,1)</f>
        <v>1</v>
      </c>
      <c r="H154" s="395" t="n">
        <f aca="false">IF(G154=1,SUM($G$2:G154),"")</f>
        <v>100</v>
      </c>
    </row>
    <row r="155" customFormat="false" ht="16" hidden="false" customHeight="false" outlineLevel="0" collapsed="false">
      <c r="A155" s="394" t="n">
        <f aca="false">A154+1</f>
        <v>45465</v>
      </c>
      <c r="B155" s="33" t="n">
        <f aca="false">IF(WEEKDAY(A155,2)&gt;5,0,1)</f>
        <v>0</v>
      </c>
      <c r="C155" s="33" t="str">
        <f aca="false">IF(B155=1,SUM($B$3:B155),"")</f>
        <v/>
      </c>
      <c r="D155" s="393" t="str">
        <f aca="false">IF(B155=1,A155,"")</f>
        <v/>
      </c>
      <c r="F155" s="394" t="n">
        <f aca="false">F154+1</f>
        <v>45465</v>
      </c>
      <c r="G155" s="33" t="n">
        <f aca="false">IF(WEEKDAY(F155,2)&gt;5,0,1)</f>
        <v>0</v>
      </c>
      <c r="H155" s="395" t="str">
        <f aca="false">IF(G155=1,SUM($G$2:G155),"")</f>
        <v/>
      </c>
    </row>
    <row r="156" customFormat="false" ht="16" hidden="false" customHeight="false" outlineLevel="0" collapsed="false">
      <c r="A156" s="394" t="n">
        <f aca="false">A155+1</f>
        <v>45466</v>
      </c>
      <c r="B156" s="33" t="n">
        <f aca="false">IF(WEEKDAY(A156,2)&gt;5,0,1)</f>
        <v>0</v>
      </c>
      <c r="C156" s="33" t="str">
        <f aca="false">IF(B156=1,SUM($B$3:B156),"")</f>
        <v/>
      </c>
      <c r="D156" s="393" t="str">
        <f aca="false">IF(B156=1,A156,"")</f>
        <v/>
      </c>
      <c r="F156" s="394" t="n">
        <f aca="false">F155+1</f>
        <v>45466</v>
      </c>
      <c r="G156" s="33" t="n">
        <f aca="false">IF(WEEKDAY(F156,2)&gt;5,0,1)</f>
        <v>0</v>
      </c>
      <c r="H156" s="395" t="str">
        <f aca="false">IF(G156=1,SUM($G$2:G156),"")</f>
        <v/>
      </c>
    </row>
    <row r="157" customFormat="false" ht="16" hidden="false" customHeight="false" outlineLevel="0" collapsed="false">
      <c r="A157" s="394" t="n">
        <f aca="false">A156+1</f>
        <v>45467</v>
      </c>
      <c r="B157" s="33" t="n">
        <f aca="false">IF(WEEKDAY(A157,2)&gt;5,0,1)</f>
        <v>1</v>
      </c>
      <c r="C157" s="33" t="n">
        <f aca="false">IF(B157=1,SUM($B$3:B157),"")</f>
        <v>98</v>
      </c>
      <c r="D157" s="393" t="n">
        <f aca="false">IF(B157=1,A157,"")</f>
        <v>45467</v>
      </c>
      <c r="F157" s="394" t="n">
        <f aca="false">F156+1</f>
        <v>45467</v>
      </c>
      <c r="G157" s="33" t="n">
        <f aca="false">IF(WEEKDAY(F157,2)&gt;5,0,1)</f>
        <v>1</v>
      </c>
      <c r="H157" s="395" t="n">
        <f aca="false">IF(G157=1,SUM($G$2:G157),"")</f>
        <v>101</v>
      </c>
    </row>
    <row r="158" customFormat="false" ht="16" hidden="false" customHeight="false" outlineLevel="0" collapsed="false">
      <c r="A158" s="394" t="n">
        <f aca="false">A157+1</f>
        <v>45468</v>
      </c>
      <c r="B158" s="33" t="n">
        <f aca="false">IF(WEEKDAY(A158,2)&gt;5,0,1)</f>
        <v>1</v>
      </c>
      <c r="C158" s="33" t="n">
        <f aca="false">IF(B158=1,SUM($B$3:B158),"")</f>
        <v>99</v>
      </c>
      <c r="D158" s="393" t="n">
        <f aca="false">IF(B158=1,A158,"")</f>
        <v>45468</v>
      </c>
      <c r="F158" s="394" t="n">
        <f aca="false">F157+1</f>
        <v>45468</v>
      </c>
      <c r="G158" s="33" t="n">
        <f aca="false">IF(WEEKDAY(F158,2)&gt;5,0,1)</f>
        <v>1</v>
      </c>
      <c r="H158" s="395" t="n">
        <f aca="false">IF(G158=1,SUM($G$2:G158),"")</f>
        <v>102</v>
      </c>
    </row>
    <row r="159" customFormat="false" ht="16" hidden="false" customHeight="false" outlineLevel="0" collapsed="false">
      <c r="A159" s="394" t="n">
        <f aca="false">A158+1</f>
        <v>45469</v>
      </c>
      <c r="B159" s="33" t="n">
        <f aca="false">IF(WEEKDAY(A159,2)&gt;5,0,1)</f>
        <v>1</v>
      </c>
      <c r="C159" s="33" t="n">
        <f aca="false">IF(B159=1,SUM($B$3:B159),"")</f>
        <v>100</v>
      </c>
      <c r="D159" s="393" t="n">
        <f aca="false">IF(B159=1,A159,"")</f>
        <v>45469</v>
      </c>
      <c r="F159" s="394" t="n">
        <f aca="false">F158+1</f>
        <v>45469</v>
      </c>
      <c r="G159" s="33" t="n">
        <f aca="false">IF(WEEKDAY(F159,2)&gt;5,0,1)</f>
        <v>1</v>
      </c>
      <c r="H159" s="395" t="n">
        <f aca="false">IF(G159=1,SUM($G$2:G159),"")</f>
        <v>103</v>
      </c>
    </row>
    <row r="160" customFormat="false" ht="16" hidden="false" customHeight="false" outlineLevel="0" collapsed="false">
      <c r="A160" s="394" t="n">
        <f aca="false">A159+1</f>
        <v>45470</v>
      </c>
      <c r="B160" s="33" t="n">
        <f aca="false">IF(WEEKDAY(A160,2)&gt;5,0,1)</f>
        <v>1</v>
      </c>
      <c r="C160" s="33" t="n">
        <f aca="false">IF(B160=1,SUM($B$3:B160),"")</f>
        <v>101</v>
      </c>
      <c r="D160" s="393" t="n">
        <f aca="false">IF(B160=1,A160,"")</f>
        <v>45470</v>
      </c>
      <c r="F160" s="394" t="n">
        <f aca="false">F159+1</f>
        <v>45470</v>
      </c>
      <c r="G160" s="33" t="n">
        <f aca="false">IF(WEEKDAY(F160,2)&gt;5,0,1)</f>
        <v>1</v>
      </c>
      <c r="H160" s="395" t="n">
        <f aca="false">IF(G160=1,SUM($G$2:G160),"")</f>
        <v>104</v>
      </c>
    </row>
    <row r="161" customFormat="false" ht="16" hidden="false" customHeight="false" outlineLevel="0" collapsed="false">
      <c r="A161" s="394" t="n">
        <f aca="false">A160+1</f>
        <v>45471</v>
      </c>
      <c r="B161" s="33" t="n">
        <f aca="false">IF(WEEKDAY(A161,2)&gt;5,0,1)</f>
        <v>1</v>
      </c>
      <c r="C161" s="33" t="n">
        <f aca="false">IF(B161=1,SUM($B$3:B161),"")</f>
        <v>102</v>
      </c>
      <c r="D161" s="393" t="n">
        <f aca="false">IF(B161=1,A161,"")</f>
        <v>45471</v>
      </c>
      <c r="F161" s="394" t="n">
        <f aca="false">F160+1</f>
        <v>45471</v>
      </c>
      <c r="G161" s="33" t="n">
        <f aca="false">IF(WEEKDAY(F161,2)&gt;5,0,1)</f>
        <v>1</v>
      </c>
      <c r="H161" s="395" t="n">
        <f aca="false">IF(G161=1,SUM($G$2:G161),"")</f>
        <v>105</v>
      </c>
    </row>
    <row r="162" customFormat="false" ht="16" hidden="false" customHeight="false" outlineLevel="0" collapsed="false">
      <c r="A162" s="394" t="n">
        <f aca="false">A161+1</f>
        <v>45472</v>
      </c>
      <c r="B162" s="33" t="n">
        <f aca="false">IF(WEEKDAY(A162,2)&gt;5,0,1)</f>
        <v>0</v>
      </c>
      <c r="C162" s="33" t="str">
        <f aca="false">IF(B162=1,SUM($B$3:B162),"")</f>
        <v/>
      </c>
      <c r="D162" s="393" t="str">
        <f aca="false">IF(B162=1,A162,"")</f>
        <v/>
      </c>
      <c r="F162" s="394" t="n">
        <f aca="false">F161+1</f>
        <v>45472</v>
      </c>
      <c r="G162" s="33" t="n">
        <f aca="false">IF(WEEKDAY(F162,2)&gt;5,0,1)</f>
        <v>0</v>
      </c>
      <c r="H162" s="395" t="str">
        <f aca="false">IF(G162=1,SUM($G$2:G162),"")</f>
        <v/>
      </c>
    </row>
    <row r="163" customFormat="false" ht="16" hidden="false" customHeight="false" outlineLevel="0" collapsed="false">
      <c r="A163" s="394" t="n">
        <f aca="false">A162+1</f>
        <v>45473</v>
      </c>
      <c r="B163" s="33" t="n">
        <f aca="false">IF(WEEKDAY(A163,2)&gt;5,0,1)</f>
        <v>0</v>
      </c>
      <c r="C163" s="33" t="str">
        <f aca="false">IF(B163=1,SUM($B$3:B163),"")</f>
        <v/>
      </c>
      <c r="D163" s="393" t="str">
        <f aca="false">IF(B163=1,A163,"")</f>
        <v/>
      </c>
      <c r="F163" s="394" t="n">
        <f aca="false">F162+1</f>
        <v>45473</v>
      </c>
      <c r="G163" s="33" t="n">
        <f aca="false">IF(WEEKDAY(F163,2)&gt;5,0,1)</f>
        <v>0</v>
      </c>
      <c r="H163" s="395" t="str">
        <f aca="false">IF(G163=1,SUM($G$2:G163),"")</f>
        <v/>
      </c>
    </row>
    <row r="164" customFormat="false" ht="16" hidden="false" customHeight="false" outlineLevel="0" collapsed="false">
      <c r="A164" s="394" t="n">
        <f aca="false">A163+1</f>
        <v>45474</v>
      </c>
      <c r="B164" s="33" t="n">
        <v>0</v>
      </c>
      <c r="C164" s="33" t="str">
        <f aca="false">IF(B164=1,SUM($B$3:B164),"")</f>
        <v/>
      </c>
      <c r="D164" s="393" t="str">
        <f aca="false">IF(B164=1,A164,"")</f>
        <v/>
      </c>
      <c r="F164" s="394" t="n">
        <f aca="false">F163+1</f>
        <v>45474</v>
      </c>
      <c r="G164" s="33" t="n">
        <f aca="false">IF(WEEKDAY(F164,2)&gt;5,0,1)</f>
        <v>1</v>
      </c>
      <c r="H164" s="395" t="n">
        <f aca="false">IF(G164=1,SUM($G$2:G164),"")</f>
        <v>106</v>
      </c>
    </row>
    <row r="165" customFormat="false" ht="16" hidden="false" customHeight="false" outlineLevel="0" collapsed="false">
      <c r="A165" s="394" t="n">
        <f aca="false">A164+1</f>
        <v>45475</v>
      </c>
      <c r="B165" s="33" t="n">
        <v>0</v>
      </c>
      <c r="C165" s="33" t="str">
        <f aca="false">IF(B165=1,SUM($B$3:B165),"")</f>
        <v/>
      </c>
      <c r="D165" s="393" t="str">
        <f aca="false">IF(B165=1,A165,"")</f>
        <v/>
      </c>
      <c r="F165" s="394" t="n">
        <f aca="false">F164+1</f>
        <v>45475</v>
      </c>
      <c r="G165" s="33" t="n">
        <f aca="false">IF(WEEKDAY(F165,2)&gt;5,0,1)</f>
        <v>1</v>
      </c>
      <c r="H165" s="395" t="n">
        <f aca="false">IF(G165=1,SUM($G$2:G165),"")</f>
        <v>107</v>
      </c>
    </row>
    <row r="166" customFormat="false" ht="16" hidden="false" customHeight="false" outlineLevel="0" collapsed="false">
      <c r="A166" s="394" t="n">
        <f aca="false">A165+1</f>
        <v>45476</v>
      </c>
      <c r="B166" s="33" t="n">
        <v>0</v>
      </c>
      <c r="C166" s="33" t="str">
        <f aca="false">IF(B166=1,SUM($B$3:B166),"")</f>
        <v/>
      </c>
      <c r="D166" s="393" t="str">
        <f aca="false">IF(B166=1,A166,"")</f>
        <v/>
      </c>
      <c r="F166" s="394" t="n">
        <f aca="false">F165+1</f>
        <v>45476</v>
      </c>
      <c r="G166" s="33" t="n">
        <f aca="false">IF(WEEKDAY(F166,2)&gt;5,0,1)</f>
        <v>1</v>
      </c>
      <c r="H166" s="395" t="n">
        <f aca="false">IF(G166=1,SUM($G$2:G166),"")</f>
        <v>108</v>
      </c>
    </row>
    <row r="167" customFormat="false" ht="16" hidden="false" customHeight="false" outlineLevel="0" collapsed="false">
      <c r="A167" s="394" t="n">
        <f aca="false">A166+1</f>
        <v>45477</v>
      </c>
      <c r="B167" s="33" t="n">
        <v>0</v>
      </c>
      <c r="C167" s="33" t="str">
        <f aca="false">IF(B167=1,SUM($B$3:B167),"")</f>
        <v/>
      </c>
      <c r="D167" s="393" t="str">
        <f aca="false">IF(B167=1,A167,"")</f>
        <v/>
      </c>
      <c r="F167" s="394" t="n">
        <f aca="false">F166+1</f>
        <v>45477</v>
      </c>
      <c r="G167" s="33" t="n">
        <f aca="false">IF(WEEKDAY(F167,2)&gt;5,0,1)</f>
        <v>1</v>
      </c>
      <c r="H167" s="395" t="n">
        <f aca="false">IF(G167=1,SUM($G$2:G167),"")</f>
        <v>109</v>
      </c>
    </row>
    <row r="168" customFormat="false" ht="16" hidden="false" customHeight="false" outlineLevel="0" collapsed="false">
      <c r="A168" s="394" t="n">
        <f aca="false">A167+1</f>
        <v>45478</v>
      </c>
      <c r="B168" s="33" t="n">
        <v>0</v>
      </c>
      <c r="C168" s="33" t="str">
        <f aca="false">IF(B168=1,SUM($B$3:B168),"")</f>
        <v/>
      </c>
      <c r="D168" s="393" t="str">
        <f aca="false">IF(B168=1,A168,"")</f>
        <v/>
      </c>
      <c r="F168" s="394" t="n">
        <f aca="false">F167+1</f>
        <v>45478</v>
      </c>
      <c r="G168" s="33" t="n">
        <f aca="false">IF(WEEKDAY(F168,2)&gt;5,0,1)</f>
        <v>1</v>
      </c>
      <c r="H168" s="395" t="n">
        <f aca="false">IF(G168=1,SUM($G$2:G168),"")</f>
        <v>110</v>
      </c>
    </row>
    <row r="169" customFormat="false" ht="16" hidden="false" customHeight="false" outlineLevel="0" collapsed="false">
      <c r="A169" s="394" t="n">
        <f aca="false">A168+1</f>
        <v>45479</v>
      </c>
      <c r="B169" s="33" t="n">
        <f aca="false">IF(WEEKDAY(A169,2)&gt;5,0,1)</f>
        <v>0</v>
      </c>
      <c r="C169" s="33" t="str">
        <f aca="false">IF(B169=1,SUM($B$3:B169),"")</f>
        <v/>
      </c>
      <c r="D169" s="393" t="str">
        <f aca="false">IF(B169=1,A169,"")</f>
        <v/>
      </c>
      <c r="F169" s="394" t="n">
        <f aca="false">F168+1</f>
        <v>45479</v>
      </c>
      <c r="G169" s="33" t="n">
        <f aca="false">IF(WEEKDAY(F169,2)&gt;5,0,1)</f>
        <v>0</v>
      </c>
      <c r="H169" s="395" t="str">
        <f aca="false">IF(G169=1,SUM($G$2:G169),"")</f>
        <v/>
      </c>
    </row>
    <row r="170" customFormat="false" ht="16" hidden="false" customHeight="false" outlineLevel="0" collapsed="false">
      <c r="A170" s="394" t="n">
        <f aca="false">A169+1</f>
        <v>45480</v>
      </c>
      <c r="B170" s="33" t="n">
        <f aca="false">IF(WEEKDAY(A170,2)&gt;5,0,1)</f>
        <v>0</v>
      </c>
      <c r="C170" s="33" t="str">
        <f aca="false">IF(B170=1,SUM($B$3:B170),"")</f>
        <v/>
      </c>
      <c r="D170" s="393" t="str">
        <f aca="false">IF(B170=1,A170,"")</f>
        <v/>
      </c>
      <c r="F170" s="394" t="n">
        <f aca="false">F169+1</f>
        <v>45480</v>
      </c>
      <c r="G170" s="33" t="n">
        <f aca="false">IF(WEEKDAY(F170,2)&gt;5,0,1)</f>
        <v>0</v>
      </c>
      <c r="H170" s="395" t="str">
        <f aca="false">IF(G170=1,SUM($G$2:G170),"")</f>
        <v/>
      </c>
    </row>
    <row r="171" customFormat="false" ht="16" hidden="false" customHeight="false" outlineLevel="0" collapsed="false">
      <c r="A171" s="394" t="n">
        <f aca="false">A170+1</f>
        <v>45481</v>
      </c>
      <c r="B171" s="33" t="n">
        <v>0</v>
      </c>
      <c r="C171" s="33" t="str">
        <f aca="false">IF(B171=1,SUM($B$3:B171),"")</f>
        <v/>
      </c>
      <c r="D171" s="393" t="str">
        <f aca="false">IF(B171=1,A171,"")</f>
        <v/>
      </c>
      <c r="F171" s="394" t="n">
        <f aca="false">F170+1</f>
        <v>45481</v>
      </c>
      <c r="G171" s="33" t="n">
        <f aca="false">IF(WEEKDAY(F171,2)&gt;5,0,1)</f>
        <v>1</v>
      </c>
      <c r="H171" s="395" t="n">
        <f aca="false">IF(G171=1,SUM($G$2:G171),"")</f>
        <v>111</v>
      </c>
    </row>
    <row r="172" customFormat="false" ht="16" hidden="false" customHeight="false" outlineLevel="0" collapsed="false">
      <c r="A172" s="394" t="n">
        <f aca="false">A171+1</f>
        <v>45482</v>
      </c>
      <c r="B172" s="33" t="n">
        <v>0</v>
      </c>
      <c r="C172" s="33" t="str">
        <f aca="false">IF(B172=1,SUM($B$3:B172),"")</f>
        <v/>
      </c>
      <c r="D172" s="393" t="str">
        <f aca="false">IF(B172=1,A172,"")</f>
        <v/>
      </c>
      <c r="F172" s="394" t="n">
        <f aca="false">F171+1</f>
        <v>45482</v>
      </c>
      <c r="G172" s="33" t="n">
        <f aca="false">IF(WEEKDAY(F172,2)&gt;5,0,1)</f>
        <v>1</v>
      </c>
      <c r="H172" s="395" t="n">
        <f aca="false">IF(G172=1,SUM($G$2:G172),"")</f>
        <v>112</v>
      </c>
    </row>
    <row r="173" customFormat="false" ht="16" hidden="false" customHeight="false" outlineLevel="0" collapsed="false">
      <c r="A173" s="394" t="n">
        <f aca="false">A172+1</f>
        <v>45483</v>
      </c>
      <c r="B173" s="33" t="n">
        <v>0</v>
      </c>
      <c r="C173" s="33" t="str">
        <f aca="false">IF(B173=1,SUM($B$3:B173),"")</f>
        <v/>
      </c>
      <c r="D173" s="393" t="str">
        <f aca="false">IF(B173=1,A173,"")</f>
        <v/>
      </c>
      <c r="F173" s="394" t="n">
        <f aca="false">F172+1</f>
        <v>45483</v>
      </c>
      <c r="G173" s="33" t="n">
        <f aca="false">IF(WEEKDAY(F173,2)&gt;5,0,1)</f>
        <v>1</v>
      </c>
      <c r="H173" s="395" t="n">
        <f aca="false">IF(G173=1,SUM($G$2:G173),"")</f>
        <v>113</v>
      </c>
    </row>
    <row r="174" customFormat="false" ht="16" hidden="false" customHeight="false" outlineLevel="0" collapsed="false">
      <c r="A174" s="394" t="n">
        <f aca="false">A173+1</f>
        <v>45484</v>
      </c>
      <c r="B174" s="33" t="n">
        <v>0</v>
      </c>
      <c r="C174" s="33" t="str">
        <f aca="false">IF(B174=1,SUM($B$3:B174),"")</f>
        <v/>
      </c>
      <c r="D174" s="393" t="str">
        <f aca="false">IF(B174=1,A174,"")</f>
        <v/>
      </c>
      <c r="F174" s="394" t="n">
        <f aca="false">F173+1</f>
        <v>45484</v>
      </c>
      <c r="G174" s="33" t="n">
        <f aca="false">IF(WEEKDAY(F174,2)&gt;5,0,1)</f>
        <v>1</v>
      </c>
      <c r="H174" s="395" t="n">
        <f aca="false">IF(G174=1,SUM($G$2:G174),"")</f>
        <v>114</v>
      </c>
    </row>
    <row r="175" customFormat="false" ht="16" hidden="false" customHeight="false" outlineLevel="0" collapsed="false">
      <c r="A175" s="394" t="n">
        <f aca="false">A174+1</f>
        <v>45485</v>
      </c>
      <c r="B175" s="33" t="n">
        <v>0</v>
      </c>
      <c r="C175" s="33" t="str">
        <f aca="false">IF(B175=1,SUM($B$3:B175),"")</f>
        <v/>
      </c>
      <c r="D175" s="393" t="str">
        <f aca="false">IF(B175=1,A175,"")</f>
        <v/>
      </c>
      <c r="F175" s="394" t="n">
        <f aca="false">F174+1</f>
        <v>45485</v>
      </c>
      <c r="G175" s="33" t="n">
        <f aca="false">IF(WEEKDAY(F175,2)&gt;5,0,1)</f>
        <v>1</v>
      </c>
      <c r="H175" s="395" t="n">
        <f aca="false">IF(G175=1,SUM($G$2:G175),"")</f>
        <v>115</v>
      </c>
    </row>
    <row r="176" customFormat="false" ht="16" hidden="false" customHeight="false" outlineLevel="0" collapsed="false">
      <c r="A176" s="394" t="n">
        <f aca="false">A175+1</f>
        <v>45486</v>
      </c>
      <c r="B176" s="33" t="n">
        <f aca="false">IF(WEEKDAY(A176,2)&gt;5,0,1)</f>
        <v>0</v>
      </c>
      <c r="C176" s="33" t="str">
        <f aca="false">IF(B176=1,SUM($B$3:B176),"")</f>
        <v/>
      </c>
      <c r="D176" s="393" t="str">
        <f aca="false">IF(B176=1,A176,"")</f>
        <v/>
      </c>
      <c r="F176" s="394" t="n">
        <f aca="false">F175+1</f>
        <v>45486</v>
      </c>
      <c r="G176" s="33" t="n">
        <f aca="false">IF(WEEKDAY(F176,2)&gt;5,0,1)</f>
        <v>0</v>
      </c>
      <c r="H176" s="395" t="str">
        <f aca="false">IF(G176=1,SUM($G$2:G176),"")</f>
        <v/>
      </c>
    </row>
    <row r="177" customFormat="false" ht="16" hidden="false" customHeight="false" outlineLevel="0" collapsed="false">
      <c r="A177" s="394" t="n">
        <f aca="false">A176+1</f>
        <v>45487</v>
      </c>
      <c r="B177" s="33" t="n">
        <f aca="false">IF(WEEKDAY(A177,2)&gt;5,0,1)</f>
        <v>0</v>
      </c>
      <c r="C177" s="33" t="str">
        <f aca="false">IF(B177=1,SUM($B$3:B177),"")</f>
        <v/>
      </c>
      <c r="D177" s="393" t="str">
        <f aca="false">IF(B177=1,A177,"")</f>
        <v/>
      </c>
      <c r="F177" s="394" t="n">
        <f aca="false">F176+1</f>
        <v>45487</v>
      </c>
      <c r="G177" s="33" t="n">
        <f aca="false">IF(WEEKDAY(F177,2)&gt;5,0,1)</f>
        <v>0</v>
      </c>
      <c r="H177" s="395" t="str">
        <f aca="false">IF(G177=1,SUM($G$2:G177),"")</f>
        <v/>
      </c>
    </row>
    <row r="178" customFormat="false" ht="16" hidden="false" customHeight="false" outlineLevel="0" collapsed="false">
      <c r="A178" s="394" t="n">
        <f aca="false">A177+1</f>
        <v>45488</v>
      </c>
      <c r="B178" s="33" t="n">
        <v>0</v>
      </c>
      <c r="C178" s="33" t="str">
        <f aca="false">IF(B178=1,SUM($B$3:B178),"")</f>
        <v/>
      </c>
      <c r="D178" s="393" t="str">
        <f aca="false">IF(B178=1,A178,"")</f>
        <v/>
      </c>
      <c r="F178" s="394" t="n">
        <f aca="false">F177+1</f>
        <v>45488</v>
      </c>
      <c r="G178" s="33" t="n">
        <f aca="false">IF(WEEKDAY(F178,2)&gt;5,0,1)</f>
        <v>1</v>
      </c>
      <c r="H178" s="395" t="n">
        <f aca="false">IF(G178=1,SUM($G$2:G178),"")</f>
        <v>116</v>
      </c>
    </row>
    <row r="179" customFormat="false" ht="16" hidden="false" customHeight="false" outlineLevel="0" collapsed="false">
      <c r="A179" s="394" t="n">
        <f aca="false">A178+1</f>
        <v>45489</v>
      </c>
      <c r="B179" s="33" t="n">
        <v>0</v>
      </c>
      <c r="C179" s="33" t="str">
        <f aca="false">IF(B179=1,SUM($B$3:B179),"")</f>
        <v/>
      </c>
      <c r="D179" s="393" t="str">
        <f aca="false">IF(B179=1,A179,"")</f>
        <v/>
      </c>
      <c r="F179" s="394" t="n">
        <f aca="false">F178+1</f>
        <v>45489</v>
      </c>
      <c r="G179" s="33" t="n">
        <f aca="false">IF(WEEKDAY(F179,2)&gt;5,0,1)</f>
        <v>1</v>
      </c>
      <c r="H179" s="395" t="n">
        <f aca="false">IF(G179=1,SUM($G$2:G179),"")</f>
        <v>117</v>
      </c>
    </row>
    <row r="180" customFormat="false" ht="16" hidden="false" customHeight="false" outlineLevel="0" collapsed="false">
      <c r="A180" s="394" t="n">
        <f aca="false">A179+1</f>
        <v>45490</v>
      </c>
      <c r="B180" s="33" t="n">
        <v>0</v>
      </c>
      <c r="C180" s="33" t="str">
        <f aca="false">IF(B180=1,SUM($B$3:B180),"")</f>
        <v/>
      </c>
      <c r="D180" s="393" t="str">
        <f aca="false">IF(B180=1,A180,"")</f>
        <v/>
      </c>
      <c r="F180" s="394" t="n">
        <f aca="false">F179+1</f>
        <v>45490</v>
      </c>
      <c r="G180" s="33" t="n">
        <f aca="false">IF(WEEKDAY(F180,2)&gt;5,0,1)</f>
        <v>1</v>
      </c>
      <c r="H180" s="395" t="n">
        <f aca="false">IF(G180=1,SUM($G$2:G180),"")</f>
        <v>118</v>
      </c>
    </row>
    <row r="181" customFormat="false" ht="16" hidden="false" customHeight="false" outlineLevel="0" collapsed="false">
      <c r="A181" s="394" t="n">
        <f aca="false">A180+1</f>
        <v>45491</v>
      </c>
      <c r="B181" s="33" t="n">
        <v>0</v>
      </c>
      <c r="C181" s="33" t="str">
        <f aca="false">IF(B181=1,SUM($B$3:B181),"")</f>
        <v/>
      </c>
      <c r="D181" s="393" t="str">
        <f aca="false">IF(B181=1,A181,"")</f>
        <v/>
      </c>
      <c r="F181" s="394" t="n">
        <f aca="false">F180+1</f>
        <v>45491</v>
      </c>
      <c r="G181" s="33" t="n">
        <f aca="false">IF(WEEKDAY(F181,2)&gt;5,0,1)</f>
        <v>1</v>
      </c>
      <c r="H181" s="395" t="n">
        <f aca="false">IF(G181=1,SUM($G$2:G181),"")</f>
        <v>119</v>
      </c>
    </row>
    <row r="182" customFormat="false" ht="16" hidden="false" customHeight="false" outlineLevel="0" collapsed="false">
      <c r="A182" s="394" t="n">
        <f aca="false">A181+1</f>
        <v>45492</v>
      </c>
      <c r="B182" s="33" t="n">
        <v>0</v>
      </c>
      <c r="C182" s="33" t="str">
        <f aca="false">IF(B182=1,SUM($B$3:B182),"")</f>
        <v/>
      </c>
      <c r="D182" s="393" t="str">
        <f aca="false">IF(B182=1,A182,"")</f>
        <v/>
      </c>
      <c r="F182" s="394" t="n">
        <f aca="false">F181+1</f>
        <v>45492</v>
      </c>
      <c r="G182" s="33" t="n">
        <f aca="false">IF(WEEKDAY(F182,2)&gt;5,0,1)</f>
        <v>1</v>
      </c>
      <c r="H182" s="395" t="n">
        <f aca="false">IF(G182=1,SUM($G$2:G182),"")</f>
        <v>120</v>
      </c>
    </row>
    <row r="183" customFormat="false" ht="16" hidden="false" customHeight="false" outlineLevel="0" collapsed="false">
      <c r="A183" s="394" t="n">
        <f aca="false">A182+1</f>
        <v>45493</v>
      </c>
      <c r="B183" s="33" t="n">
        <f aca="false">IF(WEEKDAY(A183,2)&gt;5,0,1)</f>
        <v>0</v>
      </c>
      <c r="C183" s="33" t="str">
        <f aca="false">IF(B183=1,SUM($B$3:B183),"")</f>
        <v/>
      </c>
      <c r="D183" s="393" t="str">
        <f aca="false">IF(B183=1,A183,"")</f>
        <v/>
      </c>
      <c r="F183" s="394" t="n">
        <f aca="false">F182+1</f>
        <v>45493</v>
      </c>
      <c r="G183" s="33" t="n">
        <f aca="false">IF(WEEKDAY(F183,2)&gt;5,0,1)</f>
        <v>0</v>
      </c>
      <c r="H183" s="395" t="str">
        <f aca="false">IF(G183=1,SUM($G$2:G183),"")</f>
        <v/>
      </c>
    </row>
    <row r="184" customFormat="false" ht="16" hidden="false" customHeight="false" outlineLevel="0" collapsed="false">
      <c r="A184" s="394" t="n">
        <f aca="false">A183+1</f>
        <v>45494</v>
      </c>
      <c r="B184" s="33" t="n">
        <f aca="false">IF(WEEKDAY(A184,2)&gt;5,0,1)</f>
        <v>0</v>
      </c>
      <c r="C184" s="33" t="str">
        <f aca="false">IF(B184=1,SUM($B$3:B184),"")</f>
        <v/>
      </c>
      <c r="D184" s="393" t="str">
        <f aca="false">IF(B184=1,A184,"")</f>
        <v/>
      </c>
      <c r="F184" s="394" t="n">
        <f aca="false">F183+1</f>
        <v>45494</v>
      </c>
      <c r="G184" s="33" t="n">
        <f aca="false">IF(WEEKDAY(F184,2)&gt;5,0,1)</f>
        <v>0</v>
      </c>
      <c r="H184" s="395" t="str">
        <f aca="false">IF(G184=1,SUM($G$2:G184),"")</f>
        <v/>
      </c>
    </row>
    <row r="185" customFormat="false" ht="16" hidden="false" customHeight="false" outlineLevel="0" collapsed="false">
      <c r="A185" s="394" t="n">
        <f aca="false">A184+1</f>
        <v>45495</v>
      </c>
      <c r="B185" s="33" t="n">
        <v>0</v>
      </c>
      <c r="C185" s="33" t="str">
        <f aca="false">IF(B185=1,SUM($B$3:B185),"")</f>
        <v/>
      </c>
      <c r="D185" s="393" t="str">
        <f aca="false">IF(B185=1,A185,"")</f>
        <v/>
      </c>
      <c r="F185" s="394" t="n">
        <f aca="false">F184+1</f>
        <v>45495</v>
      </c>
      <c r="G185" s="33" t="n">
        <f aca="false">IF(WEEKDAY(F185,2)&gt;5,0,1)</f>
        <v>1</v>
      </c>
      <c r="H185" s="395" t="n">
        <f aca="false">IF(G185=1,SUM($G$2:G185),"")</f>
        <v>121</v>
      </c>
    </row>
    <row r="186" customFormat="false" ht="16" hidden="false" customHeight="false" outlineLevel="0" collapsed="false">
      <c r="A186" s="394" t="n">
        <f aca="false">A185+1</f>
        <v>45496</v>
      </c>
      <c r="B186" s="33" t="n">
        <v>0</v>
      </c>
      <c r="C186" s="33" t="str">
        <f aca="false">IF(B186=1,SUM($B$3:B186),"")</f>
        <v/>
      </c>
      <c r="D186" s="393" t="str">
        <f aca="false">IF(B186=1,A186,"")</f>
        <v/>
      </c>
      <c r="F186" s="394" t="n">
        <f aca="false">F185+1</f>
        <v>45496</v>
      </c>
      <c r="G186" s="33" t="n">
        <f aca="false">IF(WEEKDAY(F186,2)&gt;5,0,1)</f>
        <v>1</v>
      </c>
      <c r="H186" s="395" t="n">
        <f aca="false">IF(G186=1,SUM($G$2:G186),"")</f>
        <v>122</v>
      </c>
    </row>
    <row r="187" customFormat="false" ht="16" hidden="false" customHeight="false" outlineLevel="0" collapsed="false">
      <c r="A187" s="394" t="n">
        <f aca="false">A186+1</f>
        <v>45497</v>
      </c>
      <c r="B187" s="33" t="n">
        <v>0</v>
      </c>
      <c r="C187" s="33" t="str">
        <f aca="false">IF(B187=1,SUM($B$3:B187),"")</f>
        <v/>
      </c>
      <c r="D187" s="393" t="str">
        <f aca="false">IF(B187=1,A187,"")</f>
        <v/>
      </c>
      <c r="F187" s="394" t="n">
        <f aca="false">F186+1</f>
        <v>45497</v>
      </c>
      <c r="G187" s="33" t="n">
        <f aca="false">IF(WEEKDAY(F187,2)&gt;5,0,1)</f>
        <v>1</v>
      </c>
      <c r="H187" s="395" t="n">
        <f aca="false">IF(G187=1,SUM($G$2:G187),"")</f>
        <v>123</v>
      </c>
    </row>
    <row r="188" customFormat="false" ht="16" hidden="false" customHeight="false" outlineLevel="0" collapsed="false">
      <c r="A188" s="394" t="n">
        <f aca="false">A187+1</f>
        <v>45498</v>
      </c>
      <c r="B188" s="33" t="n">
        <v>0</v>
      </c>
      <c r="C188" s="33" t="str">
        <f aca="false">IF(B188=1,SUM($B$3:B188),"")</f>
        <v/>
      </c>
      <c r="D188" s="393" t="str">
        <f aca="false">IF(B188=1,A188,"")</f>
        <v/>
      </c>
      <c r="F188" s="394" t="n">
        <f aca="false">F187+1</f>
        <v>45498</v>
      </c>
      <c r="G188" s="33" t="n">
        <f aca="false">IF(WEEKDAY(F188,2)&gt;5,0,1)</f>
        <v>1</v>
      </c>
      <c r="H188" s="395" t="n">
        <f aca="false">IF(G188=1,SUM($G$2:G188),"")</f>
        <v>124</v>
      </c>
    </row>
    <row r="189" customFormat="false" ht="16" hidden="false" customHeight="false" outlineLevel="0" collapsed="false">
      <c r="A189" s="394" t="n">
        <f aca="false">A188+1</f>
        <v>45499</v>
      </c>
      <c r="B189" s="33" t="n">
        <v>0</v>
      </c>
      <c r="C189" s="33" t="str">
        <f aca="false">IF(B189=1,SUM($B$3:B189),"")</f>
        <v/>
      </c>
      <c r="D189" s="393" t="str">
        <f aca="false">IF(B189=1,A189,"")</f>
        <v/>
      </c>
      <c r="F189" s="394" t="n">
        <f aca="false">F188+1</f>
        <v>45499</v>
      </c>
      <c r="G189" s="33" t="n">
        <f aca="false">IF(WEEKDAY(F189,2)&gt;5,0,1)</f>
        <v>1</v>
      </c>
      <c r="H189" s="395" t="n">
        <f aca="false">IF(G189=1,SUM($G$2:G189),"")</f>
        <v>125</v>
      </c>
    </row>
    <row r="190" customFormat="false" ht="16" hidden="false" customHeight="false" outlineLevel="0" collapsed="false">
      <c r="A190" s="394" t="n">
        <f aca="false">A189+1</f>
        <v>45500</v>
      </c>
      <c r="B190" s="33" t="n">
        <f aca="false">IF(WEEKDAY(A190,2)&gt;5,0,1)</f>
        <v>0</v>
      </c>
      <c r="C190" s="33" t="str">
        <f aca="false">IF(B190=1,SUM($B$3:B190),"")</f>
        <v/>
      </c>
      <c r="D190" s="393" t="str">
        <f aca="false">IF(B190=1,A190,"")</f>
        <v/>
      </c>
      <c r="F190" s="394" t="n">
        <f aca="false">F189+1</f>
        <v>45500</v>
      </c>
      <c r="G190" s="33" t="n">
        <f aca="false">IF(WEEKDAY(F190,2)&gt;5,0,1)</f>
        <v>0</v>
      </c>
      <c r="H190" s="395" t="str">
        <f aca="false">IF(G190=1,SUM($G$2:G190),"")</f>
        <v/>
      </c>
    </row>
    <row r="191" customFormat="false" ht="16" hidden="false" customHeight="false" outlineLevel="0" collapsed="false">
      <c r="A191" s="394" t="n">
        <f aca="false">A190+1</f>
        <v>45501</v>
      </c>
      <c r="B191" s="33" t="n">
        <f aca="false">IF(WEEKDAY(A191,2)&gt;5,0,1)</f>
        <v>0</v>
      </c>
      <c r="C191" s="33" t="str">
        <f aca="false">IF(B191=1,SUM($B$3:B191),"")</f>
        <v/>
      </c>
      <c r="D191" s="393" t="str">
        <f aca="false">IF(B191=1,A191,"")</f>
        <v/>
      </c>
      <c r="F191" s="394" t="n">
        <f aca="false">F190+1</f>
        <v>45501</v>
      </c>
      <c r="G191" s="33" t="n">
        <f aca="false">IF(WEEKDAY(F191,2)&gt;5,0,1)</f>
        <v>0</v>
      </c>
      <c r="H191" s="395" t="str">
        <f aca="false">IF(G191=1,SUM($G$2:G191),"")</f>
        <v/>
      </c>
    </row>
    <row r="192" customFormat="false" ht="16" hidden="false" customHeight="false" outlineLevel="0" collapsed="false">
      <c r="A192" s="394" t="n">
        <f aca="false">A191+1</f>
        <v>45502</v>
      </c>
      <c r="B192" s="33" t="n">
        <v>0</v>
      </c>
      <c r="C192" s="33" t="str">
        <f aca="false">IF(B192=1,SUM($B$3:B192),"")</f>
        <v/>
      </c>
      <c r="D192" s="393" t="str">
        <f aca="false">IF(B192=1,A192,"")</f>
        <v/>
      </c>
      <c r="F192" s="394" t="n">
        <f aca="false">F191+1</f>
        <v>45502</v>
      </c>
      <c r="G192" s="33" t="n">
        <f aca="false">IF(WEEKDAY(F192,2)&gt;5,0,1)</f>
        <v>1</v>
      </c>
      <c r="H192" s="395" t="n">
        <f aca="false">IF(G192=1,SUM($G$2:G192),"")</f>
        <v>126</v>
      </c>
    </row>
    <row r="193" customFormat="false" ht="16" hidden="false" customHeight="false" outlineLevel="0" collapsed="false">
      <c r="A193" s="394" t="n">
        <f aca="false">A192+1</f>
        <v>45503</v>
      </c>
      <c r="B193" s="33" t="n">
        <v>0</v>
      </c>
      <c r="C193" s="33" t="str">
        <f aca="false">IF(B193=1,SUM($B$3:B193),"")</f>
        <v/>
      </c>
      <c r="D193" s="393" t="str">
        <f aca="false">IF(B193=1,A193,"")</f>
        <v/>
      </c>
      <c r="F193" s="394" t="n">
        <f aca="false">F192+1</f>
        <v>45503</v>
      </c>
      <c r="G193" s="33" t="n">
        <f aca="false">IF(WEEKDAY(F193,2)&gt;5,0,1)</f>
        <v>1</v>
      </c>
      <c r="H193" s="395" t="n">
        <f aca="false">IF(G193=1,SUM($G$2:G193),"")</f>
        <v>127</v>
      </c>
    </row>
    <row r="194" customFormat="false" ht="16" hidden="false" customHeight="false" outlineLevel="0" collapsed="false">
      <c r="A194" s="394" t="n">
        <f aca="false">A193+1</f>
        <v>45504</v>
      </c>
      <c r="B194" s="33" t="n">
        <v>0</v>
      </c>
      <c r="C194" s="33" t="str">
        <f aca="false">IF(B194=1,SUM($B$3:B194),"")</f>
        <v/>
      </c>
      <c r="D194" s="393" t="str">
        <f aca="false">IF(B194=1,A194,"")</f>
        <v/>
      </c>
      <c r="F194" s="394" t="n">
        <f aca="false">F193+1</f>
        <v>45504</v>
      </c>
      <c r="G194" s="33" t="n">
        <f aca="false">IF(WEEKDAY(F194,2)&gt;5,0,1)</f>
        <v>1</v>
      </c>
      <c r="H194" s="395" t="n">
        <f aca="false">IF(G194=1,SUM($G$2:G194),"")</f>
        <v>128</v>
      </c>
    </row>
    <row r="195" customFormat="false" ht="16" hidden="false" customHeight="false" outlineLevel="0" collapsed="false">
      <c r="A195" s="394" t="n">
        <f aca="false">A194+1</f>
        <v>45505</v>
      </c>
      <c r="B195" s="33" t="n">
        <v>0</v>
      </c>
      <c r="C195" s="33" t="str">
        <f aca="false">IF(B195=1,SUM($B$3:B195),"")</f>
        <v/>
      </c>
      <c r="D195" s="393" t="str">
        <f aca="false">IF(B195=1,A195,"")</f>
        <v/>
      </c>
      <c r="F195" s="394" t="n">
        <f aca="false">F194+1</f>
        <v>45505</v>
      </c>
      <c r="G195" s="33" t="n">
        <f aca="false">IF(WEEKDAY(F195,2)&gt;5,0,1)</f>
        <v>1</v>
      </c>
      <c r="H195" s="395" t="n">
        <f aca="false">IF(G195=1,SUM($G$2:G195),"")</f>
        <v>129</v>
      </c>
    </row>
    <row r="196" customFormat="false" ht="16" hidden="false" customHeight="false" outlineLevel="0" collapsed="false">
      <c r="A196" s="394" t="n">
        <f aca="false">A195+1</f>
        <v>45506</v>
      </c>
      <c r="B196" s="33" t="n">
        <v>0</v>
      </c>
      <c r="C196" s="33" t="str">
        <f aca="false">IF(B196=1,SUM($B$3:B196),"")</f>
        <v/>
      </c>
      <c r="D196" s="393" t="str">
        <f aca="false">IF(B196=1,A196,"")</f>
        <v/>
      </c>
      <c r="F196" s="394" t="n">
        <f aca="false">F195+1</f>
        <v>45506</v>
      </c>
      <c r="G196" s="33" t="n">
        <f aca="false">IF(WEEKDAY(F196,2)&gt;5,0,1)</f>
        <v>1</v>
      </c>
      <c r="H196" s="395" t="n">
        <f aca="false">IF(G196=1,SUM($G$2:G196),"")</f>
        <v>130</v>
      </c>
    </row>
    <row r="197" customFormat="false" ht="16" hidden="false" customHeight="false" outlineLevel="0" collapsed="false">
      <c r="A197" s="394" t="n">
        <f aca="false">A196+1</f>
        <v>45507</v>
      </c>
      <c r="B197" s="33" t="n">
        <v>0</v>
      </c>
      <c r="C197" s="33" t="str">
        <f aca="false">IF(B197=1,SUM($B$3:B197),"")</f>
        <v/>
      </c>
      <c r="D197" s="393" t="str">
        <f aca="false">IF(B197=1,A197,"")</f>
        <v/>
      </c>
      <c r="F197" s="394" t="n">
        <f aca="false">F196+1</f>
        <v>45507</v>
      </c>
      <c r="G197" s="33" t="n">
        <f aca="false">IF(WEEKDAY(F197,2)&gt;5,0,1)</f>
        <v>0</v>
      </c>
      <c r="H197" s="395" t="str">
        <f aca="false">IF(G197=1,SUM($G$2:G197),"")</f>
        <v/>
      </c>
    </row>
    <row r="198" customFormat="false" ht="16" hidden="false" customHeight="false" outlineLevel="0" collapsed="false">
      <c r="A198" s="394" t="n">
        <f aca="false">A197+1</f>
        <v>45508</v>
      </c>
      <c r="B198" s="33" t="n">
        <v>0</v>
      </c>
      <c r="C198" s="33" t="str">
        <f aca="false">IF(B198=1,SUM($B$3:B198),"")</f>
        <v/>
      </c>
      <c r="D198" s="393" t="str">
        <f aca="false">IF(B198=1,A198,"")</f>
        <v/>
      </c>
      <c r="F198" s="394" t="n">
        <f aca="false">F197+1</f>
        <v>45508</v>
      </c>
      <c r="G198" s="33" t="n">
        <f aca="false">IF(WEEKDAY(F198,2)&gt;5,0,1)</f>
        <v>0</v>
      </c>
      <c r="H198" s="395" t="str">
        <f aca="false">IF(G198=1,SUM($G$2:G198),"")</f>
        <v/>
      </c>
    </row>
    <row r="199" customFormat="false" ht="16" hidden="false" customHeight="false" outlineLevel="0" collapsed="false">
      <c r="A199" s="394" t="n">
        <f aca="false">A198+1</f>
        <v>45509</v>
      </c>
      <c r="B199" s="33" t="n">
        <v>0</v>
      </c>
      <c r="C199" s="33" t="str">
        <f aca="false">IF(B199=1,SUM($B$3:B199),"")</f>
        <v/>
      </c>
      <c r="D199" s="393" t="str">
        <f aca="false">IF(B199=1,A199,"")</f>
        <v/>
      </c>
      <c r="F199" s="394" t="n">
        <f aca="false">F198+1</f>
        <v>45509</v>
      </c>
      <c r="G199" s="33" t="n">
        <f aca="false">IF(WEEKDAY(F199,2)&gt;5,0,1)</f>
        <v>1</v>
      </c>
      <c r="H199" s="395" t="n">
        <f aca="false">IF(G199=1,SUM($G$2:G199),"")</f>
        <v>131</v>
      </c>
    </row>
    <row r="200" customFormat="false" ht="16" hidden="false" customHeight="false" outlineLevel="0" collapsed="false">
      <c r="A200" s="394" t="n">
        <f aca="false">A199+1</f>
        <v>45510</v>
      </c>
      <c r="B200" s="33" t="n">
        <v>0</v>
      </c>
      <c r="C200" s="33" t="str">
        <f aca="false">IF(B200=1,SUM($B$3:B200),"")</f>
        <v/>
      </c>
      <c r="D200" s="393" t="str">
        <f aca="false">IF(B200=1,A200,"")</f>
        <v/>
      </c>
      <c r="F200" s="394" t="n">
        <f aca="false">F199+1</f>
        <v>45510</v>
      </c>
      <c r="G200" s="33" t="n">
        <f aca="false">IF(WEEKDAY(F200,2)&gt;5,0,1)</f>
        <v>1</v>
      </c>
      <c r="H200" s="395" t="n">
        <f aca="false">IF(G200=1,SUM($G$2:G200),"")</f>
        <v>132</v>
      </c>
    </row>
    <row r="201" customFormat="false" ht="16" hidden="false" customHeight="false" outlineLevel="0" collapsed="false">
      <c r="A201" s="394" t="n">
        <f aca="false">A200+1</f>
        <v>45511</v>
      </c>
      <c r="B201" s="33" t="n">
        <v>0</v>
      </c>
      <c r="C201" s="33" t="str">
        <f aca="false">IF(B201=1,SUM($B$3:B201),"")</f>
        <v/>
      </c>
      <c r="D201" s="393" t="str">
        <f aca="false">IF(B201=1,A201,"")</f>
        <v/>
      </c>
      <c r="F201" s="394" t="n">
        <f aca="false">F200+1</f>
        <v>45511</v>
      </c>
      <c r="G201" s="33" t="n">
        <f aca="false">IF(WEEKDAY(F201,2)&gt;5,0,1)</f>
        <v>1</v>
      </c>
      <c r="H201" s="395" t="n">
        <f aca="false">IF(G201=1,SUM($G$2:G201),"")</f>
        <v>133</v>
      </c>
    </row>
    <row r="202" customFormat="false" ht="16" hidden="false" customHeight="false" outlineLevel="0" collapsed="false">
      <c r="A202" s="394" t="n">
        <f aca="false">A201+1</f>
        <v>45512</v>
      </c>
      <c r="B202" s="33" t="n">
        <v>0</v>
      </c>
      <c r="C202" s="33" t="str">
        <f aca="false">IF(B202=1,SUM($B$3:B202),"")</f>
        <v/>
      </c>
      <c r="D202" s="393" t="str">
        <f aca="false">IF(B202=1,A202,"")</f>
        <v/>
      </c>
      <c r="F202" s="394" t="n">
        <f aca="false">F201+1</f>
        <v>45512</v>
      </c>
      <c r="G202" s="33" t="n">
        <f aca="false">IF(WEEKDAY(F202,2)&gt;5,0,1)</f>
        <v>1</v>
      </c>
      <c r="H202" s="395" t="n">
        <f aca="false">IF(G202=1,SUM($G$2:G202),"")</f>
        <v>134</v>
      </c>
    </row>
    <row r="203" customFormat="false" ht="16" hidden="false" customHeight="false" outlineLevel="0" collapsed="false">
      <c r="A203" s="394" t="n">
        <f aca="false">A202+1</f>
        <v>45513</v>
      </c>
      <c r="B203" s="33" t="n">
        <v>0</v>
      </c>
      <c r="C203" s="33" t="str">
        <f aca="false">IF(B203=1,SUM($B$3:B203),"")</f>
        <v/>
      </c>
      <c r="D203" s="393" t="str">
        <f aca="false">IF(B203=1,A203,"")</f>
        <v/>
      </c>
      <c r="F203" s="394" t="n">
        <f aca="false">F202+1</f>
        <v>45513</v>
      </c>
      <c r="G203" s="33" t="n">
        <f aca="false">IF(WEEKDAY(F203,2)&gt;5,0,1)</f>
        <v>1</v>
      </c>
      <c r="H203" s="395" t="n">
        <f aca="false">IF(G203=1,SUM($G$2:G203),"")</f>
        <v>135</v>
      </c>
    </row>
    <row r="204" customFormat="false" ht="16" hidden="false" customHeight="false" outlineLevel="0" collapsed="false">
      <c r="A204" s="394" t="n">
        <f aca="false">A203+1</f>
        <v>45514</v>
      </c>
      <c r="B204" s="33" t="n">
        <v>0</v>
      </c>
      <c r="C204" s="33" t="str">
        <f aca="false">IF(B204=1,SUM($B$3:B204),"")</f>
        <v/>
      </c>
      <c r="D204" s="393" t="str">
        <f aca="false">IF(B204=1,A204,"")</f>
        <v/>
      </c>
      <c r="F204" s="394" t="n">
        <f aca="false">F203+1</f>
        <v>45514</v>
      </c>
      <c r="G204" s="33" t="n">
        <f aca="false">IF(WEEKDAY(F204,2)&gt;5,0,1)</f>
        <v>0</v>
      </c>
      <c r="H204" s="395" t="str">
        <f aca="false">IF(G204=1,SUM($G$2:G204),"")</f>
        <v/>
      </c>
    </row>
    <row r="205" customFormat="false" ht="16" hidden="false" customHeight="false" outlineLevel="0" collapsed="false">
      <c r="A205" s="394" t="n">
        <f aca="false">A204+1</f>
        <v>45515</v>
      </c>
      <c r="B205" s="33" t="n">
        <v>0</v>
      </c>
      <c r="C205" s="33" t="str">
        <f aca="false">IF(B205=1,SUM($B$3:B205),"")</f>
        <v/>
      </c>
      <c r="D205" s="393" t="str">
        <f aca="false">IF(B205=1,A205,"")</f>
        <v/>
      </c>
      <c r="F205" s="394" t="n">
        <f aca="false">F204+1</f>
        <v>45515</v>
      </c>
      <c r="G205" s="33" t="n">
        <f aca="false">IF(WEEKDAY(F205,2)&gt;5,0,1)</f>
        <v>0</v>
      </c>
      <c r="H205" s="395" t="str">
        <f aca="false">IF(G205=1,SUM($G$2:G205),"")</f>
        <v/>
      </c>
    </row>
    <row r="206" customFormat="false" ht="16" hidden="false" customHeight="false" outlineLevel="0" collapsed="false">
      <c r="A206" s="394" t="n">
        <f aca="false">A205+1</f>
        <v>45516</v>
      </c>
      <c r="B206" s="33" t="n">
        <v>0</v>
      </c>
      <c r="C206" s="33" t="str">
        <f aca="false">IF(B206=1,SUM($B$3:B206),"")</f>
        <v/>
      </c>
      <c r="D206" s="393" t="str">
        <f aca="false">IF(B206=1,A206,"")</f>
        <v/>
      </c>
      <c r="F206" s="394" t="n">
        <f aca="false">F205+1</f>
        <v>45516</v>
      </c>
      <c r="G206" s="33" t="n">
        <f aca="false">IF(WEEKDAY(F206,2)&gt;5,0,1)</f>
        <v>1</v>
      </c>
      <c r="H206" s="395" t="n">
        <f aca="false">IF(G206=1,SUM($G$2:G206),"")</f>
        <v>136</v>
      </c>
    </row>
    <row r="207" customFormat="false" ht="16" hidden="false" customHeight="false" outlineLevel="0" collapsed="false">
      <c r="A207" s="394" t="n">
        <f aca="false">A206+1</f>
        <v>45517</v>
      </c>
      <c r="B207" s="33" t="n">
        <v>0</v>
      </c>
      <c r="C207" s="33" t="str">
        <f aca="false">IF(B207=1,SUM($B$3:B207),"")</f>
        <v/>
      </c>
      <c r="D207" s="393" t="str">
        <f aca="false">IF(B207=1,A207,"")</f>
        <v/>
      </c>
      <c r="F207" s="394" t="n">
        <f aca="false">F206+1</f>
        <v>45517</v>
      </c>
      <c r="G207" s="33" t="n">
        <f aca="false">IF(WEEKDAY(F207,2)&gt;5,0,1)</f>
        <v>1</v>
      </c>
      <c r="H207" s="395" t="n">
        <f aca="false">IF(G207=1,SUM($G$2:G207),"")</f>
        <v>137</v>
      </c>
    </row>
    <row r="208" customFormat="false" ht="16" hidden="false" customHeight="false" outlineLevel="0" collapsed="false">
      <c r="A208" s="394" t="n">
        <f aca="false">A207+1</f>
        <v>45518</v>
      </c>
      <c r="B208" s="33" t="n">
        <v>0</v>
      </c>
      <c r="C208" s="33" t="str">
        <f aca="false">IF(B208=1,SUM($B$3:B208),"")</f>
        <v/>
      </c>
      <c r="D208" s="393" t="str">
        <f aca="false">IF(B208=1,A208,"")</f>
        <v/>
      </c>
      <c r="F208" s="394" t="n">
        <f aca="false">F207+1</f>
        <v>45518</v>
      </c>
      <c r="G208" s="33" t="n">
        <f aca="false">IF(WEEKDAY(F208,2)&gt;5,0,1)</f>
        <v>1</v>
      </c>
      <c r="H208" s="395" t="n">
        <f aca="false">IF(G208=1,SUM($G$2:G208),"")</f>
        <v>138</v>
      </c>
    </row>
    <row r="209" customFormat="false" ht="16" hidden="false" customHeight="false" outlineLevel="0" collapsed="false">
      <c r="A209" s="394" t="n">
        <f aca="false">A208+1</f>
        <v>45519</v>
      </c>
      <c r="B209" s="33" t="n">
        <v>0</v>
      </c>
      <c r="C209" s="33" t="str">
        <f aca="false">IF(B209=1,SUM($B$3:B209),"")</f>
        <v/>
      </c>
      <c r="D209" s="393" t="str">
        <f aca="false">IF(B209=1,A209,"")</f>
        <v/>
      </c>
      <c r="F209" s="394" t="n">
        <f aca="false">F208+1</f>
        <v>45519</v>
      </c>
      <c r="G209" s="33" t="n">
        <f aca="false">IF(WEEKDAY(F209,2)&gt;5,0,1)</f>
        <v>1</v>
      </c>
      <c r="H209" s="395" t="n">
        <f aca="false">IF(G209=1,SUM($G$2:G209),"")</f>
        <v>139</v>
      </c>
    </row>
    <row r="210" customFormat="false" ht="16" hidden="false" customHeight="false" outlineLevel="0" collapsed="false">
      <c r="A210" s="394" t="n">
        <f aca="false">A209+1</f>
        <v>45520</v>
      </c>
      <c r="B210" s="33" t="n">
        <v>0</v>
      </c>
      <c r="C210" s="33" t="str">
        <f aca="false">IF(B210=1,SUM($B$3:B210),"")</f>
        <v/>
      </c>
      <c r="D210" s="393" t="str">
        <f aca="false">IF(B210=1,A210,"")</f>
        <v/>
      </c>
      <c r="F210" s="394" t="n">
        <f aca="false">F209+1</f>
        <v>45520</v>
      </c>
      <c r="G210" s="33" t="n">
        <f aca="false">IF(WEEKDAY(F210,2)&gt;5,0,1)</f>
        <v>1</v>
      </c>
      <c r="H210" s="395" t="n">
        <f aca="false">IF(G210=1,SUM($G$2:G210),"")</f>
        <v>140</v>
      </c>
    </row>
    <row r="211" customFormat="false" ht="16" hidden="false" customHeight="false" outlineLevel="0" collapsed="false">
      <c r="A211" s="394" t="n">
        <f aca="false">A210+1</f>
        <v>45521</v>
      </c>
      <c r="B211" s="33" t="n">
        <v>0</v>
      </c>
      <c r="C211" s="33" t="str">
        <f aca="false">IF(B211=1,SUM($B$3:B211),"")</f>
        <v/>
      </c>
      <c r="D211" s="393" t="str">
        <f aca="false">IF(B211=1,A211,"")</f>
        <v/>
      </c>
      <c r="F211" s="394" t="n">
        <f aca="false">F210+1</f>
        <v>45521</v>
      </c>
      <c r="G211" s="33" t="n">
        <f aca="false">IF(WEEKDAY(F211,2)&gt;5,0,1)</f>
        <v>0</v>
      </c>
      <c r="H211" s="395" t="str">
        <f aca="false">IF(G211=1,SUM($G$2:G211),"")</f>
        <v/>
      </c>
    </row>
    <row r="212" customFormat="false" ht="16" hidden="false" customHeight="false" outlineLevel="0" collapsed="false">
      <c r="A212" s="394" t="n">
        <f aca="false">A211+1</f>
        <v>45522</v>
      </c>
      <c r="B212" s="33" t="n">
        <v>0</v>
      </c>
      <c r="C212" s="33" t="str">
        <f aca="false">IF(B212=1,SUM($B$3:B212),"")</f>
        <v/>
      </c>
      <c r="D212" s="393" t="str">
        <f aca="false">IF(B212=1,A212,"")</f>
        <v/>
      </c>
      <c r="F212" s="394" t="n">
        <f aca="false">F211+1</f>
        <v>45522</v>
      </c>
      <c r="G212" s="33" t="n">
        <f aca="false">IF(WEEKDAY(F212,2)&gt;5,0,1)</f>
        <v>0</v>
      </c>
      <c r="H212" s="395" t="str">
        <f aca="false">IF(G212=1,SUM($G$2:G212),"")</f>
        <v/>
      </c>
    </row>
    <row r="213" customFormat="false" ht="16" hidden="false" customHeight="false" outlineLevel="0" collapsed="false">
      <c r="A213" s="394" t="n">
        <f aca="false">A212+1</f>
        <v>45523</v>
      </c>
      <c r="B213" s="33" t="n">
        <v>0</v>
      </c>
      <c r="C213" s="33" t="str">
        <f aca="false">IF(B213=1,SUM($B$3:B213),"")</f>
        <v/>
      </c>
      <c r="D213" s="393" t="str">
        <f aca="false">IF(B213=1,A213,"")</f>
        <v/>
      </c>
      <c r="F213" s="394" t="n">
        <f aca="false">F212+1</f>
        <v>45523</v>
      </c>
      <c r="G213" s="33" t="n">
        <f aca="false">IF(WEEKDAY(F213,2)&gt;5,0,1)</f>
        <v>1</v>
      </c>
      <c r="H213" s="395" t="n">
        <f aca="false">IF(G213=1,SUM($G$2:G213),"")</f>
        <v>141</v>
      </c>
    </row>
    <row r="214" customFormat="false" ht="16" hidden="false" customHeight="false" outlineLevel="0" collapsed="false">
      <c r="A214" s="394" t="n">
        <f aca="false">A213+1</f>
        <v>45524</v>
      </c>
      <c r="B214" s="33" t="n">
        <v>0</v>
      </c>
      <c r="C214" s="33" t="str">
        <f aca="false">IF(B214=1,SUM($B$3:B214),"")</f>
        <v/>
      </c>
      <c r="D214" s="393" t="str">
        <f aca="false">IF(B214=1,A214,"")</f>
        <v/>
      </c>
      <c r="F214" s="394" t="n">
        <f aca="false">F213+1</f>
        <v>45524</v>
      </c>
      <c r="G214" s="33" t="n">
        <f aca="false">IF(WEEKDAY(F214,2)&gt;5,0,1)</f>
        <v>1</v>
      </c>
      <c r="H214" s="395" t="n">
        <f aca="false">IF(G214=1,SUM($G$2:G214),"")</f>
        <v>142</v>
      </c>
    </row>
    <row r="215" customFormat="false" ht="16" hidden="false" customHeight="false" outlineLevel="0" collapsed="false">
      <c r="A215" s="394" t="n">
        <f aca="false">A214+1</f>
        <v>45525</v>
      </c>
      <c r="B215" s="33" t="n">
        <v>0</v>
      </c>
      <c r="C215" s="33" t="str">
        <f aca="false">IF(B215=1,SUM($B$3:B215),"")</f>
        <v/>
      </c>
      <c r="D215" s="393" t="str">
        <f aca="false">IF(B215=1,A215,"")</f>
        <v/>
      </c>
      <c r="F215" s="394" t="n">
        <f aca="false">F214+1</f>
        <v>45525</v>
      </c>
      <c r="G215" s="33" t="n">
        <f aca="false">IF(WEEKDAY(F215,2)&gt;5,0,1)</f>
        <v>1</v>
      </c>
      <c r="H215" s="395" t="n">
        <f aca="false">IF(G215=1,SUM($G$2:G215),"")</f>
        <v>143</v>
      </c>
    </row>
    <row r="216" customFormat="false" ht="16" hidden="false" customHeight="false" outlineLevel="0" collapsed="false">
      <c r="A216" s="394" t="n">
        <f aca="false">A215+1</f>
        <v>45526</v>
      </c>
      <c r="B216" s="33" t="n">
        <v>0</v>
      </c>
      <c r="C216" s="33" t="str">
        <f aca="false">IF(B216=1,SUM($B$3:B216),"")</f>
        <v/>
      </c>
      <c r="D216" s="393" t="str">
        <f aca="false">IF(B216=1,A216,"")</f>
        <v/>
      </c>
      <c r="F216" s="394" t="n">
        <f aca="false">F215+1</f>
        <v>45526</v>
      </c>
      <c r="G216" s="33" t="n">
        <f aca="false">IF(WEEKDAY(F216,2)&gt;5,0,1)</f>
        <v>1</v>
      </c>
      <c r="H216" s="395" t="n">
        <f aca="false">IF(G216=1,SUM($G$2:G216),"")</f>
        <v>144</v>
      </c>
    </row>
    <row r="217" customFormat="false" ht="16" hidden="false" customHeight="false" outlineLevel="0" collapsed="false">
      <c r="A217" s="394" t="n">
        <f aca="false">A216+1</f>
        <v>45527</v>
      </c>
      <c r="B217" s="33" t="n">
        <v>0</v>
      </c>
      <c r="C217" s="33" t="str">
        <f aca="false">IF(B217=1,SUM($B$3:B217),"")</f>
        <v/>
      </c>
      <c r="D217" s="393" t="str">
        <f aca="false">IF(B217=1,A217,"")</f>
        <v/>
      </c>
      <c r="F217" s="394" t="n">
        <f aca="false">F216+1</f>
        <v>45527</v>
      </c>
      <c r="G217" s="33" t="n">
        <f aca="false">IF(WEEKDAY(F217,2)&gt;5,0,1)</f>
        <v>1</v>
      </c>
      <c r="H217" s="395" t="n">
        <f aca="false">IF(G217=1,SUM($G$2:G217),"")</f>
        <v>145</v>
      </c>
    </row>
    <row r="218" customFormat="false" ht="16" hidden="false" customHeight="false" outlineLevel="0" collapsed="false">
      <c r="A218" s="394" t="n">
        <f aca="false">A217+1</f>
        <v>45528</v>
      </c>
      <c r="B218" s="33" t="n">
        <v>0</v>
      </c>
      <c r="C218" s="33" t="str">
        <f aca="false">IF(B218=1,SUM($B$3:B218),"")</f>
        <v/>
      </c>
      <c r="D218" s="393" t="str">
        <f aca="false">IF(B218=1,A218,"")</f>
        <v/>
      </c>
      <c r="F218" s="394" t="n">
        <f aca="false">F217+1</f>
        <v>45528</v>
      </c>
      <c r="G218" s="33" t="n">
        <f aca="false">IF(WEEKDAY(F218,2)&gt;5,0,1)</f>
        <v>0</v>
      </c>
      <c r="H218" s="395" t="str">
        <f aca="false">IF(G218=1,SUM($G$2:G218),"")</f>
        <v/>
      </c>
    </row>
    <row r="219" customFormat="false" ht="16" hidden="false" customHeight="false" outlineLevel="0" collapsed="false">
      <c r="A219" s="394" t="n">
        <f aca="false">A218+1</f>
        <v>45529</v>
      </c>
      <c r="B219" s="33" t="n">
        <v>0</v>
      </c>
      <c r="C219" s="33" t="str">
        <f aca="false">IF(B219=1,SUM($B$3:B219),"")</f>
        <v/>
      </c>
      <c r="D219" s="393" t="str">
        <f aca="false">IF(B219=1,A219,"")</f>
        <v/>
      </c>
      <c r="F219" s="394" t="n">
        <f aca="false">F218+1</f>
        <v>45529</v>
      </c>
      <c r="G219" s="33" t="n">
        <f aca="false">IF(WEEKDAY(F219,2)&gt;5,0,1)</f>
        <v>0</v>
      </c>
      <c r="H219" s="395" t="str">
        <f aca="false">IF(G219=1,SUM($G$2:G219),"")</f>
        <v/>
      </c>
    </row>
    <row r="220" customFormat="false" ht="16" hidden="false" customHeight="false" outlineLevel="0" collapsed="false">
      <c r="A220" s="394" t="n">
        <f aca="false">A219+1</f>
        <v>45530</v>
      </c>
      <c r="B220" s="33" t="n">
        <v>0</v>
      </c>
      <c r="C220" s="33" t="str">
        <f aca="false">IF(B220=1,SUM($B$3:B220),"")</f>
        <v/>
      </c>
      <c r="D220" s="393" t="str">
        <f aca="false">IF(B220=1,A220,"")</f>
        <v/>
      </c>
      <c r="F220" s="394" t="n">
        <f aca="false">F219+1</f>
        <v>45530</v>
      </c>
      <c r="G220" s="33" t="n">
        <f aca="false">IF(WEEKDAY(F220,2)&gt;5,0,1)</f>
        <v>1</v>
      </c>
      <c r="H220" s="395" t="n">
        <f aca="false">IF(G220=1,SUM($G$2:G220),"")</f>
        <v>146</v>
      </c>
    </row>
    <row r="221" customFormat="false" ht="16" hidden="false" customHeight="false" outlineLevel="0" collapsed="false">
      <c r="A221" s="394" t="n">
        <f aca="false">A220+1</f>
        <v>45531</v>
      </c>
      <c r="B221" s="33" t="n">
        <v>0</v>
      </c>
      <c r="C221" s="33" t="str">
        <f aca="false">IF(B221=1,SUM($B$3:B221),"")</f>
        <v/>
      </c>
      <c r="D221" s="393" t="str">
        <f aca="false">IF(B221=1,A221,"")</f>
        <v/>
      </c>
      <c r="F221" s="394" t="n">
        <f aca="false">F220+1</f>
        <v>45531</v>
      </c>
      <c r="G221" s="33" t="n">
        <f aca="false">IF(WEEKDAY(F221,2)&gt;5,0,1)</f>
        <v>1</v>
      </c>
      <c r="H221" s="395" t="n">
        <f aca="false">IF(G221=1,SUM($G$2:G221),"")</f>
        <v>147</v>
      </c>
    </row>
    <row r="222" customFormat="false" ht="16" hidden="false" customHeight="false" outlineLevel="0" collapsed="false">
      <c r="A222" s="394" t="n">
        <f aca="false">A221+1</f>
        <v>45532</v>
      </c>
      <c r="B222" s="33" t="n">
        <v>0</v>
      </c>
      <c r="C222" s="33" t="str">
        <f aca="false">IF(B222=1,SUM($B$3:B222),"")</f>
        <v/>
      </c>
      <c r="D222" s="393" t="str">
        <f aca="false">IF(B222=1,A222,"")</f>
        <v/>
      </c>
      <c r="F222" s="394" t="n">
        <f aca="false">F221+1</f>
        <v>45532</v>
      </c>
      <c r="G222" s="33" t="n">
        <f aca="false">IF(WEEKDAY(F222,2)&gt;5,0,1)</f>
        <v>1</v>
      </c>
      <c r="H222" s="395" t="n">
        <f aca="false">IF(G222=1,SUM($G$2:G222),"")</f>
        <v>148</v>
      </c>
    </row>
    <row r="223" customFormat="false" ht="16" hidden="false" customHeight="false" outlineLevel="0" collapsed="false">
      <c r="A223" s="394" t="n">
        <f aca="false">A222+1</f>
        <v>45533</v>
      </c>
      <c r="B223" s="33" t="n">
        <v>0</v>
      </c>
      <c r="C223" s="33" t="str">
        <f aca="false">IF(B223=1,SUM($B$3:B223),"")</f>
        <v/>
      </c>
      <c r="D223" s="393" t="str">
        <f aca="false">IF(B223=1,A223,"")</f>
        <v/>
      </c>
      <c r="F223" s="394" t="n">
        <f aca="false">F222+1</f>
        <v>45533</v>
      </c>
      <c r="G223" s="33" t="n">
        <f aca="false">IF(WEEKDAY(F223,2)&gt;5,0,1)</f>
        <v>1</v>
      </c>
      <c r="H223" s="395" t="n">
        <f aca="false">IF(G223=1,SUM($G$2:G223),"")</f>
        <v>149</v>
      </c>
    </row>
    <row r="224" customFormat="false" ht="16" hidden="false" customHeight="false" outlineLevel="0" collapsed="false">
      <c r="A224" s="394" t="n">
        <f aca="false">A223+1</f>
        <v>45534</v>
      </c>
      <c r="B224" s="33" t="n">
        <v>0</v>
      </c>
      <c r="C224" s="33" t="str">
        <f aca="false">IF(B224=1,SUM($B$3:B224),"")</f>
        <v/>
      </c>
      <c r="D224" s="393" t="str">
        <f aca="false">IF(B224=1,A224,"")</f>
        <v/>
      </c>
      <c r="F224" s="394" t="n">
        <f aca="false">F223+1</f>
        <v>45534</v>
      </c>
      <c r="G224" s="33" t="n">
        <f aca="false">IF(WEEKDAY(F224,2)&gt;5,0,1)</f>
        <v>1</v>
      </c>
      <c r="H224" s="395" t="n">
        <f aca="false">IF(G224=1,SUM($G$2:G224),"")</f>
        <v>150</v>
      </c>
    </row>
    <row r="225" customFormat="false" ht="16" hidden="false" customHeight="false" outlineLevel="0" collapsed="false">
      <c r="A225" s="394" t="n">
        <f aca="false">A224+1</f>
        <v>45535</v>
      </c>
      <c r="B225" s="33" t="n">
        <v>0</v>
      </c>
      <c r="C225" s="33" t="str">
        <f aca="false">IF(B225=1,SUM($B$3:B225),"")</f>
        <v/>
      </c>
      <c r="D225" s="393" t="str">
        <f aca="false">IF(B225=1,A225,"")</f>
        <v/>
      </c>
      <c r="F225" s="394" t="n">
        <f aca="false">F224+1</f>
        <v>45535</v>
      </c>
      <c r="G225" s="33" t="n">
        <f aca="false">IF(WEEKDAY(F225,2)&gt;5,0,1)</f>
        <v>0</v>
      </c>
      <c r="H225" s="395" t="str">
        <f aca="false">IF(G225=1,SUM($G$2:G225),"")</f>
        <v/>
      </c>
    </row>
    <row r="226" customFormat="false" ht="16" hidden="false" customHeight="false" outlineLevel="0" collapsed="false">
      <c r="A226" s="394" t="n">
        <f aca="false">A225+1</f>
        <v>45536</v>
      </c>
      <c r="B226" s="33" t="n">
        <v>0</v>
      </c>
      <c r="C226" s="33" t="str">
        <f aca="false">IF(B226=1,SUM($B$3:B226),"")</f>
        <v/>
      </c>
      <c r="D226" s="393" t="str">
        <f aca="false">IF(B226=1,A226,"")</f>
        <v/>
      </c>
      <c r="F226" s="394" t="n">
        <f aca="false">F225+1</f>
        <v>45536</v>
      </c>
      <c r="G226" s="33" t="n">
        <f aca="false">IF(WEEKDAY(F226,2)&gt;5,0,1)</f>
        <v>0</v>
      </c>
      <c r="H226" s="395" t="str">
        <f aca="false">IF(G226=1,SUM($G$2:G226),"")</f>
        <v/>
      </c>
    </row>
    <row r="227" customFormat="false" ht="16" hidden="false" customHeight="false" outlineLevel="0" collapsed="false">
      <c r="A227" s="394" t="n">
        <f aca="false">A226+1</f>
        <v>45537</v>
      </c>
      <c r="B227" s="33" t="n">
        <v>0</v>
      </c>
      <c r="C227" s="33" t="str">
        <f aca="false">IF(B227=1,SUM($B$3:B227),"")</f>
        <v/>
      </c>
      <c r="D227" s="393" t="str">
        <f aca="false">IF(B227=1,A227,"")</f>
        <v/>
      </c>
      <c r="F227" s="394" t="n">
        <f aca="false">F226+1</f>
        <v>45537</v>
      </c>
      <c r="G227" s="33" t="n">
        <f aca="false">IF(WEEKDAY(F227,2)&gt;5,0,1)</f>
        <v>1</v>
      </c>
      <c r="H227" s="395" t="n">
        <f aca="false">IF(G227=1,SUM($G$2:G227),"")</f>
        <v>151</v>
      </c>
    </row>
    <row r="228" customFormat="false" ht="16" hidden="false" customHeight="false" outlineLevel="0" collapsed="false">
      <c r="A228" s="394" t="n">
        <f aca="false">A227+1</f>
        <v>45538</v>
      </c>
      <c r="B228" s="33" t="n">
        <v>0</v>
      </c>
      <c r="C228" s="33" t="str">
        <f aca="false">IF(B228=1,SUM($B$3:B228),"")</f>
        <v/>
      </c>
      <c r="D228" s="393" t="str">
        <f aca="false">IF(B228=1,A228,"")</f>
        <v/>
      </c>
      <c r="F228" s="394" t="n">
        <f aca="false">F227+1</f>
        <v>45538</v>
      </c>
      <c r="G228" s="33" t="n">
        <f aca="false">IF(WEEKDAY(F228,2)&gt;5,0,1)</f>
        <v>1</v>
      </c>
      <c r="H228" s="395" t="n">
        <f aca="false">IF(G228=1,SUM($G$2:G228),"")</f>
        <v>152</v>
      </c>
    </row>
    <row r="229" customFormat="false" ht="16" hidden="false" customHeight="false" outlineLevel="0" collapsed="false">
      <c r="A229" s="394" t="n">
        <f aca="false">A228+1</f>
        <v>45539</v>
      </c>
      <c r="B229" s="33" t="n">
        <v>0</v>
      </c>
      <c r="C229" s="33" t="str">
        <f aca="false">IF(B229=1,SUM($B$3:B229),"")</f>
        <v/>
      </c>
      <c r="D229" s="393" t="str">
        <f aca="false">IF(B229=1,A229,"")</f>
        <v/>
      </c>
      <c r="F229" s="394" t="n">
        <f aca="false">F228+1</f>
        <v>45539</v>
      </c>
      <c r="G229" s="33" t="n">
        <f aca="false">IF(WEEKDAY(F229,2)&gt;5,0,1)</f>
        <v>1</v>
      </c>
      <c r="H229" s="395" t="n">
        <f aca="false">IF(G229=1,SUM($G$2:G229),"")</f>
        <v>153</v>
      </c>
    </row>
    <row r="230" customFormat="false" ht="16" hidden="false" customHeight="false" outlineLevel="0" collapsed="false">
      <c r="A230" s="394" t="n">
        <f aca="false">A229+1</f>
        <v>45540</v>
      </c>
      <c r="B230" s="33" t="n">
        <v>0</v>
      </c>
      <c r="C230" s="33" t="str">
        <f aca="false">IF(B230=1,SUM($B$3:B230),"")</f>
        <v/>
      </c>
      <c r="D230" s="393" t="str">
        <f aca="false">IF(B230=1,A230,"")</f>
        <v/>
      </c>
      <c r="F230" s="394" t="n">
        <f aca="false">F229+1</f>
        <v>45540</v>
      </c>
      <c r="G230" s="33" t="n">
        <f aca="false">IF(WEEKDAY(F230,2)&gt;5,0,1)</f>
        <v>1</v>
      </c>
      <c r="H230" s="395" t="n">
        <f aca="false">IF(G230=1,SUM($G$2:G230),"")</f>
        <v>154</v>
      </c>
    </row>
    <row r="231" customFormat="false" ht="16" hidden="false" customHeight="false" outlineLevel="0" collapsed="false">
      <c r="A231" s="394" t="n">
        <f aca="false">A230+1</f>
        <v>45541</v>
      </c>
      <c r="B231" s="33" t="n">
        <v>0</v>
      </c>
      <c r="C231" s="33" t="str">
        <f aca="false">IF(B231=1,SUM($B$3:B231),"")</f>
        <v/>
      </c>
      <c r="D231" s="393" t="str">
        <f aca="false">IF(B231=1,A231,"")</f>
        <v/>
      </c>
      <c r="F231" s="394" t="n">
        <f aca="false">F230+1</f>
        <v>45541</v>
      </c>
      <c r="G231" s="33" t="n">
        <f aca="false">IF(WEEKDAY(F231,2)&gt;5,0,1)</f>
        <v>1</v>
      </c>
      <c r="H231" s="395" t="n">
        <f aca="false">IF(G231=1,SUM($G$2:G231),"")</f>
        <v>155</v>
      </c>
    </row>
    <row r="232" customFormat="false" ht="16" hidden="false" customHeight="false" outlineLevel="0" collapsed="false">
      <c r="A232" s="394" t="n">
        <f aca="false">A231+1</f>
        <v>45542</v>
      </c>
      <c r="B232" s="33" t="n">
        <f aca="false">IF(WEEKDAY(A232,2)&gt;5,0,1)</f>
        <v>0</v>
      </c>
      <c r="C232" s="33" t="str">
        <f aca="false">IF(B232=1,SUM($B$3:B232),"")</f>
        <v/>
      </c>
      <c r="D232" s="393" t="str">
        <f aca="false">IF(B232=1,A232,"")</f>
        <v/>
      </c>
      <c r="F232" s="394" t="n">
        <f aca="false">F231+1</f>
        <v>45542</v>
      </c>
      <c r="G232" s="33" t="n">
        <f aca="false">IF(WEEKDAY(F232,2)&gt;5,0,1)</f>
        <v>0</v>
      </c>
      <c r="H232" s="395" t="str">
        <f aca="false">IF(G232=1,SUM($G$2:G232),"")</f>
        <v/>
      </c>
    </row>
    <row r="233" customFormat="false" ht="16" hidden="false" customHeight="false" outlineLevel="0" collapsed="false">
      <c r="A233" s="394" t="n">
        <f aca="false">A232+1</f>
        <v>45543</v>
      </c>
      <c r="B233" s="33" t="n">
        <f aca="false">IF(WEEKDAY(A233,2)&gt;5,0,1)</f>
        <v>0</v>
      </c>
      <c r="C233" s="33" t="str">
        <f aca="false">IF(B233=1,SUM($B$3:B233),"")</f>
        <v/>
      </c>
      <c r="D233" s="393" t="str">
        <f aca="false">IF(B233=1,A233,"")</f>
        <v/>
      </c>
      <c r="F233" s="394" t="n">
        <f aca="false">F232+1</f>
        <v>45543</v>
      </c>
      <c r="G233" s="33" t="n">
        <f aca="false">IF(WEEKDAY(F233,2)&gt;5,0,1)</f>
        <v>0</v>
      </c>
      <c r="H233" s="395" t="str">
        <f aca="false">IF(G233=1,SUM($G$2:G233),"")</f>
        <v/>
      </c>
    </row>
    <row r="234" customFormat="false" ht="16" hidden="false" customHeight="false" outlineLevel="0" collapsed="false">
      <c r="A234" s="394" t="n">
        <f aca="false">A233+1</f>
        <v>45544</v>
      </c>
      <c r="B234" s="33" t="n">
        <f aca="false">IF(WEEKDAY(A234,2)&gt;5,0,1)</f>
        <v>1</v>
      </c>
      <c r="C234" s="33" t="n">
        <f aca="false">IF(B234=1,SUM($B$3:B234),"")</f>
        <v>103</v>
      </c>
      <c r="D234" s="393" t="n">
        <f aca="false">IF(B234=1,A234,"")</f>
        <v>45544</v>
      </c>
      <c r="F234" s="394" t="n">
        <f aca="false">F233+1</f>
        <v>45544</v>
      </c>
      <c r="G234" s="33" t="n">
        <f aca="false">IF(WEEKDAY(F234,2)&gt;5,0,1)</f>
        <v>1</v>
      </c>
      <c r="H234" s="395" t="n">
        <f aca="false">IF(G234=1,SUM($G$2:G234),"")</f>
        <v>156</v>
      </c>
    </row>
    <row r="235" customFormat="false" ht="16" hidden="false" customHeight="false" outlineLevel="0" collapsed="false">
      <c r="A235" s="394" t="n">
        <f aca="false">A234+1</f>
        <v>45545</v>
      </c>
      <c r="B235" s="33" t="n">
        <f aca="false">IF(WEEKDAY(A235,2)&gt;5,0,1)</f>
        <v>1</v>
      </c>
      <c r="C235" s="33" t="n">
        <f aca="false">IF(B235=1,SUM($B$3:B235),"")</f>
        <v>104</v>
      </c>
      <c r="D235" s="393" t="n">
        <f aca="false">IF(B235=1,A235,"")</f>
        <v>45545</v>
      </c>
      <c r="F235" s="394" t="n">
        <f aca="false">F234+1</f>
        <v>45545</v>
      </c>
      <c r="G235" s="33" t="n">
        <f aca="false">IF(WEEKDAY(F235,2)&gt;5,0,1)</f>
        <v>1</v>
      </c>
      <c r="H235" s="395" t="n">
        <f aca="false">IF(G235=1,SUM($G$2:G235),"")</f>
        <v>157</v>
      </c>
    </row>
    <row r="236" customFormat="false" ht="16" hidden="false" customHeight="false" outlineLevel="0" collapsed="false">
      <c r="A236" s="394" t="n">
        <f aca="false">A235+1</f>
        <v>45546</v>
      </c>
      <c r="B236" s="33" t="n">
        <f aca="false">IF(WEEKDAY(A236,2)&gt;5,0,1)</f>
        <v>1</v>
      </c>
      <c r="C236" s="33" t="n">
        <f aca="false">IF(B236=1,SUM($B$3:B236),"")</f>
        <v>105</v>
      </c>
      <c r="D236" s="393" t="n">
        <f aca="false">IF(B236=1,A236,"")</f>
        <v>45546</v>
      </c>
      <c r="F236" s="394" t="n">
        <f aca="false">F235+1</f>
        <v>45546</v>
      </c>
      <c r="G236" s="33" t="n">
        <f aca="false">IF(WEEKDAY(F236,2)&gt;5,0,1)</f>
        <v>1</v>
      </c>
      <c r="H236" s="395" t="n">
        <f aca="false">IF(G236=1,SUM($G$2:G236),"")</f>
        <v>158</v>
      </c>
    </row>
    <row r="237" customFormat="false" ht="16" hidden="false" customHeight="false" outlineLevel="0" collapsed="false">
      <c r="A237" s="394" t="n">
        <f aca="false">A236+1</f>
        <v>45547</v>
      </c>
      <c r="B237" s="33" t="n">
        <f aca="false">IF(WEEKDAY(A237,2)&gt;5,0,1)</f>
        <v>1</v>
      </c>
      <c r="C237" s="33" t="n">
        <f aca="false">IF(B237=1,SUM($B$3:B237),"")</f>
        <v>106</v>
      </c>
      <c r="D237" s="393" t="n">
        <f aca="false">IF(B237=1,A237,"")</f>
        <v>45547</v>
      </c>
      <c r="F237" s="394" t="n">
        <f aca="false">F236+1</f>
        <v>45547</v>
      </c>
      <c r="G237" s="33" t="n">
        <f aca="false">IF(WEEKDAY(F237,2)&gt;5,0,1)</f>
        <v>1</v>
      </c>
      <c r="H237" s="395" t="n">
        <f aca="false">IF(G237=1,SUM($G$2:G237),"")</f>
        <v>159</v>
      </c>
    </row>
    <row r="238" customFormat="false" ht="16" hidden="false" customHeight="false" outlineLevel="0" collapsed="false">
      <c r="A238" s="394" t="n">
        <f aca="false">A237+1</f>
        <v>45548</v>
      </c>
      <c r="B238" s="33" t="n">
        <f aca="false">IF(WEEKDAY(A238,2)&gt;5,0,1)</f>
        <v>1</v>
      </c>
      <c r="C238" s="33" t="n">
        <f aca="false">IF(B238=1,SUM($B$3:B238),"")</f>
        <v>107</v>
      </c>
      <c r="D238" s="393" t="n">
        <f aca="false">IF(B238=1,A238,"")</f>
        <v>45548</v>
      </c>
      <c r="F238" s="394" t="n">
        <f aca="false">F237+1</f>
        <v>45548</v>
      </c>
      <c r="G238" s="33" t="n">
        <f aca="false">IF(WEEKDAY(F238,2)&gt;5,0,1)</f>
        <v>1</v>
      </c>
      <c r="H238" s="395" t="n">
        <f aca="false">IF(G238=1,SUM($G$2:G238),"")</f>
        <v>160</v>
      </c>
    </row>
    <row r="239" customFormat="false" ht="16" hidden="false" customHeight="false" outlineLevel="0" collapsed="false">
      <c r="A239" s="394" t="n">
        <f aca="false">A238+1</f>
        <v>45549</v>
      </c>
      <c r="B239" s="33" t="n">
        <f aca="false">IF(WEEKDAY(A239,2)&gt;5,0,1)</f>
        <v>0</v>
      </c>
      <c r="C239" s="33" t="str">
        <f aca="false">IF(B239=1,SUM($B$3:B239),"")</f>
        <v/>
      </c>
      <c r="D239" s="393" t="str">
        <f aca="false">IF(B239=1,A239,"")</f>
        <v/>
      </c>
      <c r="F239" s="394" t="n">
        <f aca="false">F238+1</f>
        <v>45549</v>
      </c>
      <c r="G239" s="33" t="n">
        <f aca="false">IF(WEEKDAY(F239,2)&gt;5,0,1)</f>
        <v>0</v>
      </c>
      <c r="H239" s="395" t="str">
        <f aca="false">IF(G239=1,SUM($G$2:G239),"")</f>
        <v/>
      </c>
    </row>
    <row r="240" customFormat="false" ht="16" hidden="false" customHeight="false" outlineLevel="0" collapsed="false">
      <c r="A240" s="394" t="n">
        <f aca="false">A239+1</f>
        <v>45550</v>
      </c>
      <c r="B240" s="33" t="n">
        <f aca="false">IF(WEEKDAY(A240,2)&gt;5,0,1)</f>
        <v>0</v>
      </c>
      <c r="C240" s="33" t="str">
        <f aca="false">IF(B240=1,SUM($B$3:B240),"")</f>
        <v/>
      </c>
      <c r="D240" s="393" t="str">
        <f aca="false">IF(B240=1,A240,"")</f>
        <v/>
      </c>
      <c r="F240" s="394" t="n">
        <f aca="false">F239+1</f>
        <v>45550</v>
      </c>
      <c r="G240" s="33" t="n">
        <f aca="false">IF(WEEKDAY(F240,2)&gt;5,0,1)</f>
        <v>0</v>
      </c>
      <c r="H240" s="395" t="str">
        <f aca="false">IF(G240=1,SUM($G$2:G240),"")</f>
        <v/>
      </c>
    </row>
    <row r="241" customFormat="false" ht="16" hidden="false" customHeight="false" outlineLevel="0" collapsed="false">
      <c r="A241" s="394" t="n">
        <f aca="false">A240+1</f>
        <v>45551</v>
      </c>
      <c r="B241" s="33" t="n">
        <f aca="false">IF(WEEKDAY(A241,2)&gt;5,0,1)</f>
        <v>1</v>
      </c>
      <c r="C241" s="33" t="n">
        <f aca="false">IF(B241=1,SUM($B$3:B241),"")</f>
        <v>108</v>
      </c>
      <c r="D241" s="393" t="n">
        <f aca="false">IF(B241=1,A241,"")</f>
        <v>45551</v>
      </c>
      <c r="F241" s="394" t="n">
        <f aca="false">F240+1</f>
        <v>45551</v>
      </c>
      <c r="G241" s="33" t="n">
        <f aca="false">IF(WEEKDAY(F241,2)&gt;5,0,1)</f>
        <v>1</v>
      </c>
      <c r="H241" s="395" t="n">
        <f aca="false">IF(G241=1,SUM($G$2:G241),"")</f>
        <v>161</v>
      </c>
    </row>
    <row r="242" customFormat="false" ht="16" hidden="false" customHeight="false" outlineLevel="0" collapsed="false">
      <c r="A242" s="394" t="n">
        <f aca="false">A241+1</f>
        <v>45552</v>
      </c>
      <c r="B242" s="33" t="n">
        <f aca="false">IF(WEEKDAY(A242,2)&gt;5,0,1)</f>
        <v>1</v>
      </c>
      <c r="C242" s="33" t="n">
        <f aca="false">IF(B242=1,SUM($B$3:B242),"")</f>
        <v>109</v>
      </c>
      <c r="D242" s="393" t="n">
        <f aca="false">IF(B242=1,A242,"")</f>
        <v>45552</v>
      </c>
      <c r="F242" s="394" t="n">
        <f aca="false">F241+1</f>
        <v>45552</v>
      </c>
      <c r="G242" s="33" t="n">
        <f aca="false">IF(WEEKDAY(F242,2)&gt;5,0,1)</f>
        <v>1</v>
      </c>
      <c r="H242" s="395" t="n">
        <f aca="false">IF(G242=1,SUM($G$2:G242),"")</f>
        <v>162</v>
      </c>
    </row>
    <row r="243" customFormat="false" ht="16" hidden="false" customHeight="false" outlineLevel="0" collapsed="false">
      <c r="A243" s="394" t="n">
        <f aca="false">A242+1</f>
        <v>45553</v>
      </c>
      <c r="B243" s="33" t="n">
        <f aca="false">IF(WEEKDAY(A243,2)&gt;5,0,1)</f>
        <v>1</v>
      </c>
      <c r="C243" s="33" t="n">
        <f aca="false">IF(B243=1,SUM($B$3:B243),"")</f>
        <v>110</v>
      </c>
      <c r="D243" s="393" t="n">
        <f aca="false">IF(B243=1,A243,"")</f>
        <v>45553</v>
      </c>
      <c r="F243" s="394" t="n">
        <f aca="false">F242+1</f>
        <v>45553</v>
      </c>
      <c r="G243" s="33" t="n">
        <f aca="false">IF(WEEKDAY(F243,2)&gt;5,0,1)</f>
        <v>1</v>
      </c>
      <c r="H243" s="395" t="n">
        <f aca="false">IF(G243=1,SUM($G$2:G243),"")</f>
        <v>163</v>
      </c>
    </row>
    <row r="244" customFormat="false" ht="16" hidden="false" customHeight="false" outlineLevel="0" collapsed="false">
      <c r="A244" s="394" t="n">
        <f aca="false">A243+1</f>
        <v>45554</v>
      </c>
      <c r="B244" s="33" t="n">
        <f aca="false">IF(WEEKDAY(A244,2)&gt;5,0,1)</f>
        <v>1</v>
      </c>
      <c r="C244" s="33" t="n">
        <f aca="false">IF(B244=1,SUM($B$3:B244),"")</f>
        <v>111</v>
      </c>
      <c r="D244" s="393" t="n">
        <f aca="false">IF(B244=1,A244,"")</f>
        <v>45554</v>
      </c>
      <c r="F244" s="394" t="n">
        <f aca="false">F243+1</f>
        <v>45554</v>
      </c>
      <c r="G244" s="33" t="n">
        <f aca="false">IF(WEEKDAY(F244,2)&gt;5,0,1)</f>
        <v>1</v>
      </c>
      <c r="H244" s="395" t="n">
        <f aca="false">IF(G244=1,SUM($G$2:G244),"")</f>
        <v>164</v>
      </c>
    </row>
    <row r="245" customFormat="false" ht="16" hidden="false" customHeight="false" outlineLevel="0" collapsed="false">
      <c r="A245" s="394" t="n">
        <f aca="false">A244+1</f>
        <v>45555</v>
      </c>
      <c r="B245" s="33" t="n">
        <f aca="false">IF(WEEKDAY(A245,2)&gt;5,0,1)</f>
        <v>1</v>
      </c>
      <c r="C245" s="33" t="n">
        <f aca="false">IF(B245=1,SUM($B$3:B245),"")</f>
        <v>112</v>
      </c>
      <c r="D245" s="393" t="n">
        <f aca="false">IF(B245=1,A245,"")</f>
        <v>45555</v>
      </c>
      <c r="F245" s="394" t="n">
        <f aca="false">F244+1</f>
        <v>45555</v>
      </c>
      <c r="G245" s="33" t="n">
        <f aca="false">IF(WEEKDAY(F245,2)&gt;5,0,1)</f>
        <v>1</v>
      </c>
      <c r="H245" s="395" t="n">
        <f aca="false">IF(G245=1,SUM($G$2:G245),"")</f>
        <v>165</v>
      </c>
    </row>
    <row r="246" customFormat="false" ht="16" hidden="false" customHeight="false" outlineLevel="0" collapsed="false">
      <c r="A246" s="394" t="n">
        <f aca="false">A245+1</f>
        <v>45556</v>
      </c>
      <c r="B246" s="33" t="n">
        <f aca="false">IF(WEEKDAY(A246,2)&gt;5,0,1)</f>
        <v>0</v>
      </c>
      <c r="C246" s="33" t="str">
        <f aca="false">IF(B246=1,SUM($B$3:B246),"")</f>
        <v/>
      </c>
      <c r="D246" s="393" t="str">
        <f aca="false">IF(B246=1,A246,"")</f>
        <v/>
      </c>
      <c r="F246" s="394" t="n">
        <f aca="false">F245+1</f>
        <v>45556</v>
      </c>
      <c r="G246" s="33" t="n">
        <f aca="false">IF(WEEKDAY(F246,2)&gt;5,0,1)</f>
        <v>0</v>
      </c>
      <c r="H246" s="395" t="str">
        <f aca="false">IF(G246=1,SUM($G$2:G246),"")</f>
        <v/>
      </c>
    </row>
    <row r="247" customFormat="false" ht="16" hidden="false" customHeight="false" outlineLevel="0" collapsed="false">
      <c r="A247" s="394" t="n">
        <f aca="false">A246+1</f>
        <v>45557</v>
      </c>
      <c r="B247" s="33" t="n">
        <f aca="false">IF(WEEKDAY(A247,2)&gt;5,0,1)</f>
        <v>0</v>
      </c>
      <c r="C247" s="33" t="str">
        <f aca="false">IF(B247=1,SUM($B$3:B247),"")</f>
        <v/>
      </c>
      <c r="D247" s="393" t="str">
        <f aca="false">IF(B247=1,A247,"")</f>
        <v/>
      </c>
      <c r="F247" s="394" t="n">
        <f aca="false">F246+1</f>
        <v>45557</v>
      </c>
      <c r="G247" s="33" t="n">
        <f aca="false">IF(WEEKDAY(F247,2)&gt;5,0,1)</f>
        <v>0</v>
      </c>
      <c r="H247" s="395" t="str">
        <f aca="false">IF(G247=1,SUM($G$2:G247),"")</f>
        <v/>
      </c>
    </row>
    <row r="248" customFormat="false" ht="16" hidden="false" customHeight="false" outlineLevel="0" collapsed="false">
      <c r="A248" s="394" t="n">
        <f aca="false">A247+1</f>
        <v>45558</v>
      </c>
      <c r="B248" s="33" t="n">
        <f aca="false">IF(WEEKDAY(A248,2)&gt;5,0,1)</f>
        <v>1</v>
      </c>
      <c r="C248" s="33" t="n">
        <f aca="false">IF(B248=1,SUM($B$3:B248),"")</f>
        <v>113</v>
      </c>
      <c r="D248" s="393" t="n">
        <f aca="false">IF(B248=1,A248,"")</f>
        <v>45558</v>
      </c>
      <c r="F248" s="394" t="n">
        <f aca="false">F247+1</f>
        <v>45558</v>
      </c>
      <c r="G248" s="33" t="n">
        <f aca="false">IF(WEEKDAY(F248,2)&gt;5,0,1)</f>
        <v>1</v>
      </c>
      <c r="H248" s="395" t="n">
        <f aca="false">IF(G248=1,SUM($G$2:G248),"")</f>
        <v>166</v>
      </c>
    </row>
    <row r="249" customFormat="false" ht="16" hidden="false" customHeight="false" outlineLevel="0" collapsed="false">
      <c r="A249" s="394" t="n">
        <f aca="false">A248+1</f>
        <v>45559</v>
      </c>
      <c r="B249" s="33" t="n">
        <f aca="false">IF(WEEKDAY(A249,2)&gt;5,0,1)</f>
        <v>1</v>
      </c>
      <c r="C249" s="33" t="n">
        <f aca="false">IF(B249=1,SUM($B$3:B249),"")</f>
        <v>114</v>
      </c>
      <c r="D249" s="393" t="n">
        <f aca="false">IF(B249=1,A249,"")</f>
        <v>45559</v>
      </c>
      <c r="F249" s="394" t="n">
        <f aca="false">F248+1</f>
        <v>45559</v>
      </c>
      <c r="G249" s="33" t="n">
        <f aca="false">IF(WEEKDAY(F249,2)&gt;5,0,1)</f>
        <v>1</v>
      </c>
      <c r="H249" s="395" t="n">
        <f aca="false">IF(G249=1,SUM($G$2:G249),"")</f>
        <v>167</v>
      </c>
    </row>
    <row r="250" customFormat="false" ht="16" hidden="false" customHeight="false" outlineLevel="0" collapsed="false">
      <c r="A250" s="394" t="n">
        <f aca="false">A249+1</f>
        <v>45560</v>
      </c>
      <c r="B250" s="33" t="n">
        <f aca="false">IF(WEEKDAY(A250,2)&gt;5,0,1)</f>
        <v>1</v>
      </c>
      <c r="C250" s="33" t="n">
        <f aca="false">IF(B250=1,SUM($B$3:B250),"")</f>
        <v>115</v>
      </c>
      <c r="D250" s="393" t="n">
        <f aca="false">IF(B250=1,A250,"")</f>
        <v>45560</v>
      </c>
      <c r="F250" s="394" t="n">
        <f aca="false">F249+1</f>
        <v>45560</v>
      </c>
      <c r="G250" s="33" t="n">
        <f aca="false">IF(WEEKDAY(F250,2)&gt;5,0,1)</f>
        <v>1</v>
      </c>
      <c r="H250" s="395" t="n">
        <f aca="false">IF(G250=1,SUM($G$2:G250),"")</f>
        <v>168</v>
      </c>
    </row>
    <row r="251" customFormat="false" ht="16" hidden="false" customHeight="false" outlineLevel="0" collapsed="false">
      <c r="A251" s="394" t="n">
        <f aca="false">A250+1</f>
        <v>45561</v>
      </c>
      <c r="B251" s="33" t="n">
        <f aca="false">IF(WEEKDAY(A251,2)&gt;5,0,1)</f>
        <v>1</v>
      </c>
      <c r="C251" s="33" t="n">
        <f aca="false">IF(B251=1,SUM($B$3:B251),"")</f>
        <v>116</v>
      </c>
      <c r="D251" s="393" t="n">
        <f aca="false">IF(B251=1,A251,"")</f>
        <v>45561</v>
      </c>
      <c r="F251" s="394" t="n">
        <f aca="false">F250+1</f>
        <v>45561</v>
      </c>
      <c r="G251" s="33" t="n">
        <f aca="false">IF(WEEKDAY(F251,2)&gt;5,0,1)</f>
        <v>1</v>
      </c>
      <c r="H251" s="395" t="n">
        <f aca="false">IF(G251=1,SUM($G$2:G251),"")</f>
        <v>169</v>
      </c>
    </row>
    <row r="252" customFormat="false" ht="16" hidden="false" customHeight="false" outlineLevel="0" collapsed="false">
      <c r="A252" s="394" t="n">
        <f aca="false">A251+1</f>
        <v>45562</v>
      </c>
      <c r="B252" s="33" t="n">
        <f aca="false">IF(WEEKDAY(A252,2)&gt;5,0,1)</f>
        <v>1</v>
      </c>
      <c r="C252" s="33" t="n">
        <f aca="false">IF(B252=1,SUM($B$3:B252),"")</f>
        <v>117</v>
      </c>
      <c r="D252" s="393" t="n">
        <f aca="false">IF(B252=1,A252,"")</f>
        <v>45562</v>
      </c>
      <c r="F252" s="394" t="n">
        <f aca="false">F251+1</f>
        <v>45562</v>
      </c>
      <c r="G252" s="33" t="n">
        <f aca="false">IF(WEEKDAY(F252,2)&gt;5,0,1)</f>
        <v>1</v>
      </c>
      <c r="H252" s="395" t="n">
        <f aca="false">IF(G252=1,SUM($G$2:G252),"")</f>
        <v>170</v>
      </c>
    </row>
    <row r="253" customFormat="false" ht="16" hidden="false" customHeight="false" outlineLevel="0" collapsed="false">
      <c r="A253" s="394" t="n">
        <f aca="false">A252+1</f>
        <v>45563</v>
      </c>
      <c r="B253" s="33" t="n">
        <f aca="false">IF(WEEKDAY(A253,2)&gt;5,0,1)</f>
        <v>0</v>
      </c>
      <c r="C253" s="33" t="str">
        <f aca="false">IF(B253=1,SUM($B$3:B253),"")</f>
        <v/>
      </c>
      <c r="D253" s="393" t="str">
        <f aca="false">IF(B253=1,A253,"")</f>
        <v/>
      </c>
      <c r="F253" s="394" t="n">
        <f aca="false">F252+1</f>
        <v>45563</v>
      </c>
      <c r="G253" s="33" t="n">
        <f aca="false">IF(WEEKDAY(F253,2)&gt;5,0,1)</f>
        <v>0</v>
      </c>
      <c r="H253" s="395" t="str">
        <f aca="false">IF(G253=1,SUM($G$2:G253),"")</f>
        <v/>
      </c>
    </row>
    <row r="254" customFormat="false" ht="16" hidden="false" customHeight="false" outlineLevel="0" collapsed="false">
      <c r="A254" s="394" t="n">
        <f aca="false">A253+1</f>
        <v>45564</v>
      </c>
      <c r="B254" s="33" t="n">
        <f aca="false">IF(WEEKDAY(A254,2)&gt;5,0,1)</f>
        <v>0</v>
      </c>
      <c r="C254" s="33" t="str">
        <f aca="false">IF(B254=1,SUM($B$3:B254),"")</f>
        <v/>
      </c>
      <c r="D254" s="393" t="str">
        <f aca="false">IF(B254=1,A254,"")</f>
        <v/>
      </c>
      <c r="F254" s="394" t="n">
        <f aca="false">F253+1</f>
        <v>45564</v>
      </c>
      <c r="G254" s="33" t="n">
        <f aca="false">IF(WEEKDAY(F254,2)&gt;5,0,1)</f>
        <v>0</v>
      </c>
      <c r="H254" s="395" t="str">
        <f aca="false">IF(G254=1,SUM($G$2:G254),"")</f>
        <v/>
      </c>
    </row>
    <row r="255" customFormat="false" ht="16" hidden="false" customHeight="false" outlineLevel="0" collapsed="false">
      <c r="A255" s="394" t="n">
        <f aca="false">A254+1</f>
        <v>45565</v>
      </c>
      <c r="B255" s="33" t="n">
        <f aca="false">IF(WEEKDAY(A255,2)&gt;5,0,1)</f>
        <v>1</v>
      </c>
      <c r="C255" s="33" t="n">
        <f aca="false">IF(B255=1,SUM($B$3:B255),"")</f>
        <v>118</v>
      </c>
      <c r="D255" s="393" t="n">
        <f aca="false">IF(B255=1,A255,"")</f>
        <v>45565</v>
      </c>
      <c r="F255" s="394" t="n">
        <f aca="false">F254+1</f>
        <v>45565</v>
      </c>
      <c r="G255" s="33" t="n">
        <f aca="false">IF(WEEKDAY(F255,2)&gt;5,0,1)</f>
        <v>1</v>
      </c>
      <c r="H255" s="395" t="n">
        <f aca="false">IF(G255=1,SUM($G$2:G255),"")</f>
        <v>171</v>
      </c>
    </row>
    <row r="256" customFormat="false" ht="16" hidden="false" customHeight="false" outlineLevel="0" collapsed="false">
      <c r="A256" s="394" t="n">
        <f aca="false">A255+1</f>
        <v>45566</v>
      </c>
      <c r="B256" s="33" t="n">
        <f aca="false">IF(WEEKDAY(A256,2)&gt;5,0,1)</f>
        <v>1</v>
      </c>
      <c r="C256" s="33" t="n">
        <f aca="false">IF(B256=1,SUM($B$3:B256),"")</f>
        <v>119</v>
      </c>
      <c r="D256" s="393" t="n">
        <f aca="false">IF(B256=1,A256,"")</f>
        <v>45566</v>
      </c>
      <c r="F256" s="394" t="n">
        <f aca="false">F255+1</f>
        <v>45566</v>
      </c>
      <c r="G256" s="33" t="n">
        <f aca="false">IF(WEEKDAY(F256,2)&gt;5,0,1)</f>
        <v>1</v>
      </c>
      <c r="H256" s="395" t="n">
        <f aca="false">IF(G256=1,SUM($G$2:G256),"")</f>
        <v>172</v>
      </c>
    </row>
    <row r="257" customFormat="false" ht="16" hidden="false" customHeight="false" outlineLevel="0" collapsed="false">
      <c r="A257" s="394" t="n">
        <f aca="false">A256+1</f>
        <v>45567</v>
      </c>
      <c r="B257" s="33" t="n">
        <f aca="false">IF(WEEKDAY(A257,2)&gt;5,0,1)</f>
        <v>1</v>
      </c>
      <c r="C257" s="33" t="n">
        <f aca="false">IF(B257=1,SUM($B$3:B257),"")</f>
        <v>120</v>
      </c>
      <c r="D257" s="393" t="n">
        <f aca="false">IF(B257=1,A257,"")</f>
        <v>45567</v>
      </c>
      <c r="F257" s="394" t="n">
        <f aca="false">F256+1</f>
        <v>45567</v>
      </c>
      <c r="G257" s="33" t="n">
        <f aca="false">IF(WEEKDAY(F257,2)&gt;5,0,1)</f>
        <v>1</v>
      </c>
      <c r="H257" s="395" t="n">
        <f aca="false">IF(G257=1,SUM($G$2:G257),"")</f>
        <v>173</v>
      </c>
    </row>
    <row r="258" customFormat="false" ht="16" hidden="false" customHeight="false" outlineLevel="0" collapsed="false">
      <c r="A258" s="394" t="n">
        <f aca="false">A257+1</f>
        <v>45568</v>
      </c>
      <c r="B258" s="33" t="n">
        <f aca="false">IF(WEEKDAY(A258,2)&gt;5,0,1)</f>
        <v>1</v>
      </c>
      <c r="C258" s="33" t="n">
        <f aca="false">IF(B258=1,SUM($B$3:B258),"")</f>
        <v>121</v>
      </c>
      <c r="D258" s="393" t="n">
        <f aca="false">IF(B258=1,A258,"")</f>
        <v>45568</v>
      </c>
      <c r="F258" s="394" t="n">
        <f aca="false">F257+1</f>
        <v>45568</v>
      </c>
      <c r="G258" s="33" t="n">
        <f aca="false">IF(WEEKDAY(F258,2)&gt;5,0,1)</f>
        <v>1</v>
      </c>
      <c r="H258" s="395" t="n">
        <f aca="false">IF(G258=1,SUM($G$2:G258),"")</f>
        <v>174</v>
      </c>
    </row>
    <row r="259" customFormat="false" ht="16" hidden="false" customHeight="false" outlineLevel="0" collapsed="false">
      <c r="A259" s="394" t="n">
        <f aca="false">A258+1</f>
        <v>45569</v>
      </c>
      <c r="B259" s="33" t="n">
        <f aca="false">IF(WEEKDAY(A259,2)&gt;5,0,1)</f>
        <v>1</v>
      </c>
      <c r="C259" s="33" t="n">
        <f aca="false">IF(B259=1,SUM($B$3:B259),"")</f>
        <v>122</v>
      </c>
      <c r="D259" s="393" t="n">
        <f aca="false">IF(B259=1,A259,"")</f>
        <v>45569</v>
      </c>
      <c r="F259" s="394" t="n">
        <f aca="false">F258+1</f>
        <v>45569</v>
      </c>
      <c r="G259" s="33" t="n">
        <f aca="false">IF(WEEKDAY(F259,2)&gt;5,0,1)</f>
        <v>1</v>
      </c>
      <c r="H259" s="395" t="n">
        <f aca="false">IF(G259=1,SUM($G$2:G259),"")</f>
        <v>175</v>
      </c>
    </row>
    <row r="260" customFormat="false" ht="16" hidden="false" customHeight="false" outlineLevel="0" collapsed="false">
      <c r="A260" s="394" t="n">
        <f aca="false">A259+1</f>
        <v>45570</v>
      </c>
      <c r="B260" s="33" t="n">
        <f aca="false">IF(WEEKDAY(A260,2)&gt;5,0,1)</f>
        <v>0</v>
      </c>
      <c r="C260" s="33" t="str">
        <f aca="false">IF(B260=1,SUM($B$3:B260),"")</f>
        <v/>
      </c>
      <c r="D260" s="393" t="str">
        <f aca="false">IF(B260=1,A260,"")</f>
        <v/>
      </c>
      <c r="F260" s="394" t="n">
        <f aca="false">F259+1</f>
        <v>45570</v>
      </c>
      <c r="G260" s="33" t="n">
        <f aca="false">IF(WEEKDAY(F260,2)&gt;5,0,1)</f>
        <v>0</v>
      </c>
      <c r="H260" s="395" t="str">
        <f aca="false">IF(G260=1,SUM($G$2:G260),"")</f>
        <v/>
      </c>
    </row>
    <row r="261" customFormat="false" ht="16" hidden="false" customHeight="false" outlineLevel="0" collapsed="false">
      <c r="A261" s="394" t="n">
        <f aca="false">A260+1</f>
        <v>45571</v>
      </c>
      <c r="B261" s="33" t="n">
        <f aca="false">IF(WEEKDAY(A261,2)&gt;5,0,1)</f>
        <v>0</v>
      </c>
      <c r="C261" s="33" t="str">
        <f aca="false">IF(B261=1,SUM($B$3:B261),"")</f>
        <v/>
      </c>
      <c r="D261" s="393" t="str">
        <f aca="false">IF(B261=1,A261,"")</f>
        <v/>
      </c>
      <c r="F261" s="394" t="n">
        <f aca="false">F260+1</f>
        <v>45571</v>
      </c>
      <c r="G261" s="33" t="n">
        <f aca="false">IF(WEEKDAY(F261,2)&gt;5,0,1)</f>
        <v>0</v>
      </c>
      <c r="H261" s="395" t="str">
        <f aca="false">IF(G261=1,SUM($G$2:G261),"")</f>
        <v/>
      </c>
    </row>
    <row r="262" customFormat="false" ht="16" hidden="false" customHeight="false" outlineLevel="0" collapsed="false">
      <c r="A262" s="394" t="n">
        <f aca="false">A261+1</f>
        <v>45572</v>
      </c>
      <c r="B262" s="33" t="n">
        <f aca="false">IF(WEEKDAY(A262,2)&gt;5,0,1)</f>
        <v>1</v>
      </c>
      <c r="C262" s="33" t="n">
        <f aca="false">IF(B262=1,SUM($B$3:B262),"")</f>
        <v>123</v>
      </c>
      <c r="D262" s="393" t="n">
        <f aca="false">IF(B262=1,A262,"")</f>
        <v>45572</v>
      </c>
      <c r="F262" s="394" t="n">
        <f aca="false">F261+1</f>
        <v>45572</v>
      </c>
      <c r="G262" s="33" t="n">
        <f aca="false">IF(WEEKDAY(F262,2)&gt;5,0,1)</f>
        <v>1</v>
      </c>
      <c r="H262" s="395" t="n">
        <f aca="false">IF(G262=1,SUM($G$2:G262),"")</f>
        <v>176</v>
      </c>
    </row>
    <row r="263" customFormat="false" ht="16" hidden="false" customHeight="false" outlineLevel="0" collapsed="false">
      <c r="A263" s="394" t="n">
        <f aca="false">A262+1</f>
        <v>45573</v>
      </c>
      <c r="B263" s="33" t="n">
        <f aca="false">IF(WEEKDAY(A263,2)&gt;5,0,1)</f>
        <v>1</v>
      </c>
      <c r="C263" s="33" t="n">
        <f aca="false">IF(B263=1,SUM($B$3:B263),"")</f>
        <v>124</v>
      </c>
      <c r="D263" s="393" t="n">
        <f aca="false">IF(B263=1,A263,"")</f>
        <v>45573</v>
      </c>
      <c r="F263" s="394" t="n">
        <f aca="false">F262+1</f>
        <v>45573</v>
      </c>
      <c r="G263" s="33" t="n">
        <f aca="false">IF(WEEKDAY(F263,2)&gt;5,0,1)</f>
        <v>1</v>
      </c>
      <c r="H263" s="395" t="n">
        <f aca="false">IF(G263=1,SUM($G$2:G263),"")</f>
        <v>177</v>
      </c>
    </row>
    <row r="264" customFormat="false" ht="16" hidden="false" customHeight="false" outlineLevel="0" collapsed="false">
      <c r="A264" s="394" t="n">
        <f aca="false">A263+1</f>
        <v>45574</v>
      </c>
      <c r="B264" s="33" t="n">
        <f aca="false">IF(WEEKDAY(A264,2)&gt;5,0,1)</f>
        <v>1</v>
      </c>
      <c r="C264" s="33" t="n">
        <f aca="false">IF(B264=1,SUM($B$3:B264),"")</f>
        <v>125</v>
      </c>
      <c r="D264" s="393" t="n">
        <f aca="false">IF(B264=1,A264,"")</f>
        <v>45574</v>
      </c>
      <c r="F264" s="394" t="n">
        <f aca="false">F263+1</f>
        <v>45574</v>
      </c>
      <c r="G264" s="33" t="n">
        <f aca="false">IF(WEEKDAY(F264,2)&gt;5,0,1)</f>
        <v>1</v>
      </c>
      <c r="H264" s="395" t="n">
        <f aca="false">IF(G264=1,SUM($G$2:G264),"")</f>
        <v>178</v>
      </c>
    </row>
    <row r="265" customFormat="false" ht="16" hidden="false" customHeight="false" outlineLevel="0" collapsed="false">
      <c r="A265" s="394" t="n">
        <f aca="false">A264+1</f>
        <v>45575</v>
      </c>
      <c r="B265" s="33" t="n">
        <f aca="false">IF(WEEKDAY(A265,2)&gt;5,0,1)</f>
        <v>1</v>
      </c>
      <c r="C265" s="33" t="n">
        <f aca="false">IF(B265=1,SUM($B$3:B265),"")</f>
        <v>126</v>
      </c>
      <c r="D265" s="393" t="n">
        <f aca="false">IF(B265=1,A265,"")</f>
        <v>45575</v>
      </c>
      <c r="F265" s="394" t="n">
        <f aca="false">F264+1</f>
        <v>45575</v>
      </c>
      <c r="G265" s="33" t="n">
        <f aca="false">IF(WEEKDAY(F265,2)&gt;5,0,1)</f>
        <v>1</v>
      </c>
      <c r="H265" s="395" t="n">
        <f aca="false">IF(G265=1,SUM($G$2:G265),"")</f>
        <v>179</v>
      </c>
    </row>
    <row r="266" customFormat="false" ht="16" hidden="false" customHeight="false" outlineLevel="0" collapsed="false">
      <c r="A266" s="394" t="n">
        <f aca="false">A265+1</f>
        <v>45576</v>
      </c>
      <c r="B266" s="33" t="n">
        <f aca="false">IF(WEEKDAY(A266,2)&gt;5,0,1)</f>
        <v>1</v>
      </c>
      <c r="C266" s="33" t="n">
        <f aca="false">IF(B266=1,SUM($B$3:B266),"")</f>
        <v>127</v>
      </c>
      <c r="D266" s="393" t="n">
        <f aca="false">IF(B266=1,A266,"")</f>
        <v>45576</v>
      </c>
      <c r="F266" s="394" t="n">
        <f aca="false">F265+1</f>
        <v>45576</v>
      </c>
      <c r="G266" s="33" t="n">
        <f aca="false">IF(WEEKDAY(F266,2)&gt;5,0,1)</f>
        <v>1</v>
      </c>
      <c r="H266" s="395" t="n">
        <f aca="false">IF(G266=1,SUM($G$2:G266),"")</f>
        <v>180</v>
      </c>
    </row>
    <row r="267" customFormat="false" ht="16" hidden="false" customHeight="false" outlineLevel="0" collapsed="false">
      <c r="A267" s="394" t="n">
        <f aca="false">A266+1</f>
        <v>45577</v>
      </c>
      <c r="B267" s="33" t="n">
        <f aca="false">IF(WEEKDAY(A267,2)&gt;5,0,1)</f>
        <v>0</v>
      </c>
      <c r="C267" s="33" t="str">
        <f aca="false">IF(B267=1,SUM($B$3:B267),"")</f>
        <v/>
      </c>
      <c r="D267" s="393" t="str">
        <f aca="false">IF(B267=1,A267,"")</f>
        <v/>
      </c>
      <c r="F267" s="394" t="n">
        <f aca="false">F266+1</f>
        <v>45577</v>
      </c>
      <c r="G267" s="33" t="n">
        <f aca="false">IF(WEEKDAY(F267,2)&gt;5,0,1)</f>
        <v>0</v>
      </c>
      <c r="H267" s="395" t="str">
        <f aca="false">IF(G267=1,SUM($G$2:G267),"")</f>
        <v/>
      </c>
    </row>
    <row r="268" customFormat="false" ht="16" hidden="false" customHeight="false" outlineLevel="0" collapsed="false">
      <c r="A268" s="394" t="n">
        <f aca="false">A267+1</f>
        <v>45578</v>
      </c>
      <c r="B268" s="33" t="n">
        <f aca="false">IF(WEEKDAY(A268,2)&gt;5,0,1)</f>
        <v>0</v>
      </c>
      <c r="C268" s="33" t="str">
        <f aca="false">IF(B268=1,SUM($B$3:B268),"")</f>
        <v/>
      </c>
      <c r="D268" s="393" t="str">
        <f aca="false">IF(B268=1,A268,"")</f>
        <v/>
      </c>
      <c r="F268" s="394" t="n">
        <f aca="false">F267+1</f>
        <v>45578</v>
      </c>
      <c r="G268" s="33" t="n">
        <f aca="false">IF(WEEKDAY(F268,2)&gt;5,0,1)</f>
        <v>0</v>
      </c>
      <c r="H268" s="395" t="str">
        <f aca="false">IF(G268=1,SUM($G$2:G268),"")</f>
        <v/>
      </c>
    </row>
    <row r="269" customFormat="false" ht="16" hidden="false" customHeight="false" outlineLevel="0" collapsed="false">
      <c r="A269" s="394" t="n">
        <f aca="false">A268+1</f>
        <v>45579</v>
      </c>
      <c r="B269" s="33" t="n">
        <f aca="false">IF(WEEKDAY(A269,2)&gt;5,0,1)</f>
        <v>1</v>
      </c>
      <c r="C269" s="33" t="n">
        <f aca="false">IF(B269=1,SUM($B$3:B269),"")</f>
        <v>128</v>
      </c>
      <c r="D269" s="393" t="n">
        <f aca="false">IF(B269=1,A269,"")</f>
        <v>45579</v>
      </c>
      <c r="F269" s="394" t="n">
        <f aca="false">F268+1</f>
        <v>45579</v>
      </c>
      <c r="G269" s="33" t="n">
        <f aca="false">IF(WEEKDAY(F269,2)&gt;5,0,1)</f>
        <v>1</v>
      </c>
      <c r="H269" s="395" t="n">
        <f aca="false">IF(G269=1,SUM($G$2:G269),"")</f>
        <v>181</v>
      </c>
    </row>
    <row r="270" customFormat="false" ht="16" hidden="false" customHeight="false" outlineLevel="0" collapsed="false">
      <c r="A270" s="394" t="n">
        <f aca="false">A269+1</f>
        <v>45580</v>
      </c>
      <c r="B270" s="33" t="n">
        <f aca="false">IF(WEEKDAY(A270,2)&gt;5,0,1)</f>
        <v>1</v>
      </c>
      <c r="C270" s="33" t="n">
        <f aca="false">IF(B270=1,SUM($B$3:B270),"")</f>
        <v>129</v>
      </c>
      <c r="D270" s="393" t="n">
        <f aca="false">IF(B270=1,A270,"")</f>
        <v>45580</v>
      </c>
      <c r="F270" s="394" t="n">
        <f aca="false">F269+1</f>
        <v>45580</v>
      </c>
      <c r="G270" s="33" t="n">
        <f aca="false">IF(WEEKDAY(F270,2)&gt;5,0,1)</f>
        <v>1</v>
      </c>
      <c r="H270" s="395" t="n">
        <f aca="false">IF(G270=1,SUM($G$2:G270),"")</f>
        <v>182</v>
      </c>
    </row>
    <row r="271" customFormat="false" ht="16" hidden="false" customHeight="false" outlineLevel="0" collapsed="false">
      <c r="A271" s="394" t="n">
        <f aca="false">A270+1</f>
        <v>45581</v>
      </c>
      <c r="B271" s="33" t="n">
        <f aca="false">IF(WEEKDAY(A271,2)&gt;5,0,1)</f>
        <v>1</v>
      </c>
      <c r="C271" s="33" t="n">
        <f aca="false">IF(B271=1,SUM($B$3:B271),"")</f>
        <v>130</v>
      </c>
      <c r="D271" s="393" t="n">
        <f aca="false">IF(B271=1,A271,"")</f>
        <v>45581</v>
      </c>
      <c r="F271" s="394" t="n">
        <f aca="false">F270+1</f>
        <v>45581</v>
      </c>
      <c r="G271" s="33" t="n">
        <f aca="false">IF(WEEKDAY(F271,2)&gt;5,0,1)</f>
        <v>1</v>
      </c>
      <c r="H271" s="395" t="n">
        <f aca="false">IF(G271=1,SUM($G$2:G271),"")</f>
        <v>183</v>
      </c>
    </row>
    <row r="272" customFormat="false" ht="16" hidden="false" customHeight="false" outlineLevel="0" collapsed="false">
      <c r="A272" s="394" t="n">
        <f aca="false">A271+1</f>
        <v>45582</v>
      </c>
      <c r="B272" s="33" t="n">
        <f aca="false">IF(WEEKDAY(A272,2)&gt;5,0,1)</f>
        <v>1</v>
      </c>
      <c r="C272" s="33" t="n">
        <f aca="false">IF(B272=1,SUM($B$3:B272),"")</f>
        <v>131</v>
      </c>
      <c r="D272" s="393" t="n">
        <f aca="false">IF(B272=1,A272,"")</f>
        <v>45582</v>
      </c>
      <c r="F272" s="394" t="n">
        <f aca="false">F271+1</f>
        <v>45582</v>
      </c>
      <c r="G272" s="33" t="n">
        <f aca="false">IF(WEEKDAY(F272,2)&gt;5,0,1)</f>
        <v>1</v>
      </c>
      <c r="H272" s="395" t="n">
        <f aca="false">IF(G272=1,SUM($G$2:G272),"")</f>
        <v>184</v>
      </c>
    </row>
    <row r="273" customFormat="false" ht="16" hidden="false" customHeight="false" outlineLevel="0" collapsed="false">
      <c r="A273" s="394" t="n">
        <f aca="false">A272+1</f>
        <v>45583</v>
      </c>
      <c r="B273" s="33" t="n">
        <f aca="false">IF(WEEKDAY(A273,2)&gt;5,0,1)</f>
        <v>1</v>
      </c>
      <c r="C273" s="33" t="n">
        <f aca="false">IF(B273=1,SUM($B$3:B273),"")</f>
        <v>132</v>
      </c>
      <c r="D273" s="393" t="n">
        <f aca="false">IF(B273=1,A273,"")</f>
        <v>45583</v>
      </c>
      <c r="F273" s="394" t="n">
        <f aca="false">F272+1</f>
        <v>45583</v>
      </c>
      <c r="G273" s="33" t="n">
        <f aca="false">IF(WEEKDAY(F273,2)&gt;5,0,1)</f>
        <v>1</v>
      </c>
      <c r="H273" s="395" t="n">
        <f aca="false">IF(G273=1,SUM($G$2:G273),"")</f>
        <v>185</v>
      </c>
    </row>
    <row r="274" customFormat="false" ht="16" hidden="false" customHeight="false" outlineLevel="0" collapsed="false">
      <c r="A274" s="394" t="n">
        <f aca="false">A273+1</f>
        <v>45584</v>
      </c>
      <c r="B274" s="33" t="n">
        <f aca="false">IF(WEEKDAY(A274,2)&gt;5,0,1)</f>
        <v>0</v>
      </c>
      <c r="C274" s="33" t="str">
        <f aca="false">IF(B274=1,SUM($B$3:B274),"")</f>
        <v/>
      </c>
      <c r="D274" s="393" t="str">
        <f aca="false">IF(B274=1,A274,"")</f>
        <v/>
      </c>
      <c r="F274" s="394" t="n">
        <f aca="false">F273+1</f>
        <v>45584</v>
      </c>
      <c r="G274" s="33" t="n">
        <f aca="false">IF(WEEKDAY(F274,2)&gt;5,0,1)</f>
        <v>0</v>
      </c>
      <c r="H274" s="395" t="str">
        <f aca="false">IF(G274=1,SUM($G$2:G274),"")</f>
        <v/>
      </c>
    </row>
    <row r="275" customFormat="false" ht="16" hidden="false" customHeight="false" outlineLevel="0" collapsed="false">
      <c r="A275" s="394" t="n">
        <f aca="false">A274+1</f>
        <v>45585</v>
      </c>
      <c r="B275" s="33" t="n">
        <f aca="false">IF(WEEKDAY(A275,2)&gt;5,0,1)</f>
        <v>0</v>
      </c>
      <c r="C275" s="33" t="str">
        <f aca="false">IF(B275=1,SUM($B$3:B275),"")</f>
        <v/>
      </c>
      <c r="D275" s="393" t="str">
        <f aca="false">IF(B275=1,A275,"")</f>
        <v/>
      </c>
    </row>
    <row r="276" customFormat="false" ht="16" hidden="false" customHeight="false" outlineLevel="0" collapsed="false">
      <c r="A276" s="394" t="n">
        <f aca="false">A275+1</f>
        <v>45586</v>
      </c>
      <c r="B276" s="33" t="n">
        <f aca="false">IF(WEEKDAY(A276,2)&gt;5,0,1)</f>
        <v>1</v>
      </c>
      <c r="C276" s="33" t="n">
        <f aca="false">IF(B276=1,SUM($B$3:B276),"")</f>
        <v>133</v>
      </c>
      <c r="D276" s="393" t="n">
        <f aca="false">IF(B276=1,A276,"")</f>
        <v>45586</v>
      </c>
    </row>
    <row r="277" customFormat="false" ht="16" hidden="false" customHeight="false" outlineLevel="0" collapsed="false">
      <c r="A277" s="394" t="n">
        <f aca="false">A276+1</f>
        <v>45587</v>
      </c>
      <c r="B277" s="33" t="n">
        <f aca="false">IF(WEEKDAY(A277,2)&gt;5,0,1)</f>
        <v>1</v>
      </c>
      <c r="C277" s="33" t="n">
        <f aca="false">IF(B277=1,SUM($B$3:B277),"")</f>
        <v>134</v>
      </c>
      <c r="D277" s="393" t="n">
        <f aca="false">IF(B277=1,A277,"")</f>
        <v>45587</v>
      </c>
    </row>
    <row r="278" customFormat="false" ht="16" hidden="false" customHeight="false" outlineLevel="0" collapsed="false">
      <c r="A278" s="394" t="n">
        <f aca="false">A277+1</f>
        <v>45588</v>
      </c>
      <c r="B278" s="33" t="n">
        <f aca="false">IF(WEEKDAY(A278,2)&gt;5,0,1)</f>
        <v>1</v>
      </c>
      <c r="C278" s="33" t="n">
        <f aca="false">IF(B278=1,SUM($B$3:B278),"")</f>
        <v>135</v>
      </c>
      <c r="D278" s="393" t="n">
        <f aca="false">IF(B278=1,A278,"")</f>
        <v>45588</v>
      </c>
    </row>
    <row r="279" customFormat="false" ht="16" hidden="false" customHeight="false" outlineLevel="0" collapsed="false">
      <c r="A279" s="394" t="n">
        <f aca="false">A278+1</f>
        <v>45589</v>
      </c>
      <c r="B279" s="33" t="n">
        <f aca="false">IF(WEEKDAY(A279,2)&gt;5,0,1)</f>
        <v>1</v>
      </c>
      <c r="C279" s="33" t="n">
        <f aca="false">IF(B279=1,SUM($B$3:B279),"")</f>
        <v>136</v>
      </c>
      <c r="D279" s="393" t="n">
        <f aca="false">IF(B279=1,A279,"")</f>
        <v>45589</v>
      </c>
    </row>
    <row r="280" customFormat="false" ht="16" hidden="false" customHeight="false" outlineLevel="0" collapsed="false">
      <c r="A280" s="394" t="n">
        <f aca="false">A279+1</f>
        <v>45590</v>
      </c>
      <c r="B280" s="33" t="n">
        <f aca="false">IF(WEEKDAY(A280,2)&gt;5,0,1)</f>
        <v>1</v>
      </c>
      <c r="C280" s="33" t="n">
        <f aca="false">IF(B280=1,SUM($B$3:B280),"")</f>
        <v>137</v>
      </c>
      <c r="D280" s="393" t="n">
        <f aca="false">IF(B280=1,A280,"")</f>
        <v>45590</v>
      </c>
    </row>
    <row r="281" customFormat="false" ht="16" hidden="false" customHeight="false" outlineLevel="0" collapsed="false">
      <c r="A281" s="394" t="n">
        <f aca="false">A280+1</f>
        <v>45591</v>
      </c>
      <c r="B281" s="33" t="n">
        <f aca="false">IF(WEEKDAY(A281,2)&gt;5,0,1)</f>
        <v>0</v>
      </c>
      <c r="C281" s="33" t="str">
        <f aca="false">IF(B281=1,SUM($B$3:B281),"")</f>
        <v/>
      </c>
      <c r="D281" s="393" t="str">
        <f aca="false">IF(B281=1,A281,"")</f>
        <v/>
      </c>
    </row>
    <row r="282" customFormat="false" ht="16" hidden="false" customHeight="false" outlineLevel="0" collapsed="false">
      <c r="A282" s="394" t="n">
        <f aca="false">A281+1</f>
        <v>45592</v>
      </c>
      <c r="B282" s="33" t="n">
        <f aca="false">IF(WEEKDAY(A282,2)&gt;5,0,1)</f>
        <v>0</v>
      </c>
      <c r="C282" s="33" t="str">
        <f aca="false">IF(B282=1,SUM($B$3:B282),"")</f>
        <v/>
      </c>
      <c r="D282" s="393" t="str">
        <f aca="false">IF(B282=1,A282,"")</f>
        <v/>
      </c>
    </row>
    <row r="283" customFormat="false" ht="16" hidden="false" customHeight="false" outlineLevel="0" collapsed="false">
      <c r="A283" s="394" t="n">
        <f aca="false">A282+1</f>
        <v>45593</v>
      </c>
      <c r="B283" s="33" t="n">
        <f aca="false">IF(WEEKDAY(A283,2)&gt;5,0,1)</f>
        <v>1</v>
      </c>
      <c r="C283" s="33" t="n">
        <f aca="false">IF(B283=1,SUM($B$3:B283),"")</f>
        <v>138</v>
      </c>
      <c r="D283" s="393" t="n">
        <f aca="false">IF(B283=1,A283,"")</f>
        <v>45593</v>
      </c>
    </row>
    <row r="284" customFormat="false" ht="16" hidden="false" customHeight="false" outlineLevel="0" collapsed="false">
      <c r="A284" s="394" t="n">
        <f aca="false">A283+1</f>
        <v>45594</v>
      </c>
      <c r="B284" s="33" t="n">
        <f aca="false">IF(WEEKDAY(A284,2)&gt;5,0,1)</f>
        <v>1</v>
      </c>
      <c r="C284" s="33" t="n">
        <f aca="false">IF(B284=1,SUM($B$3:B284),"")</f>
        <v>139</v>
      </c>
      <c r="D284" s="393" t="n">
        <f aca="false">IF(B284=1,A284,"")</f>
        <v>45594</v>
      </c>
    </row>
    <row r="285" customFormat="false" ht="16" hidden="false" customHeight="false" outlineLevel="0" collapsed="false">
      <c r="A285" s="394" t="n">
        <f aca="false">A284+1</f>
        <v>45595</v>
      </c>
      <c r="B285" s="33" t="n">
        <f aca="false">IF(WEEKDAY(A285,2)&gt;5,0,1)</f>
        <v>1</v>
      </c>
      <c r="C285" s="33" t="n">
        <f aca="false">IF(B285=1,SUM($B$3:B285),"")</f>
        <v>140</v>
      </c>
      <c r="D285" s="393" t="n">
        <f aca="false">IF(B285=1,A285,"")</f>
        <v>45595</v>
      </c>
    </row>
    <row r="286" customFormat="false" ht="16" hidden="false" customHeight="false" outlineLevel="0" collapsed="false">
      <c r="A286" s="394" t="n">
        <f aca="false">A285+1</f>
        <v>45596</v>
      </c>
      <c r="B286" s="33" t="n">
        <f aca="false">IF(WEEKDAY(A286,2)&gt;5,0,1)</f>
        <v>1</v>
      </c>
      <c r="C286" s="33" t="n">
        <f aca="false">IF(B286=1,SUM($B$3:B286),"")</f>
        <v>141</v>
      </c>
      <c r="D286" s="393" t="n">
        <f aca="false">IF(B286=1,A286,"")</f>
        <v>45596</v>
      </c>
    </row>
    <row r="287" customFormat="false" ht="16" hidden="false" customHeight="false" outlineLevel="0" collapsed="false">
      <c r="A287" s="394" t="n">
        <f aca="false">A286+1</f>
        <v>45597</v>
      </c>
      <c r="B287" s="33" t="n">
        <f aca="false">IF(WEEKDAY(A287,2)&gt;5,0,1)</f>
        <v>1</v>
      </c>
      <c r="C287" s="33" t="n">
        <f aca="false">IF(B287=1,SUM($B$3:B287),"")</f>
        <v>142</v>
      </c>
      <c r="D287" s="393" t="n">
        <f aca="false">IF(B287=1,A287,"")</f>
        <v>45597</v>
      </c>
    </row>
    <row r="288" customFormat="false" ht="16" hidden="false" customHeight="false" outlineLevel="0" collapsed="false">
      <c r="A288" s="394" t="n">
        <f aca="false">A287+1</f>
        <v>45598</v>
      </c>
      <c r="B288" s="33" t="n">
        <f aca="false">IF(WEEKDAY(A288,2)&gt;5,0,1)</f>
        <v>0</v>
      </c>
      <c r="C288" s="33" t="str">
        <f aca="false">IF(B288=1,SUM($B$3:B288),"")</f>
        <v/>
      </c>
      <c r="D288" s="393" t="str">
        <f aca="false">IF(B288=1,A288,"")</f>
        <v/>
      </c>
    </row>
    <row r="289" customFormat="false" ht="16" hidden="false" customHeight="false" outlineLevel="0" collapsed="false">
      <c r="A289" s="394" t="n">
        <f aca="false">A288+1</f>
        <v>45599</v>
      </c>
      <c r="B289" s="33" t="n">
        <f aca="false">IF(WEEKDAY(A289,2)&gt;5,0,1)</f>
        <v>0</v>
      </c>
      <c r="C289" s="33" t="str">
        <f aca="false">IF(B289=1,SUM($B$3:B289),"")</f>
        <v/>
      </c>
      <c r="D289" s="393" t="str">
        <f aca="false">IF(B289=1,A289,"")</f>
        <v/>
      </c>
    </row>
    <row r="290" customFormat="false" ht="16" hidden="false" customHeight="false" outlineLevel="0" collapsed="false">
      <c r="A290" s="394" t="n">
        <f aca="false">A289+1</f>
        <v>45600</v>
      </c>
      <c r="B290" s="33" t="n">
        <f aca="false">IF(WEEKDAY(A290,2)&gt;5,0,1)</f>
        <v>1</v>
      </c>
      <c r="C290" s="33" t="n">
        <f aca="false">IF(B290=1,SUM($B$3:B290),"")</f>
        <v>143</v>
      </c>
      <c r="D290" s="393" t="n">
        <f aca="false">IF(B290=1,A290,"")</f>
        <v>45600</v>
      </c>
    </row>
    <row r="291" customFormat="false" ht="16" hidden="false" customHeight="false" outlineLevel="0" collapsed="false">
      <c r="A291" s="394" t="n">
        <f aca="false">A290+1</f>
        <v>45601</v>
      </c>
      <c r="B291" s="33" t="n">
        <f aca="false">IF(WEEKDAY(A291,2)&gt;5,0,1)</f>
        <v>1</v>
      </c>
      <c r="C291" s="33" t="n">
        <f aca="false">IF(B291=1,SUM($B$3:B291),"")</f>
        <v>144</v>
      </c>
      <c r="D291" s="393" t="n">
        <f aca="false">IF(B291=1,A291,"")</f>
        <v>45601</v>
      </c>
    </row>
    <row r="292" customFormat="false" ht="16" hidden="false" customHeight="false" outlineLevel="0" collapsed="false">
      <c r="A292" s="394" t="n">
        <f aca="false">A291+1</f>
        <v>45602</v>
      </c>
      <c r="B292" s="33" t="n">
        <f aca="false">IF(WEEKDAY(A292,2)&gt;5,0,1)</f>
        <v>1</v>
      </c>
      <c r="C292" s="33" t="n">
        <f aca="false">IF(B292=1,SUM($B$3:B292),"")</f>
        <v>145</v>
      </c>
      <c r="D292" s="393" t="n">
        <f aca="false">IF(B292=1,A292,"")</f>
        <v>45602</v>
      </c>
    </row>
    <row r="293" customFormat="false" ht="16" hidden="false" customHeight="false" outlineLevel="0" collapsed="false">
      <c r="A293" s="394" t="n">
        <f aca="false">A292+1</f>
        <v>45603</v>
      </c>
      <c r="B293" s="33" t="n">
        <f aca="false">IF(WEEKDAY(A293,2)&gt;5,0,1)</f>
        <v>1</v>
      </c>
      <c r="C293" s="33" t="n">
        <f aca="false">IF(B293=1,SUM($B$3:B293),"")</f>
        <v>146</v>
      </c>
      <c r="D293" s="393" t="n">
        <f aca="false">IF(B293=1,A293,"")</f>
        <v>45603</v>
      </c>
    </row>
    <row r="294" customFormat="false" ht="16" hidden="false" customHeight="false" outlineLevel="0" collapsed="false">
      <c r="A294" s="394" t="n">
        <f aca="false">A293+1</f>
        <v>45604</v>
      </c>
      <c r="B294" s="33" t="n">
        <f aca="false">IF(WEEKDAY(A294,2)&gt;5,0,1)</f>
        <v>1</v>
      </c>
      <c r="C294" s="33" t="n">
        <f aca="false">IF(B294=1,SUM($B$3:B294),"")</f>
        <v>147</v>
      </c>
      <c r="D294" s="393" t="n">
        <f aca="false">IF(B294=1,A294,"")</f>
        <v>45604</v>
      </c>
    </row>
    <row r="295" customFormat="false" ht="16" hidden="false" customHeight="false" outlineLevel="0" collapsed="false">
      <c r="A295" s="394" t="n">
        <f aca="false">A294+1</f>
        <v>45605</v>
      </c>
      <c r="B295" s="33" t="n">
        <f aca="false">IF(WEEKDAY(A295,2)&gt;5,0,1)</f>
        <v>0</v>
      </c>
      <c r="C295" s="33" t="str">
        <f aca="false">IF(B295=1,SUM($B$3:B295),"")</f>
        <v/>
      </c>
      <c r="D295" s="393" t="str">
        <f aca="false">IF(B295=1,A295,"")</f>
        <v/>
      </c>
    </row>
    <row r="296" customFormat="false" ht="16" hidden="false" customHeight="false" outlineLevel="0" collapsed="false">
      <c r="A296" s="394" t="n">
        <f aca="false">A295+1</f>
        <v>45606</v>
      </c>
      <c r="B296" s="33" t="n">
        <f aca="false">IF(WEEKDAY(A296,2)&gt;5,0,1)</f>
        <v>0</v>
      </c>
      <c r="C296" s="33" t="str">
        <f aca="false">IF(B296=1,SUM($B$3:B296),"")</f>
        <v/>
      </c>
      <c r="D296" s="393" t="str">
        <f aca="false">IF(B296=1,A296,"")</f>
        <v/>
      </c>
    </row>
    <row r="297" customFormat="false" ht="16" hidden="false" customHeight="false" outlineLevel="0" collapsed="false">
      <c r="A297" s="394" t="n">
        <f aca="false">A296+1</f>
        <v>45607</v>
      </c>
      <c r="B297" s="33" t="n">
        <f aca="false">IF(WEEKDAY(A297,2)&gt;5,0,1)</f>
        <v>1</v>
      </c>
      <c r="C297" s="33" t="n">
        <f aca="false">IF(B297=1,SUM($B$3:B297),"")</f>
        <v>148</v>
      </c>
      <c r="D297" s="393" t="n">
        <f aca="false">IF(B297=1,A297,"")</f>
        <v>45607</v>
      </c>
    </row>
    <row r="298" customFormat="false" ht="16" hidden="false" customHeight="false" outlineLevel="0" collapsed="false">
      <c r="A298" s="394" t="n">
        <f aca="false">A297+1</f>
        <v>45608</v>
      </c>
      <c r="B298" s="33" t="n">
        <f aca="false">IF(WEEKDAY(A298,2)&gt;5,0,1)</f>
        <v>1</v>
      </c>
      <c r="C298" s="33" t="n">
        <f aca="false">IF(B298=1,SUM($B$3:B298),"")</f>
        <v>149</v>
      </c>
      <c r="D298" s="393" t="n">
        <f aca="false">IF(B298=1,A298,"")</f>
        <v>45608</v>
      </c>
    </row>
    <row r="299" customFormat="false" ht="16" hidden="false" customHeight="false" outlineLevel="0" collapsed="false">
      <c r="A299" s="394" t="n">
        <f aca="false">A298+1</f>
        <v>45609</v>
      </c>
      <c r="B299" s="33" t="n">
        <f aca="false">IF(WEEKDAY(A299,2)&gt;5,0,1)</f>
        <v>1</v>
      </c>
      <c r="C299" s="33" t="n">
        <f aca="false">IF(B299=1,SUM($B$3:B299),"")</f>
        <v>150</v>
      </c>
      <c r="D299" s="393" t="n">
        <f aca="false">IF(B299=1,A299,"")</f>
        <v>45609</v>
      </c>
    </row>
    <row r="300" customFormat="false" ht="16" hidden="false" customHeight="false" outlineLevel="0" collapsed="false">
      <c r="A300" s="394" t="n">
        <f aca="false">A299+1</f>
        <v>45610</v>
      </c>
      <c r="B300" s="33" t="n">
        <f aca="false">IF(WEEKDAY(A300,2)&gt;5,0,1)</f>
        <v>1</v>
      </c>
      <c r="C300" s="33" t="n">
        <f aca="false">IF(B300=1,SUM($B$3:B300),"")</f>
        <v>151</v>
      </c>
      <c r="D300" s="393" t="n">
        <f aca="false">IF(B300=1,A300,"")</f>
        <v>45610</v>
      </c>
    </row>
    <row r="301" customFormat="false" ht="16" hidden="false" customHeight="false" outlineLevel="0" collapsed="false">
      <c r="A301" s="394" t="n">
        <f aca="false">A300+1</f>
        <v>45611</v>
      </c>
      <c r="B301" s="33" t="n">
        <f aca="false">IF(WEEKDAY(A301,2)&gt;5,0,1)</f>
        <v>1</v>
      </c>
      <c r="C301" s="33" t="n">
        <f aca="false">IF(B301=1,SUM($B$3:B301),"")</f>
        <v>152</v>
      </c>
      <c r="D301" s="393" t="n">
        <f aca="false">IF(B301=1,A301,"")</f>
        <v>45611</v>
      </c>
    </row>
    <row r="302" customFormat="false" ht="16" hidden="false" customHeight="false" outlineLevel="0" collapsed="false">
      <c r="A302" s="394" t="n">
        <f aca="false">A301+1</f>
        <v>45612</v>
      </c>
      <c r="B302" s="33" t="n">
        <f aca="false">IF(WEEKDAY(A302,2)&gt;5,0,1)</f>
        <v>0</v>
      </c>
      <c r="C302" s="33" t="str">
        <f aca="false">IF(B302=1,SUM($B$3:B302),"")</f>
        <v/>
      </c>
      <c r="D302" s="393" t="str">
        <f aca="false">IF(B302=1,A302,"")</f>
        <v/>
      </c>
    </row>
    <row r="303" customFormat="false" ht="16" hidden="false" customHeight="false" outlineLevel="0" collapsed="false">
      <c r="A303" s="394" t="n">
        <f aca="false">A302+1</f>
        <v>45613</v>
      </c>
      <c r="B303" s="33" t="n">
        <f aca="false">IF(WEEKDAY(A303,2)&gt;5,0,1)</f>
        <v>0</v>
      </c>
      <c r="C303" s="33" t="str">
        <f aca="false">IF(B303=1,SUM($B$3:B303),"")</f>
        <v/>
      </c>
      <c r="D303" s="393" t="str">
        <f aca="false">IF(B303=1,A303,"")</f>
        <v/>
      </c>
    </row>
    <row r="304" customFormat="false" ht="16" hidden="false" customHeight="false" outlineLevel="0" collapsed="false">
      <c r="A304" s="394" t="n">
        <f aca="false">A303+1</f>
        <v>45614</v>
      </c>
      <c r="B304" s="33" t="n">
        <f aca="false">IF(WEEKDAY(A304,2)&gt;5,0,1)</f>
        <v>1</v>
      </c>
      <c r="C304" s="33" t="n">
        <f aca="false">IF(B304=1,SUM($B$3:B304),"")</f>
        <v>153</v>
      </c>
      <c r="D304" s="393" t="n">
        <f aca="false">IF(B304=1,A304,"")</f>
        <v>45614</v>
      </c>
    </row>
    <row r="305" customFormat="false" ht="16" hidden="false" customHeight="false" outlineLevel="0" collapsed="false">
      <c r="A305" s="394" t="n">
        <f aca="false">A304+1</f>
        <v>45615</v>
      </c>
      <c r="B305" s="33" t="n">
        <f aca="false">IF(WEEKDAY(A305,2)&gt;5,0,1)</f>
        <v>1</v>
      </c>
      <c r="C305" s="33" t="n">
        <f aca="false">IF(B305=1,SUM($B$3:B305),"")</f>
        <v>154</v>
      </c>
      <c r="D305" s="393" t="n">
        <f aca="false">IF(B305=1,A305,"")</f>
        <v>45615</v>
      </c>
    </row>
    <row r="306" customFormat="false" ht="16" hidden="false" customHeight="false" outlineLevel="0" collapsed="false">
      <c r="A306" s="394" t="n">
        <f aca="false">A305+1</f>
        <v>45616</v>
      </c>
      <c r="B306" s="33" t="n">
        <f aca="false">IF(WEEKDAY(A306,2)&gt;5,0,1)</f>
        <v>1</v>
      </c>
      <c r="C306" s="33" t="n">
        <f aca="false">IF(B306=1,SUM($B$3:B306),"")</f>
        <v>155</v>
      </c>
      <c r="D306" s="393" t="n">
        <f aca="false">IF(B306=1,A306,"")</f>
        <v>45616</v>
      </c>
    </row>
    <row r="307" customFormat="false" ht="16" hidden="false" customHeight="false" outlineLevel="0" collapsed="false">
      <c r="A307" s="394" t="n">
        <f aca="false">A306+1</f>
        <v>45617</v>
      </c>
      <c r="B307" s="33" t="n">
        <f aca="false">IF(WEEKDAY(A307,2)&gt;5,0,1)</f>
        <v>1</v>
      </c>
      <c r="C307" s="33" t="n">
        <f aca="false">IF(B307=1,SUM($B$3:B307),"")</f>
        <v>156</v>
      </c>
      <c r="D307" s="393" t="n">
        <f aca="false">IF(B307=1,A307,"")</f>
        <v>45617</v>
      </c>
    </row>
    <row r="308" customFormat="false" ht="16" hidden="false" customHeight="false" outlineLevel="0" collapsed="false">
      <c r="A308" s="394" t="n">
        <f aca="false">A307+1</f>
        <v>45618</v>
      </c>
      <c r="B308" s="33" t="n">
        <f aca="false">IF(WEEKDAY(A308,2)&gt;5,0,1)</f>
        <v>1</v>
      </c>
      <c r="C308" s="33" t="n">
        <f aca="false">IF(B308=1,SUM($B$3:B308),"")</f>
        <v>157</v>
      </c>
      <c r="D308" s="393" t="n">
        <f aca="false">IF(B308=1,A308,"")</f>
        <v>45618</v>
      </c>
    </row>
    <row r="309" customFormat="false" ht="16" hidden="false" customHeight="false" outlineLevel="0" collapsed="false">
      <c r="A309" s="394" t="n">
        <f aca="false">A308+1</f>
        <v>45619</v>
      </c>
      <c r="B309" s="33" t="n">
        <f aca="false">IF(WEEKDAY(A309,2)&gt;5,0,1)</f>
        <v>0</v>
      </c>
      <c r="C309" s="33" t="str">
        <f aca="false">IF(B309=1,SUM($B$3:B309),"")</f>
        <v/>
      </c>
      <c r="D309" s="393" t="str">
        <f aca="false">IF(B309=1,A309,"")</f>
        <v/>
      </c>
    </row>
    <row r="310" customFormat="false" ht="16" hidden="false" customHeight="false" outlineLevel="0" collapsed="false">
      <c r="A310" s="394" t="n">
        <f aca="false">A309+1</f>
        <v>45620</v>
      </c>
      <c r="B310" s="33" t="n">
        <f aca="false">IF(WEEKDAY(A310,2)&gt;5,0,1)</f>
        <v>0</v>
      </c>
      <c r="C310" s="33" t="str">
        <f aca="false">IF(B310=1,SUM($B$3:B310),"")</f>
        <v/>
      </c>
      <c r="D310" s="393" t="str">
        <f aca="false">IF(B310=1,A310,"")</f>
        <v/>
      </c>
    </row>
    <row r="311" customFormat="false" ht="16" hidden="false" customHeight="false" outlineLevel="0" collapsed="false">
      <c r="A311" s="394" t="n">
        <f aca="false">A310+1</f>
        <v>45621</v>
      </c>
      <c r="B311" s="33" t="n">
        <f aca="false">IF(WEEKDAY(A311,2)&gt;5,0,1)</f>
        <v>1</v>
      </c>
      <c r="C311" s="33" t="n">
        <f aca="false">IF(B311=1,SUM($B$3:B311),"")</f>
        <v>158</v>
      </c>
      <c r="D311" s="393" t="n">
        <f aca="false">IF(B311=1,A311,"")</f>
        <v>45621</v>
      </c>
    </row>
    <row r="312" customFormat="false" ht="16" hidden="false" customHeight="false" outlineLevel="0" collapsed="false">
      <c r="A312" s="394" t="n">
        <f aca="false">A311+1</f>
        <v>45622</v>
      </c>
      <c r="B312" s="33" t="n">
        <f aca="false">IF(WEEKDAY(A312,2)&gt;5,0,1)</f>
        <v>1</v>
      </c>
      <c r="C312" s="33" t="n">
        <f aca="false">IF(B312=1,SUM($B$3:B312),"")</f>
        <v>159</v>
      </c>
      <c r="D312" s="393" t="n">
        <f aca="false">IF(B312=1,A312,"")</f>
        <v>45622</v>
      </c>
    </row>
    <row r="313" customFormat="false" ht="16" hidden="false" customHeight="false" outlineLevel="0" collapsed="false">
      <c r="A313" s="394" t="n">
        <f aca="false">A312+1</f>
        <v>45623</v>
      </c>
      <c r="B313" s="33" t="n">
        <f aca="false">IF(WEEKDAY(A313,2)&gt;5,0,1)</f>
        <v>1</v>
      </c>
      <c r="C313" s="33" t="n">
        <f aca="false">IF(B313=1,SUM($B$3:B313),"")</f>
        <v>160</v>
      </c>
      <c r="D313" s="393" t="n">
        <f aca="false">IF(B313=1,A313,"")</f>
        <v>45623</v>
      </c>
    </row>
    <row r="314" customFormat="false" ht="16" hidden="false" customHeight="false" outlineLevel="0" collapsed="false">
      <c r="A314" s="394" t="n">
        <f aca="false">A313+1</f>
        <v>45624</v>
      </c>
      <c r="B314" s="33" t="n">
        <f aca="false">IF(WEEKDAY(A314,2)&gt;5,0,1)</f>
        <v>1</v>
      </c>
      <c r="C314" s="33" t="n">
        <f aca="false">IF(B314=1,SUM($B$3:B314),"")</f>
        <v>161</v>
      </c>
      <c r="D314" s="393" t="n">
        <f aca="false">IF(B314=1,A314,"")</f>
        <v>45624</v>
      </c>
    </row>
    <row r="315" customFormat="false" ht="16" hidden="false" customHeight="false" outlineLevel="0" collapsed="false">
      <c r="A315" s="394" t="n">
        <f aca="false">A314+1</f>
        <v>45625</v>
      </c>
      <c r="B315" s="33" t="n">
        <f aca="false">IF(WEEKDAY(A315,2)&gt;5,0,1)</f>
        <v>1</v>
      </c>
      <c r="C315" s="33" t="n">
        <f aca="false">IF(B315=1,SUM($B$3:B315),"")</f>
        <v>162</v>
      </c>
      <c r="D315" s="393" t="n">
        <f aca="false">IF(B315=1,A315,"")</f>
        <v>45625</v>
      </c>
    </row>
    <row r="316" customFormat="false" ht="16" hidden="false" customHeight="false" outlineLevel="0" collapsed="false">
      <c r="A316" s="394" t="n">
        <f aca="false">A315+1</f>
        <v>45626</v>
      </c>
      <c r="B316" s="33" t="n">
        <f aca="false">IF(WEEKDAY(A316,2)&gt;5,0,1)</f>
        <v>0</v>
      </c>
      <c r="C316" s="33" t="str">
        <f aca="false">IF(B316=1,SUM($B$3:B316),"")</f>
        <v/>
      </c>
      <c r="D316" s="393" t="str">
        <f aca="false">IF(B316=1,A316,"")</f>
        <v/>
      </c>
    </row>
    <row r="317" customFormat="false" ht="16" hidden="false" customHeight="false" outlineLevel="0" collapsed="false">
      <c r="A317" s="394" t="n">
        <f aca="false">A316+1</f>
        <v>45627</v>
      </c>
      <c r="B317" s="33" t="n">
        <f aca="false">IF(WEEKDAY(A317,2)&gt;5,0,1)</f>
        <v>0</v>
      </c>
      <c r="C317" s="33" t="str">
        <f aca="false">IF(B317=1,SUM($B$3:B317),"")</f>
        <v/>
      </c>
      <c r="D317" s="393" t="str">
        <f aca="false">IF(B317=1,A317,"")</f>
        <v/>
      </c>
    </row>
    <row r="318" customFormat="false" ht="16" hidden="false" customHeight="false" outlineLevel="0" collapsed="false">
      <c r="A318" s="394" t="n">
        <f aca="false">A317+1</f>
        <v>45628</v>
      </c>
      <c r="B318" s="33" t="n">
        <f aca="false">IF(WEEKDAY(A318,2)&gt;5,0,1)</f>
        <v>1</v>
      </c>
      <c r="C318" s="33" t="n">
        <f aca="false">IF(B318=1,SUM($B$3:B318),"")</f>
        <v>163</v>
      </c>
      <c r="D318" s="393" t="n">
        <f aca="false">IF(B318=1,A318,"")</f>
        <v>45628</v>
      </c>
    </row>
    <row r="319" customFormat="false" ht="16" hidden="false" customHeight="false" outlineLevel="0" collapsed="false">
      <c r="A319" s="394" t="n">
        <f aca="false">A318+1</f>
        <v>45629</v>
      </c>
      <c r="B319" s="33" t="n">
        <f aca="false">IF(WEEKDAY(A319,2)&gt;5,0,1)</f>
        <v>1</v>
      </c>
      <c r="C319" s="33" t="n">
        <f aca="false">IF(B319=1,SUM($B$3:B319),"")</f>
        <v>164</v>
      </c>
      <c r="D319" s="393" t="n">
        <f aca="false">IF(B319=1,A319,"")</f>
        <v>45629</v>
      </c>
    </row>
    <row r="320" customFormat="false" ht="16" hidden="false" customHeight="false" outlineLevel="0" collapsed="false">
      <c r="A320" s="394" t="n">
        <f aca="false">A319+1</f>
        <v>45630</v>
      </c>
      <c r="B320" s="33" t="n">
        <f aca="false">IF(WEEKDAY(A320,2)&gt;5,0,1)</f>
        <v>1</v>
      </c>
      <c r="C320" s="33" t="n">
        <f aca="false">IF(B320=1,SUM($B$3:B320),"")</f>
        <v>165</v>
      </c>
      <c r="D320" s="393" t="n">
        <f aca="false">IF(B320=1,A320,"")</f>
        <v>45630</v>
      </c>
    </row>
    <row r="321" customFormat="false" ht="16" hidden="false" customHeight="false" outlineLevel="0" collapsed="false">
      <c r="A321" s="394" t="n">
        <f aca="false">A320+1</f>
        <v>45631</v>
      </c>
      <c r="B321" s="33" t="n">
        <f aca="false">IF(WEEKDAY(A321,2)&gt;5,0,1)</f>
        <v>1</v>
      </c>
      <c r="C321" s="33" t="n">
        <f aca="false">IF(B321=1,SUM($B$3:B321),"")</f>
        <v>166</v>
      </c>
      <c r="D321" s="393" t="n">
        <f aca="false">IF(B321=1,A321,"")</f>
        <v>45631</v>
      </c>
    </row>
    <row r="322" customFormat="false" ht="16" hidden="false" customHeight="false" outlineLevel="0" collapsed="false">
      <c r="A322" s="394" t="n">
        <f aca="false">A321+1</f>
        <v>45632</v>
      </c>
      <c r="B322" s="33" t="n">
        <f aca="false">IF(WEEKDAY(A322,2)&gt;5,0,1)</f>
        <v>1</v>
      </c>
      <c r="C322" s="33" t="n">
        <f aca="false">IF(B322=1,SUM($B$3:B322),"")</f>
        <v>167</v>
      </c>
      <c r="D322" s="393" t="n">
        <f aca="false">IF(B322=1,A322,"")</f>
        <v>45632</v>
      </c>
    </row>
    <row r="323" customFormat="false" ht="16" hidden="false" customHeight="false" outlineLevel="0" collapsed="false">
      <c r="A323" s="394" t="n">
        <f aca="false">A322+1</f>
        <v>45633</v>
      </c>
      <c r="B323" s="33" t="n">
        <f aca="false">IF(WEEKDAY(A323,2)&gt;5,0,1)</f>
        <v>0</v>
      </c>
      <c r="C323" s="33" t="str">
        <f aca="false">IF(B323=1,SUM($B$3:B323),"")</f>
        <v/>
      </c>
      <c r="D323" s="393" t="str">
        <f aca="false">IF(B323=1,A323,"")</f>
        <v/>
      </c>
    </row>
    <row r="324" customFormat="false" ht="16" hidden="false" customHeight="false" outlineLevel="0" collapsed="false">
      <c r="A324" s="394" t="n">
        <f aca="false">A323+1</f>
        <v>45634</v>
      </c>
      <c r="B324" s="33" t="n">
        <f aca="false">IF(WEEKDAY(A324,2)&gt;5,0,1)</f>
        <v>0</v>
      </c>
      <c r="C324" s="33" t="str">
        <f aca="false">IF(B324=1,SUM($B$3:B324),"")</f>
        <v/>
      </c>
      <c r="D324" s="393" t="str">
        <f aca="false">IF(B324=1,A324,"")</f>
        <v/>
      </c>
    </row>
    <row r="325" customFormat="false" ht="16" hidden="false" customHeight="false" outlineLevel="0" collapsed="false">
      <c r="A325" s="394" t="n">
        <f aca="false">A324+1</f>
        <v>45635</v>
      </c>
      <c r="B325" s="33" t="n">
        <f aca="false">IF(WEEKDAY(A325,2)&gt;5,0,1)</f>
        <v>1</v>
      </c>
      <c r="C325" s="33" t="n">
        <f aca="false">IF(B325=1,SUM($B$3:B325),"")</f>
        <v>168</v>
      </c>
      <c r="D325" s="393" t="n">
        <f aca="false">IF(B325=1,A325,"")</f>
        <v>45635</v>
      </c>
    </row>
    <row r="326" customFormat="false" ht="16" hidden="false" customHeight="false" outlineLevel="0" collapsed="false">
      <c r="A326" s="394" t="n">
        <f aca="false">A325+1</f>
        <v>45636</v>
      </c>
      <c r="B326" s="33" t="n">
        <f aca="false">IF(WEEKDAY(A326,2)&gt;5,0,1)</f>
        <v>1</v>
      </c>
      <c r="C326" s="33" t="n">
        <f aca="false">IF(B326=1,SUM($B$3:B326),"")</f>
        <v>169</v>
      </c>
      <c r="D326" s="393" t="n">
        <f aca="false">IF(B326=1,A326,"")</f>
        <v>45636</v>
      </c>
    </row>
    <row r="327" customFormat="false" ht="16" hidden="false" customHeight="false" outlineLevel="0" collapsed="false">
      <c r="A327" s="394" t="n">
        <f aca="false">A326+1</f>
        <v>45637</v>
      </c>
      <c r="B327" s="33" t="n">
        <f aca="false">IF(WEEKDAY(A327,2)&gt;5,0,1)</f>
        <v>1</v>
      </c>
      <c r="C327" s="33" t="n">
        <f aca="false">IF(B327=1,SUM($B$3:B327),"")</f>
        <v>170</v>
      </c>
      <c r="D327" s="393" t="n">
        <f aca="false">IF(B327=1,A327,"")</f>
        <v>45637</v>
      </c>
    </row>
    <row r="328" customFormat="false" ht="16" hidden="false" customHeight="false" outlineLevel="0" collapsed="false">
      <c r="A328" s="394" t="n">
        <f aca="false">A327+1</f>
        <v>45638</v>
      </c>
      <c r="B328" s="33" t="n">
        <f aca="false">IF(WEEKDAY(A328,2)&gt;5,0,1)</f>
        <v>1</v>
      </c>
      <c r="C328" s="33" t="n">
        <f aca="false">IF(B328=1,SUM($B$3:B328),"")</f>
        <v>171</v>
      </c>
      <c r="D328" s="393" t="n">
        <f aca="false">IF(B328=1,A328,"")</f>
        <v>45638</v>
      </c>
    </row>
    <row r="329" customFormat="false" ht="16" hidden="false" customHeight="false" outlineLevel="0" collapsed="false">
      <c r="A329" s="394" t="n">
        <f aca="false">A328+1</f>
        <v>45639</v>
      </c>
      <c r="B329" s="33" t="n">
        <f aca="false">IF(WEEKDAY(A329,2)&gt;5,0,1)</f>
        <v>1</v>
      </c>
      <c r="C329" s="33" t="n">
        <f aca="false">IF(B329=1,SUM($B$3:B329),"")</f>
        <v>172</v>
      </c>
      <c r="D329" s="393" t="n">
        <f aca="false">IF(B329=1,A329,"")</f>
        <v>45639</v>
      </c>
    </row>
    <row r="330" customFormat="false" ht="16" hidden="false" customHeight="false" outlineLevel="0" collapsed="false">
      <c r="A330" s="394" t="n">
        <f aca="false">A329+1</f>
        <v>45640</v>
      </c>
      <c r="B330" s="33" t="n">
        <f aca="false">IF(WEEKDAY(A330,2)&gt;5,0,1)</f>
        <v>0</v>
      </c>
      <c r="C330" s="33" t="str">
        <f aca="false">IF(B330=1,SUM($B$3:B330),"")</f>
        <v/>
      </c>
      <c r="D330" s="393" t="str">
        <f aca="false">IF(B330=1,A330,"")</f>
        <v/>
      </c>
    </row>
    <row r="331" customFormat="false" ht="16" hidden="false" customHeight="false" outlineLevel="0" collapsed="false">
      <c r="A331" s="394" t="n">
        <f aca="false">A330+1</f>
        <v>45641</v>
      </c>
      <c r="B331" s="33" t="n">
        <f aca="false">IF(WEEKDAY(A331,2)&gt;5,0,1)</f>
        <v>0</v>
      </c>
      <c r="C331" s="33" t="str">
        <f aca="false">IF(B331=1,SUM($B$3:B331),"")</f>
        <v/>
      </c>
      <c r="D331" s="393" t="str">
        <f aca="false">IF(B331=1,A331,"")</f>
        <v/>
      </c>
    </row>
    <row r="332" customFormat="false" ht="16" hidden="false" customHeight="false" outlineLevel="0" collapsed="false">
      <c r="A332" s="394" t="n">
        <f aca="false">A331+1</f>
        <v>45642</v>
      </c>
      <c r="B332" s="33" t="n">
        <f aca="false">IF(WEEKDAY(A332,2)&gt;5,0,1)</f>
        <v>1</v>
      </c>
      <c r="C332" s="33" t="n">
        <f aca="false">IF(B332=1,SUM($B$3:B332),"")</f>
        <v>173</v>
      </c>
      <c r="D332" s="393" t="n">
        <f aca="false">IF(B332=1,A332,"")</f>
        <v>45642</v>
      </c>
    </row>
    <row r="333" customFormat="false" ht="16" hidden="false" customHeight="false" outlineLevel="0" collapsed="false">
      <c r="A333" s="394" t="n">
        <f aca="false">A332+1</f>
        <v>45643</v>
      </c>
      <c r="B333" s="33" t="n">
        <f aca="false">IF(WEEKDAY(A333,2)&gt;5,0,1)</f>
        <v>1</v>
      </c>
      <c r="C333" s="33" t="n">
        <f aca="false">IF(B333=1,SUM($B$3:B333),"")</f>
        <v>174</v>
      </c>
      <c r="D333" s="393" t="n">
        <f aca="false">IF(B333=1,A333,"")</f>
        <v>45643</v>
      </c>
    </row>
    <row r="334" customFormat="false" ht="16" hidden="false" customHeight="false" outlineLevel="0" collapsed="false">
      <c r="A334" s="394" t="n">
        <f aca="false">A333+1</f>
        <v>45644</v>
      </c>
      <c r="B334" s="33" t="n">
        <f aca="false">IF(WEEKDAY(A334,2)&gt;5,0,1)</f>
        <v>1</v>
      </c>
      <c r="C334" s="33" t="n">
        <f aca="false">IF(B334=1,SUM($B$3:B334),"")</f>
        <v>175</v>
      </c>
      <c r="D334" s="393" t="n">
        <f aca="false">IF(B334=1,A334,"")</f>
        <v>45644</v>
      </c>
    </row>
    <row r="335" customFormat="false" ht="16" hidden="false" customHeight="false" outlineLevel="0" collapsed="false">
      <c r="A335" s="394" t="n">
        <f aca="false">A334+1</f>
        <v>45645</v>
      </c>
      <c r="B335" s="33" t="n">
        <f aca="false">IF(WEEKDAY(A335,2)&gt;5,0,1)</f>
        <v>1</v>
      </c>
      <c r="C335" s="33" t="n">
        <f aca="false">IF(B335=1,SUM($B$3:B335),"")</f>
        <v>176</v>
      </c>
      <c r="D335" s="393" t="n">
        <f aca="false">IF(B335=1,A335,"")</f>
        <v>45645</v>
      </c>
    </row>
    <row r="336" customFormat="false" ht="16" hidden="false" customHeight="false" outlineLevel="0" collapsed="false">
      <c r="A336" s="394" t="n">
        <f aca="false">A335+1</f>
        <v>45646</v>
      </c>
      <c r="B336" s="33" t="n">
        <f aca="false">IF(WEEKDAY(A336,2)&gt;5,0,1)</f>
        <v>1</v>
      </c>
      <c r="C336" s="33" t="n">
        <f aca="false">IF(B336=1,SUM($B$3:B336),"")</f>
        <v>177</v>
      </c>
      <c r="D336" s="393" t="n">
        <f aca="false">IF(B336=1,A336,"")</f>
        <v>45646</v>
      </c>
    </row>
    <row r="337" customFormat="false" ht="16" hidden="false" customHeight="false" outlineLevel="0" collapsed="false">
      <c r="A337" s="394" t="n">
        <f aca="false">A336+1</f>
        <v>45647</v>
      </c>
      <c r="B337" s="33" t="n">
        <f aca="false">IF(WEEKDAY(A337,2)&gt;5,0,1)</f>
        <v>0</v>
      </c>
      <c r="C337" s="33" t="str">
        <f aca="false">IF(B337=1,SUM($B$3:B337),"")</f>
        <v/>
      </c>
      <c r="D337" s="393" t="str">
        <f aca="false">IF(B337=1,A337,"")</f>
        <v/>
      </c>
    </row>
    <row r="338" customFormat="false" ht="16" hidden="false" customHeight="false" outlineLevel="0" collapsed="false">
      <c r="A338" s="394" t="n">
        <f aca="false">A337+1</f>
        <v>45648</v>
      </c>
      <c r="B338" s="33" t="n">
        <f aca="false">IF(WEEKDAY(A338,2)&gt;5,0,1)</f>
        <v>0</v>
      </c>
      <c r="C338" s="33" t="str">
        <f aca="false">IF(B338=1,SUM($B$3:B338),"")</f>
        <v/>
      </c>
      <c r="D338" s="393" t="str">
        <f aca="false">IF(B338=1,A338,"")</f>
        <v/>
      </c>
    </row>
    <row r="339" customFormat="false" ht="16" hidden="false" customHeight="false" outlineLevel="0" collapsed="false">
      <c r="A339" s="394" t="n">
        <f aca="false">A338+1</f>
        <v>45649</v>
      </c>
      <c r="B339" s="33" t="n">
        <f aca="false">IF(WEEKDAY(A339,2)&gt;5,0,1)</f>
        <v>1</v>
      </c>
      <c r="C339" s="33" t="n">
        <f aca="false">IF(B339=1,SUM($B$3:B339),"")</f>
        <v>178</v>
      </c>
      <c r="D339" s="393" t="n">
        <f aca="false">IF(B339=1,A339,"")</f>
        <v>45649</v>
      </c>
    </row>
    <row r="340" customFormat="false" ht="16" hidden="false" customHeight="false" outlineLevel="0" collapsed="false">
      <c r="A340" s="394" t="n">
        <f aca="false">A339+1</f>
        <v>45650</v>
      </c>
      <c r="B340" s="33" t="n">
        <f aca="false">IF(WEEKDAY(A340,2)&gt;5,0,1)</f>
        <v>1</v>
      </c>
      <c r="C340" s="33" t="n">
        <f aca="false">IF(B340=1,SUM($B$3:B340),"")</f>
        <v>179</v>
      </c>
      <c r="D340" s="393" t="n">
        <f aca="false">IF(B340=1,A340,"")</f>
        <v>45650</v>
      </c>
    </row>
    <row r="341" customFormat="false" ht="16" hidden="false" customHeight="false" outlineLevel="0" collapsed="false">
      <c r="A341" s="394" t="n">
        <f aca="false">A340+1</f>
        <v>45651</v>
      </c>
      <c r="B341" s="33" t="n">
        <f aca="false">IF(WEEKDAY(A341,2)&gt;5,0,1)</f>
        <v>1</v>
      </c>
      <c r="C341" s="33" t="n">
        <f aca="false">IF(B341=1,SUM($B$3:B341),"")</f>
        <v>180</v>
      </c>
      <c r="D341" s="393" t="n">
        <f aca="false">IF(B341=1,A341,"")</f>
        <v>45651</v>
      </c>
    </row>
    <row r="342" customFormat="false" ht="16" hidden="false" customHeight="false" outlineLevel="0" collapsed="false">
      <c r="A342" s="394" t="n">
        <f aca="false">A341+1</f>
        <v>45652</v>
      </c>
      <c r="B342" s="33" t="n">
        <f aca="false">IF(WEEKDAY(A342,2)&gt;5,0,1)</f>
        <v>1</v>
      </c>
      <c r="C342" s="33" t="n">
        <f aca="false">IF(B342=1,SUM($B$3:B342),"")</f>
        <v>181</v>
      </c>
      <c r="D342" s="393" t="n">
        <f aca="false">IF(B342=1,A342,"")</f>
        <v>45652</v>
      </c>
    </row>
    <row r="343" customFormat="false" ht="16" hidden="false" customHeight="false" outlineLevel="0" collapsed="false">
      <c r="A343" s="394" t="n">
        <f aca="false">A342+1</f>
        <v>45653</v>
      </c>
      <c r="B343" s="33" t="n">
        <f aca="false">IF(WEEKDAY(A343,2)&gt;5,0,1)</f>
        <v>1</v>
      </c>
      <c r="C343" s="33" t="n">
        <f aca="false">IF(B343=1,SUM($B$3:B343),"")</f>
        <v>182</v>
      </c>
      <c r="D343" s="393" t="n">
        <f aca="false">IF(B343=1,A343,"")</f>
        <v>45653</v>
      </c>
    </row>
    <row r="344" customFormat="false" ht="16" hidden="false" customHeight="false" outlineLevel="0" collapsed="false">
      <c r="A344" s="394" t="n">
        <f aca="false">A343+1</f>
        <v>45654</v>
      </c>
      <c r="B344" s="33" t="n">
        <f aca="false">IF(WEEKDAY(A344,2)&gt;5,0,1)</f>
        <v>0</v>
      </c>
      <c r="C344" s="33" t="str">
        <f aca="false">IF(B344=1,SUM($B$3:B344),"")</f>
        <v/>
      </c>
      <c r="D344" s="393" t="str">
        <f aca="false">IF(B344=1,A344,"")</f>
        <v/>
      </c>
    </row>
    <row r="345" customFormat="false" ht="16" hidden="false" customHeight="false" outlineLevel="0" collapsed="false">
      <c r="A345" s="394" t="n">
        <f aca="false">A344+1</f>
        <v>45655</v>
      </c>
      <c r="B345" s="33" t="n">
        <v>0</v>
      </c>
      <c r="C345" s="33" t="str">
        <f aca="false">IF(B345=1,SUM($B$3:B345),"")</f>
        <v/>
      </c>
      <c r="D345" s="393" t="str">
        <f aca="false">IF(B345=1,A345,"")</f>
        <v/>
      </c>
    </row>
    <row r="346" customFormat="false" ht="16" hidden="false" customHeight="false" outlineLevel="0" collapsed="false">
      <c r="A346" s="394" t="n">
        <f aca="false">A345+1</f>
        <v>45656</v>
      </c>
      <c r="B346" s="33" t="n">
        <v>0</v>
      </c>
      <c r="C346" s="33" t="str">
        <f aca="false">IF(B346=1,SUM($B$3:B346),"")</f>
        <v/>
      </c>
      <c r="D346" s="393" t="str">
        <f aca="false">IF(B346=1,A346,"")</f>
        <v/>
      </c>
    </row>
    <row r="347" customFormat="false" ht="16" hidden="false" customHeight="false" outlineLevel="0" collapsed="false">
      <c r="A347" s="394" t="n">
        <f aca="false">A346+1</f>
        <v>45657</v>
      </c>
      <c r="B347" s="33" t="n">
        <v>0</v>
      </c>
      <c r="C347" s="33" t="str">
        <f aca="false">IF(B347=1,SUM($B$3:B347),"")</f>
        <v/>
      </c>
      <c r="D347" s="393" t="str">
        <f aca="false">IF(B347=1,A347,"")</f>
        <v/>
      </c>
    </row>
    <row r="348" customFormat="false" ht="16" hidden="false" customHeight="false" outlineLevel="0" collapsed="false">
      <c r="A348" s="394" t="n">
        <f aca="false">A347+1</f>
        <v>45658</v>
      </c>
      <c r="B348" s="33" t="n">
        <v>0</v>
      </c>
      <c r="C348" s="33" t="str">
        <f aca="false">IF(B348=1,SUM($B$3:B348),"")</f>
        <v/>
      </c>
      <c r="D348" s="393" t="str">
        <f aca="false">IF(B348=1,A348,"")</f>
        <v/>
      </c>
    </row>
    <row r="349" customFormat="false" ht="16" hidden="false" customHeight="false" outlineLevel="0" collapsed="false">
      <c r="A349" s="394" t="n">
        <f aca="false">A348+1</f>
        <v>45659</v>
      </c>
      <c r="B349" s="33" t="n">
        <v>0</v>
      </c>
      <c r="C349" s="33" t="str">
        <f aca="false">IF(B349=1,SUM($B$3:B349),"")</f>
        <v/>
      </c>
      <c r="D349" s="393" t="str">
        <f aca="false">IF(B349=1,A349,"")</f>
        <v/>
      </c>
    </row>
    <row r="350" customFormat="false" ht="16" hidden="false" customHeight="false" outlineLevel="0" collapsed="false">
      <c r="A350" s="394" t="n">
        <f aca="false">A349+1</f>
        <v>45660</v>
      </c>
      <c r="B350" s="33" t="n">
        <v>0</v>
      </c>
      <c r="C350" s="33" t="str">
        <f aca="false">IF(B350=1,SUM($B$3:B350),"")</f>
        <v/>
      </c>
      <c r="D350" s="393" t="str">
        <f aca="false">IF(B350=1,A350,"")</f>
        <v/>
      </c>
    </row>
    <row r="351" customFormat="false" ht="16" hidden="false" customHeight="false" outlineLevel="0" collapsed="false">
      <c r="A351" s="394" t="n">
        <f aca="false">A350+1</f>
        <v>45661</v>
      </c>
      <c r="B351" s="33" t="n">
        <f aca="false">IF(WEEKDAY(A351,2)&gt;5,0,1)</f>
        <v>0</v>
      </c>
      <c r="C351" s="33" t="str">
        <f aca="false">IF(B351=1,SUM($B$3:B351),"")</f>
        <v/>
      </c>
      <c r="D351" s="393" t="str">
        <f aca="false">IF(B351=1,A351,"")</f>
        <v/>
      </c>
    </row>
    <row r="352" customFormat="false" ht="16" hidden="false" customHeight="false" outlineLevel="0" collapsed="false">
      <c r="A352" s="394" t="n">
        <f aca="false">A351+1</f>
        <v>45662</v>
      </c>
      <c r="B352" s="33" t="n">
        <f aca="false">IF(WEEKDAY(A352,2)&gt;5,0,1)</f>
        <v>0</v>
      </c>
      <c r="C352" s="33" t="str">
        <f aca="false">IF(B352=1,SUM($B$3:B352),"")</f>
        <v/>
      </c>
      <c r="D352" s="393" t="str">
        <f aca="false">IF(B352=1,A352,"")</f>
        <v/>
      </c>
    </row>
    <row r="353" customFormat="false" ht="16" hidden="false" customHeight="false" outlineLevel="0" collapsed="false">
      <c r="A353" s="394" t="n">
        <f aca="false">A352+1</f>
        <v>45663</v>
      </c>
      <c r="B353" s="33" t="n">
        <v>0</v>
      </c>
      <c r="C353" s="33" t="str">
        <f aca="false">IF(B353=1,SUM($B$3:B353),"")</f>
        <v/>
      </c>
      <c r="D353" s="393" t="str">
        <f aca="false">IF(B353=1,A353,"")</f>
        <v/>
      </c>
    </row>
    <row r="354" customFormat="false" ht="16" hidden="false" customHeight="false" outlineLevel="0" collapsed="false">
      <c r="A354" s="394" t="n">
        <f aca="false">A353+1</f>
        <v>45664</v>
      </c>
      <c r="B354" s="33" t="n">
        <v>0</v>
      </c>
      <c r="C354" s="33" t="str">
        <f aca="false">IF(B354=1,SUM($B$3:B354),"")</f>
        <v/>
      </c>
      <c r="D354" s="393" t="str">
        <f aca="false">IF(B354=1,A354,"")</f>
        <v/>
      </c>
    </row>
    <row r="355" customFormat="false" ht="16" hidden="false" customHeight="false" outlineLevel="0" collapsed="false">
      <c r="A355" s="394" t="n">
        <f aca="false">A354+1</f>
        <v>45665</v>
      </c>
      <c r="B355" s="33" t="n">
        <v>0</v>
      </c>
      <c r="C355" s="33" t="str">
        <f aca="false">IF(B355=1,SUM($B$3:B355),"")</f>
        <v/>
      </c>
      <c r="D355" s="393" t="str">
        <f aca="false">IF(B355=1,A355,"")</f>
        <v/>
      </c>
    </row>
    <row r="356" customFormat="false" ht="16" hidden="false" customHeight="false" outlineLevel="0" collapsed="false">
      <c r="A356" s="394" t="n">
        <f aca="false">A355+1</f>
        <v>45666</v>
      </c>
      <c r="B356" s="33" t="n">
        <v>0</v>
      </c>
      <c r="C356" s="33" t="str">
        <f aca="false">IF(B356=1,SUM($B$3:B356),"")</f>
        <v/>
      </c>
      <c r="D356" s="393" t="str">
        <f aca="false">IF(B356=1,A356,"")</f>
        <v/>
      </c>
    </row>
    <row r="357" customFormat="false" ht="16" hidden="false" customHeight="false" outlineLevel="0" collapsed="false">
      <c r="A357" s="394" t="n">
        <f aca="false">A356+1</f>
        <v>45667</v>
      </c>
      <c r="B357" s="33" t="n">
        <v>0</v>
      </c>
      <c r="C357" s="33" t="str">
        <f aca="false">IF(B357=1,SUM($B$3:B357),"")</f>
        <v/>
      </c>
      <c r="D357" s="393" t="str">
        <f aca="false">IF(B357=1,A357,"")</f>
        <v/>
      </c>
    </row>
    <row r="358" customFormat="false" ht="16" hidden="false" customHeight="false" outlineLevel="0" collapsed="false">
      <c r="A358" s="394" t="n">
        <f aca="false">A357+1</f>
        <v>45668</v>
      </c>
      <c r="B358" s="33" t="n">
        <f aca="false">IF(WEEKDAY(A358,2)&gt;5,0,1)</f>
        <v>0</v>
      </c>
      <c r="C358" s="33" t="str">
        <f aca="false">IF(B358=1,SUM($B$3:B358),"")</f>
        <v/>
      </c>
      <c r="D358" s="393" t="str">
        <f aca="false">IF(B358=1,A358,"")</f>
        <v/>
      </c>
    </row>
    <row r="359" customFormat="false" ht="16" hidden="false" customHeight="false" outlineLevel="0" collapsed="false">
      <c r="A359" s="394" t="n">
        <f aca="false">A358+1</f>
        <v>45669</v>
      </c>
      <c r="B359" s="33" t="n">
        <f aca="false">IF(WEEKDAY(A359,2)&gt;5,0,1)</f>
        <v>0</v>
      </c>
      <c r="C359" s="33" t="str">
        <f aca="false">IF(B359=1,SUM($B$3:B359),"")</f>
        <v/>
      </c>
      <c r="D359" s="393" t="str">
        <f aca="false">IF(B359=1,A359,"")</f>
        <v/>
      </c>
    </row>
    <row r="360" customFormat="false" ht="16" hidden="false" customHeight="false" outlineLevel="0" collapsed="false">
      <c r="A360" s="394" t="n">
        <f aca="false">A359+1</f>
        <v>45670</v>
      </c>
      <c r="B360" s="33" t="n">
        <f aca="false">IF(WEEKDAY(A360,2)&gt;5,0,1)</f>
        <v>1</v>
      </c>
      <c r="C360" s="33" t="n">
        <f aca="false">IF(B360=1,SUM($B$3:B360),"")</f>
        <v>183</v>
      </c>
      <c r="D360" s="393" t="n">
        <f aca="false">IF(B360=1,A360,"")</f>
        <v>45670</v>
      </c>
    </row>
    <row r="361" customFormat="false" ht="16" hidden="false" customHeight="false" outlineLevel="0" collapsed="false">
      <c r="A361" s="394" t="n">
        <f aca="false">A360+1</f>
        <v>45671</v>
      </c>
      <c r="B361" s="33" t="n">
        <f aca="false">IF(WEEKDAY(A361,2)&gt;5,0,1)</f>
        <v>1</v>
      </c>
      <c r="C361" s="33" t="n">
        <f aca="false">IF(B361=1,SUM($B$3:B361),"")</f>
        <v>184</v>
      </c>
      <c r="D361" s="393" t="n">
        <f aca="false">IF(B361=1,A361,"")</f>
        <v>45671</v>
      </c>
    </row>
    <row r="362" customFormat="false" ht="16" hidden="false" customHeight="false" outlineLevel="0" collapsed="false">
      <c r="A362" s="394" t="n">
        <f aca="false">A361+1</f>
        <v>45672</v>
      </c>
      <c r="B362" s="33" t="n">
        <f aca="false">IF(WEEKDAY(A362,2)&gt;5,0,1)</f>
        <v>1</v>
      </c>
      <c r="C362" s="33" t="n">
        <f aca="false">IF(B362=1,SUM($B$3:B362),"")</f>
        <v>185</v>
      </c>
      <c r="D362" s="393" t="n">
        <f aca="false">IF(B362=1,A362,"")</f>
        <v>45672</v>
      </c>
    </row>
    <row r="363" customFormat="false" ht="16" hidden="false" customHeight="false" outlineLevel="0" collapsed="false">
      <c r="A363" s="394" t="n">
        <f aca="false">A362+1</f>
        <v>45673</v>
      </c>
      <c r="B363" s="33" t="n">
        <f aca="false">IF(WEEKDAY(A363,2)&gt;5,0,1)</f>
        <v>1</v>
      </c>
      <c r="C363" s="33" t="n">
        <f aca="false">IF(B363=1,SUM($B$3:B363),"")</f>
        <v>186</v>
      </c>
      <c r="D363" s="393" t="n">
        <f aca="false">IF(B363=1,A363,"")</f>
        <v>45673</v>
      </c>
    </row>
    <row r="364" customFormat="false" ht="16" hidden="false" customHeight="false" outlineLevel="0" collapsed="false">
      <c r="A364" s="394" t="n">
        <f aca="false">A363+1</f>
        <v>45674</v>
      </c>
      <c r="B364" s="33" t="n">
        <f aca="false">IF(WEEKDAY(A364,2)&gt;5,0,1)</f>
        <v>1</v>
      </c>
      <c r="C364" s="33" t="n">
        <f aca="false">IF(B364=1,SUM($B$3:B364),"")</f>
        <v>187</v>
      </c>
      <c r="D364" s="393" t="n">
        <f aca="false">IF(B364=1,A364,"")</f>
        <v>45674</v>
      </c>
    </row>
    <row r="365" customFormat="false" ht="16" hidden="false" customHeight="false" outlineLevel="0" collapsed="false">
      <c r="A365" s="394" t="n">
        <f aca="false">A364+1</f>
        <v>45675</v>
      </c>
      <c r="B365" s="33" t="n">
        <f aca="false">IF(WEEKDAY(A365,2)&gt;5,0,1)</f>
        <v>0</v>
      </c>
      <c r="C365" s="33" t="str">
        <f aca="false">IF(B365=1,SUM($B$3:B365),"")</f>
        <v/>
      </c>
      <c r="D365" s="393" t="str">
        <f aca="false">IF(B365=1,A365,"")</f>
        <v/>
      </c>
    </row>
    <row r="366" customFormat="false" ht="16" hidden="false" customHeight="false" outlineLevel="0" collapsed="false">
      <c r="A366" s="394" t="n">
        <f aca="false">A365+1</f>
        <v>45676</v>
      </c>
      <c r="B366" s="33" t="n">
        <f aca="false">IF(WEEKDAY(A366,2)&gt;5,0,1)</f>
        <v>0</v>
      </c>
      <c r="C366" s="33" t="str">
        <f aca="false">IF(B366=1,SUM($B$3:B366),"")</f>
        <v/>
      </c>
      <c r="D366" s="393" t="str">
        <f aca="false">IF(B366=1,A366,"")</f>
        <v/>
      </c>
    </row>
    <row r="367" customFormat="false" ht="16" hidden="false" customHeight="false" outlineLevel="0" collapsed="false">
      <c r="A367" s="394" t="n">
        <f aca="false">A366+1</f>
        <v>45677</v>
      </c>
      <c r="B367" s="33" t="n">
        <v>0</v>
      </c>
      <c r="C367" s="33" t="str">
        <f aca="false">IF(B367=1,SUM($B$3:B367),"")</f>
        <v/>
      </c>
      <c r="D367" s="393" t="str">
        <f aca="false">IF(B367=1,A367,"")</f>
        <v/>
      </c>
    </row>
    <row r="368" customFormat="false" ht="16" hidden="false" customHeight="false" outlineLevel="0" collapsed="false">
      <c r="A368" s="394" t="n">
        <f aca="false">A367+1</f>
        <v>45678</v>
      </c>
      <c r="B368" s="33" t="n">
        <v>0</v>
      </c>
      <c r="C368" s="33" t="str">
        <f aca="false">IF(B368=1,SUM($B$3:B368),"")</f>
        <v/>
      </c>
      <c r="D368" s="393" t="str">
        <f aca="false">IF(B368=1,A368,"")</f>
        <v/>
      </c>
    </row>
  </sheetData>
  <mergeCells count="2">
    <mergeCell ref="A1:C1"/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2" min="2" style="0" width="24.83"/>
    <col collapsed="false" customWidth="true" hidden="false" outlineLevel="0" max="3" min="3" style="0" width="42.33"/>
    <col collapsed="false" customWidth="true" hidden="false" outlineLevel="0" max="4" min="4" style="16" width="8.5"/>
    <col collapsed="false" customWidth="true" hidden="false" outlineLevel="0" max="5" min="5" style="0" width="79.16"/>
    <col collapsed="false" customWidth="true" hidden="true" outlineLevel="0" max="6" min="6" style="0" width="2.83"/>
    <col collapsed="false" customWidth="true" hidden="false" outlineLevel="0" max="8" min="8" style="0" width="22.83"/>
  </cols>
  <sheetData>
    <row r="1" customFormat="false" ht="70" hidden="false" customHeight="true" outlineLevel="0" collapsed="false"/>
    <row r="2" customFormat="false" ht="20" hidden="false" customHeight="false" outlineLevel="0" collapsed="false">
      <c r="A2" s="31" t="s">
        <v>63</v>
      </c>
      <c r="B2" s="31"/>
      <c r="C2" s="31"/>
      <c r="D2" s="31"/>
      <c r="E2" s="31"/>
      <c r="H2" s="32" t="s">
        <v>64</v>
      </c>
    </row>
    <row r="3" customFormat="false" ht="16" hidden="false" customHeight="false" outlineLevel="0" collapsed="false">
      <c r="A3" s="8"/>
      <c r="B3" s="8"/>
      <c r="C3" s="8"/>
      <c r="D3" s="33"/>
      <c r="E3" s="8"/>
      <c r="H3" s="8" t="s">
        <v>65</v>
      </c>
    </row>
    <row r="4" customFormat="false" ht="16" hidden="false" customHeight="false" outlineLevel="0" collapsed="false">
      <c r="A4" s="32" t="s">
        <v>66</v>
      </c>
      <c r="B4" s="32" t="s">
        <v>67</v>
      </c>
      <c r="C4" s="32" t="s">
        <v>68</v>
      </c>
      <c r="D4" s="32" t="s">
        <v>69</v>
      </c>
      <c r="E4" s="32" t="s">
        <v>70</v>
      </c>
      <c r="F4" s="34"/>
      <c r="H4" s="8" t="s">
        <v>71</v>
      </c>
    </row>
    <row r="5" customFormat="false" ht="16" hidden="false" customHeight="false" outlineLevel="0" collapsed="false">
      <c r="A5" s="35" t="n">
        <v>45313</v>
      </c>
      <c r="B5" s="8" t="s">
        <v>72</v>
      </c>
      <c r="C5" s="8" t="s">
        <v>73</v>
      </c>
      <c r="D5" s="27" t="s">
        <v>74</v>
      </c>
      <c r="E5" s="29"/>
      <c r="F5" s="36" t="str">
        <f aca="false">IF(AND(NOT(ISBLANK(A5)),A5&lt;'Fiche PIC'!$B$7),"P","")</f>
        <v>P</v>
      </c>
      <c r="H5" s="8" t="s">
        <v>75</v>
      </c>
    </row>
    <row r="6" customFormat="false" ht="16" hidden="false" customHeight="false" outlineLevel="0" collapsed="false">
      <c r="A6" s="35" t="n">
        <f aca="false">A5+7</f>
        <v>45320</v>
      </c>
      <c r="B6" s="8" t="s">
        <v>72</v>
      </c>
      <c r="C6" s="8" t="s">
        <v>76</v>
      </c>
      <c r="D6" s="27" t="s">
        <v>74</v>
      </c>
      <c r="E6" s="29"/>
      <c r="F6" s="36" t="str">
        <f aca="false">IF(AND(NOT(ISBLANK(A6)),A6&lt;'Fiche PIC'!$B$7),"P","")</f>
        <v>P</v>
      </c>
      <c r="H6" s="8" t="s">
        <v>77</v>
      </c>
    </row>
    <row r="7" customFormat="false" ht="16" hidden="false" customHeight="false" outlineLevel="0" collapsed="false">
      <c r="A7" s="35" t="n">
        <v>44242</v>
      </c>
      <c r="B7" s="8" t="s">
        <v>72</v>
      </c>
      <c r="C7" s="8" t="s">
        <v>78</v>
      </c>
      <c r="D7" s="27" t="s">
        <v>74</v>
      </c>
      <c r="E7" s="29"/>
      <c r="F7" s="36" t="str">
        <f aca="false">IF(AND(NOT(ISBLANK(A7)),A7&lt;'Fiche PIC'!$B$7),"P","")</f>
        <v>P</v>
      </c>
      <c r="H7" s="8" t="s">
        <v>72</v>
      </c>
    </row>
    <row r="8" customFormat="false" ht="16" hidden="false" customHeight="false" outlineLevel="0" collapsed="false">
      <c r="A8" s="35" t="n">
        <v>44242</v>
      </c>
      <c r="B8" s="8" t="s">
        <v>72</v>
      </c>
      <c r="C8" s="8" t="s">
        <v>79</v>
      </c>
      <c r="D8" s="27" t="s">
        <v>74</v>
      </c>
      <c r="E8" s="29"/>
      <c r="F8" s="36" t="str">
        <f aca="false">IF(AND(NOT(ISBLANK(A8)),A8&lt;'Fiche PIC'!$B$7),"P","")</f>
        <v>P</v>
      </c>
      <c r="H8" s="8" t="s">
        <v>80</v>
      </c>
    </row>
    <row r="9" customFormat="false" ht="16" hidden="false" customHeight="false" outlineLevel="0" collapsed="false">
      <c r="A9" s="35"/>
      <c r="B9" s="8"/>
      <c r="C9" s="8"/>
      <c r="D9" s="27"/>
      <c r="E9" s="29"/>
      <c r="F9" s="36" t="str">
        <f aca="false">IF(AND(NOT(ISBLANK(A9)),A9&lt;'Fiche PIC'!$B$7),"P","")</f>
        <v/>
      </c>
      <c r="H9" s="8" t="s">
        <v>81</v>
      </c>
    </row>
    <row r="10" customFormat="false" ht="16" hidden="false" customHeight="false" outlineLevel="0" collapsed="false">
      <c r="A10" s="35"/>
      <c r="B10" s="8"/>
      <c r="C10" s="8"/>
      <c r="D10" s="27"/>
      <c r="E10" s="29"/>
      <c r="F10" s="36" t="str">
        <f aca="false">IF(AND(NOT(ISBLANK(A10)),A10&lt;'Fiche PIC'!$B$7),"P","")</f>
        <v/>
      </c>
      <c r="H10" s="8"/>
    </row>
    <row r="11" customFormat="false" ht="16" hidden="false" customHeight="false" outlineLevel="0" collapsed="false">
      <c r="A11" s="35"/>
      <c r="B11" s="8"/>
      <c r="C11" s="8"/>
      <c r="D11" s="27"/>
      <c r="E11" s="29"/>
      <c r="F11" s="36" t="str">
        <f aca="false">IF(AND(NOT(ISBLANK(A11)),A11&lt;'Fiche PIC'!$B$7),"P","")</f>
        <v/>
      </c>
      <c r="H11" s="8"/>
    </row>
    <row r="12" customFormat="false" ht="16" hidden="false" customHeight="false" outlineLevel="0" collapsed="false">
      <c r="A12" s="35"/>
      <c r="B12" s="8"/>
      <c r="C12" s="8"/>
      <c r="D12" s="27"/>
      <c r="E12" s="29"/>
      <c r="F12" s="36" t="str">
        <f aca="false">IF(AND(NOT(ISBLANK(A12)),A12&lt;'Fiche PIC'!$B$7),"P","")</f>
        <v/>
      </c>
    </row>
    <row r="13" customFormat="false" ht="16" hidden="false" customHeight="false" outlineLevel="0" collapsed="false">
      <c r="A13" s="35"/>
      <c r="B13" s="8"/>
      <c r="C13" s="8"/>
      <c r="D13" s="27"/>
      <c r="E13" s="29"/>
      <c r="F13" s="36" t="str">
        <f aca="false">IF(AND(NOT(ISBLANK(A13)),A13&lt;'Fiche PIC'!$B$7),"P","")</f>
        <v/>
      </c>
    </row>
    <row r="14" customFormat="false" ht="16" hidden="false" customHeight="false" outlineLevel="0" collapsed="false">
      <c r="A14" s="35"/>
      <c r="B14" s="8"/>
      <c r="C14" s="8"/>
      <c r="D14" s="27"/>
      <c r="E14" s="29"/>
      <c r="F14" s="36" t="str">
        <f aca="false">IF(AND(NOT(ISBLANK(A14)),A14&lt;'Fiche PIC'!$B$7),"P","")</f>
        <v/>
      </c>
    </row>
    <row r="15" customFormat="false" ht="16" hidden="false" customHeight="false" outlineLevel="0" collapsed="false">
      <c r="A15" s="35"/>
      <c r="B15" s="8"/>
      <c r="C15" s="8"/>
      <c r="D15" s="27"/>
      <c r="E15" s="29"/>
      <c r="F15" s="36" t="str">
        <f aca="false">IF(AND(NOT(ISBLANK(A15)),A15&lt;'Fiche PIC'!$B$7),"P","")</f>
        <v/>
      </c>
    </row>
    <row r="16" customFormat="false" ht="16" hidden="false" customHeight="false" outlineLevel="0" collapsed="false">
      <c r="A16" s="35"/>
      <c r="B16" s="8"/>
      <c r="C16" s="8"/>
      <c r="D16" s="27"/>
      <c r="E16" s="29"/>
      <c r="F16" s="36" t="str">
        <f aca="false">IF(AND(NOT(ISBLANK(A16)),A16&lt;'Fiche PIC'!$B$7),"P","")</f>
        <v/>
      </c>
    </row>
    <row r="17" customFormat="false" ht="16" hidden="false" customHeight="false" outlineLevel="0" collapsed="false">
      <c r="A17" s="8"/>
      <c r="B17" s="8"/>
      <c r="C17" s="8"/>
      <c r="D17" s="33"/>
      <c r="E17" s="8"/>
      <c r="F17" s="36" t="str">
        <f aca="false">IF(AND(NOT(ISBLANK(A17)),A17&lt;'Fiche PIC'!$B$7),"P","")</f>
        <v/>
      </c>
    </row>
    <row r="18" customFormat="false" ht="16" hidden="false" customHeight="false" outlineLevel="0" collapsed="false">
      <c r="A18" s="8"/>
      <c r="B18" s="8"/>
      <c r="C18" s="8"/>
      <c r="D18" s="33"/>
      <c r="E18" s="8"/>
      <c r="F18" s="36" t="str">
        <f aca="false">IF(AND(NOT(ISBLANK(A18)),A18&lt;'Fiche PIC'!$B$7),"P","")</f>
        <v/>
      </c>
    </row>
    <row r="19" customFormat="false" ht="16" hidden="false" customHeight="false" outlineLevel="0" collapsed="false">
      <c r="A19" s="8"/>
      <c r="B19" s="8"/>
      <c r="C19" s="8"/>
      <c r="D19" s="33"/>
      <c r="E19" s="8"/>
      <c r="F19" s="36" t="str">
        <f aca="false">IF(AND(NOT(ISBLANK(A19)),A19&lt;'Fiche PIC'!$B$7),"P","")</f>
        <v/>
      </c>
    </row>
    <row r="20" customFormat="false" ht="16" hidden="false" customHeight="false" outlineLevel="0" collapsed="false">
      <c r="A20" s="8"/>
      <c r="B20" s="8"/>
      <c r="C20" s="8"/>
      <c r="D20" s="33"/>
      <c r="E20" s="8"/>
      <c r="F20" s="36" t="str">
        <f aca="false">IF(AND(NOT(ISBLANK(A20)),A20&lt;'Fiche PIC'!$B$7),"P","")</f>
        <v/>
      </c>
    </row>
    <row r="21" customFormat="false" ht="16" hidden="false" customHeight="false" outlineLevel="0" collapsed="false">
      <c r="A21" s="8"/>
      <c r="B21" s="8"/>
      <c r="C21" s="8"/>
      <c r="D21" s="33"/>
      <c r="E21" s="8"/>
      <c r="F21" s="36" t="str">
        <f aca="false">IF(AND(NOT(ISBLANK(A21)),A21&lt;'Fiche PIC'!$B$7),"P","")</f>
        <v/>
      </c>
    </row>
    <row r="22" customFormat="false" ht="16" hidden="false" customHeight="false" outlineLevel="0" collapsed="false">
      <c r="A22" s="8"/>
      <c r="B22" s="8"/>
      <c r="C22" s="8"/>
      <c r="D22" s="33"/>
      <c r="E22" s="8"/>
      <c r="F22" s="36" t="str">
        <f aca="false">IF(AND(NOT(ISBLANK(A22)),A22&lt;'Fiche PIC'!$B$7),"P","")</f>
        <v/>
      </c>
    </row>
    <row r="23" customFormat="false" ht="16" hidden="false" customHeight="false" outlineLevel="0" collapsed="false">
      <c r="A23" s="8"/>
      <c r="B23" s="8"/>
      <c r="C23" s="8"/>
      <c r="D23" s="33"/>
      <c r="E23" s="8"/>
      <c r="F23" s="36" t="str">
        <f aca="false">IF(AND(NOT(ISBLANK(A23)),A23&lt;'Fiche PIC'!$B$7),"P","")</f>
        <v/>
      </c>
    </row>
    <row r="24" customFormat="false" ht="16" hidden="false" customHeight="false" outlineLevel="0" collapsed="false">
      <c r="A24" s="8"/>
      <c r="B24" s="8"/>
      <c r="C24" s="8"/>
      <c r="D24" s="33"/>
      <c r="E24" s="8"/>
      <c r="F24" s="36" t="str">
        <f aca="false">IF(AND(NOT(ISBLANK(A24)),A24&lt;'Fiche PIC'!$B$7),"P","")</f>
        <v/>
      </c>
    </row>
    <row r="25" customFormat="false" ht="16" hidden="false" customHeight="false" outlineLevel="0" collapsed="false">
      <c r="A25" s="8"/>
      <c r="B25" s="8"/>
      <c r="C25" s="8"/>
      <c r="D25" s="33"/>
      <c r="E25" s="8"/>
      <c r="F25" s="36" t="str">
        <f aca="false">IF(AND(NOT(ISBLANK(A25)),A25&lt;'Fiche PIC'!$B$7),"P","")</f>
        <v/>
      </c>
    </row>
    <row r="26" customFormat="false" ht="16" hidden="false" customHeight="false" outlineLevel="0" collapsed="false">
      <c r="A26" s="8"/>
      <c r="B26" s="8"/>
      <c r="C26" s="8"/>
      <c r="D26" s="33"/>
      <c r="E26" s="8"/>
      <c r="F26" s="36" t="str">
        <f aca="false">IF(AND(NOT(ISBLANK(A26)),A26&lt;'Fiche PIC'!$B$7),"P","")</f>
        <v/>
      </c>
    </row>
    <row r="27" customFormat="false" ht="16" hidden="false" customHeight="false" outlineLevel="0" collapsed="false">
      <c r="A27" s="8"/>
      <c r="B27" s="8"/>
      <c r="C27" s="8"/>
      <c r="D27" s="33"/>
      <c r="E27" s="8"/>
      <c r="F27" s="36" t="str">
        <f aca="false">IF(AND(NOT(ISBLANK(A27)),A27&lt;'Fiche PIC'!$B$7),"P","")</f>
        <v/>
      </c>
    </row>
    <row r="28" customFormat="false" ht="16" hidden="false" customHeight="false" outlineLevel="0" collapsed="false">
      <c r="A28" s="8"/>
      <c r="B28" s="8"/>
      <c r="C28" s="8"/>
      <c r="D28" s="33"/>
      <c r="E28" s="8"/>
      <c r="F28" s="36" t="str">
        <f aca="false">IF(AND(NOT(ISBLANK(A28)),A28&lt;'Fiche PIC'!$B$7),"P","")</f>
        <v/>
      </c>
    </row>
    <row r="29" customFormat="false" ht="16" hidden="false" customHeight="false" outlineLevel="0" collapsed="false">
      <c r="A29" s="8"/>
      <c r="B29" s="8"/>
      <c r="C29" s="8"/>
      <c r="D29" s="33"/>
      <c r="E29" s="8"/>
      <c r="F29" s="36" t="str">
        <f aca="false">IF(AND(NOT(ISBLANK(A29)),A29&lt;'Fiche PIC'!$B$7),"P","")</f>
        <v/>
      </c>
    </row>
    <row r="30" customFormat="false" ht="16" hidden="false" customHeight="false" outlineLevel="0" collapsed="false">
      <c r="A30" s="8"/>
      <c r="B30" s="8"/>
      <c r="C30" s="8"/>
      <c r="D30" s="33"/>
      <c r="E30" s="8"/>
      <c r="F30" s="36" t="str">
        <f aca="false">IF(AND(NOT(ISBLANK(A30)),A30&lt;'Fiche PIC'!$B$7),"P","")</f>
        <v/>
      </c>
    </row>
    <row r="31" customFormat="false" ht="16" hidden="false" customHeight="false" outlineLevel="0" collapsed="false">
      <c r="A31" s="8"/>
      <c r="B31" s="8"/>
      <c r="C31" s="8"/>
      <c r="D31" s="33"/>
      <c r="E31" s="8"/>
      <c r="F31" s="36" t="str">
        <f aca="false">IF(AND(NOT(ISBLANK(A31)),A31&lt;'Fiche PIC'!$B$7),"P","")</f>
        <v/>
      </c>
    </row>
    <row r="32" customFormat="false" ht="16" hidden="false" customHeight="false" outlineLevel="0" collapsed="false">
      <c r="A32" s="8"/>
      <c r="B32" s="8"/>
      <c r="C32" s="8"/>
      <c r="D32" s="33"/>
      <c r="E32" s="8"/>
      <c r="F32" s="36" t="str">
        <f aca="false">IF(AND(NOT(ISBLANK(A32)),A32&lt;'Fiche PIC'!$B$7),"P","")</f>
        <v/>
      </c>
    </row>
  </sheetData>
  <mergeCells count="1">
    <mergeCell ref="A2:E2"/>
  </mergeCells>
  <conditionalFormatting sqref="B8:B32">
    <cfRule type="expression" priority="2" aboveAverage="0" equalAverage="0" bottom="0" percent="0" rank="0" text="" dxfId="0">
      <formula>$F8="P"</formula>
    </cfRule>
  </conditionalFormatting>
  <conditionalFormatting sqref="E5:F5 A5:D7 E6:E16 A8:A16 C8:D16">
    <cfRule type="expression" priority="3" aboveAverage="0" equalAverage="0" bottom="0" percent="0" rank="0" text="" dxfId="1">
      <formula>$F5="P"</formula>
    </cfRule>
  </conditionalFormatting>
  <conditionalFormatting sqref="F6:F32">
    <cfRule type="expression" priority="4" aboveAverage="0" equalAverage="0" bottom="0" percent="0" rank="0" text="" dxfId="2">
      <formula>$G6="P"</formula>
    </cfRule>
  </conditionalFormatting>
  <dataValidations count="1">
    <dataValidation allowBlank="true" errorStyle="stop" operator="between" showDropDown="false" showErrorMessage="true" showInputMessage="true" sqref="B5:B32" type="list">
      <formula1>$H$3:$H$11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28.5"/>
    <col collapsed="false" customWidth="true" hidden="false" outlineLevel="0" max="3" min="3" style="0" width="22.67"/>
    <col collapsed="false" customWidth="true" hidden="false" outlineLevel="0" max="4" min="4" style="0" width="97.83"/>
    <col collapsed="false" customWidth="true" hidden="true" outlineLevel="0" max="5" min="5" style="0" width="5.83"/>
    <col collapsed="false" customWidth="true" hidden="false" outlineLevel="0" max="6" min="6" style="0" width="15"/>
    <col collapsed="false" customWidth="true" hidden="false" outlineLevel="0" max="7" min="7" style="0" width="28.16"/>
  </cols>
  <sheetData>
    <row r="1" customFormat="false" ht="57" hidden="false" customHeight="true" outlineLevel="0" collapsed="false"/>
    <row r="2" customFormat="false" ht="20" hidden="false" customHeight="false" outlineLevel="0" collapsed="false">
      <c r="A2" s="31" t="s">
        <v>82</v>
      </c>
      <c r="B2" s="31"/>
      <c r="C2" s="31"/>
      <c r="D2" s="31"/>
    </row>
    <row r="3" customFormat="false" ht="16" hidden="false" customHeight="false" outlineLevel="0" collapsed="false">
      <c r="G3" s="32" t="s">
        <v>83</v>
      </c>
    </row>
    <row r="4" customFormat="false" ht="16" hidden="false" customHeight="false" outlineLevel="0" collapsed="false">
      <c r="A4" s="32" t="s">
        <v>66</v>
      </c>
      <c r="B4" s="32" t="s">
        <v>67</v>
      </c>
      <c r="C4" s="32" t="s">
        <v>84</v>
      </c>
      <c r="D4" s="32" t="s">
        <v>85</v>
      </c>
      <c r="E4" s="34"/>
      <c r="G4" s="8" t="s">
        <v>86</v>
      </c>
    </row>
    <row r="5" customFormat="false" ht="16" hidden="false" customHeight="false" outlineLevel="0" collapsed="false">
      <c r="A5" s="37" t="n">
        <v>45314</v>
      </c>
      <c r="B5" s="8" t="s">
        <v>87</v>
      </c>
      <c r="C5" s="8" t="s">
        <v>88</v>
      </c>
      <c r="D5" s="38" t="s">
        <v>89</v>
      </c>
      <c r="E5" s="36" t="str">
        <f aca="false">IF(AND(NOT(ISBLANK(A5)),A5&lt;'Fiche PIC'!$B$7),"P","")</f>
        <v>P</v>
      </c>
      <c r="G5" s="8" t="s">
        <v>90</v>
      </c>
    </row>
    <row r="6" customFormat="false" ht="16" hidden="false" customHeight="false" outlineLevel="0" collapsed="false">
      <c r="A6" s="37" t="n">
        <v>45346</v>
      </c>
      <c r="B6" s="8" t="s">
        <v>87</v>
      </c>
      <c r="C6" s="8" t="s">
        <v>88</v>
      </c>
      <c r="D6" s="38" t="s">
        <v>91</v>
      </c>
      <c r="E6" s="36" t="str">
        <f aca="false">IF(AND(NOT(ISBLANK(A6)),A6&lt;'Fiche PIC'!$B$7),"P","")</f>
        <v>P</v>
      </c>
      <c r="F6" s="36"/>
      <c r="G6" s="8" t="s">
        <v>92</v>
      </c>
    </row>
    <row r="7" customFormat="false" ht="16" hidden="false" customHeight="false" outlineLevel="0" collapsed="false">
      <c r="A7" s="37" t="n">
        <v>45317</v>
      </c>
      <c r="B7" s="8" t="s">
        <v>90</v>
      </c>
      <c r="C7" s="8" t="s">
        <v>71</v>
      </c>
      <c r="D7" s="38" t="s">
        <v>93</v>
      </c>
      <c r="E7" s="36" t="str">
        <f aca="false">IF(AND(NOT(ISBLANK(A7)),A7&lt;'Fiche PIC'!$B$7),"P","")</f>
        <v>P</v>
      </c>
      <c r="F7" s="36"/>
      <c r="G7" s="8" t="s">
        <v>94</v>
      </c>
    </row>
    <row r="8" customFormat="false" ht="16" hidden="false" customHeight="false" outlineLevel="0" collapsed="false">
      <c r="A8" s="37" t="n">
        <v>45323</v>
      </c>
      <c r="B8" s="39" t="s">
        <v>86</v>
      </c>
      <c r="C8" s="8" t="s">
        <v>3</v>
      </c>
      <c r="D8" s="38" t="s">
        <v>95</v>
      </c>
      <c r="E8" s="36" t="str">
        <f aca="false">IF(AND(NOT(ISBLANK(A8)),A8&lt;'Fiche PIC'!$B$7),"P","")</f>
        <v>P</v>
      </c>
      <c r="F8" s="36"/>
      <c r="G8" s="8" t="s">
        <v>87</v>
      </c>
    </row>
    <row r="9" customFormat="false" ht="16" hidden="false" customHeight="false" outlineLevel="0" collapsed="false">
      <c r="A9" s="37" t="n">
        <v>45346</v>
      </c>
      <c r="B9" s="8" t="s">
        <v>94</v>
      </c>
      <c r="C9" s="8" t="s">
        <v>96</v>
      </c>
      <c r="D9" s="38" t="s">
        <v>97</v>
      </c>
      <c r="E9" s="36" t="str">
        <f aca="false">IF(AND(NOT(ISBLANK(A9)),A9&lt;'Fiche PIC'!$B$7),"P","")</f>
        <v>P</v>
      </c>
      <c r="F9" s="36"/>
      <c r="G9" s="8" t="s">
        <v>92</v>
      </c>
    </row>
    <row r="10" customFormat="false" ht="16" hidden="false" customHeight="false" outlineLevel="0" collapsed="false">
      <c r="A10" s="37"/>
      <c r="B10" s="8"/>
      <c r="C10" s="8"/>
      <c r="D10" s="33"/>
      <c r="E10" s="36" t="str">
        <f aca="false">IF(AND(NOT(ISBLANK(A10)),A10&lt;'Fiche PIC'!$B$7),"P","")</f>
        <v/>
      </c>
      <c r="F10" s="36"/>
      <c r="G10" s="8"/>
    </row>
    <row r="11" customFormat="false" ht="16" hidden="false" customHeight="false" outlineLevel="0" collapsed="false">
      <c r="A11" s="37"/>
      <c r="B11" s="8"/>
      <c r="C11" s="8"/>
      <c r="D11" s="33"/>
      <c r="E11" s="36" t="str">
        <f aca="false">IF(AND(NOT(ISBLANK(A11)),A11&lt;'Fiche PIC'!$B$7),"P","")</f>
        <v/>
      </c>
      <c r="F11" s="36"/>
      <c r="G11" s="8"/>
    </row>
    <row r="12" customFormat="false" ht="16" hidden="false" customHeight="false" outlineLevel="0" collapsed="false">
      <c r="A12" s="37"/>
      <c r="B12" s="8"/>
      <c r="C12" s="8"/>
      <c r="D12" s="33"/>
      <c r="E12" s="36" t="str">
        <f aca="false">IF(AND(NOT(ISBLANK(A12)),A12&lt;'Fiche PIC'!$B$7),"P","")</f>
        <v/>
      </c>
      <c r="F12" s="36"/>
      <c r="G12" s="8"/>
    </row>
    <row r="13" customFormat="false" ht="16" hidden="false" customHeight="false" outlineLevel="0" collapsed="false">
      <c r="A13" s="37"/>
      <c r="B13" s="8"/>
      <c r="C13" s="8"/>
      <c r="D13" s="33"/>
      <c r="E13" s="36" t="str">
        <f aca="false">IF(AND(NOT(ISBLANK(A13)),A13&lt;'Fiche PIC'!$B$7),"P","")</f>
        <v/>
      </c>
      <c r="F13" s="36"/>
      <c r="G13" s="8"/>
    </row>
    <row r="14" customFormat="false" ht="16" hidden="false" customHeight="false" outlineLevel="0" collapsed="false">
      <c r="A14" s="37"/>
      <c r="B14" s="8"/>
      <c r="C14" s="8"/>
      <c r="D14" s="33"/>
      <c r="E14" s="36" t="str">
        <f aca="false">IF(AND(NOT(ISBLANK(A14)),A14&lt;'Fiche PIC'!$B$7),"P","")</f>
        <v/>
      </c>
      <c r="F14" s="36"/>
    </row>
    <row r="15" customFormat="false" ht="16" hidden="false" customHeight="false" outlineLevel="0" collapsed="false">
      <c r="A15" s="37"/>
      <c r="B15" s="8"/>
      <c r="C15" s="8"/>
      <c r="D15" s="33"/>
      <c r="E15" s="36" t="str">
        <f aca="false">IF(AND(NOT(ISBLANK(A15)),A15&lt;'Fiche PIC'!$B$7),"P","")</f>
        <v/>
      </c>
      <c r="F15" s="36"/>
    </row>
    <row r="16" customFormat="false" ht="16" hidden="false" customHeight="false" outlineLevel="0" collapsed="false">
      <c r="A16" s="37"/>
      <c r="B16" s="8"/>
      <c r="C16" s="8"/>
      <c r="D16" s="33"/>
      <c r="E16" s="36" t="str">
        <f aca="false">IF(AND(NOT(ISBLANK(A16)),A16&lt;'Fiche PIC'!$B$7),"P","")</f>
        <v/>
      </c>
      <c r="F16" s="36"/>
    </row>
    <row r="17" customFormat="false" ht="16" hidden="false" customHeight="false" outlineLevel="0" collapsed="false">
      <c r="A17" s="37"/>
      <c r="B17" s="8"/>
      <c r="C17" s="8"/>
      <c r="D17" s="33"/>
      <c r="E17" s="36" t="str">
        <f aca="false">IF(AND(NOT(ISBLANK(A17)),A17&lt;'Fiche PIC'!$B$7),"P","")</f>
        <v/>
      </c>
      <c r="F17" s="36"/>
    </row>
    <row r="18" customFormat="false" ht="16" hidden="false" customHeight="false" outlineLevel="0" collapsed="false">
      <c r="A18" s="37"/>
      <c r="B18" s="8"/>
      <c r="C18" s="8"/>
      <c r="D18" s="33"/>
      <c r="E18" s="36" t="str">
        <f aca="false">IF(AND(NOT(ISBLANK(A18)),A18&lt;'Fiche PIC'!$B$7),"P","")</f>
        <v/>
      </c>
      <c r="F18" s="36"/>
    </row>
    <row r="19" customFormat="false" ht="16" hidden="false" customHeight="false" outlineLevel="0" collapsed="false">
      <c r="A19" s="37"/>
      <c r="B19" s="8"/>
      <c r="C19" s="8"/>
      <c r="D19" s="33"/>
      <c r="E19" s="36" t="str">
        <f aca="false">IF(AND(NOT(ISBLANK(A19)),A19&lt;'Fiche PIC'!$B$7),"P","")</f>
        <v/>
      </c>
      <c r="F19" s="36"/>
    </row>
    <row r="20" customFormat="false" ht="16" hidden="false" customHeight="false" outlineLevel="0" collapsed="false">
      <c r="A20" s="37"/>
      <c r="B20" s="8"/>
      <c r="C20" s="8"/>
      <c r="D20" s="33"/>
      <c r="E20" s="36" t="str">
        <f aca="false">IF(AND(NOT(ISBLANK(A20)),A20&lt;'Fiche PIC'!$B$7),"P","")</f>
        <v/>
      </c>
      <c r="F20" s="36"/>
    </row>
    <row r="21" customFormat="false" ht="16" hidden="false" customHeight="false" outlineLevel="0" collapsed="false">
      <c r="A21" s="37"/>
      <c r="B21" s="8"/>
      <c r="C21" s="8"/>
      <c r="D21" s="33"/>
      <c r="E21" s="36" t="str">
        <f aca="false">IF(AND(NOT(ISBLANK(A21)),A21&lt;'Fiche PIC'!$B$7),"P","")</f>
        <v/>
      </c>
      <c r="F21" s="36"/>
    </row>
    <row r="22" customFormat="false" ht="16" hidden="false" customHeight="false" outlineLevel="0" collapsed="false">
      <c r="A22" s="37"/>
      <c r="B22" s="8"/>
      <c r="C22" s="8"/>
      <c r="D22" s="33"/>
      <c r="E22" s="36" t="str">
        <f aca="false">IF(AND(NOT(ISBLANK(A22)),A22&lt;'Fiche PIC'!$B$7),"P","")</f>
        <v/>
      </c>
      <c r="F22" s="36"/>
    </row>
    <row r="23" customFormat="false" ht="16" hidden="false" customHeight="false" outlineLevel="0" collapsed="false">
      <c r="A23" s="37"/>
      <c r="B23" s="8"/>
      <c r="C23" s="8"/>
      <c r="D23" s="33"/>
      <c r="E23" s="36" t="str">
        <f aca="false">IF(AND(NOT(ISBLANK(A23)),A23&lt;'Fiche PIC'!$B$7),"P","")</f>
        <v/>
      </c>
      <c r="F23" s="36"/>
    </row>
    <row r="24" customFormat="false" ht="16" hidden="false" customHeight="false" outlineLevel="0" collapsed="false">
      <c r="A24" s="37"/>
      <c r="B24" s="8"/>
      <c r="C24" s="8"/>
      <c r="D24" s="33"/>
      <c r="E24" s="36" t="str">
        <f aca="false">IF(AND(NOT(ISBLANK(A24)),A24&lt;'Fiche PIC'!$B$7),"P","")</f>
        <v/>
      </c>
      <c r="F24" s="36"/>
    </row>
    <row r="25" customFormat="false" ht="16" hidden="false" customHeight="false" outlineLevel="0" collapsed="false">
      <c r="A25" s="37"/>
      <c r="B25" s="8"/>
      <c r="C25" s="8"/>
      <c r="D25" s="33"/>
      <c r="E25" s="36" t="str">
        <f aca="false">IF(AND(NOT(ISBLANK(A25)),A25&lt;'Fiche PIC'!$B$7),"P","")</f>
        <v/>
      </c>
      <c r="F25" s="36"/>
    </row>
    <row r="26" customFormat="false" ht="16" hidden="false" customHeight="false" outlineLevel="0" collapsed="false">
      <c r="A26" s="37"/>
      <c r="B26" s="8"/>
      <c r="C26" s="8"/>
      <c r="D26" s="33"/>
      <c r="E26" s="36" t="str">
        <f aca="false">IF(AND(NOT(ISBLANK(A26)),A26&lt;'Fiche PIC'!$B$7),"P","")</f>
        <v/>
      </c>
      <c r="F26" s="36"/>
    </row>
    <row r="27" customFormat="false" ht="16" hidden="false" customHeight="false" outlineLevel="0" collapsed="false">
      <c r="A27" s="37"/>
      <c r="B27" s="8"/>
      <c r="C27" s="8"/>
      <c r="D27" s="33"/>
      <c r="E27" s="36" t="str">
        <f aca="false">IF(AND(NOT(ISBLANK(A27)),A27&lt;'Fiche PIC'!$B$7),"P","")</f>
        <v/>
      </c>
      <c r="F27" s="36"/>
    </row>
    <row r="28" customFormat="false" ht="16" hidden="false" customHeight="false" outlineLevel="0" collapsed="false">
      <c r="A28" s="37"/>
      <c r="B28" s="8"/>
      <c r="C28" s="8"/>
      <c r="D28" s="33"/>
      <c r="E28" s="36" t="str">
        <f aca="false">IF(AND(NOT(ISBLANK(A28)),A28&lt;'Fiche PIC'!$B$7),"P","")</f>
        <v/>
      </c>
      <c r="F28" s="36"/>
    </row>
    <row r="29" customFormat="false" ht="16" hidden="false" customHeight="false" outlineLevel="0" collapsed="false">
      <c r="A29" s="37"/>
      <c r="B29" s="8"/>
      <c r="C29" s="8"/>
      <c r="D29" s="33"/>
      <c r="E29" s="36" t="str">
        <f aca="false">IF(AND(NOT(ISBLANK(A29)),A29&lt;'Fiche PIC'!$B$7),"P","")</f>
        <v/>
      </c>
      <c r="F29" s="36"/>
    </row>
    <row r="30" customFormat="false" ht="16" hidden="false" customHeight="false" outlineLevel="0" collapsed="false">
      <c r="A30" s="37"/>
      <c r="B30" s="8"/>
      <c r="C30" s="8"/>
      <c r="D30" s="33"/>
      <c r="E30" s="36" t="str">
        <f aca="false">IF(AND(NOT(ISBLANK(A30)),A30&lt;'Fiche PIC'!$B$7),"P","")</f>
        <v/>
      </c>
      <c r="F30" s="36"/>
    </row>
    <row r="31" customFormat="false" ht="16" hidden="false" customHeight="false" outlineLevel="0" collapsed="false">
      <c r="A31" s="37"/>
      <c r="B31" s="8"/>
      <c r="C31" s="8"/>
      <c r="D31" s="33"/>
      <c r="E31" s="36" t="str">
        <f aca="false">IF(AND(NOT(ISBLANK(A31)),A31&lt;'Fiche PIC'!$B$7),"P","")</f>
        <v/>
      </c>
      <c r="F31" s="36"/>
    </row>
    <row r="32" customFormat="false" ht="16" hidden="false" customHeight="false" outlineLevel="0" collapsed="false">
      <c r="A32" s="37"/>
      <c r="B32" s="8"/>
      <c r="C32" s="8"/>
      <c r="D32" s="33"/>
      <c r="E32" s="36" t="str">
        <f aca="false">IF(AND(NOT(ISBLANK(A32)),A32&lt;'Fiche PIC'!$B$7),"P","")</f>
        <v/>
      </c>
      <c r="F32" s="36"/>
    </row>
    <row r="33" customFormat="false" ht="16" hidden="false" customHeight="false" outlineLevel="0" collapsed="false">
      <c r="A33" s="37"/>
      <c r="B33" s="8"/>
      <c r="C33" s="8"/>
      <c r="D33" s="33"/>
    </row>
    <row r="34" customFormat="false" ht="16" hidden="false" customHeight="false" outlineLevel="0" collapsed="false">
      <c r="A34" s="37"/>
      <c r="B34" s="8"/>
      <c r="C34" s="8"/>
      <c r="D34" s="33"/>
    </row>
    <row r="35" customFormat="false" ht="16" hidden="false" customHeight="false" outlineLevel="0" collapsed="false">
      <c r="A35" s="37"/>
      <c r="B35" s="8"/>
      <c r="C35" s="8"/>
      <c r="D35" s="33"/>
    </row>
  </sheetData>
  <mergeCells count="1">
    <mergeCell ref="A2:D2"/>
  </mergeCells>
  <conditionalFormatting sqref="A5:D35">
    <cfRule type="expression" priority="2" aboveAverage="0" equalAverage="0" bottom="0" percent="0" rank="0" text="" dxfId="3">
      <formula>$E5="P"</formula>
    </cfRule>
  </conditionalFormatting>
  <conditionalFormatting sqref="E5">
    <cfRule type="expression" priority="3" aboveAverage="0" equalAverage="0" bottom="0" percent="0" rank="0" text="" dxfId="4">
      <formula>$E5="P"</formula>
    </cfRule>
  </conditionalFormatting>
  <conditionalFormatting sqref="E6:F32">
    <cfRule type="expression" priority="4" aboveAverage="0" equalAverage="0" bottom="0" percent="0" rank="0" text="" dxfId="5">
      <formula>$G6="P"</formula>
    </cfRule>
  </conditionalFormatting>
  <dataValidations count="2">
    <dataValidation allowBlank="true" errorStyle="stop" operator="between" showDropDown="false" showErrorMessage="true" showInputMessage="true" sqref="B5:B35" type="list">
      <formula1>$G$4:$G$13</formula1>
      <formula2>0</formula2>
    </dataValidation>
    <dataValidation allowBlank="true" errorStyle="stop" operator="between" showDropDown="false" showErrorMessage="true" showInputMessage="true" sqref="A5:A35" type="date">
      <formula1>'Fiche PIC'!$B$5</formula1>
      <formula2>'Fiche PIC'!$B$6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3" min="3" style="0" width="10.83"/>
    <col collapsed="false" customWidth="true" hidden="false" outlineLevel="0" max="9" min="9" style="0" width="10.83"/>
    <col collapsed="false" customWidth="true" hidden="false" outlineLevel="0" max="12" min="12" style="0" width="10.83"/>
    <col collapsed="false" customWidth="true" hidden="false" outlineLevel="0" max="16" min="16" style="0" width="12.67"/>
    <col collapsed="false" customWidth="true" hidden="false" outlineLevel="0" max="17" min="17" style="0" width="10.83"/>
    <col collapsed="false" customWidth="true" hidden="false" outlineLevel="0" max="19" min="19" style="0" width="19.16"/>
    <col collapsed="false" customWidth="true" hidden="false" outlineLevel="0" max="24" min="24" style="0" width="2"/>
    <col collapsed="false" customWidth="true" hidden="false" outlineLevel="0" max="25" min="25" style="0" width="13"/>
    <col collapsed="false" customWidth="true" hidden="false" outlineLevel="0" max="27" min="27" style="0" width="14.16"/>
    <col collapsed="false" customWidth="true" hidden="false" outlineLevel="0" max="31" min="31" style="0" width="13.5"/>
  </cols>
  <sheetData>
    <row r="1" customFormat="false" ht="77" hidden="false" customHeight="true" outlineLevel="0" collapsed="false">
      <c r="A1" s="40" t="s">
        <v>98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 t="n">
        <f aca="false">'Fiche PIC'!B7</f>
        <v>45377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customFormat="false" ht="26" hidden="false" customHeight="tru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customFormat="false" ht="35" hidden="false" customHeight="true" outlineLevel="0" collapsed="false">
      <c r="B3" s="45" t="s">
        <v>99</v>
      </c>
      <c r="C3" s="45"/>
      <c r="D3" s="45"/>
      <c r="E3" s="45"/>
      <c r="F3" s="45"/>
      <c r="G3" s="45"/>
      <c r="H3" s="45"/>
      <c r="I3" s="45"/>
      <c r="J3" s="45"/>
      <c r="K3" s="46"/>
      <c r="L3" s="45" t="s">
        <v>100</v>
      </c>
      <c r="M3" s="45"/>
      <c r="N3" s="46"/>
      <c r="O3" s="47" t="s">
        <v>101</v>
      </c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</row>
    <row r="4" customFormat="false" ht="41" hidden="false" customHeight="true" outlineLevel="0" collapsed="false">
      <c r="B4" s="48" t="s">
        <v>102</v>
      </c>
      <c r="C4" s="49" t="s">
        <v>103</v>
      </c>
      <c r="D4" s="49"/>
      <c r="E4" s="49" t="s">
        <v>104</v>
      </c>
      <c r="F4" s="49"/>
      <c r="G4" s="49" t="s">
        <v>105</v>
      </c>
      <c r="H4" s="49"/>
      <c r="I4" s="50" t="s">
        <v>106</v>
      </c>
      <c r="J4" s="50"/>
      <c r="L4" s="51" t="n">
        <v>7</v>
      </c>
      <c r="M4" s="51"/>
      <c r="O4" s="52" t="s">
        <v>107</v>
      </c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</row>
    <row r="5" customFormat="false" ht="30" hidden="false" customHeight="true" outlineLevel="0" collapsed="false">
      <c r="B5" s="53" t="n">
        <f aca="false">SPRINT!C3</f>
        <v>1</v>
      </c>
      <c r="C5" s="54" t="n">
        <f aca="false">SPRINT!B5</f>
        <v>45313</v>
      </c>
      <c r="D5" s="54"/>
      <c r="E5" s="54" t="n">
        <f aca="false">SPRINT!B10</f>
        <v>45341</v>
      </c>
      <c r="F5" s="54"/>
      <c r="G5" s="55" t="n">
        <f aca="false">SPRINT!E5</f>
        <v>13</v>
      </c>
      <c r="H5" s="55"/>
      <c r="I5" s="56" t="n">
        <f aca="false">SPRINT!E5-SPRINT!E3</f>
        <v>2</v>
      </c>
      <c r="J5" s="56"/>
      <c r="L5" s="57" t="s">
        <v>108</v>
      </c>
      <c r="M5" s="57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</row>
    <row r="6" customFormat="false" ht="29" hidden="false" customHeight="false" outlineLevel="0" collapsed="false">
      <c r="Z6" s="58"/>
      <c r="AA6" s="58"/>
      <c r="AB6" s="58"/>
      <c r="AC6" s="58"/>
    </row>
    <row r="7" customFormat="false" ht="16" hidden="false" customHeight="false" outlineLevel="0" collapsed="false">
      <c r="L7" s="0" t="n">
        <v>7</v>
      </c>
    </row>
    <row r="55" customFormat="false" ht="16" hidden="false" customHeight="false" outlineLevel="0" collapsed="false">
      <c r="Q55" s="59"/>
      <c r="R55" s="59"/>
      <c r="S55" s="59"/>
      <c r="T55" s="60" t="s">
        <v>109</v>
      </c>
      <c r="U55" s="61" t="s">
        <v>110</v>
      </c>
      <c r="V55" s="62" t="s">
        <v>111</v>
      </c>
      <c r="W55" s="59"/>
      <c r="Y55" s="63"/>
      <c r="Z55" s="63"/>
      <c r="AA55" s="63"/>
      <c r="AB55" s="64" t="s">
        <v>109</v>
      </c>
      <c r="AC55" s="65" t="s">
        <v>110</v>
      </c>
      <c r="AD55" s="66" t="s">
        <v>111</v>
      </c>
      <c r="AE55" s="63"/>
    </row>
    <row r="56" customFormat="false" ht="16" hidden="false" customHeight="false" outlineLevel="0" collapsed="false">
      <c r="Q56" s="67" t="s">
        <v>112</v>
      </c>
      <c r="R56" s="67"/>
      <c r="S56" s="67"/>
      <c r="T56" s="68" t="n">
        <f aca="false">Anomalies!$Q$6</f>
        <v>8.5</v>
      </c>
      <c r="U56" s="68" t="n">
        <f aca="false">Anomalies!$Q$5</f>
        <v>2</v>
      </c>
      <c r="V56" s="68" t="n">
        <f aca="false">Anomalies!$Q$4</f>
        <v>1</v>
      </c>
      <c r="W56" s="69"/>
      <c r="Y56" s="67" t="s">
        <v>112</v>
      </c>
      <c r="Z56" s="67"/>
      <c r="AA56" s="67"/>
      <c r="AB56" s="70" t="n">
        <f aca="false">NC!Q6</f>
        <v>8.5</v>
      </c>
      <c r="AC56" s="70" t="n">
        <f aca="false">NC!Q5</f>
        <v>2</v>
      </c>
      <c r="AD56" s="70" t="n">
        <f aca="false">NC!Q4</f>
        <v>0</v>
      </c>
      <c r="AE56" s="71"/>
    </row>
    <row r="57" customFormat="false" ht="16" hidden="false" customHeight="false" outlineLevel="0" collapsed="false">
      <c r="Q57" s="67" t="s">
        <v>113</v>
      </c>
      <c r="R57" s="67"/>
      <c r="S57" s="67"/>
      <c r="T57" s="72" t="n">
        <f aca="false">Anomalies!$P$6</f>
        <v>15</v>
      </c>
      <c r="U57" s="72" t="n">
        <f aca="false">Anomalies!$P$5</f>
        <v>2</v>
      </c>
      <c r="V57" s="72" t="n">
        <f aca="false">Anomalies!$P$4</f>
        <v>1</v>
      </c>
      <c r="W57" s="69"/>
      <c r="Y57" s="67" t="s">
        <v>113</v>
      </c>
      <c r="Z57" s="67"/>
      <c r="AA57" s="67"/>
      <c r="AB57" s="73" t="n">
        <f aca="false">NC!P6</f>
        <v>14</v>
      </c>
      <c r="AC57" s="73" t="n">
        <f aca="false">NC!P5</f>
        <v>3</v>
      </c>
      <c r="AD57" s="73" t="n">
        <f aca="false">NC!P4</f>
        <v>0</v>
      </c>
      <c r="AE57" s="71"/>
    </row>
    <row r="58" customFormat="false" ht="16" hidden="false" customHeight="false" outlineLevel="0" collapsed="false">
      <c r="Q58" s="67" t="s">
        <v>114</v>
      </c>
      <c r="R58" s="67"/>
      <c r="S58" s="67"/>
      <c r="T58" s="74" t="n">
        <f aca="false">Anomalies!$R$6</f>
        <v>7</v>
      </c>
      <c r="U58" s="74" t="n">
        <f aca="false">Anomalies!$R$5</f>
        <v>2.5</v>
      </c>
      <c r="V58" s="74" t="n">
        <f aca="false">Anomalies!$R$4</f>
        <v>1</v>
      </c>
      <c r="W58" s="69"/>
      <c r="Y58" s="75"/>
      <c r="Z58" s="76" t="s">
        <v>114</v>
      </c>
      <c r="AA58" s="76"/>
      <c r="AB58" s="77" t="n">
        <f aca="false">NC!R6</f>
        <v>8.2</v>
      </c>
      <c r="AC58" s="77" t="n">
        <f aca="false">NC!R5</f>
        <v>1.5</v>
      </c>
      <c r="AD58" s="77" t="n">
        <f aca="false">NC!R4</f>
        <v>0</v>
      </c>
      <c r="AE58" s="71"/>
    </row>
    <row r="59" customFormat="false" ht="16" hidden="false" customHeight="false" outlineLevel="0" collapsed="false">
      <c r="Q59" s="78"/>
      <c r="R59" s="78"/>
      <c r="S59" s="78"/>
      <c r="T59" s="78"/>
      <c r="U59" s="79"/>
      <c r="V59" s="79"/>
      <c r="W59" s="78"/>
      <c r="Y59" s="78"/>
      <c r="Z59" s="78"/>
      <c r="AA59" s="78"/>
      <c r="AB59" s="78"/>
      <c r="AC59" s="78"/>
      <c r="AD59" s="78"/>
      <c r="AE59" s="78"/>
    </row>
  </sheetData>
  <mergeCells count="22">
    <mergeCell ref="A1:Q1"/>
    <mergeCell ref="R1:AC1"/>
    <mergeCell ref="B3:J3"/>
    <mergeCell ref="L3:M3"/>
    <mergeCell ref="O3:AF3"/>
    <mergeCell ref="C4:D4"/>
    <mergeCell ref="E4:F4"/>
    <mergeCell ref="G4:H4"/>
    <mergeCell ref="I4:J4"/>
    <mergeCell ref="L4:M4"/>
    <mergeCell ref="O4:AF5"/>
    <mergeCell ref="C5:D5"/>
    <mergeCell ref="E5:F5"/>
    <mergeCell ref="G5:H5"/>
    <mergeCell ref="I5:J5"/>
    <mergeCell ref="L5:M5"/>
    <mergeCell ref="Q56:S56"/>
    <mergeCell ref="Y56:AA56"/>
    <mergeCell ref="Q57:S57"/>
    <mergeCell ref="Y57:AA57"/>
    <mergeCell ref="Q58:S58"/>
    <mergeCell ref="Z58:AA58"/>
  </mergeCells>
  <conditionalFormatting sqref="L4:L5">
    <cfRule type="iconSet" priority="2">
      <iconSet iconSet="3TrafficLights1" showValue="0">
        <cfvo type="percent" val="0"/>
        <cfvo type="num" val="5"/>
        <cfvo type="num" val="7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300"/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75.83"/>
    <col collapsed="false" customWidth="true" hidden="false" outlineLevel="0" max="3" min="3" style="0" width="47.5"/>
    <col collapsed="false" customWidth="true" hidden="false" outlineLevel="0" max="4" min="4" style="0" width="86.83"/>
    <col collapsed="false" customWidth="true" hidden="false" outlineLevel="0" max="5" min="5" style="16" width="12.17"/>
    <col collapsed="false" customWidth="true" hidden="false" outlineLevel="0" max="6" min="6" style="16" width="12.67"/>
  </cols>
  <sheetData>
    <row r="1" customFormat="false" ht="16" hidden="false" customHeight="false" outlineLevel="0" collapsed="false">
      <c r="A1" s="80" t="s">
        <v>115</v>
      </c>
      <c r="B1" s="80" t="s">
        <v>116</v>
      </c>
      <c r="C1" s="80" t="s">
        <v>117</v>
      </c>
      <c r="D1" s="80" t="s">
        <v>118</v>
      </c>
      <c r="E1" s="80" t="s">
        <v>119</v>
      </c>
      <c r="F1" s="80" t="s">
        <v>67</v>
      </c>
    </row>
    <row r="2" customFormat="false" ht="16" hidden="false" customHeight="false" outlineLevel="0" collapsed="false">
      <c r="A2" s="2" t="s">
        <v>120</v>
      </c>
      <c r="B2" s="2" t="s">
        <v>121</v>
      </c>
      <c r="C2" s="0" t="s">
        <v>122</v>
      </c>
      <c r="D2" s="2" t="s">
        <v>123</v>
      </c>
      <c r="E2" s="81" t="s">
        <v>124</v>
      </c>
      <c r="F2" s="81" t="s">
        <v>125</v>
      </c>
    </row>
    <row r="3" customFormat="false" ht="16" hidden="false" customHeight="false" outlineLevel="0" collapsed="false">
      <c r="A3" s="82" t="s">
        <v>126</v>
      </c>
      <c r="B3" s="82" t="s">
        <v>127</v>
      </c>
      <c r="C3" s="0" t="s">
        <v>122</v>
      </c>
      <c r="D3" s="2" t="s">
        <v>128</v>
      </c>
      <c r="E3" s="81" t="s">
        <v>124</v>
      </c>
      <c r="F3" s="81" t="s">
        <v>125</v>
      </c>
    </row>
    <row r="4" customFormat="false" ht="16" hidden="false" customHeight="false" outlineLevel="0" collapsed="false">
      <c r="A4" s="82" t="s">
        <v>129</v>
      </c>
      <c r="B4" s="82" t="s">
        <v>130</v>
      </c>
      <c r="C4" s="0" t="s">
        <v>122</v>
      </c>
      <c r="D4" s="2" t="s">
        <v>131</v>
      </c>
      <c r="E4" s="81" t="s">
        <v>124</v>
      </c>
      <c r="F4" s="81" t="s">
        <v>125</v>
      </c>
    </row>
    <row r="5" customFormat="false" ht="16" hidden="false" customHeight="false" outlineLevel="0" collapsed="false">
      <c r="A5" s="82" t="s">
        <v>132</v>
      </c>
      <c r="B5" s="82" t="s">
        <v>133</v>
      </c>
      <c r="C5" s="0" t="s">
        <v>134</v>
      </c>
      <c r="D5" s="2" t="s">
        <v>135</v>
      </c>
      <c r="E5" s="81" t="s">
        <v>124</v>
      </c>
      <c r="F5" s="81" t="s">
        <v>125</v>
      </c>
    </row>
    <row r="6" customFormat="false" ht="16" hidden="false" customHeight="false" outlineLevel="0" collapsed="false">
      <c r="A6" s="82" t="s">
        <v>136</v>
      </c>
      <c r="B6" s="82" t="s">
        <v>137</v>
      </c>
      <c r="C6" s="0" t="s">
        <v>138</v>
      </c>
      <c r="D6" s="2" t="s">
        <v>139</v>
      </c>
      <c r="E6" s="81" t="s">
        <v>124</v>
      </c>
      <c r="F6" s="81" t="s">
        <v>125</v>
      </c>
    </row>
    <row r="7" s="2" customFormat="true" ht="16" hidden="false" customHeight="false" outlineLevel="0" collapsed="false">
      <c r="A7" s="2" t="s">
        <v>140</v>
      </c>
      <c r="B7" s="2" t="s">
        <v>141</v>
      </c>
      <c r="C7" s="2" t="s">
        <v>142</v>
      </c>
      <c r="D7" s="2" t="s">
        <v>143</v>
      </c>
      <c r="E7" s="81" t="s">
        <v>124</v>
      </c>
      <c r="F7" s="81" t="s">
        <v>125</v>
      </c>
    </row>
    <row r="8" customFormat="false" ht="16" hidden="false" customHeight="false" outlineLevel="0" collapsed="false">
      <c r="A8" s="2" t="s">
        <v>144</v>
      </c>
      <c r="B8" s="2" t="s">
        <v>145</v>
      </c>
      <c r="C8" s="0" t="s">
        <v>146</v>
      </c>
      <c r="D8" s="2" t="s">
        <v>147</v>
      </c>
      <c r="E8" s="81" t="s">
        <v>124</v>
      </c>
      <c r="F8" s="81" t="s">
        <v>148</v>
      </c>
    </row>
    <row r="9" customFormat="false" ht="16" hidden="false" customHeight="false" outlineLevel="0" collapsed="false">
      <c r="A9" s="82" t="s">
        <v>149</v>
      </c>
      <c r="B9" s="82" t="s">
        <v>150</v>
      </c>
      <c r="C9" s="0" t="s">
        <v>151</v>
      </c>
      <c r="D9" s="2" t="s">
        <v>152</v>
      </c>
      <c r="E9" s="81" t="s">
        <v>124</v>
      </c>
      <c r="F9" s="81" t="s">
        <v>148</v>
      </c>
    </row>
    <row r="10" customFormat="false" ht="16" hidden="false" customHeight="false" outlineLevel="0" collapsed="false">
      <c r="A10" s="0" t="s">
        <v>153</v>
      </c>
      <c r="B10" s="0" t="s">
        <v>154</v>
      </c>
      <c r="D10" s="0" t="s">
        <v>155</v>
      </c>
      <c r="E10" s="16" t="s">
        <v>124</v>
      </c>
      <c r="F10" s="16" t="s">
        <v>148</v>
      </c>
    </row>
    <row r="11" customFormat="false" ht="16" hidden="false" customHeight="false" outlineLevel="0" collapsed="false">
      <c r="A11" s="0" t="s">
        <v>156</v>
      </c>
      <c r="B11" s="0" t="s">
        <v>157</v>
      </c>
      <c r="C11" s="0" t="s">
        <v>158</v>
      </c>
      <c r="D11" s="0" t="s">
        <v>159</v>
      </c>
      <c r="E11" s="16" t="s">
        <v>124</v>
      </c>
      <c r="F11" s="16" t="s">
        <v>148</v>
      </c>
    </row>
    <row r="12" customFormat="false" ht="16" hidden="false" customHeight="false" outlineLevel="0" collapsed="false">
      <c r="A12" s="2" t="s">
        <v>160</v>
      </c>
      <c r="B12" s="2" t="s">
        <v>161</v>
      </c>
      <c r="C12" s="0" t="s">
        <v>162</v>
      </c>
      <c r="D12" s="2" t="s">
        <v>163</v>
      </c>
      <c r="E12" s="81" t="s">
        <v>164</v>
      </c>
      <c r="F12" s="81" t="s">
        <v>148</v>
      </c>
    </row>
    <row r="13" customFormat="false" ht="16" hidden="false" customHeight="false" outlineLevel="0" collapsed="false">
      <c r="A13" s="0" t="s">
        <v>165</v>
      </c>
      <c r="B13" s="0" t="s">
        <v>166</v>
      </c>
      <c r="D13" s="0" t="s">
        <v>167</v>
      </c>
      <c r="E13" s="16" t="s">
        <v>124</v>
      </c>
      <c r="F13" s="16" t="s">
        <v>148</v>
      </c>
    </row>
    <row r="14" customFormat="false" ht="16" hidden="false" customHeight="false" outlineLevel="0" collapsed="false">
      <c r="A14" s="0" t="s">
        <v>168</v>
      </c>
      <c r="B14" s="0" t="s">
        <v>169</v>
      </c>
      <c r="D14" s="0" t="s">
        <v>170</v>
      </c>
      <c r="E14" s="16" t="s">
        <v>124</v>
      </c>
      <c r="F14" s="16" t="s">
        <v>148</v>
      </c>
    </row>
    <row r="15" customFormat="false" ht="16" hidden="false" customHeight="false" outlineLevel="0" collapsed="false">
      <c r="A15" s="82" t="s">
        <v>171</v>
      </c>
      <c r="B15" s="82" t="s">
        <v>172</v>
      </c>
      <c r="C15" s="0" t="s">
        <v>173</v>
      </c>
      <c r="D15" s="2" t="s">
        <v>174</v>
      </c>
      <c r="E15" s="81" t="s">
        <v>124</v>
      </c>
      <c r="F15" s="81" t="s">
        <v>175</v>
      </c>
    </row>
    <row r="16" customFormat="false" ht="16" hidden="false" customHeight="false" outlineLevel="0" collapsed="false">
      <c r="A16" s="83" t="s">
        <v>176</v>
      </c>
      <c r="B16" s="83" t="s">
        <v>177</v>
      </c>
      <c r="D16" s="0" t="s">
        <v>178</v>
      </c>
      <c r="E16" s="16" t="s">
        <v>179</v>
      </c>
      <c r="F16" s="16" t="s">
        <v>175</v>
      </c>
    </row>
    <row r="18" customFormat="false" ht="16" hidden="false" customHeight="false" outlineLevel="0" collapsed="false">
      <c r="B18" s="84"/>
      <c r="C18" s="84"/>
    </row>
    <row r="20" customFormat="false" ht="16" hidden="false" customHeight="false" outlineLevel="0" collapsed="false">
      <c r="B20" s="84"/>
      <c r="C20" s="84"/>
    </row>
    <row r="21" customFormat="false" ht="16" hidden="false" customHeight="false" outlineLevel="0" collapsed="false">
      <c r="B21" s="84"/>
      <c r="C21" s="84"/>
    </row>
    <row r="22" customFormat="false" ht="16" hidden="false" customHeight="false" outlineLevel="0" collapsed="false">
      <c r="B22" s="84"/>
      <c r="C22" s="84"/>
    </row>
    <row r="23" customFormat="false" ht="16" hidden="false" customHeight="false" outlineLevel="0" collapsed="false">
      <c r="B23" s="84"/>
      <c r="C23" s="84"/>
    </row>
    <row r="27" customFormat="false" ht="16" hidden="false" customHeight="false" outlineLevel="0" collapsed="false">
      <c r="B27" s="84"/>
      <c r="C27" s="84"/>
    </row>
    <row r="28" customFormat="false" ht="16" hidden="false" customHeight="false" outlineLevel="0" collapsed="false">
      <c r="B28" s="84"/>
      <c r="C28" s="84"/>
    </row>
    <row r="29" customFormat="false" ht="16" hidden="false" customHeight="false" outlineLevel="0" collapsed="false">
      <c r="B29" s="84"/>
      <c r="C29" s="84"/>
    </row>
    <row r="30" customFormat="false" ht="16" hidden="false" customHeight="false" outlineLevel="0" collapsed="false">
      <c r="B30" s="84"/>
      <c r="C30" s="84"/>
    </row>
    <row r="31" customFormat="false" ht="16" hidden="false" customHeight="false" outlineLevel="0" collapsed="false">
      <c r="B31" s="84"/>
      <c r="C31" s="8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A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7" min="1" style="0" width="10.83"/>
    <col collapsed="false" customWidth="true" hidden="false" outlineLevel="0" max="8" min="8" style="0" width="13.16"/>
    <col collapsed="false" customWidth="true" hidden="false" outlineLevel="0" max="9" min="9" style="0" width="10.83"/>
    <col collapsed="false" customWidth="true" hidden="false" outlineLevel="0" max="10" min="10" style="0" width="13.5"/>
    <col collapsed="false" customWidth="true" hidden="false" outlineLevel="0" max="11" min="11" style="0" width="13.16"/>
    <col collapsed="false" customWidth="true" hidden="false" outlineLevel="0" max="12" min="12" style="0" width="10.83"/>
    <col collapsed="false" customWidth="true" hidden="false" outlineLevel="0" max="16" min="16" style="16" width="9.83"/>
    <col collapsed="false" customWidth="true" hidden="false" outlineLevel="0" max="17" min="17" style="16" width="10.83"/>
    <col collapsed="false" customWidth="true" hidden="false" outlineLevel="0" max="19" min="19" style="0" width="41"/>
  </cols>
  <sheetData>
    <row r="1" customFormat="false" ht="20" hidden="false" customHeight="false" outlineLevel="0" collapsed="false">
      <c r="A1" s="1" t="s">
        <v>180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5"/>
    </row>
    <row r="2" customFormat="false" ht="20" hidden="true" customHeight="false" outlineLevel="0" collapsed="false">
      <c r="A2" s="86"/>
      <c r="B2" s="87" t="s">
        <v>181</v>
      </c>
      <c r="C2" s="87"/>
      <c r="D2" s="87"/>
      <c r="E2" s="87"/>
      <c r="F2" s="87"/>
      <c r="G2" s="87"/>
      <c r="H2" s="87"/>
      <c r="I2" s="87"/>
      <c r="J2" s="87"/>
      <c r="K2" s="87"/>
      <c r="L2" s="87"/>
    </row>
    <row r="3" customFormat="false" ht="20" hidden="true" customHeight="false" outlineLevel="0" collapsed="false">
      <c r="A3" s="86"/>
      <c r="B3" s="87" t="s">
        <v>182</v>
      </c>
      <c r="C3" s="87"/>
      <c r="D3" s="87"/>
      <c r="E3" s="87"/>
      <c r="F3" s="87"/>
      <c r="G3" s="87"/>
      <c r="H3" s="87"/>
      <c r="I3" s="87"/>
      <c r="J3" s="87"/>
      <c r="K3" s="87"/>
      <c r="L3" s="87"/>
    </row>
    <row r="4" customFormat="false" ht="76" hidden="false" customHeight="true" outlineLevel="0" collapsed="false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customFormat="false" ht="20" hidden="false" customHeight="false" outlineLevel="0" collapsed="false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S5" s="0" t="s">
        <v>183</v>
      </c>
    </row>
    <row r="6" customFormat="false" ht="34" hidden="false" customHeight="false" outlineLevel="0" collapsed="false">
      <c r="A6" s="88" t="s">
        <v>102</v>
      </c>
      <c r="B6" s="88" t="s">
        <v>184</v>
      </c>
      <c r="C6" s="89" t="s">
        <v>185</v>
      </c>
      <c r="D6" s="88" t="s">
        <v>186</v>
      </c>
      <c r="E6" s="88" t="s">
        <v>187</v>
      </c>
      <c r="F6" s="88"/>
      <c r="G6" s="88"/>
      <c r="H6" s="88"/>
      <c r="I6" s="88" t="s">
        <v>188</v>
      </c>
      <c r="J6" s="88" t="s">
        <v>189</v>
      </c>
      <c r="K6" s="89" t="s">
        <v>190</v>
      </c>
      <c r="L6" s="88" t="s">
        <v>191</v>
      </c>
      <c r="M6" s="88"/>
      <c r="N6" s="88"/>
      <c r="O6" s="88"/>
      <c r="P6" s="89" t="s">
        <v>192</v>
      </c>
      <c r="S6" s="90" t="s">
        <v>193</v>
      </c>
      <c r="T6" s="90" t="s">
        <v>194</v>
      </c>
      <c r="U6" s="90" t="s">
        <v>195</v>
      </c>
      <c r="V6" s="90" t="s">
        <v>196</v>
      </c>
      <c r="W6" s="90" t="s">
        <v>197</v>
      </c>
      <c r="X6" s="90" t="s">
        <v>198</v>
      </c>
      <c r="Y6" s="90" t="s">
        <v>199</v>
      </c>
      <c r="Z6" s="90" t="s">
        <v>200</v>
      </c>
      <c r="AA6" s="90" t="s">
        <v>201</v>
      </c>
      <c r="AB6" s="90" t="s">
        <v>202</v>
      </c>
      <c r="AC6" s="90" t="s">
        <v>203</v>
      </c>
      <c r="AD6" s="90" t="s">
        <v>204</v>
      </c>
      <c r="AE6" s="90" t="s">
        <v>205</v>
      </c>
    </row>
    <row r="7" customFormat="false" ht="16" hidden="false" customHeight="true" outlineLevel="0" collapsed="false">
      <c r="A7" s="91" t="n">
        <v>1</v>
      </c>
      <c r="B7" s="92" t="s">
        <v>182</v>
      </c>
      <c r="C7" s="93" t="n">
        <v>45313</v>
      </c>
      <c r="D7" s="94" t="s">
        <v>206</v>
      </c>
      <c r="E7" s="95" t="str">
        <f aca="false">S7</f>
        <v>Trouver un nom pour le PIC</v>
      </c>
      <c r="F7" s="95"/>
      <c r="G7" s="95"/>
      <c r="H7" s="95"/>
      <c r="I7" s="91" t="s">
        <v>207</v>
      </c>
      <c r="J7" s="93" t="n">
        <v>45316</v>
      </c>
      <c r="K7" s="93" t="n">
        <v>45314</v>
      </c>
      <c r="L7" s="96"/>
      <c r="M7" s="96"/>
      <c r="N7" s="96"/>
      <c r="O7" s="96"/>
      <c r="P7" s="33" t="str">
        <f aca="false">IF(Q7=" ","",IF(Q7="Terminé","",'Fiche PIC'!$B$7-C7))</f>
        <v/>
      </c>
      <c r="Q7" s="16" t="str">
        <f aca="true">IF($B7="O",IF($J7&gt;TODAY(),"En cours","En retard"),IF($B7="F","Terminé"," "))</f>
        <v>Terminé</v>
      </c>
      <c r="S7" s="90" t="s">
        <v>208</v>
      </c>
      <c r="T7" s="97" t="n">
        <v>44</v>
      </c>
      <c r="U7" s="97" t="s">
        <v>209</v>
      </c>
      <c r="V7" s="98"/>
      <c r="W7" s="98"/>
      <c r="X7" s="97" t="s">
        <v>210</v>
      </c>
      <c r="Y7" s="97" t="s">
        <v>210</v>
      </c>
      <c r="Z7" s="99" t="n">
        <v>45317</v>
      </c>
      <c r="AA7" s="100" t="n">
        <v>45314.6961574074</v>
      </c>
      <c r="AB7" s="100" t="n">
        <v>45309.7092708333</v>
      </c>
      <c r="AC7" s="98"/>
      <c r="AD7" s="97" t="n">
        <v>0</v>
      </c>
      <c r="AE7" s="97" t="n">
        <v>0</v>
      </c>
    </row>
    <row r="8" customFormat="false" ht="16" hidden="false" customHeight="true" outlineLevel="0" collapsed="false">
      <c r="A8" s="91" t="n">
        <f aca="false">A7+1</f>
        <v>2</v>
      </c>
      <c r="B8" s="92" t="s">
        <v>182</v>
      </c>
      <c r="C8" s="93" t="n">
        <v>45313</v>
      </c>
      <c r="D8" s="94" t="s">
        <v>206</v>
      </c>
      <c r="E8" s="95" t="str">
        <f aca="false">S8</f>
        <v>Prendre connaissance du RAQ 2.6</v>
      </c>
      <c r="F8" s="95"/>
      <c r="G8" s="95"/>
      <c r="H8" s="95"/>
      <c r="I8" s="91" t="s">
        <v>207</v>
      </c>
      <c r="J8" s="93" t="n">
        <v>45316</v>
      </c>
      <c r="K8" s="93" t="n">
        <v>45313</v>
      </c>
      <c r="L8" s="96"/>
      <c r="M8" s="96"/>
      <c r="N8" s="96"/>
      <c r="O8" s="96"/>
      <c r="P8" s="33" t="str">
        <f aca="false">IF(Q8=" ","",IF(Q8="Terminé","",'Fiche PIC'!$B$7-C8))</f>
        <v/>
      </c>
      <c r="Q8" s="16" t="str">
        <f aca="false">IF($B8="O",IF($J8&gt;'Fiche PIC'!$B$7,"En cours","En retard"),IF($B8="F","Terminé"," "))</f>
        <v>Terminé</v>
      </c>
      <c r="S8" s="90" t="s">
        <v>211</v>
      </c>
      <c r="T8" s="97" t="n">
        <v>45</v>
      </c>
      <c r="U8" s="97" t="s">
        <v>209</v>
      </c>
      <c r="V8" s="98"/>
      <c r="W8" s="98"/>
      <c r="X8" s="97" t="s">
        <v>210</v>
      </c>
      <c r="Y8" s="97" t="s">
        <v>210</v>
      </c>
      <c r="Z8" s="99" t="n">
        <v>45317</v>
      </c>
      <c r="AA8" s="100" t="n">
        <v>45314.6964699074</v>
      </c>
      <c r="AB8" s="100" t="n">
        <v>45298.7423611111</v>
      </c>
      <c r="AC8" s="98"/>
      <c r="AD8" s="97" t="n">
        <v>0</v>
      </c>
      <c r="AE8" s="97" t="n">
        <v>0</v>
      </c>
    </row>
    <row r="9" customFormat="false" ht="16" hidden="false" customHeight="true" outlineLevel="0" collapsed="false">
      <c r="A9" s="91" t="n">
        <f aca="false">A8+1</f>
        <v>3</v>
      </c>
      <c r="B9" s="94" t="s">
        <v>181</v>
      </c>
      <c r="C9" s="93" t="n">
        <v>45313</v>
      </c>
      <c r="D9" s="94" t="s">
        <v>206</v>
      </c>
      <c r="E9" s="95" t="str">
        <f aca="false">S9</f>
        <v>Mettre en place une plate-forme de travail collaboratif</v>
      </c>
      <c r="F9" s="101"/>
      <c r="G9" s="95"/>
      <c r="H9" s="101"/>
      <c r="I9" s="91" t="s">
        <v>207</v>
      </c>
      <c r="J9" s="93" t="n">
        <v>45316</v>
      </c>
      <c r="K9" s="93"/>
      <c r="L9" s="96"/>
      <c r="M9" s="96"/>
      <c r="N9" s="96"/>
      <c r="O9" s="96"/>
      <c r="P9" s="33" t="n">
        <f aca="false">IF(Q9=" ","",IF(Q9="Terminé","",'Fiche PIC'!$B$7-C9))</f>
        <v>64</v>
      </c>
      <c r="Q9" s="16" t="str">
        <f aca="false">IF($B9="O",IF($J9&gt;'Fiche PIC'!$B$7,"En cours","En retard"),IF($B9="F","Terminé"," "))</f>
        <v>En retard</v>
      </c>
      <c r="S9" s="90" t="s">
        <v>212</v>
      </c>
      <c r="T9" s="97" t="n">
        <v>46</v>
      </c>
      <c r="U9" s="97" t="s">
        <v>209</v>
      </c>
      <c r="V9" s="98"/>
      <c r="W9" s="98"/>
      <c r="X9" s="97" t="s">
        <v>210</v>
      </c>
      <c r="Y9" s="97" t="s">
        <v>210</v>
      </c>
      <c r="Z9" s="99" t="n">
        <v>45317</v>
      </c>
      <c r="AA9" s="100" t="n">
        <v>45314.6975</v>
      </c>
      <c r="AB9" s="100" t="n">
        <v>45309.7136226852</v>
      </c>
      <c r="AC9" s="98"/>
      <c r="AD9" s="97" t="n">
        <v>0</v>
      </c>
      <c r="AE9" s="97" t="n">
        <v>0</v>
      </c>
    </row>
    <row r="10" customFormat="false" ht="16" hidden="false" customHeight="true" outlineLevel="0" collapsed="false">
      <c r="A10" s="91" t="n">
        <f aca="false">A9+1</f>
        <v>4</v>
      </c>
      <c r="B10" s="92" t="s">
        <v>182</v>
      </c>
      <c r="C10" s="93" t="n">
        <v>45315</v>
      </c>
      <c r="D10" s="91" t="s">
        <v>206</v>
      </c>
      <c r="E10" s="95" t="str">
        <f aca="false">S10</f>
        <v>Programmer la réunion de démarrage avec le client</v>
      </c>
      <c r="F10" s="101"/>
      <c r="G10" s="95"/>
      <c r="H10" s="101"/>
      <c r="I10" s="91" t="s">
        <v>15</v>
      </c>
      <c r="J10" s="93" t="n">
        <v>45316</v>
      </c>
      <c r="K10" s="93" t="n">
        <v>45315</v>
      </c>
      <c r="L10" s="96"/>
      <c r="M10" s="96"/>
      <c r="N10" s="96"/>
      <c r="O10" s="96"/>
      <c r="P10" s="33" t="str">
        <f aca="false">IF(Q10=" ","",IF(Q10="Terminé","",'Fiche PIC'!$B$7-C10))</f>
        <v/>
      </c>
      <c r="Q10" s="16" t="str">
        <f aca="false">IF($B10="O",IF($J10&gt;'Fiche PIC'!$B$7,"En cours","En retard"),IF($B10="F","Terminé"," "))</f>
        <v>Terminé</v>
      </c>
      <c r="S10" s="90" t="s">
        <v>213</v>
      </c>
      <c r="T10" s="97" t="n">
        <v>47</v>
      </c>
      <c r="U10" s="97" t="s">
        <v>209</v>
      </c>
      <c r="V10" s="98"/>
      <c r="W10" s="98"/>
      <c r="X10" s="97" t="s">
        <v>210</v>
      </c>
      <c r="Y10" s="97" t="s">
        <v>210</v>
      </c>
      <c r="Z10" s="99" t="n">
        <v>45317</v>
      </c>
      <c r="AA10" s="100" t="n">
        <v>45314.6978472222</v>
      </c>
      <c r="AB10" s="100" t="n">
        <v>45309.7126736111</v>
      </c>
      <c r="AC10" s="98"/>
      <c r="AD10" s="97" t="n">
        <v>0</v>
      </c>
      <c r="AE10" s="97" t="n">
        <v>0</v>
      </c>
    </row>
    <row r="11" customFormat="false" ht="16" hidden="false" customHeight="true" outlineLevel="0" collapsed="false">
      <c r="A11" s="102" t="n">
        <f aca="false">A10+1</f>
        <v>5</v>
      </c>
      <c r="B11" s="92" t="s">
        <v>181</v>
      </c>
      <c r="C11" s="93" t="n">
        <v>45313</v>
      </c>
      <c r="D11" s="102" t="s">
        <v>206</v>
      </c>
      <c r="E11" s="95" t="str">
        <f aca="false">S11</f>
        <v>Formaliser la compréhension du besoin</v>
      </c>
      <c r="F11" s="101"/>
      <c r="G11" s="95"/>
      <c r="H11" s="101"/>
      <c r="I11" s="102" t="s">
        <v>15</v>
      </c>
      <c r="J11" s="93" t="n">
        <v>45316</v>
      </c>
      <c r="K11" s="93"/>
      <c r="L11" s="96"/>
      <c r="M11" s="96"/>
      <c r="N11" s="96"/>
      <c r="O11" s="96"/>
      <c r="P11" s="33" t="n">
        <f aca="false">IF(Q11=" ","",IF(Q11="Terminé","",'Fiche PIC'!$B$7-C11))</f>
        <v>64</v>
      </c>
      <c r="Q11" s="16" t="str">
        <f aca="false">IF($B11="O",IF($J11&gt;'Fiche PIC'!$B$7,"En cours","En retard"),IF($B11="F","Terminé"," "))</f>
        <v>En retard</v>
      </c>
      <c r="S11" s="90" t="s">
        <v>214</v>
      </c>
      <c r="T11" s="97" t="n">
        <v>48</v>
      </c>
      <c r="U11" s="97" t="s">
        <v>209</v>
      </c>
      <c r="V11" s="98"/>
      <c r="W11" s="98"/>
      <c r="X11" s="97" t="s">
        <v>210</v>
      </c>
      <c r="Y11" s="97" t="s">
        <v>210</v>
      </c>
      <c r="Z11" s="99" t="n">
        <v>45317</v>
      </c>
      <c r="AA11" s="100" t="n">
        <v>45314.6982060185</v>
      </c>
      <c r="AB11" s="100" t="n">
        <v>45309.7106134259</v>
      </c>
      <c r="AC11" s="98"/>
      <c r="AD11" s="97" t="n">
        <v>0</v>
      </c>
      <c r="AE11" s="97" t="n">
        <v>0</v>
      </c>
    </row>
    <row r="12" customFormat="false" ht="16" hidden="false" customHeight="true" outlineLevel="0" collapsed="false">
      <c r="A12" s="102" t="n">
        <f aca="false">A11+1</f>
        <v>6</v>
      </c>
      <c r="B12" s="92" t="s">
        <v>182</v>
      </c>
      <c r="C12" s="93" t="n">
        <v>45313</v>
      </c>
      <c r="D12" s="102" t="s">
        <v>206</v>
      </c>
      <c r="E12" s="95" t="str">
        <f aca="false">S12</f>
        <v>Etablir une liste de questions à poser au client</v>
      </c>
      <c r="F12" s="101"/>
      <c r="G12" s="103"/>
      <c r="H12" s="101"/>
      <c r="I12" s="102" t="s">
        <v>207</v>
      </c>
      <c r="J12" s="93" t="n">
        <v>45320</v>
      </c>
      <c r="K12" s="93" t="n">
        <v>45321</v>
      </c>
      <c r="L12" s="96"/>
      <c r="M12" s="96"/>
      <c r="N12" s="96"/>
      <c r="O12" s="96"/>
      <c r="P12" s="33" t="str">
        <f aca="false">IF(Q12=" ","",IF(Q12="Terminé","",'Fiche PIC'!$B$7-C12))</f>
        <v/>
      </c>
      <c r="Q12" s="16" t="str">
        <f aca="false">IF($B12="O",IF($J12&gt;'Fiche PIC'!$B$7,"En cours","En retard"),IF($B12="F","Terminé"," "))</f>
        <v>Terminé</v>
      </c>
      <c r="S12" s="90" t="s">
        <v>215</v>
      </c>
      <c r="T12" s="97" t="n">
        <v>49</v>
      </c>
      <c r="U12" s="97" t="s">
        <v>209</v>
      </c>
      <c r="V12" s="98"/>
      <c r="W12" s="98"/>
      <c r="X12" s="97" t="s">
        <v>210</v>
      </c>
      <c r="Y12" s="97" t="s">
        <v>210</v>
      </c>
      <c r="Z12" s="99" t="n">
        <v>45315</v>
      </c>
      <c r="AA12" s="100" t="n">
        <v>45314.7075231482</v>
      </c>
      <c r="AB12" s="100" t="n">
        <v>45309.716099537</v>
      </c>
      <c r="AC12" s="98"/>
      <c r="AD12" s="97" t="n">
        <v>0</v>
      </c>
      <c r="AE12" s="97" t="n">
        <v>0</v>
      </c>
    </row>
    <row r="13" customFormat="false" ht="16" hidden="false" customHeight="false" outlineLevel="0" collapsed="false">
      <c r="A13" s="102" t="n">
        <f aca="false">A12+1</f>
        <v>7</v>
      </c>
      <c r="B13" s="92" t="s">
        <v>181</v>
      </c>
      <c r="C13" s="93" t="n">
        <v>45373</v>
      </c>
      <c r="D13" s="102" t="s">
        <v>206</v>
      </c>
      <c r="E13" s="95" t="str">
        <f aca="false">S13</f>
        <v>Etudier les méthodes et outils de gestion de projet</v>
      </c>
      <c r="F13" s="101"/>
      <c r="G13" s="95"/>
      <c r="H13" s="101"/>
      <c r="I13" s="102" t="s">
        <v>15</v>
      </c>
      <c r="J13" s="93" t="n">
        <v>45316</v>
      </c>
      <c r="K13" s="93"/>
      <c r="L13" s="96"/>
      <c r="M13" s="96"/>
      <c r="N13" s="96"/>
      <c r="O13" s="96"/>
      <c r="P13" s="33" t="n">
        <f aca="false">IF(Q13=" ","",IF(Q13="Terminé","",'Fiche PIC'!$B$7-C13))</f>
        <v>4</v>
      </c>
      <c r="Q13" s="16" t="str">
        <f aca="false">IF($B13="O",IF($J13&gt;'Fiche PIC'!$B$7,"En cours","En retard"),IF($B13="F","Terminé"," "))</f>
        <v>En retard</v>
      </c>
      <c r="S13" s="90" t="s">
        <v>216</v>
      </c>
      <c r="T13" s="97" t="n">
        <v>50</v>
      </c>
      <c r="U13" s="97" t="s">
        <v>209</v>
      </c>
      <c r="V13" s="98"/>
      <c r="W13" s="98"/>
      <c r="X13" s="97" t="s">
        <v>210</v>
      </c>
      <c r="Y13" s="97" t="s">
        <v>210</v>
      </c>
      <c r="Z13" s="98"/>
      <c r="AA13" s="100" t="n">
        <v>45314.7143634259</v>
      </c>
      <c r="AB13" s="100" t="n">
        <v>45309.7144212963</v>
      </c>
      <c r="AC13" s="98"/>
      <c r="AD13" s="97" t="n">
        <v>0</v>
      </c>
      <c r="AE13" s="97" t="n">
        <v>0</v>
      </c>
    </row>
    <row r="14" customFormat="false" ht="16" hidden="false" customHeight="false" outlineLevel="0" collapsed="false">
      <c r="A14" s="102" t="n">
        <f aca="false">A13+1</f>
        <v>8</v>
      </c>
      <c r="B14" s="92" t="s">
        <v>182</v>
      </c>
      <c r="C14" s="93" t="n">
        <v>45313</v>
      </c>
      <c r="D14" s="102" t="s">
        <v>206</v>
      </c>
      <c r="E14" s="95" t="str">
        <f aca="false">S14</f>
        <v>Définir les modalités du tableau de bord hebdo.</v>
      </c>
      <c r="F14" s="101"/>
      <c r="G14" s="95"/>
      <c r="H14" s="101"/>
      <c r="I14" s="102" t="s">
        <v>18</v>
      </c>
      <c r="J14" s="93" t="n">
        <v>45327</v>
      </c>
      <c r="K14" s="93" t="n">
        <v>45321</v>
      </c>
      <c r="L14" s="96"/>
      <c r="M14" s="96"/>
      <c r="N14" s="96"/>
      <c r="O14" s="96"/>
      <c r="P14" s="33" t="str">
        <f aca="false">IF(Q14=" ","",IF(Q14="Terminé","",'Fiche PIC'!$B$7-C14))</f>
        <v/>
      </c>
      <c r="Q14" s="16" t="str">
        <f aca="false">IF($B14="O",IF($J14&gt;'Fiche PIC'!$B$7,"En cours","En retard"),IF($B14="F","Terminé"," "))</f>
        <v>Terminé</v>
      </c>
      <c r="S14" s="90" t="s">
        <v>217</v>
      </c>
      <c r="T14" s="97" t="n">
        <v>52</v>
      </c>
      <c r="U14" s="97" t="s">
        <v>209</v>
      </c>
      <c r="V14" s="97"/>
      <c r="W14" s="97"/>
      <c r="X14" s="97" t="s">
        <v>210</v>
      </c>
      <c r="Y14" s="97" t="s">
        <v>210</v>
      </c>
      <c r="Z14" s="98"/>
      <c r="AA14" s="100" t="n">
        <v>45314.7181712963</v>
      </c>
      <c r="AB14" s="100" t="n">
        <v>45324.8035300926</v>
      </c>
      <c r="AC14" s="98"/>
      <c r="AD14" s="97" t="n">
        <v>0</v>
      </c>
      <c r="AE14" s="97" t="n">
        <v>0</v>
      </c>
    </row>
    <row r="15" customFormat="false" ht="16" hidden="false" customHeight="false" outlineLevel="0" collapsed="false">
      <c r="A15" s="102" t="n">
        <f aca="false">A14+1</f>
        <v>9</v>
      </c>
      <c r="B15" s="92" t="s">
        <v>182</v>
      </c>
      <c r="C15" s="93" t="n">
        <v>45313</v>
      </c>
      <c r="D15" s="102" t="s">
        <v>206</v>
      </c>
      <c r="E15" s="95" t="str">
        <f aca="false">S15</f>
        <v>Mettre en place le registre d'actions</v>
      </c>
      <c r="F15" s="95"/>
      <c r="G15" s="95"/>
      <c r="H15" s="95"/>
      <c r="I15" s="102" t="s">
        <v>15</v>
      </c>
      <c r="J15" s="93" t="n">
        <v>45316</v>
      </c>
      <c r="K15" s="93" t="n">
        <v>45315</v>
      </c>
      <c r="L15" s="96"/>
      <c r="M15" s="96"/>
      <c r="N15" s="96"/>
      <c r="O15" s="96"/>
      <c r="P15" s="33" t="str">
        <f aca="false">IF(Q15=" ","",IF(Q15="Terminé","",'Fiche PIC'!$B$7-C15))</f>
        <v/>
      </c>
      <c r="Q15" s="16" t="str">
        <f aca="false">IF($B15="O",IF($J15&gt;'Fiche PIC'!$B$7,"En cours","En retard"),IF($B15="F","Terminé"," "))</f>
        <v>Terminé</v>
      </c>
      <c r="S15" s="90" t="s">
        <v>218</v>
      </c>
      <c r="T15" s="97" t="n">
        <v>70</v>
      </c>
      <c r="U15" s="97" t="s">
        <v>209</v>
      </c>
      <c r="V15" s="98"/>
      <c r="W15" s="98"/>
      <c r="X15" s="97" t="s">
        <v>210</v>
      </c>
      <c r="Y15" s="97" t="s">
        <v>210</v>
      </c>
      <c r="Z15" s="99" t="n">
        <v>45315</v>
      </c>
      <c r="AA15" s="100" t="n">
        <v>45314.7150810185</v>
      </c>
      <c r="AB15" s="100" t="n">
        <v>45309.7154513889</v>
      </c>
      <c r="AC15" s="98"/>
      <c r="AD15" s="97" t="n">
        <v>0</v>
      </c>
      <c r="AE15" s="97" t="n">
        <v>0</v>
      </c>
    </row>
    <row r="16" customFormat="false" ht="16" hidden="false" customHeight="false" outlineLevel="0" collapsed="false">
      <c r="A16" s="102" t="n">
        <f aca="false">A15+1</f>
        <v>10</v>
      </c>
      <c r="B16" s="92" t="s">
        <v>182</v>
      </c>
      <c r="C16" s="93" t="n">
        <v>45313</v>
      </c>
      <c r="D16" s="102" t="s">
        <v>206</v>
      </c>
      <c r="E16" s="95" t="str">
        <f aca="false">S16</f>
        <v>Définir l'organisation de l'équipe</v>
      </c>
      <c r="F16" s="95"/>
      <c r="G16" s="95"/>
      <c r="H16" s="95"/>
      <c r="I16" s="102" t="s">
        <v>15</v>
      </c>
      <c r="J16" s="93" t="n">
        <v>45314</v>
      </c>
      <c r="K16" s="93" t="n">
        <v>45321</v>
      </c>
      <c r="L16" s="96"/>
      <c r="M16" s="96"/>
      <c r="N16" s="96"/>
      <c r="O16" s="96"/>
      <c r="P16" s="33" t="str">
        <f aca="false">IF(Q16=" ","",IF(Q16="Terminé","",'Fiche PIC'!$B$7-C16))</f>
        <v/>
      </c>
      <c r="Q16" s="16" t="str">
        <f aca="false">IF($B16="O",IF($J16&gt;'Fiche PIC'!$B$7,"En cours","En retard"),IF($B16="F","Terminé"," "))</f>
        <v>Terminé</v>
      </c>
      <c r="S16" s="90" t="s">
        <v>219</v>
      </c>
      <c r="T16" s="97" t="n">
        <v>71</v>
      </c>
      <c r="U16" s="97" t="s">
        <v>209</v>
      </c>
      <c r="V16" s="98"/>
      <c r="W16" s="98"/>
      <c r="X16" s="97" t="s">
        <v>210</v>
      </c>
      <c r="Y16" s="97" t="s">
        <v>210</v>
      </c>
      <c r="Z16" s="98"/>
      <c r="AA16" s="100" t="n">
        <v>45314.716712963</v>
      </c>
      <c r="AB16" s="100" t="n">
        <v>45309.7168402778</v>
      </c>
      <c r="AC16" s="98"/>
      <c r="AD16" s="97" t="n">
        <v>0</v>
      </c>
      <c r="AE16" s="97" t="n">
        <v>0</v>
      </c>
    </row>
    <row r="17" customFormat="false" ht="16" hidden="false" customHeight="false" outlineLevel="0" collapsed="false">
      <c r="A17" s="102" t="n">
        <f aca="false">A16+1</f>
        <v>11</v>
      </c>
      <c r="B17" s="92" t="s">
        <v>182</v>
      </c>
      <c r="C17" s="93" t="n">
        <v>45313</v>
      </c>
      <c r="D17" s="102" t="s">
        <v>206</v>
      </c>
      <c r="E17" s="95" t="str">
        <f aca="false">S17</f>
        <v>Définir la WBS du PIC</v>
      </c>
      <c r="F17" s="95"/>
      <c r="G17" s="95"/>
      <c r="H17" s="95"/>
      <c r="I17" s="102" t="s">
        <v>18</v>
      </c>
      <c r="J17" s="93" t="n">
        <v>45316</v>
      </c>
      <c r="K17" s="93" t="n">
        <v>45321</v>
      </c>
      <c r="L17" s="96"/>
      <c r="M17" s="96"/>
      <c r="N17" s="96"/>
      <c r="O17" s="96"/>
      <c r="P17" s="33" t="str">
        <f aca="false">IF(Q17=" ","",IF(Q17="Terminé","",'Fiche PIC'!$B$7-C17))</f>
        <v/>
      </c>
      <c r="Q17" s="16" t="str">
        <f aca="false">IF($B17="O",IF($J17&gt;'Fiche PIC'!$B$7,"En cours","En retard"),IF($B17="F","Terminé"," "))</f>
        <v>Terminé</v>
      </c>
      <c r="S17" s="90" t="s">
        <v>220</v>
      </c>
      <c r="T17" s="97" t="n">
        <v>72</v>
      </c>
      <c r="U17" s="97" t="s">
        <v>209</v>
      </c>
      <c r="V17" s="98"/>
      <c r="W17" s="98"/>
      <c r="X17" s="97" t="s">
        <v>210</v>
      </c>
      <c r="Y17" s="97" t="s">
        <v>210</v>
      </c>
      <c r="Z17" s="98"/>
      <c r="AA17" s="100" t="n">
        <v>45314.7179513889</v>
      </c>
      <c r="AB17" s="100" t="n">
        <v>45309.7182638889</v>
      </c>
      <c r="AC17" s="98"/>
      <c r="AD17" s="97" t="n">
        <v>0</v>
      </c>
      <c r="AE17" s="97" t="n">
        <v>0</v>
      </c>
    </row>
    <row r="18" customFormat="false" ht="16" hidden="false" customHeight="false" outlineLevel="0" collapsed="false">
      <c r="A18" s="102" t="n">
        <f aca="false">A17+1</f>
        <v>12</v>
      </c>
      <c r="B18" s="92" t="s">
        <v>182</v>
      </c>
      <c r="C18" s="93" t="n">
        <v>45313</v>
      </c>
      <c r="D18" s="102" t="s">
        <v>206</v>
      </c>
      <c r="E18" s="95" t="str">
        <f aca="false">S18</f>
        <v>Choisir une méthode de gestion de projet</v>
      </c>
      <c r="F18" s="101"/>
      <c r="G18" s="95"/>
      <c r="H18" s="101"/>
      <c r="I18" s="102" t="s">
        <v>207</v>
      </c>
      <c r="J18" s="93" t="n">
        <v>45314</v>
      </c>
      <c r="K18" s="93" t="n">
        <v>45314</v>
      </c>
      <c r="L18" s="96"/>
      <c r="M18" s="96"/>
      <c r="N18" s="96"/>
      <c r="O18" s="96"/>
      <c r="P18" s="33" t="str">
        <f aca="false">IF(Q18=" ","",IF(Q18="Terminé","",'Fiche PIC'!$B$7-C18))</f>
        <v/>
      </c>
      <c r="Q18" s="16" t="str">
        <f aca="false">IF($B18="O",IF($J18&gt;'Fiche PIC'!$B$7,"En cours","En retard"),IF($B18="F","Terminé"," "))</f>
        <v>Terminé</v>
      </c>
      <c r="S18" s="90" t="s">
        <v>221</v>
      </c>
      <c r="T18" s="97" t="n">
        <v>73</v>
      </c>
      <c r="U18" s="97" t="s">
        <v>209</v>
      </c>
      <c r="V18" s="98"/>
      <c r="W18" s="98"/>
      <c r="X18" s="97" t="s">
        <v>210</v>
      </c>
      <c r="Y18" s="97" t="s">
        <v>210</v>
      </c>
      <c r="Z18" s="98"/>
      <c r="AA18" s="100" t="n">
        <v>45314.7190856481</v>
      </c>
      <c r="AB18" s="100" t="n">
        <v>45573.6176851852</v>
      </c>
      <c r="AC18" s="98"/>
      <c r="AD18" s="97" t="n">
        <v>0</v>
      </c>
      <c r="AE18" s="97" t="n">
        <v>0</v>
      </c>
    </row>
    <row r="19" customFormat="false" ht="16" hidden="false" customHeight="true" outlineLevel="0" collapsed="false">
      <c r="A19" s="102" t="n">
        <f aca="false">A18+1</f>
        <v>13</v>
      </c>
      <c r="B19" s="92" t="s">
        <v>181</v>
      </c>
      <c r="C19" s="93" t="n">
        <v>45373</v>
      </c>
      <c r="D19" s="102" t="s">
        <v>3</v>
      </c>
      <c r="E19" s="104" t="s">
        <v>222</v>
      </c>
      <c r="F19" s="104"/>
      <c r="G19" s="104"/>
      <c r="H19" s="104"/>
      <c r="I19" s="102" t="s">
        <v>15</v>
      </c>
      <c r="J19" s="93" t="n">
        <v>45375</v>
      </c>
      <c r="K19" s="93"/>
      <c r="L19" s="104"/>
      <c r="M19" s="104"/>
      <c r="N19" s="104"/>
      <c r="O19" s="104"/>
      <c r="P19" s="33" t="n">
        <f aca="false">IF(Q19=" ","",IF(Q19="Terminé","",'Fiche PIC'!$B$7-C19))</f>
        <v>4</v>
      </c>
      <c r="Q19" s="16" t="str">
        <f aca="true">IF($B19="O",IF($J19&gt;TODAY(),"En cours","En retard"),IF($B19="F","Terminé"," "))</f>
        <v>En cours</v>
      </c>
    </row>
    <row r="20" customFormat="false" ht="16" hidden="false" customHeight="false" outlineLevel="0" collapsed="false">
      <c r="A20" s="102" t="n">
        <f aca="false">A19+1</f>
        <v>14</v>
      </c>
      <c r="B20" s="91"/>
      <c r="C20" s="93"/>
      <c r="D20" s="102"/>
      <c r="E20" s="96"/>
      <c r="F20" s="96"/>
      <c r="G20" s="96"/>
      <c r="H20" s="96"/>
      <c r="I20" s="102"/>
      <c r="J20" s="93"/>
      <c r="K20" s="93"/>
      <c r="L20" s="96"/>
      <c r="M20" s="96"/>
      <c r="N20" s="96"/>
      <c r="O20" s="96"/>
      <c r="P20" s="33" t="str">
        <f aca="true">IF(Q20=" ","",IF(Q20="Terminé",K20-C20,TODAY()-C20))</f>
        <v/>
      </c>
      <c r="Q20" s="16" t="str">
        <f aca="true">IF($B20="O",IF($J20&gt;TODAY(),"En cours","En retard"),IF($B20="F","Terminé"," "))</f>
        <v> </v>
      </c>
    </row>
    <row r="21" customFormat="false" ht="16" hidden="false" customHeight="false" outlineLevel="0" collapsed="false">
      <c r="P21" s="16" t="n">
        <f aca="false">AVERAGE(P7:P20)</f>
        <v>34</v>
      </c>
    </row>
    <row r="22" customFormat="false" ht="16" hidden="false" customHeight="false" outlineLevel="0" collapsed="false">
      <c r="B22" s="105" t="n">
        <f aca="false">'Fiche PIC'!B5</f>
        <v>45313</v>
      </c>
      <c r="C22" s="105" t="n">
        <f aca="false">B22+7</f>
        <v>45320</v>
      </c>
      <c r="D22" s="105" t="n">
        <f aca="false">C22+7</f>
        <v>45327</v>
      </c>
      <c r="E22" s="105" t="n">
        <f aca="false">D22+7</f>
        <v>45334</v>
      </c>
      <c r="F22" s="105" t="n">
        <f aca="false">E22+7</f>
        <v>45341</v>
      </c>
      <c r="G22" s="105" t="n">
        <f aca="false">F22+7</f>
        <v>45348</v>
      </c>
      <c r="H22" s="105" t="n">
        <f aca="false">G22+7</f>
        <v>45355</v>
      </c>
      <c r="I22" s="105" t="n">
        <f aca="false">H22+7</f>
        <v>45362</v>
      </c>
      <c r="J22" s="105" t="n">
        <f aca="false">I22+7</f>
        <v>45369</v>
      </c>
      <c r="K22" s="105" t="n">
        <f aca="false">J22+7</f>
        <v>45376</v>
      </c>
      <c r="L22" s="105" t="n">
        <f aca="false">K22+7</f>
        <v>45383</v>
      </c>
      <c r="M22" s="105" t="n">
        <f aca="false">L22+7</f>
        <v>45390</v>
      </c>
    </row>
    <row r="23" customFormat="false" ht="17" hidden="false" customHeight="false" outlineLevel="0" collapsed="false">
      <c r="A23" s="106" t="s">
        <v>223</v>
      </c>
      <c r="B23" s="103" t="n">
        <v>2</v>
      </c>
      <c r="C23" s="103" t="n">
        <v>1</v>
      </c>
      <c r="D23" s="103" t="n">
        <v>1</v>
      </c>
      <c r="E23" s="103" t="n">
        <v>2</v>
      </c>
      <c r="F23" s="103" t="n">
        <v>0</v>
      </c>
      <c r="G23" s="103" t="n">
        <v>0</v>
      </c>
      <c r="H23" s="103" t="n">
        <v>0</v>
      </c>
      <c r="I23" s="103" t="n">
        <v>0</v>
      </c>
      <c r="J23" s="8" t="n">
        <v>0</v>
      </c>
      <c r="K23" s="8" t="n">
        <v>1</v>
      </c>
      <c r="L23" s="103"/>
      <c r="M23" s="103"/>
      <c r="N23" s="0" t="n">
        <f aca="false">COUNTIF($Q$7:$Q$20,"En cours")</f>
        <v>1</v>
      </c>
    </row>
    <row r="24" customFormat="false" ht="17" hidden="false" customHeight="false" outlineLevel="0" collapsed="false">
      <c r="A24" s="106" t="s">
        <v>224</v>
      </c>
      <c r="B24" s="103" t="n">
        <v>1</v>
      </c>
      <c r="C24" s="103" t="n">
        <v>1</v>
      </c>
      <c r="D24" s="103" t="n">
        <v>1</v>
      </c>
      <c r="E24" s="103" t="n">
        <v>2</v>
      </c>
      <c r="F24" s="103" t="n">
        <v>2</v>
      </c>
      <c r="G24" s="103" t="n">
        <v>2</v>
      </c>
      <c r="H24" s="103" t="n">
        <v>2</v>
      </c>
      <c r="I24" s="103" t="n">
        <v>2</v>
      </c>
      <c r="J24" s="8" t="n">
        <f aca="false">COUNTIF($Q$7:$Q$20,"En retard")</f>
        <v>3</v>
      </c>
      <c r="K24" s="8" t="n">
        <v>3</v>
      </c>
      <c r="L24" s="103"/>
      <c r="M24" s="103"/>
      <c r="N24" s="0" t="n">
        <f aca="false">COUNTIF($Q$7:$Q$20,"En retard")</f>
        <v>3</v>
      </c>
    </row>
    <row r="25" customFormat="false" ht="16" hidden="false" customHeight="false" outlineLevel="0" collapsed="false">
      <c r="A25" s="0" t="s">
        <v>225</v>
      </c>
      <c r="B25" s="103" t="n">
        <v>0</v>
      </c>
      <c r="C25" s="103" t="n">
        <v>0</v>
      </c>
      <c r="D25" s="103" t="n">
        <v>2</v>
      </c>
      <c r="E25" s="103" t="n">
        <v>6</v>
      </c>
      <c r="F25" s="103" t="n">
        <v>9</v>
      </c>
      <c r="G25" s="103" t="n">
        <v>9</v>
      </c>
      <c r="H25" s="103" t="n">
        <v>9</v>
      </c>
      <c r="I25" s="103" t="n">
        <v>9</v>
      </c>
      <c r="J25" s="8" t="n">
        <f aca="false">COUNTIF($Q$7:$Q$20,"Terminé")</f>
        <v>9</v>
      </c>
      <c r="K25" s="8" t="n">
        <v>9</v>
      </c>
      <c r="L25" s="103"/>
      <c r="M25" s="103"/>
      <c r="N25" s="0" t="n">
        <f aca="false">COUNTIF($Q$7:$Q$20,"Terminé")</f>
        <v>9</v>
      </c>
    </row>
    <row r="26" customFormat="false" ht="16" hidden="true" customHeight="false" outlineLevel="0" collapsed="false">
      <c r="A26" s="0" t="s">
        <v>40</v>
      </c>
      <c r="B26" s="107" t="n">
        <f aca="false">SUM(B23:B25)</f>
        <v>3</v>
      </c>
      <c r="C26" s="107" t="n">
        <f aca="false">SUM(C23:C25)</f>
        <v>2</v>
      </c>
      <c r="D26" s="107" t="n">
        <f aca="false">SUM(D23:D25)</f>
        <v>4</v>
      </c>
      <c r="E26" s="107" t="n">
        <f aca="false">SUM(E23:E25)</f>
        <v>10</v>
      </c>
      <c r="F26" s="108"/>
      <c r="G26" s="108" t="n">
        <f aca="false">SUM(G23:G25)</f>
        <v>11</v>
      </c>
      <c r="H26" s="108" t="n">
        <f aca="false">SUM(H23:H25)</f>
        <v>11</v>
      </c>
      <c r="I26" s="107" t="n">
        <f aca="false">SUM(I23:I25)</f>
        <v>11</v>
      </c>
      <c r="J26" s="107" t="n">
        <f aca="false">SUM(J23:J25)</f>
        <v>12</v>
      </c>
      <c r="K26" s="107" t="n">
        <f aca="false">SUM(K23:K25)</f>
        <v>13</v>
      </c>
      <c r="L26" s="107" t="n">
        <f aca="false">SUM(L23:L25)</f>
        <v>0</v>
      </c>
      <c r="M26" s="107" t="n">
        <f aca="false">SUM(M23:M25)</f>
        <v>0</v>
      </c>
    </row>
    <row r="27" customFormat="false" ht="16" hidden="false" customHeight="false" outlineLevel="0" collapsed="false">
      <c r="A27" s="8" t="s">
        <v>226</v>
      </c>
      <c r="B27" s="103" t="n">
        <v>7</v>
      </c>
      <c r="C27" s="103" t="n">
        <v>12</v>
      </c>
      <c r="D27" s="103" t="n">
        <v>10.5</v>
      </c>
      <c r="E27" s="103" t="n">
        <v>8.9</v>
      </c>
      <c r="F27" s="8" t="n">
        <v>12</v>
      </c>
      <c r="G27" s="8" t="n">
        <v>16.2</v>
      </c>
      <c r="H27" s="8" t="n">
        <v>21</v>
      </c>
      <c r="I27" s="8" t="n">
        <v>27</v>
      </c>
      <c r="J27" s="8" t="n">
        <v>30.5</v>
      </c>
      <c r="K27" s="109" t="n">
        <v>34</v>
      </c>
      <c r="L27" s="8"/>
      <c r="M27" s="8"/>
      <c r="N27" s="110" t="n">
        <f aca="false">AVERAGE(P7:P20)</f>
        <v>34</v>
      </c>
    </row>
  </sheetData>
  <mergeCells count="24">
    <mergeCell ref="A1:O1"/>
    <mergeCell ref="E6:H6"/>
    <mergeCell ref="L6:O6"/>
    <mergeCell ref="E7:H7"/>
    <mergeCell ref="L7:O7"/>
    <mergeCell ref="E8:H8"/>
    <mergeCell ref="L8:O8"/>
    <mergeCell ref="L9:O9"/>
    <mergeCell ref="L10:O10"/>
    <mergeCell ref="L11:O11"/>
    <mergeCell ref="L12:O12"/>
    <mergeCell ref="L13:O13"/>
    <mergeCell ref="L14:O14"/>
    <mergeCell ref="E15:H15"/>
    <mergeCell ref="L15:O15"/>
    <mergeCell ref="E16:H16"/>
    <mergeCell ref="L16:O16"/>
    <mergeCell ref="E17:H17"/>
    <mergeCell ref="L17:O17"/>
    <mergeCell ref="L18:O18"/>
    <mergeCell ref="E19:H19"/>
    <mergeCell ref="L19:O19"/>
    <mergeCell ref="E20:H20"/>
    <mergeCell ref="L20:O20"/>
  </mergeCells>
  <conditionalFormatting sqref="I7:L7 A7:D7 A8:B10 D8:D10 C8:C18 I8:I10 K8:L10 J8:J18">
    <cfRule type="expression" priority="2" aboveAverage="0" equalAverage="0" bottom="0" percent="0" rank="0" text="" dxfId="6">
      <formula>AND(($B7="O"),($J7&lt;TODAY()))</formula>
    </cfRule>
    <cfRule type="expression" priority="3" aboveAverage="0" equalAverage="0" bottom="0" percent="0" rank="0" text="" dxfId="7">
      <formula>($B7="F")</formula>
    </cfRule>
  </conditionalFormatting>
  <conditionalFormatting sqref="I19:L19 A19:E19">
    <cfRule type="expression" priority="4" aboveAverage="0" equalAverage="0" bottom="0" percent="0" rank="0" text="" dxfId="8">
      <formula>AND(($B19="O"),($J19&gt;=TODAY()))</formula>
    </cfRule>
    <cfRule type="expression" priority="5" aboveAverage="0" equalAverage="0" bottom="0" percent="0" rank="0" text="" dxfId="9">
      <formula>AND(($B19="O"),($J19&lt;TODAY()))</formula>
    </cfRule>
    <cfRule type="expression" priority="6" aboveAverage="0" equalAverage="0" bottom="0" percent="0" rank="0" text="" dxfId="10">
      <formula>($B19="F")</formula>
    </cfRule>
  </conditionalFormatting>
  <conditionalFormatting sqref="I18 A18 K18:L18">
    <cfRule type="expression" priority="7" aboveAverage="0" equalAverage="0" bottom="0" percent="0" rank="0" text="" dxfId="11">
      <formula>AND(($B18="O"),($J18&lt;TODAY()))</formula>
    </cfRule>
    <cfRule type="expression" priority="8" aboveAverage="0" equalAverage="0" bottom="0" percent="0" rank="0" text="" dxfId="12">
      <formula>($B18="F")</formula>
    </cfRule>
  </conditionalFormatting>
  <conditionalFormatting sqref="I20:L20 A20:E20">
    <cfRule type="expression" priority="9" aboveAverage="0" equalAverage="0" bottom="0" percent="0" rank="0" text="" dxfId="13">
      <formula>AND(($B20="O"),($J20&gt;=TODAY()))</formula>
    </cfRule>
    <cfRule type="expression" priority="10" aboveAverage="0" equalAverage="0" bottom="0" percent="0" rank="0" text="" dxfId="14">
      <formula>AND(($B20="O"),($J20&lt;TODAY()))</formula>
    </cfRule>
    <cfRule type="expression" priority="11" aboveAverage="0" equalAverage="0" bottom="0" percent="0" rank="0" text="" dxfId="15">
      <formula>($B20="F")</formula>
    </cfRule>
  </conditionalFormatting>
  <conditionalFormatting sqref="A7:O20">
    <cfRule type="expression" priority="12" aboveAverage="0" equalAverage="0" bottom="0" percent="0" rank="0" text="" dxfId="16">
      <formula>AND(($B7="O"),($J7&gt;=TODAY()))</formula>
    </cfRule>
    <cfRule type="expression" priority="13" aboveAverage="0" equalAverage="0" bottom="0" percent="0" rank="0" text="" dxfId="17">
      <formula>AND(($B7="O"),($J7&lt;TODAY()))</formula>
    </cfRule>
    <cfRule type="expression" priority="14" aboveAverage="0" equalAverage="0" bottom="0" percent="0" rank="0" text="" dxfId="18">
      <formula>($B7="F")</formula>
    </cfRule>
  </conditionalFormatting>
  <dataValidations count="1">
    <dataValidation allowBlank="true" errorStyle="stop" operator="between" showDropDown="false" showErrorMessage="true" showInputMessage="true" sqref="B7:B20" type="list">
      <formula1>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D1316330-902B-4730-A6C3-E9CC9FADC0D0}">
            <xm:f>B$22&gt;'Fiche PIC'!$B$7</xm:f>
            <x14:dxf>
              <font>
                <color rgb="FF000000"/>
              </font>
              <fill>
                <patternFill>
                  <bgColor rgb="FFBFBFBF"/>
                </patternFill>
              </fill>
            </x14:dxf>
          </x14:cfRule>
          <xm:sqref>B27:E27 F26:M26 L23:M25 B23:I25</xm:sqref>
        </x14:conditionalFormatting>
        <x14:conditionalFormatting xmlns:xm="http://schemas.microsoft.com/office/excel/2006/main">
          <x14:cfRule type="expression" priority="16" id="{D658A9BA-7783-4456-9383-CDF5DAC99A1A}">
            <xm:f>$B$22&gt;'Fiche PIC'!$B$7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D27:E27 D23:H25</xm:sqref>
        </x14:conditionalFormatting>
        <x14:conditionalFormatting xmlns:xm="http://schemas.microsoft.com/office/excel/2006/main">
          <x14:cfRule type="expression" priority="17" id="{623FA270-3F39-4647-8D8F-6193D41B5F1F}">
            <xm:f>C$22&gt;'Fiche PIC'!$B$7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C23:C25 C27 I26:J26 I23:I25</xm:sqref>
        </x14:conditionalFormatting>
        <x14:conditionalFormatting xmlns:xm="http://schemas.microsoft.com/office/excel/2006/main">
          <x14:cfRule type="expression" priority="18" id="{E1DBA5C7-D47F-4232-A1A7-60625FD7D636}">
            <xm:f>$B$22&gt;'Fiche PIC'!$B$7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F26:H26</xm:sqref>
        </x14:conditionalFormatting>
        <x14:conditionalFormatting xmlns:xm="http://schemas.microsoft.com/office/excel/2006/main">
          <x14:cfRule type="expression" priority="19" id="{EB45C5ED-93B1-47AB-8785-B890BD6488B4}">
            <xm:f>$B$22&gt;'Fiche PIC'!$B$7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I23:I25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30"/>
    <col collapsed="false" customWidth="true" hidden="false" outlineLevel="0" max="3" min="3" style="0" width="15.51"/>
    <col collapsed="false" customWidth="true" hidden="false" outlineLevel="0" max="4" min="4" style="0" width="14.33"/>
    <col collapsed="false" customWidth="true" hidden="false" outlineLevel="0" max="5" min="5" style="0" width="15.83"/>
    <col collapsed="false" customWidth="true" hidden="false" outlineLevel="0" max="9" min="8" style="0" width="15.33"/>
    <col collapsed="false" customWidth="true" hidden="false" outlineLevel="0" max="10" min="10" style="0" width="13.5"/>
    <col collapsed="false" customWidth="true" hidden="false" outlineLevel="0" max="12" min="12" style="111" width="8.84"/>
    <col collapsed="false" customWidth="true" hidden="false" outlineLevel="0" max="13" min="13" style="111" width="8.5"/>
  </cols>
  <sheetData>
    <row r="1" customFormat="false" ht="24" hidden="false" customHeight="false" outlineLevel="0" collapsed="false">
      <c r="A1" s="112" t="s">
        <v>227</v>
      </c>
      <c r="B1" s="112"/>
      <c r="C1" s="112"/>
      <c r="D1" s="112"/>
      <c r="E1" s="112"/>
      <c r="F1" s="112"/>
    </row>
    <row r="2" customFormat="false" ht="24" hidden="false" customHeight="false" outlineLevel="0" collapsed="false">
      <c r="A2" s="113"/>
      <c r="B2" s="16"/>
      <c r="C2" s="16"/>
      <c r="D2" s="16"/>
      <c r="E2" s="16"/>
    </row>
    <row r="3" customFormat="false" ht="16" hidden="false" customHeight="false" outlineLevel="0" collapsed="false">
      <c r="A3" s="114" t="s">
        <v>228</v>
      </c>
      <c r="B3" s="114"/>
      <c r="C3" s="115" t="n">
        <f aca="false">'Fiche PIC'!F15*E3</f>
        <v>3952</v>
      </c>
      <c r="D3" s="81" t="s">
        <v>229</v>
      </c>
      <c r="E3" s="81" t="n">
        <f aca="false">'Fiche PIC'!I16</f>
        <v>26</v>
      </c>
      <c r="F3" s="2" t="s">
        <v>230</v>
      </c>
      <c r="G3" s="2"/>
    </row>
    <row r="5" s="16" customFormat="true" ht="17" hidden="false" customHeight="false" outlineLevel="0" collapsed="false">
      <c r="A5" s="116" t="s">
        <v>231</v>
      </c>
      <c r="B5" s="116" t="s">
        <v>232</v>
      </c>
      <c r="C5" s="116" t="s">
        <v>233</v>
      </c>
      <c r="D5" s="116" t="s">
        <v>234</v>
      </c>
      <c r="E5" s="116" t="s">
        <v>235</v>
      </c>
      <c r="F5" s="116" t="s">
        <v>236</v>
      </c>
      <c r="G5" s="116" t="s">
        <v>237</v>
      </c>
      <c r="H5" s="116" t="s">
        <v>238</v>
      </c>
      <c r="I5" s="116" t="s">
        <v>239</v>
      </c>
      <c r="J5" s="117" t="s">
        <v>240</v>
      </c>
      <c r="L5" s="118"/>
      <c r="M5" s="118"/>
    </row>
    <row r="6" customFormat="false" ht="17" hidden="false" customHeight="false" outlineLevel="0" collapsed="false">
      <c r="A6" s="119" t="s">
        <v>241</v>
      </c>
      <c r="B6" s="120" t="s">
        <v>242</v>
      </c>
      <c r="C6" s="121" t="n">
        <v>0.15</v>
      </c>
      <c r="D6" s="120" t="n">
        <f aca="false">C6*$D$14</f>
        <v>570</v>
      </c>
      <c r="E6" s="120" t="n">
        <f aca="false">'CR Activités'!N5</f>
        <v>93</v>
      </c>
      <c r="F6" s="120" t="n">
        <f aca="false">D6-E6</f>
        <v>477</v>
      </c>
      <c r="G6" s="120" t="n">
        <v>500</v>
      </c>
      <c r="H6" s="122" t="n">
        <f aca="false">E6/D6</f>
        <v>0.163157894736842</v>
      </c>
      <c r="I6" s="122" t="n">
        <v>0.1</v>
      </c>
      <c r="J6" s="120" t="n">
        <f aca="false">(H6-I6)*D6</f>
        <v>36</v>
      </c>
      <c r="O6" s="111"/>
    </row>
    <row r="7" customFormat="false" ht="17" hidden="false" customHeight="false" outlineLevel="0" collapsed="false">
      <c r="A7" s="119" t="s">
        <v>243</v>
      </c>
      <c r="B7" s="120" t="s">
        <v>244</v>
      </c>
      <c r="C7" s="121" t="n">
        <v>0.15</v>
      </c>
      <c r="D7" s="120" t="n">
        <f aca="false">C7*$D$14</f>
        <v>570</v>
      </c>
      <c r="E7" s="120" t="n">
        <v>400</v>
      </c>
      <c r="F7" s="120" t="n">
        <f aca="false">D7-E7</f>
        <v>170</v>
      </c>
      <c r="G7" s="120" t="n">
        <v>250</v>
      </c>
      <c r="H7" s="122" t="n">
        <f aca="false">E7/D7</f>
        <v>0.701754385964912</v>
      </c>
      <c r="I7" s="122" t="n">
        <v>0.6</v>
      </c>
      <c r="J7" s="120" t="n">
        <f aca="false">(H7-I7)*D7</f>
        <v>58</v>
      </c>
      <c r="O7" s="111"/>
    </row>
    <row r="8" customFormat="false" ht="17" hidden="false" customHeight="false" outlineLevel="0" collapsed="false">
      <c r="A8" s="119" t="s">
        <v>245</v>
      </c>
      <c r="B8" s="120" t="s">
        <v>246</v>
      </c>
      <c r="C8" s="121" t="n">
        <v>0.2</v>
      </c>
      <c r="D8" s="120" t="n">
        <f aca="false">C8*$D$14</f>
        <v>760</v>
      </c>
      <c r="E8" s="120" t="n">
        <f aca="false">'CR Activités'!N7</f>
        <v>24</v>
      </c>
      <c r="F8" s="120" t="n">
        <f aca="false">D8-E8</f>
        <v>736</v>
      </c>
      <c r="G8" s="120" t="n">
        <f aca="false">F8</f>
        <v>736</v>
      </c>
      <c r="H8" s="122" t="n">
        <f aca="false">E8/D8</f>
        <v>0.0315789473684211</v>
      </c>
      <c r="I8" s="122" t="n">
        <f aca="false">H8</f>
        <v>0.0315789473684211</v>
      </c>
      <c r="J8" s="120" t="n">
        <f aca="false">(H8-I8)*D8</f>
        <v>0</v>
      </c>
      <c r="O8" s="111"/>
    </row>
    <row r="9" customFormat="false" ht="17" hidden="false" customHeight="false" outlineLevel="0" collapsed="false">
      <c r="A9" s="119" t="s">
        <v>247</v>
      </c>
      <c r="B9" s="120" t="s">
        <v>248</v>
      </c>
      <c r="C9" s="121" t="n">
        <v>0.25</v>
      </c>
      <c r="D9" s="120" t="n">
        <f aca="false">C9*$D$14</f>
        <v>950</v>
      </c>
      <c r="E9" s="120" t="n">
        <f aca="false">'CR Activités'!N8</f>
        <v>24</v>
      </c>
      <c r="F9" s="120" t="n">
        <f aca="false">D9-E9</f>
        <v>926</v>
      </c>
      <c r="G9" s="120" t="n">
        <f aca="false">F9</f>
        <v>926</v>
      </c>
      <c r="H9" s="122" t="n">
        <f aca="false">E9/D9</f>
        <v>0.0252631578947368</v>
      </c>
      <c r="I9" s="122" t="n">
        <f aca="false">H9</f>
        <v>0.0252631578947368</v>
      </c>
      <c r="J9" s="120" t="n">
        <f aca="false">(H9-I9)*D9</f>
        <v>0</v>
      </c>
      <c r="O9" s="111"/>
    </row>
    <row r="10" customFormat="false" ht="17" hidden="false" customHeight="false" outlineLevel="0" collapsed="false">
      <c r="A10" s="119" t="s">
        <v>249</v>
      </c>
      <c r="B10" s="120" t="s">
        <v>250</v>
      </c>
      <c r="C10" s="121" t="n">
        <v>0.15</v>
      </c>
      <c r="D10" s="120" t="n">
        <f aca="false">C10*$D$14</f>
        <v>570</v>
      </c>
      <c r="E10" s="120" t="n">
        <f aca="false">'CR Activités'!N9</f>
        <v>29</v>
      </c>
      <c r="F10" s="120" t="n">
        <f aca="false">D10-E10</f>
        <v>541</v>
      </c>
      <c r="G10" s="120" t="n">
        <f aca="false">F10</f>
        <v>541</v>
      </c>
      <c r="H10" s="122" t="n">
        <f aca="false">E10/D10</f>
        <v>0.0508771929824561</v>
      </c>
      <c r="I10" s="122" t="n">
        <f aca="false">H10</f>
        <v>0.0508771929824561</v>
      </c>
      <c r="J10" s="120" t="n">
        <f aca="false">(H10-I10)*D10</f>
        <v>0</v>
      </c>
      <c r="O10" s="111"/>
    </row>
    <row r="11" customFormat="false" ht="17" hidden="false" customHeight="false" outlineLevel="0" collapsed="false">
      <c r="A11" s="119" t="s">
        <v>251</v>
      </c>
      <c r="B11" s="120" t="s">
        <v>252</v>
      </c>
      <c r="C11" s="121" t="n">
        <v>0.1</v>
      </c>
      <c r="D11" s="120" t="n">
        <f aca="false">C11*$D$14</f>
        <v>380</v>
      </c>
      <c r="E11" s="120" t="n">
        <f aca="false">'CR Activités'!N10</f>
        <v>108</v>
      </c>
      <c r="F11" s="120" t="n">
        <f aca="false">D11-E11</f>
        <v>272</v>
      </c>
      <c r="G11" s="120" t="n">
        <f aca="false">F11</f>
        <v>272</v>
      </c>
      <c r="H11" s="122" t="n">
        <f aca="false">E11/D11</f>
        <v>0.284210526315789</v>
      </c>
      <c r="I11" s="122" t="n">
        <f aca="false">H11</f>
        <v>0.284210526315789</v>
      </c>
      <c r="J11" s="120" t="n">
        <f aca="false">(H11-I11)*D11</f>
        <v>0</v>
      </c>
    </row>
    <row r="12" customFormat="false" ht="16" hidden="false" customHeight="false" outlineLevel="0" collapsed="false">
      <c r="A12" s="120"/>
      <c r="B12" s="120"/>
      <c r="C12" s="121"/>
      <c r="D12" s="120"/>
      <c r="E12" s="120"/>
      <c r="F12" s="120"/>
      <c r="G12" s="120"/>
      <c r="H12" s="122"/>
      <c r="I12" s="122"/>
      <c r="J12" s="8"/>
    </row>
    <row r="13" customFormat="false" ht="16" hidden="false" customHeight="false" outlineLevel="0" collapsed="false">
      <c r="A13" s="123" t="s">
        <v>40</v>
      </c>
      <c r="B13" s="120"/>
      <c r="C13" s="121" t="n">
        <f aca="false">SUM(C6:C12)</f>
        <v>1</v>
      </c>
      <c r="D13" s="120" t="n">
        <f aca="false">SUM(D6:D11)</f>
        <v>3800</v>
      </c>
      <c r="E13" s="120" t="n">
        <f aca="false">SUM(E6:E12)</f>
        <v>678</v>
      </c>
      <c r="F13" s="120"/>
      <c r="G13" s="120"/>
      <c r="H13" s="122" t="n">
        <f aca="false">E13/D13</f>
        <v>0.178421052631579</v>
      </c>
      <c r="I13" s="122"/>
      <c r="J13" s="8"/>
    </row>
    <row r="14" customFormat="false" ht="16" hidden="false" customHeight="false" outlineLevel="0" collapsed="false">
      <c r="D14" s="0" t="n">
        <f aca="false">25*'Fiche PIC'!F15</f>
        <v>3800</v>
      </c>
    </row>
  </sheetData>
  <mergeCells count="2">
    <mergeCell ref="A1:F1"/>
    <mergeCell ref="A3:B3"/>
  </mergeCells>
  <dataValidations count="1">
    <dataValidation allowBlank="true" errorStyle="stop" operator="between" showDropDown="false" showErrorMessage="true" showInputMessage="true" sqref="L6:L36" type="date">
      <formula1>44578</formula1>
      <formula2>44939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AJ7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9" activeCellId="0" sqref="A19"/>
    </sheetView>
  </sheetViews>
  <sheetFormatPr defaultColWidth="10.9921875" defaultRowHeight="16" zeroHeight="false" outlineLevelRow="0" outlineLevelCol="0"/>
  <cols>
    <col collapsed="false" customWidth="true" hidden="false" outlineLevel="0" max="1" min="1" style="16" width="20"/>
    <col collapsed="false" customWidth="true" hidden="false" outlineLevel="0" max="2" min="2" style="124" width="18.16"/>
    <col collapsed="false" customWidth="true" hidden="false" outlineLevel="0" max="3" min="3" style="16" width="15.16"/>
    <col collapsed="false" customWidth="true" hidden="false" outlineLevel="0" max="4" min="4" style="0" width="48.83"/>
    <col collapsed="false" customWidth="true" hidden="false" outlineLevel="0" max="5" min="5" style="0" width="16.16"/>
    <col collapsed="false" customWidth="true" hidden="false" outlineLevel="0" max="7" min="7" style="0" width="24.33"/>
    <col collapsed="false" customWidth="true" hidden="false" outlineLevel="0" max="8" min="8" style="0" width="13.83"/>
    <col collapsed="false" customWidth="true" hidden="false" outlineLevel="0" max="9" min="9" style="0" width="11.5"/>
    <col collapsed="false" customWidth="false" hidden="false" outlineLevel="0" max="12" min="10" style="125" width="11"/>
    <col collapsed="false" customWidth="true" hidden="false" outlineLevel="0" max="13" min="13" style="125" width="5.51"/>
    <col collapsed="false" customWidth="true" hidden="false" outlineLevel="0" max="14" min="14" style="125" width="45.5"/>
    <col collapsed="false" customWidth="false" hidden="false" outlineLevel="0" max="17" min="15" style="125" width="11"/>
    <col collapsed="false" customWidth="true" hidden="false" outlineLevel="0" max="18" min="18" style="125" width="19.67"/>
    <col collapsed="false" customWidth="true" hidden="false" outlineLevel="0" max="19" min="19" style="125" width="18"/>
    <col collapsed="false" customWidth="false" hidden="false" outlineLevel="0" max="36" min="20" style="125" width="11"/>
  </cols>
  <sheetData>
    <row r="1" customFormat="false" ht="27" hidden="false" customHeight="true" outlineLevel="0" collapsed="false">
      <c r="A1" s="112" t="s">
        <v>99</v>
      </c>
      <c r="B1" s="112"/>
      <c r="C1" s="112"/>
      <c r="D1" s="112"/>
      <c r="E1" s="112"/>
      <c r="F1" s="125"/>
      <c r="G1" s="125"/>
      <c r="H1" s="125"/>
      <c r="I1" s="125"/>
    </row>
    <row r="2" s="127" customFormat="true" ht="27" hidden="false" customHeight="true" outlineLevel="0" collapsed="false">
      <c r="A2" s="126"/>
      <c r="B2" s="126"/>
      <c r="C2" s="126"/>
      <c r="D2" s="126"/>
      <c r="E2" s="126"/>
    </row>
    <row r="3" customFormat="false" ht="19" hidden="false" customHeight="false" outlineLevel="0" collapsed="false">
      <c r="A3" s="128" t="s">
        <v>253</v>
      </c>
      <c r="B3" s="128"/>
      <c r="C3" s="129" t="n">
        <v>1</v>
      </c>
      <c r="D3" s="130" t="s">
        <v>254</v>
      </c>
      <c r="E3" s="131" t="n">
        <v>11</v>
      </c>
      <c r="F3" s="125"/>
      <c r="G3" s="125"/>
      <c r="H3" s="125"/>
      <c r="I3" s="125"/>
    </row>
    <row r="4" customFormat="false" ht="16" hidden="false" customHeight="false" outlineLevel="0" collapsed="false">
      <c r="A4" s="132" t="s">
        <v>255</v>
      </c>
      <c r="B4" s="133" t="s">
        <v>256</v>
      </c>
      <c r="C4" s="134"/>
      <c r="D4" s="135" t="s">
        <v>255</v>
      </c>
      <c r="E4" s="135" t="s">
        <v>256</v>
      </c>
      <c r="F4" s="125"/>
      <c r="G4" s="125"/>
      <c r="H4" s="125"/>
      <c r="I4" s="125"/>
    </row>
    <row r="5" customFormat="false" ht="16" hidden="false" customHeight="false" outlineLevel="0" collapsed="false">
      <c r="A5" s="136" t="s">
        <v>257</v>
      </c>
      <c r="B5" s="137" t="n">
        <v>45313</v>
      </c>
      <c r="C5" s="134"/>
      <c r="D5" s="101" t="s">
        <v>258</v>
      </c>
      <c r="E5" s="138" t="n">
        <f aca="false">ROUND((B6-B7)*25/40,0)</f>
        <v>13</v>
      </c>
      <c r="F5" s="125"/>
      <c r="G5" s="125"/>
      <c r="H5" s="125"/>
      <c r="I5" s="125"/>
    </row>
    <row r="6" customFormat="false" ht="16" hidden="false" customHeight="false" outlineLevel="0" collapsed="false">
      <c r="A6" s="136" t="s">
        <v>259</v>
      </c>
      <c r="B6" s="139" t="n">
        <v>28</v>
      </c>
      <c r="C6" s="134"/>
      <c r="D6" s="140" t="s">
        <v>260</v>
      </c>
      <c r="E6" s="138" t="n">
        <v>8</v>
      </c>
      <c r="F6" s="125"/>
      <c r="G6" s="125"/>
      <c r="H6" s="125"/>
      <c r="I6" s="125"/>
    </row>
    <row r="7" customFormat="false" ht="16" hidden="false" customHeight="false" outlineLevel="0" collapsed="false">
      <c r="A7" s="136" t="s">
        <v>261</v>
      </c>
      <c r="B7" s="139" t="n">
        <v>8</v>
      </c>
      <c r="C7" s="134"/>
      <c r="D7" s="101" t="s">
        <v>262</v>
      </c>
      <c r="E7" s="8" t="n">
        <f aca="false">Backlog[[#Totals],[StoryPoints]]</f>
        <v>57</v>
      </c>
      <c r="F7" s="125"/>
      <c r="G7" s="125"/>
      <c r="H7" s="125"/>
      <c r="I7" s="125"/>
    </row>
    <row r="8" customFormat="false" ht="16" hidden="false" customHeight="false" outlineLevel="0" collapsed="false">
      <c r="A8" s="136" t="s">
        <v>263</v>
      </c>
      <c r="B8" s="139" t="n">
        <v>9</v>
      </c>
      <c r="C8" s="134"/>
      <c r="D8" s="141" t="s">
        <v>264</v>
      </c>
      <c r="E8" s="142" t="n">
        <f aca="false">SUMIF(Backlog[Statut],#REF!,Backlog[StoryPoints])</f>
        <v>0</v>
      </c>
      <c r="F8" s="125"/>
      <c r="G8" s="125"/>
      <c r="H8" s="125"/>
      <c r="I8" s="125"/>
    </row>
    <row r="9" customFormat="false" ht="16" hidden="false" customHeight="false" outlineLevel="0" collapsed="false">
      <c r="A9" s="136" t="s">
        <v>265</v>
      </c>
      <c r="B9" s="139" t="n">
        <f aca="false">(B8*25)+2</f>
        <v>227</v>
      </c>
      <c r="C9" s="134"/>
      <c r="D9" s="101" t="s">
        <v>266</v>
      </c>
      <c r="E9" s="8" t="n">
        <f aca="false">COUNTIF(SPRINT!A20:A31,#REF!)</f>
        <v>0</v>
      </c>
      <c r="F9" s="125"/>
      <c r="G9" s="125"/>
      <c r="H9" s="125"/>
      <c r="I9" s="125"/>
    </row>
    <row r="10" customFormat="false" ht="16" hidden="false" customHeight="false" outlineLevel="0" collapsed="false">
      <c r="A10" s="141" t="s">
        <v>267</v>
      </c>
      <c r="B10" s="143" t="n">
        <f aca="false">B5+B6</f>
        <v>45341</v>
      </c>
      <c r="C10" s="144"/>
      <c r="D10" s="101" t="s">
        <v>140</v>
      </c>
      <c r="E10" s="8" t="n">
        <v>55</v>
      </c>
      <c r="F10" s="125"/>
      <c r="G10" s="125"/>
      <c r="H10" s="125"/>
      <c r="I10" s="125"/>
    </row>
    <row r="11" customFormat="false" ht="16" hidden="false" customHeight="false" outlineLevel="0" collapsed="false">
      <c r="A11" s="134"/>
      <c r="B11" s="145"/>
      <c r="C11" s="134"/>
      <c r="D11" s="134"/>
      <c r="E11" s="125"/>
      <c r="F11" s="125"/>
      <c r="G11" s="125"/>
      <c r="H11" s="125"/>
      <c r="I11" s="125"/>
    </row>
    <row r="12" customFormat="false" ht="16" hidden="false" customHeight="false" outlineLevel="0" collapsed="false">
      <c r="A12" s="125"/>
      <c r="B12" s="125"/>
      <c r="C12" s="134"/>
      <c r="D12" s="134"/>
      <c r="E12" s="125"/>
      <c r="F12" s="125"/>
      <c r="G12" s="125"/>
      <c r="H12" s="125"/>
      <c r="I12" s="125"/>
    </row>
    <row r="13" customFormat="false" ht="16" hidden="false" customHeight="false" outlineLevel="0" collapsed="false">
      <c r="A13" s="125"/>
      <c r="B13" s="125"/>
      <c r="C13" s="134"/>
      <c r="D13" s="134"/>
      <c r="E13" s="125"/>
      <c r="F13" s="125"/>
      <c r="G13" s="125"/>
      <c r="H13" s="125"/>
      <c r="I13" s="125"/>
    </row>
    <row r="14" customFormat="false" ht="16" hidden="false" customHeight="false" outlineLevel="0" collapsed="false">
      <c r="A14" s="125"/>
      <c r="B14" s="125"/>
      <c r="C14" s="125"/>
      <c r="D14" s="125"/>
      <c r="E14" s="125"/>
      <c r="F14" s="125"/>
      <c r="G14" s="125"/>
      <c r="H14" s="125"/>
      <c r="I14" s="125"/>
    </row>
    <row r="15" customFormat="false" ht="24" hidden="false" customHeight="false" outlineLevel="0" collapsed="false">
      <c r="A15" s="146" t="s">
        <v>268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26"/>
      <c r="M15" s="126"/>
      <c r="N15" s="126"/>
    </row>
    <row r="16" customFormat="false" ht="29" hidden="false" customHeight="true" outlineLevel="0" collapsed="false">
      <c r="A16" s="147" t="s">
        <v>269</v>
      </c>
      <c r="B16" s="147"/>
      <c r="C16" s="148" t="n">
        <f aca="false">B5</f>
        <v>45313</v>
      </c>
      <c r="D16" s="134"/>
      <c r="E16" s="134"/>
      <c r="F16" s="134"/>
      <c r="H16" s="125"/>
      <c r="I16" s="125"/>
    </row>
    <row r="17" customFormat="false" ht="18" hidden="false" customHeight="false" outlineLevel="0" collapsed="false">
      <c r="A17" s="149" t="s">
        <v>270</v>
      </c>
      <c r="B17" s="149"/>
      <c r="C17" s="150" t="n">
        <f aca="false">E5</f>
        <v>13</v>
      </c>
      <c r="D17" s="134"/>
      <c r="E17" s="134"/>
      <c r="F17" s="134"/>
      <c r="H17" s="125"/>
      <c r="I17" s="125"/>
    </row>
    <row r="18" customFormat="false" ht="18" hidden="false" customHeight="false" outlineLevel="0" collapsed="false">
      <c r="A18" s="147" t="s">
        <v>140</v>
      </c>
      <c r="B18" s="147"/>
      <c r="C18" s="151" t="n">
        <v>80</v>
      </c>
      <c r="D18" s="134"/>
      <c r="E18" s="134"/>
      <c r="F18" s="134"/>
      <c r="H18" s="125"/>
      <c r="I18" s="125"/>
    </row>
    <row r="19" customFormat="false" ht="32" hidden="false" customHeight="true" outlineLevel="0" collapsed="false">
      <c r="A19" s="152"/>
      <c r="B19" s="152"/>
      <c r="C19" s="152"/>
      <c r="D19" s="134"/>
      <c r="E19" s="134"/>
      <c r="F19" s="134"/>
      <c r="H19" s="125"/>
      <c r="I19" s="125"/>
      <c r="N19" s="125" t="s">
        <v>183</v>
      </c>
    </row>
    <row r="20" s="127" customFormat="true" ht="15" hidden="false" customHeight="true" outlineLevel="0" collapsed="false">
      <c r="A20" s="153" t="s">
        <v>271</v>
      </c>
      <c r="B20" s="153" t="s">
        <v>272</v>
      </c>
      <c r="C20" s="154" t="s">
        <v>273</v>
      </c>
      <c r="D20" s="155" t="s">
        <v>274</v>
      </c>
      <c r="E20" s="155" t="s">
        <v>275</v>
      </c>
      <c r="F20" s="155" t="s">
        <v>184</v>
      </c>
      <c r="G20" s="155" t="s">
        <v>276</v>
      </c>
      <c r="H20" s="156" t="s">
        <v>277</v>
      </c>
      <c r="I20" s="155" t="s">
        <v>278</v>
      </c>
      <c r="J20" s="157"/>
      <c r="K20" s="158" t="s">
        <v>184</v>
      </c>
      <c r="L20" s="157"/>
      <c r="M20" s="157"/>
      <c r="N20" s="90" t="s">
        <v>193</v>
      </c>
      <c r="O20" s="90" t="s">
        <v>194</v>
      </c>
      <c r="P20" s="90" t="s">
        <v>195</v>
      </c>
      <c r="Q20" s="90" t="s">
        <v>196</v>
      </c>
      <c r="R20" s="90" t="s">
        <v>201</v>
      </c>
      <c r="S20" s="90" t="s">
        <v>202</v>
      </c>
      <c r="T20" s="90" t="s">
        <v>203</v>
      </c>
      <c r="U20" s="90" t="s">
        <v>279</v>
      </c>
      <c r="V20" s="90" t="s">
        <v>280</v>
      </c>
      <c r="W20" s="90" t="s">
        <v>281</v>
      </c>
      <c r="X20" s="90" t="s">
        <v>282</v>
      </c>
      <c r="Y20" s="90" t="s">
        <v>283</v>
      </c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</row>
    <row r="21" customFormat="false" ht="15" hidden="false" customHeight="true" outlineLevel="0" collapsed="false">
      <c r="A21" s="159" t="n">
        <v>1</v>
      </c>
      <c r="B21" s="159" t="n">
        <v>1</v>
      </c>
      <c r="C21" s="159" t="n">
        <v>12</v>
      </c>
      <c r="D21" s="160" t="str">
        <f aca="false">N21</f>
        <v>Ouvrir un compte</v>
      </c>
      <c r="E21" s="98" t="s">
        <v>15</v>
      </c>
      <c r="F21" s="39" t="s">
        <v>284</v>
      </c>
      <c r="G21" s="161" t="n">
        <v>45317</v>
      </c>
      <c r="H21" s="162" t="n">
        <f aca="false">VLOOKUP(Backlog[[#This Row],[Terminé le ]],Calendriers!$F$3:$H$274,3)</f>
        <v>5</v>
      </c>
      <c r="I21" s="160" t="n">
        <f aca="false">IF(ISBLANK(Backlog[[#This Row],[Terminé le ]]),"n",Backlog[[#This Row],[StoryPoints]])</f>
        <v>12</v>
      </c>
      <c r="K21" s="163" t="s">
        <v>285</v>
      </c>
      <c r="N21" s="90" t="s">
        <v>286</v>
      </c>
      <c r="O21" s="97" t="n">
        <v>30</v>
      </c>
      <c r="P21" s="97" t="s">
        <v>209</v>
      </c>
      <c r="Q21" s="97" t="s">
        <v>15</v>
      </c>
      <c r="R21" s="100" t="n">
        <v>44242.6639351852</v>
      </c>
      <c r="S21" s="100" t="n">
        <v>45208.402349537</v>
      </c>
      <c r="T21" s="98"/>
      <c r="U21" s="97" t="s">
        <v>287</v>
      </c>
      <c r="V21" s="97" t="n">
        <v>4</v>
      </c>
      <c r="W21" s="97" t="s">
        <v>288</v>
      </c>
      <c r="X21" s="97" t="n">
        <v>139</v>
      </c>
      <c r="Y21" s="97" t="s">
        <v>289</v>
      </c>
    </row>
    <row r="22" customFormat="false" ht="15" hidden="false" customHeight="true" outlineLevel="0" collapsed="false">
      <c r="A22" s="159" t="n">
        <v>1</v>
      </c>
      <c r="B22" s="159" t="n">
        <v>2</v>
      </c>
      <c r="C22" s="159" t="n">
        <v>8</v>
      </c>
      <c r="D22" s="160" t="str">
        <f aca="false">N22</f>
        <v>Parcourir le catalogue</v>
      </c>
      <c r="E22" s="98" t="s">
        <v>31</v>
      </c>
      <c r="F22" s="39" t="s">
        <v>284</v>
      </c>
      <c r="G22" s="161" t="n">
        <v>45321</v>
      </c>
      <c r="H22" s="162" t="n">
        <f aca="false">VLOOKUP(Backlog[[#This Row],[Terminé le ]],Calendriers!$F$3:$H$274,3)</f>
        <v>7</v>
      </c>
      <c r="I22" s="160" t="n">
        <f aca="false">IF(ISBLANK(Backlog[[#This Row],[Terminé le ]]),"n",Backlog[[#This Row],[StoryPoints]])</f>
        <v>8</v>
      </c>
      <c r="K22" s="163" t="s">
        <v>290</v>
      </c>
      <c r="N22" s="90" t="s">
        <v>291</v>
      </c>
      <c r="O22" s="97" t="n">
        <v>31</v>
      </c>
      <c r="P22" s="97" t="s">
        <v>209</v>
      </c>
      <c r="Q22" s="97" t="s">
        <v>31</v>
      </c>
      <c r="R22" s="100" t="n">
        <v>44269.4674537037</v>
      </c>
      <c r="S22" s="100" t="n">
        <v>45301.6706018519</v>
      </c>
      <c r="T22" s="98"/>
      <c r="U22" s="97" t="s">
        <v>287</v>
      </c>
      <c r="V22" s="97" t="n">
        <v>8</v>
      </c>
      <c r="W22" s="97" t="s">
        <v>292</v>
      </c>
      <c r="X22" s="97" t="n">
        <v>133</v>
      </c>
      <c r="Y22" s="97" t="s">
        <v>293</v>
      </c>
    </row>
    <row r="23" customFormat="false" ht="15" hidden="false" customHeight="true" outlineLevel="0" collapsed="false">
      <c r="A23" s="159" t="n">
        <v>1</v>
      </c>
      <c r="B23" s="159" t="n">
        <v>3</v>
      </c>
      <c r="C23" s="159" t="n">
        <v>3</v>
      </c>
      <c r="D23" s="160" t="str">
        <f aca="false">N23</f>
        <v>Référencer un fournisseur</v>
      </c>
      <c r="E23" s="98" t="s">
        <v>294</v>
      </c>
      <c r="F23" s="39" t="s">
        <v>284</v>
      </c>
      <c r="G23" s="161" t="n">
        <v>45324</v>
      </c>
      <c r="H23" s="162" t="n">
        <f aca="false">VLOOKUP(Backlog[[#This Row],[Terminé le ]],Calendriers!$F$3:$H$274,3)</f>
        <v>10</v>
      </c>
      <c r="I23" s="160" t="n">
        <f aca="false">IF(ISBLANK(Backlog[[#This Row],[Terminé le ]]),"n",Backlog[[#This Row],[StoryPoints]])</f>
        <v>3</v>
      </c>
      <c r="K23" s="163" t="s">
        <v>295</v>
      </c>
      <c r="N23" s="90" t="s">
        <v>296</v>
      </c>
      <c r="O23" s="97" t="n">
        <v>35</v>
      </c>
      <c r="P23" s="97" t="s">
        <v>209</v>
      </c>
      <c r="Q23" s="97" t="s">
        <v>294</v>
      </c>
      <c r="R23" s="100" t="n">
        <v>44269.4811921296</v>
      </c>
      <c r="S23" s="100" t="n">
        <v>45301.6700925926</v>
      </c>
      <c r="T23" s="98"/>
      <c r="U23" s="97" t="s">
        <v>287</v>
      </c>
      <c r="V23" s="97" t="n">
        <v>10</v>
      </c>
      <c r="W23" s="97" t="s">
        <v>297</v>
      </c>
      <c r="X23" s="97" t="n">
        <v>190</v>
      </c>
      <c r="Y23" s="97" t="s">
        <v>298</v>
      </c>
    </row>
    <row r="24" customFormat="false" ht="15" hidden="false" customHeight="true" outlineLevel="0" collapsed="false">
      <c r="A24" s="159" t="n">
        <v>1</v>
      </c>
      <c r="B24" s="159" t="n">
        <v>4</v>
      </c>
      <c r="C24" s="159" t="n">
        <v>8</v>
      </c>
      <c r="D24" s="160" t="str">
        <f aca="false">N24</f>
        <v>Mise en place de la gestion de documentation</v>
      </c>
      <c r="E24" s="98" t="s">
        <v>23</v>
      </c>
      <c r="F24" s="39" t="s">
        <v>284</v>
      </c>
      <c r="G24" s="161" t="n">
        <v>45327</v>
      </c>
      <c r="H24" s="162" t="n">
        <f aca="false">VLOOKUP(G24,Calendriers!F:H,3)</f>
        <v>11</v>
      </c>
      <c r="I24" s="160" t="n">
        <f aca="false">IF(ISBLANK(Backlog[[#This Row],[Terminé le ]]),"n",Backlog[[#This Row],[StoryPoints]])</f>
        <v>8</v>
      </c>
      <c r="K24" s="163" t="s">
        <v>284</v>
      </c>
      <c r="N24" s="90" t="s">
        <v>299</v>
      </c>
      <c r="O24" s="97" t="n">
        <v>41</v>
      </c>
      <c r="P24" s="97" t="s">
        <v>209</v>
      </c>
      <c r="Q24" s="97" t="s">
        <v>23</v>
      </c>
      <c r="R24" s="100" t="n">
        <v>44311.6801273148</v>
      </c>
      <c r="S24" s="100" t="n">
        <v>45301.670474537</v>
      </c>
      <c r="T24" s="98"/>
      <c r="U24" s="97" t="s">
        <v>287</v>
      </c>
      <c r="V24" s="98"/>
      <c r="W24" s="97" t="s">
        <v>300</v>
      </c>
      <c r="X24" s="98"/>
      <c r="Y24" s="98"/>
    </row>
    <row r="25" customFormat="false" ht="15" hidden="false" customHeight="true" outlineLevel="0" collapsed="false">
      <c r="A25" s="159" t="n">
        <v>1</v>
      </c>
      <c r="B25" s="159" t="n">
        <v>5</v>
      </c>
      <c r="C25" s="159" t="n">
        <v>7</v>
      </c>
      <c r="D25" s="160" t="str">
        <f aca="false">N25</f>
        <v>Mise en place du repository de développement.</v>
      </c>
      <c r="E25" s="98" t="s">
        <v>31</v>
      </c>
      <c r="F25" s="39" t="s">
        <v>284</v>
      </c>
      <c r="G25" s="161" t="n">
        <v>45327</v>
      </c>
      <c r="H25" s="162" t="n">
        <f aca="false">VLOOKUP(Backlog[[#This Row],[Terminé le ]],Calendriers!$F$3:$H$274,3)</f>
        <v>11</v>
      </c>
      <c r="I25" s="160" t="n">
        <f aca="false">IF(ISBLANK(Backlog[[#This Row],[Terminé le ]]),"n",Backlog[[#This Row],[StoryPoints]])</f>
        <v>7</v>
      </c>
      <c r="K25" s="163"/>
      <c r="N25" s="90" t="s">
        <v>301</v>
      </c>
      <c r="O25" s="97" t="n">
        <v>43</v>
      </c>
      <c r="P25" s="97" t="s">
        <v>209</v>
      </c>
      <c r="Q25" s="97" t="s">
        <v>31</v>
      </c>
      <c r="R25" s="100" t="n">
        <v>44311.6840625</v>
      </c>
      <c r="S25" s="100" t="n">
        <v>45301.6702199074</v>
      </c>
      <c r="T25" s="98"/>
      <c r="U25" s="97" t="s">
        <v>287</v>
      </c>
      <c r="V25" s="98"/>
      <c r="W25" s="97" t="s">
        <v>302</v>
      </c>
      <c r="X25" s="98"/>
      <c r="Y25" s="98"/>
    </row>
    <row r="26" customFormat="false" ht="15" hidden="false" customHeight="true" outlineLevel="0" collapsed="false">
      <c r="A26" s="159" t="n">
        <v>1</v>
      </c>
      <c r="B26" s="159" t="n">
        <v>6</v>
      </c>
      <c r="C26" s="159" t="n">
        <v>5</v>
      </c>
      <c r="D26" s="160" t="str">
        <f aca="false">N26</f>
        <v>Commander</v>
      </c>
      <c r="E26" s="98" t="s">
        <v>26</v>
      </c>
      <c r="F26" s="39" t="s">
        <v>284</v>
      </c>
      <c r="G26" s="161"/>
      <c r="H26" s="162" t="e">
        <f aca="false">VLOOKUP(Backlog[[#This Row],[Terminé le ]],Calendriers!$F$3:$H$274,3)</f>
        <v>#N/A</v>
      </c>
      <c r="I26" s="160" t="str">
        <f aca="false">IF(ISBLANK(Backlog[[#This Row],[Terminé le ]]),"n",Backlog[[#This Row],[StoryPoints]])</f>
        <v>n</v>
      </c>
      <c r="N26" s="90" t="s">
        <v>303</v>
      </c>
      <c r="O26" s="97" t="n">
        <v>57</v>
      </c>
      <c r="P26" s="97" t="s">
        <v>209</v>
      </c>
      <c r="Q26" s="97" t="s">
        <v>26</v>
      </c>
      <c r="R26" s="100" t="n">
        <v>44843.3880092593</v>
      </c>
      <c r="S26" s="100" t="n">
        <v>45301.6706712963</v>
      </c>
      <c r="T26" s="98"/>
      <c r="U26" s="97" t="s">
        <v>287</v>
      </c>
      <c r="V26" s="97" t="n">
        <v>36</v>
      </c>
      <c r="W26" s="97" t="s">
        <v>304</v>
      </c>
      <c r="X26" s="97" t="n">
        <v>133</v>
      </c>
      <c r="Y26" s="97" t="s">
        <v>293</v>
      </c>
    </row>
    <row r="27" customFormat="false" ht="15" hidden="false" customHeight="true" outlineLevel="0" collapsed="false">
      <c r="A27" s="159" t="n">
        <v>1</v>
      </c>
      <c r="B27" s="159" t="n">
        <v>7</v>
      </c>
      <c r="C27" s="159" t="n">
        <v>8</v>
      </c>
      <c r="D27" s="160" t="str">
        <f aca="false">N27</f>
        <v>S'identifier</v>
      </c>
      <c r="E27" s="98" t="s">
        <v>26</v>
      </c>
      <c r="F27" s="39" t="s">
        <v>295</v>
      </c>
      <c r="G27" s="161"/>
      <c r="H27" s="162" t="e">
        <f aca="false">VLOOKUP(Backlog[[#This Row],[Terminé le ]],Calendriers!$F$3:$H$274,3)</f>
        <v>#N/A</v>
      </c>
      <c r="I27" s="160" t="str">
        <f aca="false">IF(ISBLANK(Backlog[[#This Row],[Terminé le ]]),"n",Backlog[[#This Row],[StoryPoints]])</f>
        <v>n</v>
      </c>
      <c r="N27" s="90" t="s">
        <v>305</v>
      </c>
      <c r="O27" s="97" t="n">
        <v>57</v>
      </c>
      <c r="P27" s="97" t="s">
        <v>209</v>
      </c>
      <c r="Q27" s="97" t="s">
        <v>15</v>
      </c>
      <c r="R27" s="100" t="n">
        <v>44843.3880092593</v>
      </c>
      <c r="S27" s="100" t="n">
        <v>45301.6706712963</v>
      </c>
      <c r="T27" s="98"/>
      <c r="U27" s="97" t="s">
        <v>287</v>
      </c>
      <c r="V27" s="97" t="n">
        <v>36</v>
      </c>
      <c r="W27" s="97" t="s">
        <v>304</v>
      </c>
      <c r="X27" s="97" t="n">
        <v>133</v>
      </c>
      <c r="Y27" s="97" t="s">
        <v>289</v>
      </c>
    </row>
    <row r="28" customFormat="false" ht="15" hidden="false" customHeight="true" outlineLevel="0" collapsed="false">
      <c r="A28" s="159" t="n">
        <v>1</v>
      </c>
      <c r="B28" s="159" t="n">
        <v>8</v>
      </c>
      <c r="C28" s="159" t="n">
        <v>6</v>
      </c>
      <c r="D28" s="160" t="str">
        <f aca="false">N28</f>
        <v>Choisir mode de paiement</v>
      </c>
      <c r="E28" s="98" t="s">
        <v>15</v>
      </c>
      <c r="F28" s="39" t="s">
        <v>295</v>
      </c>
      <c r="G28" s="161"/>
      <c r="H28" s="162" t="e">
        <f aca="false">VLOOKUP(Backlog[[#This Row],[Terminé le ]],Calendriers!$F$3:$H$274,3)</f>
        <v>#N/A</v>
      </c>
      <c r="I28" s="160" t="str">
        <f aca="false">IF(ISBLANK(Backlog[[#This Row],[Terminé le ]]),"n",Backlog[[#This Row],[StoryPoints]])</f>
        <v>n</v>
      </c>
      <c r="N28" s="90" t="s">
        <v>306</v>
      </c>
      <c r="O28" s="97" t="n">
        <v>57</v>
      </c>
      <c r="P28" s="97" t="s">
        <v>209</v>
      </c>
      <c r="Q28" s="97" t="s">
        <v>26</v>
      </c>
      <c r="R28" s="100" t="n">
        <v>44843.3880092593</v>
      </c>
      <c r="S28" s="100" t="n">
        <v>45301.6706712963</v>
      </c>
      <c r="T28" s="98"/>
      <c r="U28" s="97" t="s">
        <v>287</v>
      </c>
      <c r="V28" s="97" t="n">
        <v>36</v>
      </c>
      <c r="W28" s="97" t="s">
        <v>304</v>
      </c>
      <c r="X28" s="97" t="n">
        <v>133</v>
      </c>
      <c r="Y28" s="97" t="s">
        <v>293</v>
      </c>
    </row>
    <row r="29" customFormat="false" ht="15" hidden="false" customHeight="true" outlineLevel="0" collapsed="false">
      <c r="A29" s="159" t="n">
        <v>2</v>
      </c>
      <c r="B29" s="159"/>
      <c r="C29" s="159"/>
      <c r="D29" s="160" t="n">
        <f aca="false">N29</f>
        <v>0</v>
      </c>
      <c r="E29" s="98"/>
      <c r="F29" s="98"/>
      <c r="G29" s="98"/>
      <c r="H29" s="162" t="e">
        <f aca="false">VLOOKUP(Backlog[[#This Row],[Terminé le ]],Calendriers!$F$3:$H$274,3)</f>
        <v>#N/A</v>
      </c>
      <c r="I29" s="160" t="str">
        <f aca="false">IF(ISBLANK(Backlog[[#This Row],[Terminé le ]]),"n",Backlog[[#This Row],[StoryPoints]])</f>
        <v>n</v>
      </c>
    </row>
    <row r="30" customFormat="false" ht="15" hidden="false" customHeight="true" outlineLevel="0" collapsed="false">
      <c r="A30" s="159" t="n">
        <v>2</v>
      </c>
      <c r="B30" s="159"/>
      <c r="C30" s="159"/>
      <c r="D30" s="160" t="n">
        <f aca="false">N30</f>
        <v>0</v>
      </c>
      <c r="E30" s="98"/>
      <c r="F30" s="98"/>
      <c r="G30" s="98"/>
      <c r="H30" s="162" t="e">
        <f aca="false">VLOOKUP(Backlog[[#This Row],[Terminé le ]],Calendriers!$F$3:$H$274,3)</f>
        <v>#N/A</v>
      </c>
      <c r="I30" s="160" t="str">
        <f aca="false">IF(ISBLANK(Backlog[[#This Row],[Terminé le ]]),"n",Backlog[[#This Row],[StoryPoints]])</f>
        <v>n</v>
      </c>
    </row>
    <row r="31" customFormat="false" ht="15" hidden="false" customHeight="true" outlineLevel="0" collapsed="false">
      <c r="A31" s="159"/>
      <c r="B31" s="159"/>
      <c r="C31" s="159"/>
      <c r="D31" s="160" t="n">
        <f aca="false">N31</f>
        <v>0</v>
      </c>
      <c r="E31" s="98"/>
      <c r="F31" s="98"/>
      <c r="G31" s="98"/>
      <c r="H31" s="162" t="e">
        <f aca="false">VLOOKUP(Backlog[[#This Row],[Terminé le ]],Calendriers!$F$3:$H$274,3)</f>
        <v>#N/A</v>
      </c>
      <c r="I31" s="160" t="str">
        <f aca="false">IF(ISBLANK(Backlog[[#This Row],[Terminé le ]]),"n",Backlog[[#This Row],[StoryPoints]])</f>
        <v>n</v>
      </c>
    </row>
    <row r="32" customFormat="false" ht="15" hidden="false" customHeight="true" outlineLevel="0" collapsed="false">
      <c r="A32" s="159"/>
      <c r="B32" s="159"/>
      <c r="C32" s="159"/>
      <c r="D32" s="160" t="n">
        <f aca="false">N32</f>
        <v>0</v>
      </c>
      <c r="E32" s="98"/>
      <c r="F32" s="98"/>
      <c r="G32" s="98"/>
      <c r="H32" s="162" t="e">
        <f aca="false">VLOOKUP(Backlog[[#This Row],[Terminé le ]],Calendriers!$F$3:$H$274,3)</f>
        <v>#N/A</v>
      </c>
      <c r="I32" s="160" t="str">
        <f aca="false">IF(ISBLANK(Backlog[[#This Row],[Terminé le ]]),"n",Backlog[[#This Row],[StoryPoints]])</f>
        <v>n</v>
      </c>
    </row>
    <row r="33" customFormat="false" ht="15" hidden="false" customHeight="true" outlineLevel="0" collapsed="false">
      <c r="A33" s="159"/>
      <c r="B33" s="159"/>
      <c r="C33" s="159"/>
      <c r="D33" s="160" t="n">
        <f aca="false">N33</f>
        <v>0</v>
      </c>
      <c r="E33" s="98"/>
      <c r="F33" s="98"/>
      <c r="G33" s="98"/>
      <c r="H33" s="162" t="e">
        <f aca="false">VLOOKUP(Backlog[[#This Row],[Terminé le ]],Calendriers!$F$3:$H$274,3)</f>
        <v>#N/A</v>
      </c>
      <c r="I33" s="160" t="str">
        <f aca="false">IF(ISBLANK(Backlog[[#This Row],[Terminé le ]]),"n",Backlog[[#This Row],[StoryPoints]])</f>
        <v>n</v>
      </c>
    </row>
    <row r="34" customFormat="false" ht="15" hidden="false" customHeight="true" outlineLevel="0" collapsed="false">
      <c r="A34" s="164" t="s">
        <v>307</v>
      </c>
      <c r="B34" s="164"/>
      <c r="C34" s="164" t="n">
        <f aca="false">SUM(Backlog[StoryPoints])</f>
        <v>57</v>
      </c>
      <c r="D34" s="165"/>
      <c r="E34" s="165"/>
      <c r="F34" s="165"/>
      <c r="G34" s="165"/>
      <c r="H34" s="165"/>
      <c r="I34" s="165"/>
    </row>
    <row r="35" customFormat="false" ht="15" hidden="false" customHeight="true" outlineLevel="0" collapsed="false">
      <c r="A35" s="152"/>
      <c r="B35" s="152"/>
      <c r="C35" s="152"/>
      <c r="D35" s="134"/>
      <c r="E35" s="134"/>
      <c r="F35" s="134"/>
      <c r="G35" s="134"/>
      <c r="H35" s="125"/>
      <c r="I35" s="125"/>
    </row>
    <row r="36" customFormat="false" ht="15" hidden="false" customHeight="true" outlineLevel="0" collapsed="false">
      <c r="A36" s="152"/>
      <c r="B36" s="152"/>
      <c r="C36" s="152"/>
      <c r="D36" s="134"/>
      <c r="E36" s="134"/>
      <c r="F36" s="134"/>
      <c r="G36" s="134"/>
      <c r="H36" s="125"/>
      <c r="I36" s="125"/>
    </row>
    <row r="37" customFormat="false" ht="15" hidden="false" customHeight="true" outlineLevel="0" collapsed="false">
      <c r="A37" s="152"/>
      <c r="B37" s="152"/>
      <c r="C37" s="152"/>
      <c r="D37" s="134"/>
      <c r="E37" s="134"/>
      <c r="F37" s="134"/>
      <c r="G37" s="134"/>
      <c r="H37" s="125"/>
      <c r="I37" s="125"/>
    </row>
    <row r="38" customFormat="false" ht="15" hidden="false" customHeight="true" outlineLevel="0" collapsed="false">
      <c r="A38" s="152"/>
      <c r="B38" s="152"/>
      <c r="C38" s="152"/>
      <c r="D38" s="134"/>
      <c r="E38" s="134"/>
      <c r="F38" s="134"/>
      <c r="G38" s="134"/>
      <c r="H38" s="125"/>
      <c r="I38" s="125"/>
    </row>
    <row r="39" customFormat="false" ht="15" hidden="false" customHeight="true" outlineLevel="0" collapsed="false">
      <c r="A39" s="152"/>
      <c r="B39" s="152"/>
      <c r="C39" s="152"/>
      <c r="D39" s="134"/>
      <c r="E39" s="134"/>
      <c r="F39" s="134"/>
      <c r="G39" s="134"/>
    </row>
    <row r="40" customFormat="false" ht="15" hidden="false" customHeight="true" outlineLevel="0" collapsed="false">
      <c r="A40" s="152"/>
      <c r="B40" s="152"/>
      <c r="C40" s="152"/>
      <c r="D40" s="134"/>
      <c r="E40" s="134"/>
      <c r="F40" s="134"/>
      <c r="G40" s="134"/>
    </row>
    <row r="41" customFormat="false" ht="15" hidden="false" customHeight="true" outlineLevel="0" collapsed="false">
      <c r="A41" s="152"/>
      <c r="B41" s="152"/>
      <c r="C41" s="152"/>
      <c r="D41" s="134"/>
      <c r="E41" s="134"/>
      <c r="F41" s="134"/>
      <c r="G41" s="134"/>
    </row>
    <row r="42" customFormat="false" ht="15" hidden="false" customHeight="true" outlineLevel="0" collapsed="false">
      <c r="A42" s="152"/>
      <c r="B42" s="152"/>
      <c r="C42" s="152"/>
      <c r="D42" s="134"/>
      <c r="E42" s="134"/>
      <c r="F42" s="134"/>
      <c r="G42" s="134"/>
      <c r="H42" s="125"/>
      <c r="I42" s="125"/>
    </row>
    <row r="43" customFormat="false" ht="15" hidden="false" customHeight="true" outlineLevel="0" collapsed="false">
      <c r="A43" s="166"/>
      <c r="B43" s="166"/>
      <c r="C43" s="166"/>
      <c r="D43" s="125"/>
      <c r="E43" s="125"/>
      <c r="F43" s="125"/>
      <c r="G43" s="125"/>
      <c r="H43" s="125"/>
      <c r="I43" s="125"/>
    </row>
    <row r="44" customFormat="false" ht="15" hidden="false" customHeight="true" outlineLevel="0" collapsed="false">
      <c r="A44" s="166"/>
      <c r="B44" s="166" t="s">
        <v>308</v>
      </c>
      <c r="C44" s="167" t="n">
        <f aca="false">Backlog[[#Totals],[StoryPoints]]/$E$5</f>
        <v>4.38461538461539</v>
      </c>
      <c r="D44" s="125"/>
      <c r="E44" s="125"/>
      <c r="F44" s="125"/>
      <c r="G44" s="125"/>
      <c r="H44" s="125"/>
      <c r="I44" s="125"/>
    </row>
    <row r="45" customFormat="false" ht="15" hidden="false" customHeight="true" outlineLevel="0" collapsed="false">
      <c r="A45" s="152"/>
      <c r="B45" s="168"/>
      <c r="C45" s="168"/>
      <c r="D45" s="169"/>
      <c r="E45" s="125"/>
      <c r="F45" s="125"/>
      <c r="G45" s="125"/>
      <c r="H45" s="125"/>
      <c r="I45" s="125"/>
    </row>
    <row r="46" customFormat="false" ht="15" hidden="false" customHeight="true" outlineLevel="0" collapsed="false">
      <c r="A46" s="170" t="s">
        <v>307</v>
      </c>
      <c r="B46" s="170"/>
      <c r="C46" s="170"/>
      <c r="D46" s="170"/>
      <c r="E46" s="125"/>
      <c r="F46" s="125"/>
      <c r="G46" s="171" t="s">
        <v>140</v>
      </c>
      <c r="H46" s="171"/>
      <c r="I46" s="171"/>
      <c r="J46" s="171"/>
    </row>
    <row r="47" customFormat="false" ht="15" hidden="false" customHeight="true" outlineLevel="0" collapsed="false">
      <c r="A47" s="172" t="s">
        <v>277</v>
      </c>
      <c r="B47" s="172" t="s">
        <v>309</v>
      </c>
      <c r="C47" s="172" t="s">
        <v>310</v>
      </c>
      <c r="D47" s="172" t="s">
        <v>311</v>
      </c>
      <c r="E47" s="125"/>
      <c r="F47" s="125"/>
      <c r="G47" s="173"/>
      <c r="H47" s="163" t="s">
        <v>312</v>
      </c>
      <c r="I47" s="163" t="s">
        <v>313</v>
      </c>
      <c r="J47" s="174" t="s">
        <v>314</v>
      </c>
    </row>
    <row r="48" customFormat="false" ht="15" hidden="false" customHeight="true" outlineLevel="0" collapsed="false">
      <c r="A48" s="172" t="n">
        <v>0</v>
      </c>
      <c r="B48" s="172" t="n">
        <f aca="false">Backlog[[#Totals],[StoryPoints]]</f>
        <v>57</v>
      </c>
      <c r="C48" s="175" t="n">
        <f aca="false">IF(A48&gt;$E$3,NA(),Backlog[[#Totals],[StoryPoints]]-D48)</f>
        <v>57</v>
      </c>
      <c r="D48" s="16" t="n">
        <f aca="false">SUMIF(Backlog[Jour de sprint],A48,Backlog[SP terminés])</f>
        <v>0</v>
      </c>
      <c r="E48" s="125"/>
      <c r="F48" s="125"/>
      <c r="G48" s="173" t="s">
        <v>287</v>
      </c>
      <c r="H48" s="163" t="n">
        <f aca="false">I48</f>
        <v>80</v>
      </c>
      <c r="I48" s="163" t="n">
        <v>80</v>
      </c>
      <c r="J48" s="174" t="n">
        <v>78</v>
      </c>
    </row>
    <row r="49" customFormat="false" ht="15" hidden="false" customHeight="true" outlineLevel="0" collapsed="false">
      <c r="A49" s="176" t="n">
        <f aca="false">IF(A48&lt;$E$5,A48+1,"")</f>
        <v>1</v>
      </c>
      <c r="B49" s="175" t="n">
        <f aca="false">$C$34-(A49*($C$34/$E$5))</f>
        <v>52.6153846153846</v>
      </c>
      <c r="C49" s="175" t="n">
        <f aca="false">IF(A49&gt;$E$3,NA(),Backlog[[#Totals],[StoryPoints]]-D49)</f>
        <v>57</v>
      </c>
      <c r="D49" s="16" t="n">
        <f aca="false">SUMIF(Backlog[Jour de sprint],A49,Backlog[SP terminés])</f>
        <v>0</v>
      </c>
      <c r="E49" s="125"/>
      <c r="F49" s="125"/>
      <c r="G49" s="173" t="s">
        <v>315</v>
      </c>
      <c r="H49" s="163" t="n">
        <f aca="false">H48*1.1</f>
        <v>88</v>
      </c>
      <c r="I49" s="163" t="n">
        <v>87</v>
      </c>
      <c r="J49" s="174" t="n">
        <v>82</v>
      </c>
    </row>
    <row r="50" customFormat="false" ht="15" hidden="false" customHeight="true" outlineLevel="0" collapsed="false">
      <c r="A50" s="176" t="n">
        <f aca="false">IF(A49&lt;$E$5,A49+1,"")</f>
        <v>2</v>
      </c>
      <c r="B50" s="175" t="n">
        <f aca="false">$C$34-(A50*($C$34/$E$5))</f>
        <v>48.2307692307692</v>
      </c>
      <c r="C50" s="175" t="n">
        <f aca="false">IF(A50&gt;$E$3,NA(),C49-D50)</f>
        <v>57</v>
      </c>
      <c r="D50" s="16" t="n">
        <f aca="false">SUMIF(Backlog[Jour de sprint],A50,Backlog[SP terminés])</f>
        <v>0</v>
      </c>
      <c r="E50" s="125"/>
      <c r="F50" s="125"/>
      <c r="G50" s="173" t="s">
        <v>316</v>
      </c>
      <c r="H50" s="163" t="n">
        <f aca="false">H49*1.075</f>
        <v>94.6</v>
      </c>
      <c r="I50" s="163" t="n">
        <v>90</v>
      </c>
      <c r="J50" s="174"/>
    </row>
    <row r="51" customFormat="false" ht="15" hidden="false" customHeight="true" outlineLevel="0" collapsed="false">
      <c r="A51" s="176" t="n">
        <f aca="false">IF(A50&lt;$E$5,A50+1,"")</f>
        <v>3</v>
      </c>
      <c r="B51" s="175" t="n">
        <f aca="false">$C$34-(A51*($C$34/$E$5))</f>
        <v>43.8461538461539</v>
      </c>
      <c r="C51" s="175" t="n">
        <f aca="false">IF(A51&gt;$E$3,NA(),C50-D51)</f>
        <v>57</v>
      </c>
      <c r="D51" s="16" t="n">
        <f aca="false">SUMIF(Backlog[Jour de sprint],A51,Backlog[SP terminés])</f>
        <v>0</v>
      </c>
      <c r="E51" s="125"/>
      <c r="F51" s="125"/>
      <c r="G51" s="173" t="s">
        <v>317</v>
      </c>
      <c r="H51" s="163" t="n">
        <f aca="false">H50*1.05</f>
        <v>99.33</v>
      </c>
      <c r="I51" s="163"/>
      <c r="J51" s="174"/>
    </row>
    <row r="52" customFormat="false" ht="15" hidden="false" customHeight="true" outlineLevel="0" collapsed="false">
      <c r="A52" s="176" t="n">
        <f aca="false">IF(A51&lt;$E$5,A51+1,"")</f>
        <v>4</v>
      </c>
      <c r="B52" s="175" t="n">
        <f aca="false">$C$34-(A52*($C$34/$E$5))</f>
        <v>39.4615384615385</v>
      </c>
      <c r="C52" s="175" t="n">
        <f aca="false">IF(A52&gt;$E$3,NA(),C51-D52)</f>
        <v>57</v>
      </c>
      <c r="D52" s="16" t="n">
        <f aca="false">SUMIF(Backlog[Jour de sprint],A52,Backlog[SP terminés])</f>
        <v>0</v>
      </c>
      <c r="E52" s="125"/>
      <c r="F52" s="125"/>
      <c r="G52" s="173" t="s">
        <v>318</v>
      </c>
      <c r="H52" s="163" t="n">
        <f aca="false">H51*1.025</f>
        <v>101.81325</v>
      </c>
      <c r="I52" s="163"/>
      <c r="J52" s="174"/>
    </row>
    <row r="53" customFormat="false" ht="15" hidden="false" customHeight="true" outlineLevel="0" collapsed="false">
      <c r="A53" s="176" t="n">
        <f aca="false">IF(A52&lt;$E$5,A52+1,"")</f>
        <v>5</v>
      </c>
      <c r="B53" s="175" t="n">
        <f aca="false">$C$34-(A53*($C$34/$E$5))</f>
        <v>35.0769230769231</v>
      </c>
      <c r="C53" s="175" t="n">
        <f aca="false">IF(A53&gt;$E$3,NA(),C52-D53)</f>
        <v>45</v>
      </c>
      <c r="D53" s="16" t="n">
        <f aca="false">SUMIF(Backlog[Jour de sprint],A53,Backlog[SP terminés])</f>
        <v>12</v>
      </c>
      <c r="E53" s="125"/>
      <c r="F53" s="125"/>
      <c r="G53" s="173" t="s">
        <v>319</v>
      </c>
      <c r="H53" s="163" t="n">
        <f aca="false">H52</f>
        <v>101.81325</v>
      </c>
      <c r="I53" s="163"/>
      <c r="J53" s="174"/>
    </row>
    <row r="54" customFormat="false" ht="15" hidden="false" customHeight="true" outlineLevel="0" collapsed="false">
      <c r="A54" s="176" t="n">
        <f aca="false">IF(A53&lt;$E$5,A53+1,"")</f>
        <v>6</v>
      </c>
      <c r="B54" s="175" t="n">
        <f aca="false">$C$34-(A54*($C$34/$E$5))</f>
        <v>30.6923076923077</v>
      </c>
      <c r="C54" s="175" t="n">
        <f aca="false">IF(A54&gt;$E$3,NA(),C53-D54)</f>
        <v>45</v>
      </c>
      <c r="D54" s="16" t="n">
        <f aca="false">SUMIF(Backlog[Jour de sprint],A54,Backlog[SP terminés])</f>
        <v>0</v>
      </c>
      <c r="E54" s="125"/>
      <c r="F54" s="125"/>
      <c r="G54" s="173" t="s">
        <v>320</v>
      </c>
      <c r="H54" s="163" t="n">
        <f aca="false">H53</f>
        <v>101.81325</v>
      </c>
      <c r="I54" s="163"/>
      <c r="J54" s="174"/>
    </row>
    <row r="55" customFormat="false" ht="15" hidden="false" customHeight="true" outlineLevel="0" collapsed="false">
      <c r="A55" s="176" t="n">
        <f aca="false">IF(A54&lt;$E$5,A54+1,"")</f>
        <v>7</v>
      </c>
      <c r="B55" s="175" t="n">
        <f aca="false">$C$34-(A55*($C$34/$E$5))</f>
        <v>26.3076923076923</v>
      </c>
      <c r="C55" s="175" t="n">
        <f aca="false">IF(A55&gt;$E$3,NA(),C54-D55)</f>
        <v>37</v>
      </c>
      <c r="D55" s="16" t="n">
        <f aca="false">SUMIF(Backlog[Jour de sprint],A55,Backlog[SP terminés])</f>
        <v>8</v>
      </c>
      <c r="E55" s="125"/>
      <c r="F55" s="125"/>
      <c r="G55" s="173" t="s">
        <v>321</v>
      </c>
      <c r="H55" s="163" t="n">
        <f aca="false">H54</f>
        <v>101.81325</v>
      </c>
      <c r="I55" s="163"/>
      <c r="J55" s="174"/>
    </row>
    <row r="56" customFormat="false" ht="15" hidden="false" customHeight="true" outlineLevel="0" collapsed="false">
      <c r="A56" s="176" t="n">
        <f aca="false">IF(A55&lt;$E$5,A55+1,"")</f>
        <v>8</v>
      </c>
      <c r="B56" s="175" t="n">
        <f aca="false">$C$34-(A56*($C$34/$E$5))</f>
        <v>21.9230769230769</v>
      </c>
      <c r="C56" s="175" t="n">
        <f aca="false">IF(A56&gt;$E$3,NA(),C55-D56)</f>
        <v>37</v>
      </c>
      <c r="D56" s="16" t="n">
        <f aca="false">SUMIF(Backlog[Jour de sprint],A56,Backlog[SP terminés])</f>
        <v>0</v>
      </c>
      <c r="E56" s="125"/>
      <c r="F56" s="125"/>
      <c r="G56" s="173"/>
      <c r="H56" s="163"/>
      <c r="I56" s="163"/>
      <c r="J56" s="174"/>
    </row>
    <row r="57" customFormat="false" ht="15" hidden="false" customHeight="true" outlineLevel="0" collapsed="false">
      <c r="A57" s="176" t="n">
        <f aca="false">IF(A56&lt;$E$5,A56+1,"")</f>
        <v>9</v>
      </c>
      <c r="B57" s="175" t="n">
        <f aca="false">$C$34-(A57*($C$34/$E$5))</f>
        <v>17.5384615384615</v>
      </c>
      <c r="C57" s="175" t="n">
        <f aca="false">IF(A57&gt;$E$3,NA(),C56-D57)</f>
        <v>37</v>
      </c>
      <c r="D57" s="16" t="n">
        <f aca="false">SUMIF(Backlog[Jour de sprint],A57,Backlog[SP terminés])</f>
        <v>0</v>
      </c>
      <c r="E57" s="125"/>
      <c r="F57" s="125"/>
      <c r="G57" s="173"/>
      <c r="H57" s="163"/>
      <c r="I57" s="163"/>
      <c r="J57" s="174"/>
    </row>
    <row r="58" customFormat="false" ht="16" hidden="false" customHeight="false" outlineLevel="0" collapsed="false">
      <c r="A58" s="176" t="n">
        <f aca="false">IF(A57&lt;$E$5,A57+1,"")</f>
        <v>10</v>
      </c>
      <c r="B58" s="175" t="n">
        <f aca="false">$C$34-(A58*($C$34/$E$5))</f>
        <v>13.1538461538461</v>
      </c>
      <c r="C58" s="175" t="n">
        <f aca="false">IF(A58&gt;$E$3,NA(),C57-D58)</f>
        <v>34</v>
      </c>
      <c r="D58" s="16" t="n">
        <f aca="false">SUMIF(Backlog[Jour de sprint],A58,Backlog[SP terminés])</f>
        <v>3</v>
      </c>
      <c r="E58" s="125"/>
      <c r="F58" s="125"/>
      <c r="G58" s="173"/>
      <c r="H58" s="163"/>
      <c r="I58" s="163"/>
      <c r="J58" s="174"/>
    </row>
    <row r="59" customFormat="false" ht="16" hidden="false" customHeight="false" outlineLevel="0" collapsed="false">
      <c r="A59" s="176" t="n">
        <f aca="false">IF(A58&lt;$E$5,A58+1,"")</f>
        <v>11</v>
      </c>
      <c r="B59" s="175" t="n">
        <f aca="false">$C$34-(A59*($C$34/$E$5))</f>
        <v>8.76923076923077</v>
      </c>
      <c r="C59" s="175" t="n">
        <f aca="false">IF(A59&gt;$E$3,NA(),C58-D59)</f>
        <v>19</v>
      </c>
      <c r="D59" s="16" t="n">
        <f aca="false">SUMIF(Backlog[Jour de sprint],A59,Backlog[SP terminés])</f>
        <v>15</v>
      </c>
      <c r="E59" s="125"/>
      <c r="F59" s="125"/>
      <c r="G59" s="173"/>
      <c r="H59" s="163"/>
      <c r="I59" s="163"/>
      <c r="J59" s="174"/>
    </row>
    <row r="60" customFormat="false" ht="16" hidden="false" customHeight="false" outlineLevel="0" collapsed="false">
      <c r="A60" s="176" t="n">
        <f aca="false">IF(A59&lt;$E$5,A59+1,"")</f>
        <v>12</v>
      </c>
      <c r="B60" s="175" t="n">
        <f aca="false">$C$34-(A60*($C$34/$E$5))</f>
        <v>4.38461538461538</v>
      </c>
      <c r="C60" s="175" t="e">
        <f aca="false">IF(A60&gt;$E$3,NA(),C59-D60)</f>
        <v>#N/A</v>
      </c>
      <c r="D60" s="16" t="n">
        <f aca="false">SUMIF(Backlog[Jour de sprint],A60,Backlog[SP terminés])</f>
        <v>0</v>
      </c>
      <c r="E60" s="125"/>
      <c r="F60" s="125"/>
      <c r="G60" s="173"/>
      <c r="H60" s="163"/>
      <c r="I60" s="163"/>
      <c r="J60" s="174"/>
    </row>
    <row r="61" customFormat="false" ht="16" hidden="false" customHeight="false" outlineLevel="0" collapsed="false">
      <c r="A61" s="176" t="n">
        <f aca="false">IF(A60&lt;$E$5,A60+1,"")</f>
        <v>13</v>
      </c>
      <c r="B61" s="175" t="n">
        <f aca="false">$C$34-(A61*($C$34/$E$5))</f>
        <v>0</v>
      </c>
      <c r="C61" s="175" t="e">
        <f aca="false">IF(A61&gt;$E$3,NA(),C60-D61)</f>
        <v>#N/A</v>
      </c>
      <c r="D61" s="16" t="n">
        <f aca="false">SUMIF(Backlog[Jour de sprint],A61,Backlog[SP terminés])</f>
        <v>0</v>
      </c>
      <c r="G61" s="177"/>
      <c r="H61" s="8"/>
      <c r="I61" s="8"/>
      <c r="J61" s="174"/>
    </row>
    <row r="62" customFormat="false" ht="16" hidden="false" customHeight="false" outlineLevel="0" collapsed="false">
      <c r="A62" s="176" t="str">
        <f aca="false">IF(A61&lt;$E$5,A61+1,"")</f>
        <v/>
      </c>
      <c r="B62" s="175" t="e">
        <f aca="false">$C$34-(A62*$C$44)</f>
        <v>#VALUE!</v>
      </c>
      <c r="C62" s="175" t="e">
        <f aca="false">IF(A62&gt;$E$3,NA(),C61-D62)</f>
        <v>#N/A</v>
      </c>
      <c r="D62" s="16" t="n">
        <f aca="false">SUMIF(Backlog[Jour de sprint],A62,Backlog[SP terminés])</f>
        <v>0</v>
      </c>
      <c r="G62" s="177"/>
      <c r="H62" s="8"/>
      <c r="I62" s="8"/>
      <c r="J62" s="174"/>
    </row>
    <row r="63" customFormat="false" ht="16" hidden="false" customHeight="false" outlineLevel="0" collapsed="false">
      <c r="A63" s="176" t="str">
        <f aca="false">IF(A62&lt;$E$5,A62+1,"")</f>
        <v/>
      </c>
      <c r="B63" s="175" t="e">
        <f aca="false">$C$34-(A63*$C$44)</f>
        <v>#VALUE!</v>
      </c>
      <c r="C63" s="175" t="e">
        <f aca="false">IF(A63&gt;$E$3,NA(),C62-D63)</f>
        <v>#N/A</v>
      </c>
      <c r="D63" s="16" t="n">
        <f aca="false">SUMIF(Backlog[Jour de sprint],A63,Backlog[SP terminés])</f>
        <v>0</v>
      </c>
      <c r="G63" s="177"/>
      <c r="H63" s="8"/>
      <c r="I63" s="8"/>
      <c r="J63" s="174"/>
    </row>
    <row r="64" customFormat="false" ht="16" hidden="false" customHeight="false" outlineLevel="0" collapsed="false">
      <c r="A64" s="176" t="str">
        <f aca="false">IF(A63&lt;$E$5,A63+1,"")</f>
        <v/>
      </c>
      <c r="B64" s="175" t="e">
        <f aca="false">$C$34-(A64*$C$44)</f>
        <v>#VALUE!</v>
      </c>
      <c r="C64" s="175" t="e">
        <f aca="false">IF(A64&gt;$E$3,NA(),C63-D64)</f>
        <v>#N/A</v>
      </c>
      <c r="D64" s="16" t="n">
        <f aca="false">SUMIF(Backlog[Jour de sprint],A64,Backlog[SP terminés])</f>
        <v>0</v>
      </c>
      <c r="G64" s="177"/>
      <c r="H64" s="8"/>
      <c r="I64" s="8"/>
      <c r="J64" s="174"/>
    </row>
    <row r="65" customFormat="false" ht="16" hidden="false" customHeight="false" outlineLevel="0" collapsed="false">
      <c r="A65" s="176" t="str">
        <f aca="false">IF(A64&lt;$E$5,A64+1,"")</f>
        <v/>
      </c>
      <c r="B65" s="175" t="e">
        <f aca="false">$C$34-(A65*$C$44)</f>
        <v>#VALUE!</v>
      </c>
      <c r="C65" s="175" t="e">
        <f aca="false">IF(A65&gt;$E$3,NA(),C64-D65)</f>
        <v>#N/A</v>
      </c>
      <c r="D65" s="16" t="n">
        <f aca="false">SUMIF(Backlog[Jour de sprint],A65,Backlog[SP terminés])</f>
        <v>0</v>
      </c>
      <c r="G65" s="177"/>
      <c r="H65" s="8"/>
      <c r="I65" s="8"/>
      <c r="J65" s="174"/>
    </row>
    <row r="66" customFormat="false" ht="16" hidden="false" customHeight="false" outlineLevel="0" collapsed="false">
      <c r="A66" s="176" t="str">
        <f aca="false">IF(A65&lt;$E$5,A65+1,"")</f>
        <v/>
      </c>
      <c r="B66" s="175" t="e">
        <f aca="false">$C$34-(A66*$C$44)</f>
        <v>#VALUE!</v>
      </c>
      <c r="C66" s="175" t="e">
        <f aca="false">IF(A66&gt;$E$3,NA(),C65-D66)</f>
        <v>#N/A</v>
      </c>
      <c r="D66" s="16" t="n">
        <f aca="false">SUMIF(Backlog[Jour de sprint],A66,Backlog[SP terminés])</f>
        <v>0</v>
      </c>
      <c r="G66" s="177"/>
      <c r="H66" s="8"/>
      <c r="I66" s="8"/>
      <c r="J66" s="174"/>
    </row>
    <row r="67" customFormat="false" ht="16" hidden="false" customHeight="false" outlineLevel="0" collapsed="false">
      <c r="A67" s="176" t="str">
        <f aca="false">IF(A66&lt;$E$5,A66+1,"")</f>
        <v/>
      </c>
      <c r="B67" s="175" t="e">
        <f aca="false">$C$34-(A67*$C$44)</f>
        <v>#VALUE!</v>
      </c>
      <c r="C67" s="175" t="e">
        <f aca="false">IF(A67&gt;$E$3,NA(),C66-D67)</f>
        <v>#N/A</v>
      </c>
      <c r="D67" s="16" t="n">
        <f aca="false">SUMIF(Backlog[Jour de sprint],A67,Backlog[SP terminés])</f>
        <v>0</v>
      </c>
      <c r="G67" s="177"/>
      <c r="H67" s="8"/>
      <c r="I67" s="8"/>
      <c r="J67" s="174"/>
    </row>
    <row r="68" customFormat="false" ht="16" hidden="false" customHeight="false" outlineLevel="0" collapsed="false">
      <c r="A68" s="176" t="str">
        <f aca="false">IF(A67&lt;$E$5,A67+1,"")</f>
        <v/>
      </c>
      <c r="B68" s="175" t="e">
        <f aca="false">$C$34-(A68*$C$44)</f>
        <v>#VALUE!</v>
      </c>
      <c r="C68" s="175" t="e">
        <f aca="false">IF(A68&gt;$E$3,NA(),C67-D68)</f>
        <v>#N/A</v>
      </c>
      <c r="D68" s="16" t="n">
        <f aca="false">SUMIF(Backlog[Jour de sprint],A68,Backlog[SP terminés])</f>
        <v>0</v>
      </c>
      <c r="G68" s="177"/>
      <c r="H68" s="8"/>
      <c r="I68" s="8"/>
      <c r="J68" s="174"/>
    </row>
    <row r="69" customFormat="false" ht="16" hidden="false" customHeight="false" outlineLevel="0" collapsed="false">
      <c r="A69" s="176" t="str">
        <f aca="false">IF(A68&lt;$E$5,A68+1,"")</f>
        <v/>
      </c>
      <c r="B69" s="175" t="e">
        <f aca="false">$C$34-(A69*$C$44)</f>
        <v>#VALUE!</v>
      </c>
      <c r="C69" s="175" t="e">
        <f aca="false">IF(A69&gt;$E$3,NA(),C68-D69)</f>
        <v>#N/A</v>
      </c>
      <c r="D69" s="16" t="n">
        <f aca="false">SUMIF(Backlog[Jour de sprint],A69,Backlog[SP terminés])</f>
        <v>0</v>
      </c>
      <c r="G69" s="177"/>
      <c r="H69" s="8"/>
      <c r="I69" s="8"/>
      <c r="J69" s="174"/>
    </row>
    <row r="70" customFormat="false" ht="17" hidden="false" customHeight="false" outlineLevel="0" collapsed="false">
      <c r="A70" s="176" t="str">
        <f aca="false">IF(A69&lt;$E$5,A69+1,"")</f>
        <v/>
      </c>
      <c r="B70" s="175" t="e">
        <f aca="false">$C$34-(A70*$C$44)</f>
        <v>#VALUE!</v>
      </c>
      <c r="C70" s="175" t="e">
        <f aca="false">IF(A70&gt;$E$3,NA(),C69-D70)</f>
        <v>#N/A</v>
      </c>
      <c r="D70" s="16" t="n">
        <f aca="false">SUMIF(Backlog[Jour de sprint],A70,Backlog[SP terminés])</f>
        <v>0</v>
      </c>
      <c r="G70" s="178"/>
      <c r="H70" s="179"/>
      <c r="I70" s="179"/>
      <c r="J70" s="180"/>
    </row>
    <row r="71" customFormat="false" ht="16" hidden="false" customHeight="false" outlineLevel="0" collapsed="false">
      <c r="A71" s="176" t="str">
        <f aca="false">IF(A70&lt;$E$5,A70+1,"")</f>
        <v/>
      </c>
      <c r="B71" s="175" t="e">
        <f aca="false">$C$34-(A71*$C$44)</f>
        <v>#VALUE!</v>
      </c>
      <c r="C71" s="175" t="e">
        <f aca="false">IF(A71&gt;$E$3,NA(),C70-D71)</f>
        <v>#N/A</v>
      </c>
      <c r="D71" s="16" t="n">
        <f aca="false">SUMIF(Backlog[Jour de sprint],A71,Backlog[SP terminés])</f>
        <v>0</v>
      </c>
    </row>
    <row r="72" customFormat="false" ht="16" hidden="false" customHeight="false" outlineLevel="0" collapsed="false">
      <c r="A72" s="176" t="str">
        <f aca="false">IF(A71&lt;$E$5,A71+1,"")</f>
        <v/>
      </c>
      <c r="B72" s="175" t="e">
        <f aca="false">$C$34-(A72*$C$44)</f>
        <v>#VALUE!</v>
      </c>
      <c r="C72" s="175" t="e">
        <f aca="false">IF(A72&gt;$E$3,NA(),C71-D72)</f>
        <v>#N/A</v>
      </c>
      <c r="D72" s="16" t="n">
        <f aca="false">SUMIF(Backlog[Jour de sprint],A72,Backlog[SP terminés])</f>
        <v>0</v>
      </c>
    </row>
    <row r="73" customFormat="false" ht="16" hidden="false" customHeight="false" outlineLevel="0" collapsed="false">
      <c r="A73" s="176" t="str">
        <f aca="false">IF(A72&lt;$E$5,A72+1,"")</f>
        <v/>
      </c>
      <c r="B73" s="175" t="e">
        <f aca="false">$C$34-(A73*$C$44)</f>
        <v>#VALUE!</v>
      </c>
      <c r="C73" s="175" t="e">
        <f aca="false">IF(A73&gt;$E$3,NA(),C72-D73)</f>
        <v>#N/A</v>
      </c>
      <c r="D73" s="16" t="n">
        <f aca="false">SUMIF(Backlog[Jour de sprint],A73,Backlog[SP terminés])</f>
        <v>0</v>
      </c>
    </row>
    <row r="74" customFormat="false" ht="16" hidden="false" customHeight="false" outlineLevel="0" collapsed="false">
      <c r="A74" s="176" t="str">
        <f aca="false">IF(A73&lt;$E$5,A73+1,"")</f>
        <v/>
      </c>
      <c r="B74" s="175" t="e">
        <f aca="false">$C$34-(A74*$C$44)</f>
        <v>#VALUE!</v>
      </c>
      <c r="C74" s="175" t="e">
        <f aca="false">IF(A74&gt;$E$3,NA(),C73-D74)</f>
        <v>#N/A</v>
      </c>
      <c r="D74" s="16" t="n">
        <f aca="false">SUMIF(Backlog[Jour de sprint],A74,Backlog[SP terminés])</f>
        <v>0</v>
      </c>
    </row>
    <row r="76" customFormat="false" ht="16" hidden="false" customHeight="false" outlineLevel="0" collapsed="false">
      <c r="G76" s="0" t="n">
        <f aca="false">C4</f>
        <v>0</v>
      </c>
    </row>
    <row r="77" customFormat="false" ht="16" hidden="false" customHeight="false" outlineLevel="0" collapsed="false">
      <c r="A77" s="16" t="n">
        <v>13</v>
      </c>
      <c r="B77" s="175" t="n">
        <f aca="false">$C$34*(1-(A77/$E$5))</f>
        <v>0</v>
      </c>
      <c r="C77" s="175"/>
    </row>
  </sheetData>
  <mergeCells count="8">
    <mergeCell ref="A1:E1"/>
    <mergeCell ref="A3:B3"/>
    <mergeCell ref="A15:K15"/>
    <mergeCell ref="A16:B16"/>
    <mergeCell ref="A17:B17"/>
    <mergeCell ref="A18:B18"/>
    <mergeCell ref="A46:D46"/>
    <mergeCell ref="G46:J46"/>
  </mergeCells>
  <conditionalFormatting sqref="A49:D74">
    <cfRule type="expression" priority="2" aboveAverage="0" equalAverage="0" bottom="0" percent="0" rank="0" text="" dxfId="24">
      <formula>$A49&gt;#ref!</formula>
    </cfRule>
  </conditionalFormatting>
  <conditionalFormatting sqref="B77">
    <cfRule type="expression" priority="3" aboveAverage="0" equalAverage="0" bottom="0" percent="0" rank="0" text="" dxfId="25">
      <formula>$A77&gt;#ref!</formula>
    </cfRule>
  </conditionalFormatting>
  <conditionalFormatting sqref="C77">
    <cfRule type="expression" priority="4" aboveAverage="0" equalAverage="0" bottom="0" percent="0" rank="0" text="" dxfId="26">
      <formula>$A77&gt;#ref!</formula>
    </cfRule>
  </conditionalFormatting>
  <conditionalFormatting sqref="C48:D48">
    <cfRule type="expression" priority="5" aboveAverage="0" equalAverage="0" bottom="0" percent="0" rank="0" text="" dxfId="27">
      <formula>$A48&gt;#ref!</formula>
    </cfRule>
  </conditionalFormatting>
  <dataValidations count="9">
    <dataValidation allowBlank="true" errorStyle="stop" operator="between" showDropDown="false" showErrorMessage="true" showInputMessage="true" sqref="F21:F33" type="list">
      <formula1>$K$21:$K$25</formula1>
      <formula2>0</formula2>
    </dataValidation>
    <dataValidation allowBlank="true" errorStyle="stop" operator="between" showDropDown="false" showErrorMessage="true" showInputMessage="true" sqref="A16" type="custom">
      <formula1>COUNTIF($A:$A,#ref!)=1</formula1>
      <formula2>0</formula2>
    </dataValidation>
    <dataValidation allowBlank="true" error="DIe ID wurde bereits vergeben" errorStyle="stop" errorTitle="Doppelte ID" operator="between" showDropDown="false" showErrorMessage="true" showInputMessage="true" sqref="B31" type="custom">
      <formula1>COUNTIF($B:$B,#ref!)=1</formula1>
      <formula2>0</formula2>
    </dataValidation>
    <dataValidation allowBlank="true" error="DIe ID wurde bereits vergeben" errorStyle="stop" errorTitle="Doppelte ID" operator="between" showDropDown="false" showErrorMessage="true" showInputMessage="true" sqref="B21:B22" type="custom">
      <formula1>COUNTIF($B:$B,A16)=1</formula1>
      <formula2>0</formula2>
    </dataValidation>
    <dataValidation allowBlank="true" error="DIe ID wurde bereits vergeben" errorStyle="stop" errorTitle="Doppelte ID" operator="between" showDropDown="false" showErrorMessage="true" showInputMessage="true" sqref="B23:B30" type="custom">
      <formula1>COUNTIF($B:$B,B20)=1</formula1>
      <formula2>0</formula2>
    </dataValidation>
    <dataValidation allowBlank="true" errorStyle="stop" operator="between" showDropDown="false" showErrorMessage="true" showInputMessage="true" sqref="B20 B32 B35:B45 B47:B48 B75:B76 B78:B1077" type="custom">
      <formula1>COUNTIF($A:$A,A32)=1</formula1>
      <formula2>0</formula2>
    </dataValidation>
    <dataValidation allowBlank="true" errorStyle="stop" operator="between" showDropDown="false" showErrorMessage="true" showInputMessage="true" sqref="E21:E33" type="list">
      <formula1>'Fiche PIC'!$D$5:$D$14</formula1>
      <formula2>0</formula2>
    </dataValidation>
    <dataValidation allowBlank="true" errorStyle="stop" operator="between" showDropDown="false" showErrorMessage="true" showInputMessage="true" sqref="G22:G33" type="date">
      <formula1>'Fiche PIC'!B7</formula1>
      <formula2>'Fiche PIC'!B8</formula2>
    </dataValidation>
    <dataValidation allowBlank="true" error="La date doit être postérieure au début du projet et antérieure à la mise à jour du TdB." errorStyle="stop" errorTitle="Date incorrecte" operator="between" showDropDown="false" showErrorMessage="true" showInputMessage="true" sqref="G21" type="date">
      <formula1>'Fiche PIC'!B5</formula1>
      <formula2>'Fiche PIC'!B7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2" min="2" style="0" width="37.67"/>
    <col collapsed="false" customWidth="true" hidden="false" outlineLevel="0" max="4" min="3" style="0" width="8.84"/>
    <col collapsed="false" customWidth="true" hidden="false" outlineLevel="0" max="5" min="5" style="0" width="9.33"/>
    <col collapsed="false" customWidth="true" hidden="false" outlineLevel="0" max="16" min="6" style="0" width="8.84"/>
  </cols>
  <sheetData>
    <row r="1" customFormat="false" ht="24" hidden="false" customHeight="false" outlineLevel="0" collapsed="false">
      <c r="A1" s="146" t="s">
        <v>322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customFormat="false" ht="55" hidden="false" customHeight="true" outlineLevel="0" collapsed="false">
      <c r="A2" s="181"/>
      <c r="B2" s="16"/>
      <c r="C2" s="16"/>
      <c r="D2" s="16"/>
      <c r="E2" s="16"/>
    </row>
    <row r="3" customFormat="false" ht="53" hidden="false" customHeight="false" outlineLevel="0" collapsed="false">
      <c r="A3" s="182" t="s">
        <v>323</v>
      </c>
      <c r="B3" s="183" t="s">
        <v>187</v>
      </c>
      <c r="C3" s="184" t="n">
        <v>45317</v>
      </c>
      <c r="D3" s="184" t="n">
        <f aca="false">C3+7</f>
        <v>45324</v>
      </c>
      <c r="E3" s="184" t="n">
        <f aca="false">D3+7</f>
        <v>45331</v>
      </c>
      <c r="F3" s="184" t="n">
        <f aca="false">E3+7</f>
        <v>45338</v>
      </c>
      <c r="G3" s="184" t="n">
        <f aca="false">F3+7</f>
        <v>45345</v>
      </c>
      <c r="H3" s="184" t="n">
        <f aca="false">G3+7</f>
        <v>45352</v>
      </c>
      <c r="I3" s="184" t="n">
        <f aca="false">H3+7</f>
        <v>45359</v>
      </c>
      <c r="J3" s="184" t="n">
        <f aca="false">I3+7</f>
        <v>45366</v>
      </c>
      <c r="K3" s="184" t="n">
        <f aca="false">J3+7</f>
        <v>45373</v>
      </c>
      <c r="L3" s="184" t="n">
        <f aca="false">K3+7</f>
        <v>45380</v>
      </c>
      <c r="M3" s="184" t="n">
        <f aca="false">L3+7</f>
        <v>45387</v>
      </c>
      <c r="N3" s="185" t="n">
        <f aca="false">M3+7</f>
        <v>45394</v>
      </c>
      <c r="O3" s="185" t="n">
        <f aca="false">N3+7</f>
        <v>45401</v>
      </c>
      <c r="P3" s="185" t="n">
        <f aca="false">O3+7</f>
        <v>45408</v>
      </c>
    </row>
    <row r="4" customFormat="false" ht="17" hidden="false" customHeight="false" outlineLevel="0" collapsed="false">
      <c r="A4" s="186" t="s">
        <v>324</v>
      </c>
      <c r="B4" s="187" t="s">
        <v>325</v>
      </c>
      <c r="C4" s="188" t="n">
        <v>45366</v>
      </c>
      <c r="D4" s="188" t="n">
        <f aca="false">C4</f>
        <v>45366</v>
      </c>
      <c r="E4" s="188" t="n">
        <f aca="false">C4</f>
        <v>45366</v>
      </c>
      <c r="F4" s="188" t="n">
        <f aca="false">E4+7</f>
        <v>45373</v>
      </c>
      <c r="G4" s="188" t="n">
        <f aca="false">F4</f>
        <v>45373</v>
      </c>
      <c r="H4" s="188"/>
      <c r="I4" s="188"/>
      <c r="J4" s="188"/>
      <c r="K4" s="188"/>
      <c r="L4" s="188"/>
      <c r="M4" s="188"/>
      <c r="N4" s="188"/>
      <c r="O4" s="188"/>
      <c r="P4" s="188"/>
    </row>
    <row r="5" customFormat="false" ht="17" hidden="false" customHeight="false" outlineLevel="0" collapsed="false">
      <c r="A5" s="186" t="s">
        <v>326</v>
      </c>
      <c r="B5" s="189" t="s">
        <v>327</v>
      </c>
      <c r="C5" s="188" t="n">
        <v>45380</v>
      </c>
      <c r="D5" s="188" t="n">
        <f aca="false">C5</f>
        <v>45380</v>
      </c>
      <c r="E5" s="188" t="n">
        <f aca="false">D5</f>
        <v>45380</v>
      </c>
      <c r="F5" s="188" t="n">
        <f aca="false">E5</f>
        <v>45380</v>
      </c>
      <c r="G5" s="188" t="n">
        <f aca="false">F5+7</f>
        <v>45387</v>
      </c>
      <c r="H5" s="188"/>
      <c r="I5" s="188"/>
      <c r="J5" s="188"/>
      <c r="K5" s="188"/>
      <c r="L5" s="188"/>
      <c r="M5" s="188"/>
      <c r="N5" s="188"/>
      <c r="O5" s="188"/>
      <c r="P5" s="188"/>
    </row>
    <row r="6" customFormat="false" ht="17" hidden="false" customHeight="false" outlineLevel="0" collapsed="false">
      <c r="A6" s="92" t="s">
        <v>328</v>
      </c>
      <c r="B6" s="187" t="s">
        <v>329</v>
      </c>
      <c r="C6" s="188" t="n">
        <v>45401</v>
      </c>
      <c r="D6" s="188" t="n">
        <f aca="false">C6</f>
        <v>45401</v>
      </c>
      <c r="E6" s="188" t="n">
        <f aca="false">D6</f>
        <v>45401</v>
      </c>
      <c r="F6" s="188" t="n">
        <f aca="false">E6</f>
        <v>45401</v>
      </c>
      <c r="G6" s="188" t="n">
        <f aca="false">F6</f>
        <v>45401</v>
      </c>
      <c r="H6" s="188"/>
      <c r="I6" s="188"/>
      <c r="J6" s="188"/>
      <c r="K6" s="188"/>
      <c r="L6" s="188"/>
      <c r="M6" s="188"/>
      <c r="N6" s="188"/>
      <c r="O6" s="188"/>
      <c r="P6" s="188"/>
    </row>
    <row r="7" customFormat="false" ht="17" hidden="false" customHeight="false" outlineLevel="0" collapsed="false">
      <c r="A7" s="186" t="s">
        <v>330</v>
      </c>
      <c r="B7" s="187" t="s">
        <v>331</v>
      </c>
      <c r="C7" s="188" t="n">
        <v>45434</v>
      </c>
      <c r="D7" s="188" t="n">
        <f aca="false">C7</f>
        <v>45434</v>
      </c>
      <c r="E7" s="188" t="n">
        <f aca="false">D7</f>
        <v>45434</v>
      </c>
      <c r="F7" s="188" t="n">
        <f aca="false">E7</f>
        <v>45434</v>
      </c>
      <c r="G7" s="188"/>
      <c r="H7" s="188"/>
      <c r="I7" s="188"/>
      <c r="J7" s="188"/>
      <c r="K7" s="188"/>
      <c r="L7" s="188"/>
      <c r="M7" s="188"/>
      <c r="N7" s="188"/>
      <c r="O7" s="188"/>
      <c r="P7" s="188"/>
      <c r="R7" s="190"/>
    </row>
    <row r="8" customFormat="false" ht="17" hidden="false" customHeight="false" outlineLevel="0" collapsed="false">
      <c r="A8" s="186" t="s">
        <v>332</v>
      </c>
      <c r="B8" s="187" t="s">
        <v>333</v>
      </c>
      <c r="C8" s="188" t="n">
        <v>45462</v>
      </c>
      <c r="D8" s="188" t="n">
        <f aca="false">C8</f>
        <v>45462</v>
      </c>
      <c r="E8" s="188" t="n">
        <f aca="false">D8</f>
        <v>45462</v>
      </c>
      <c r="F8" s="188" t="n">
        <f aca="false">E8</f>
        <v>45462</v>
      </c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customFormat="false" ht="17" hidden="false" customHeight="false" outlineLevel="0" collapsed="false">
      <c r="A9" s="92" t="s">
        <v>334</v>
      </c>
      <c r="B9" s="187" t="s">
        <v>335</v>
      </c>
      <c r="C9" s="188" t="n">
        <v>45664</v>
      </c>
      <c r="D9" s="188" t="n">
        <f aca="false">C9</f>
        <v>45664</v>
      </c>
      <c r="E9" s="188" t="n">
        <f aca="false">D9</f>
        <v>45664</v>
      </c>
      <c r="F9" s="188" t="n">
        <f aca="false">E9</f>
        <v>45664</v>
      </c>
      <c r="G9" s="188"/>
      <c r="H9" s="188"/>
      <c r="I9" s="188"/>
      <c r="J9" s="188"/>
      <c r="K9" s="188"/>
      <c r="L9" s="188"/>
      <c r="M9" s="188"/>
      <c r="N9" s="188"/>
      <c r="O9" s="188"/>
      <c r="P9" s="188"/>
    </row>
    <row r="10" customFormat="false" ht="16" hidden="false" customHeight="false" outlineLevel="0" collapsed="false">
      <c r="A10" s="92"/>
      <c r="B10" s="187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</row>
    <row r="11" customFormat="false" ht="17" hidden="false" customHeight="false" outlineLevel="0" collapsed="false">
      <c r="A11" s="92" t="s">
        <v>336</v>
      </c>
      <c r="B11" s="187" t="s">
        <v>337</v>
      </c>
      <c r="C11" s="191" t="n">
        <f aca="false">'Fiche PIC'!B6</f>
        <v>45667</v>
      </c>
      <c r="D11" s="191" t="n">
        <v>45667</v>
      </c>
      <c r="E11" s="191" t="n">
        <v>45667</v>
      </c>
      <c r="F11" s="191" t="n">
        <v>45667</v>
      </c>
      <c r="G11" s="191" t="n">
        <v>45667</v>
      </c>
      <c r="H11" s="191" t="n">
        <v>45667</v>
      </c>
      <c r="I11" s="191" t="n">
        <v>45667</v>
      </c>
      <c r="J11" s="191" t="n">
        <v>45667</v>
      </c>
      <c r="K11" s="191" t="n">
        <v>45667</v>
      </c>
      <c r="L11" s="191" t="n">
        <v>45667</v>
      </c>
      <c r="M11" s="191" t="n">
        <v>45667</v>
      </c>
      <c r="N11" s="191" t="n">
        <v>45667</v>
      </c>
      <c r="O11" s="191" t="n">
        <v>45667</v>
      </c>
      <c r="P11" s="191" t="n">
        <v>45667</v>
      </c>
    </row>
    <row r="12" customFormat="false" ht="17" hidden="false" customHeight="false" outlineLevel="0" collapsed="false">
      <c r="B12" s="192" t="s">
        <v>338</v>
      </c>
      <c r="C12" s="111" t="n">
        <f aca="false">C3</f>
        <v>45317</v>
      </c>
      <c r="D12" s="111" t="n">
        <f aca="false">C12+7</f>
        <v>45324</v>
      </c>
      <c r="E12" s="111" t="n">
        <f aca="false">D12+7</f>
        <v>45331</v>
      </c>
      <c r="F12" s="111" t="n">
        <f aca="false">E12+7</f>
        <v>45338</v>
      </c>
      <c r="G12" s="111" t="n">
        <f aca="false">F12+7</f>
        <v>45345</v>
      </c>
      <c r="H12" s="111" t="n">
        <f aca="false">G12+7</f>
        <v>45352</v>
      </c>
      <c r="I12" s="111" t="n">
        <f aca="false">H12+7</f>
        <v>45359</v>
      </c>
      <c r="J12" s="111" t="n">
        <f aca="false">I12+7</f>
        <v>45366</v>
      </c>
      <c r="K12" s="111" t="n">
        <f aca="false">J12+7</f>
        <v>45373</v>
      </c>
      <c r="L12" s="111" t="n">
        <f aca="false">K12+7</f>
        <v>45380</v>
      </c>
      <c r="M12" s="111" t="n">
        <f aca="false">L12+7</f>
        <v>45387</v>
      </c>
      <c r="N12" s="111" t="n">
        <f aca="false">M12+7</f>
        <v>45394</v>
      </c>
      <c r="O12" s="111" t="n">
        <f aca="false">N12+7</f>
        <v>45401</v>
      </c>
      <c r="P12" s="111" t="n">
        <f aca="false">O12+7</f>
        <v>45408</v>
      </c>
    </row>
  </sheetData>
  <mergeCells count="1">
    <mergeCell ref="A1:N1"/>
  </mergeCells>
  <dataValidations count="2">
    <dataValidation allowBlank="true" errorStyle="stop" operator="between" showDropDown="false" showErrorMessage="true" showInputMessage="true" sqref="C4:E9 F5:F9 G6 G9:P9 C10:C11" type="date">
      <formula1>$C$3</formula1>
      <formula2>$C$11</formula2>
    </dataValidation>
    <dataValidation allowBlank="true" errorStyle="stop" operator="between" showDropDown="false" showErrorMessage="true" showInputMessage="true" sqref="F4 G5" type="date">
      <formula1>$F$3</formula1>
      <formula2>$F$11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AFC2085-2768-4178-99AD-776459232ED9}">
            <xm:f>C$3&gt;'Fiche PIC'!$B$7</xm:f>
            <x14:dxf>
              <font>
                <color rgb="FF000000"/>
              </font>
              <fill>
                <patternFill>
                  <bgColor rgb="FFBFBFBF"/>
                </patternFill>
              </fill>
            </x14:dxf>
          </x14:cfRule>
          <xm:sqref>C4:P11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Collabora_Office/21.06.39.1$Linux_X86_64 LibreOffice_project/a9bfddbd63bd260b0cab4e05a3f2eea70475ff62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2020-10-18T17:06:42Z</dcterms:created>
  <dc:creator>Patrick Giroux</dc:creator>
  <dc:description/>
  <dc:language>fr-FR</dc:language>
  <cp:lastModifiedBy>Patrick Giroux</cp:lastModifiedBy>
  <dcterms:modified xsi:type="dcterms:W3CDTF">2024-01-27T18:13:53Z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