
<file path=[Content_Types].xml><?xml version="1.0" encoding="utf-8"?>
<Types xmlns="http://schemas.openxmlformats.org/package/2006/content-types">
  <Default Extension="xml" ContentType="application/xml"/>
  <Default Extension="vml" ContentType="application/vnd.openxmlformats-officedocument.vmlDrawing"/>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fileSharing userName="Unknown User" reservationPassword="CCD4"/>
  <workbookPr/>
  <bookViews>
    <workbookView windowWidth="22188" windowHeight="10055" tabRatio="795" firstSheet="1" activeTab="2"/>
  </bookViews>
  <sheets>
    <sheet name="名称" sheetId="47" state="hidden" r:id="rId1"/>
    <sheet name="总接单" sheetId="53" r:id="rId2"/>
    <sheet name="正在做货" sheetId="41" r:id="rId3"/>
    <sheet name="已出货" sheetId="44" r:id="rId4"/>
    <sheet name="取消单" sheetId="55" r:id="rId5"/>
    <sheet name="已收费半成品及成品" sheetId="61" r:id="rId6"/>
    <sheet name="MA排期" sheetId="63" state="hidden" r:id="rId7"/>
    <sheet name="详细MA表" sheetId="50" r:id="rId8"/>
    <sheet name="MA" sheetId="45" r:id="rId9"/>
    <sheet name="包装MA" sheetId="58" r:id="rId10"/>
    <sheet name="日期码" sheetId="39" r:id="rId11"/>
    <sheet name="外箱资料" sheetId="51" r:id="rId12"/>
    <sheet name="产品价格" sheetId="56" r:id="rId13"/>
    <sheet name="PDQ配比" sheetId="60" r:id="rId14"/>
    <sheet name="已打发票扣数（26年5月开始）" sheetId="49" state="hidden" r:id="rId15"/>
    <sheet name="已打发票扣数（截止26年4月）" sheetId="62" state="hidden" r:id="rId16"/>
    <sheet name="Sheet3" sheetId="54" state="hidden" r:id="rId17"/>
  </sheets>
  <externalReferences>
    <externalReference r:id="rId19"/>
    <externalReference r:id="rId20"/>
  </externalReferences>
  <definedNames>
    <definedName name="_xlnm._FilterDatabase" localSheetId="0" hidden="1">名称!$A$1:$D$29</definedName>
    <definedName name="_xlnm._FilterDatabase" localSheetId="1" hidden="1">总接单!$A$2:$BB$107</definedName>
    <definedName name="_xlnm._FilterDatabase" localSheetId="2" hidden="1">正在做货!$A$1:$AL$40</definedName>
    <definedName name="_xlnm._FilterDatabase" localSheetId="3" hidden="1">已出货!$A$1:$AL$68</definedName>
    <definedName name="_xlnm._FilterDatabase" localSheetId="4" hidden="1">取消单!$A$1:$AK$27</definedName>
    <definedName name="_xlnm._FilterDatabase" localSheetId="6" hidden="1">MA排期!$A$1:$O$26</definedName>
    <definedName name="_xlnm._FilterDatabase" localSheetId="7" hidden="1">详细MA表!$A$18:$N$45</definedName>
    <definedName name="_xlnm._FilterDatabase" localSheetId="8" hidden="1">MA!$A$1:$AE$36</definedName>
    <definedName name="_xlnm._FilterDatabase" localSheetId="9" hidden="1">包装MA!$A$1:$F$18</definedName>
    <definedName name="_CER10" localSheetId="2">#REF!</definedName>
    <definedName name="_xlnm.Print_Area" localSheetId="1">总接单!$A$2:$G$2</definedName>
    <definedName name="_CER10" localSheetId="4">#REF!</definedName>
    <definedName name="_CER10" localSheetId="6">#REF!</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H25" authorId="0">
      <text>
        <r>
          <rPr>
            <sz val="9"/>
            <rFont val="宋体"/>
            <charset val="134"/>
          </rPr>
          <t>从poPO206451
2256pcs里面扣429pcs</t>
        </r>
      </text>
    </comment>
    <comment ref="H26" authorId="0">
      <text>
        <r>
          <rPr>
            <sz val="9"/>
            <rFont val="宋体"/>
            <charset val="134"/>
          </rPr>
          <t>从poPO206451
2256pcs里面扣429pcs</t>
        </r>
      </text>
    </comment>
    <comment ref="H27" authorId="0">
      <text>
        <r>
          <rPr>
            <sz val="9"/>
            <rFont val="宋体"/>
            <charset val="134"/>
          </rPr>
          <t>从poPO206451
2256pcs里面扣429pcs</t>
        </r>
      </text>
    </comment>
    <comment ref="H28" authorId="0">
      <text>
        <r>
          <rPr>
            <sz val="9"/>
            <rFont val="宋体"/>
            <charset val="134"/>
          </rPr>
          <t xml:space="preserve">PO206451
2256有1764pcs没扣完
PO208475
有增加360pcs一共720pcs只扣了360pcs
</t>
        </r>
      </text>
    </comment>
    <comment ref="H29" authorId="0">
      <text>
        <r>
          <rPr>
            <b/>
            <sz val="9"/>
            <rFont val="宋体"/>
            <charset val="134"/>
          </rPr>
          <t>Administrator:</t>
        </r>
        <r>
          <rPr>
            <sz val="9"/>
            <rFont val="宋体"/>
            <charset val="134"/>
          </rPr>
          <t xml:space="preserve">
PO206451
2256有1764pcs没扣完
PO208475
有增加360pcs一共720pcs只扣了360pcs
</t>
        </r>
      </text>
    </comment>
    <comment ref="H30" authorId="0">
      <text>
        <r>
          <rPr>
            <b/>
            <sz val="9"/>
            <rFont val="宋体"/>
            <charset val="134"/>
          </rPr>
          <t>Administrator:</t>
        </r>
        <r>
          <rPr>
            <sz val="9"/>
            <rFont val="宋体"/>
            <charset val="134"/>
          </rPr>
          <t xml:space="preserve">
PO206451
2256有1764pcs没扣完
PO208475
有增加360pcs一共720pcs只扣了360pcs
</t>
        </r>
      </text>
    </comment>
    <comment ref="H31" authorId="0">
      <text>
        <r>
          <rPr>
            <b/>
            <sz val="9"/>
            <rFont val="宋体"/>
            <charset val="134"/>
          </rPr>
          <t>Administrator:</t>
        </r>
        <r>
          <rPr>
            <sz val="9"/>
            <rFont val="宋体"/>
            <charset val="134"/>
          </rPr>
          <t xml:space="preserve">
扣1680pcs到PO209028</t>
        </r>
      </text>
    </comment>
    <comment ref="H32" authorId="0">
      <text>
        <r>
          <rPr>
            <b/>
            <sz val="9"/>
            <rFont val="宋体"/>
            <charset val="134"/>
          </rPr>
          <t>Administrator:</t>
        </r>
        <r>
          <rPr>
            <sz val="9"/>
            <rFont val="宋体"/>
            <charset val="134"/>
          </rPr>
          <t xml:space="preserve">
扣1680pcs到PO209028</t>
        </r>
      </text>
    </comment>
    <comment ref="H33" authorId="0">
      <text>
        <r>
          <rPr>
            <b/>
            <sz val="9"/>
            <rFont val="宋体"/>
            <charset val="134"/>
          </rPr>
          <t>Administrator:</t>
        </r>
        <r>
          <rPr>
            <sz val="9"/>
            <rFont val="宋体"/>
            <charset val="134"/>
          </rPr>
          <t xml:space="preserve">
扣1680pcs到PO209028</t>
        </r>
      </text>
    </comment>
    <comment ref="H34" authorId="0">
      <text>
        <r>
          <rPr>
            <b/>
            <sz val="9"/>
            <rFont val="宋体"/>
            <charset val="134"/>
          </rPr>
          <t>Administrator:</t>
        </r>
        <r>
          <rPr>
            <sz val="9"/>
            <rFont val="宋体"/>
            <charset val="134"/>
          </rPr>
          <t xml:space="preserve">
扣1560pcs到PO209028</t>
        </r>
      </text>
    </comment>
    <comment ref="H35" authorId="0">
      <text>
        <r>
          <rPr>
            <b/>
            <sz val="9"/>
            <rFont val="宋体"/>
            <charset val="134"/>
          </rPr>
          <t>Administrator:</t>
        </r>
        <r>
          <rPr>
            <sz val="9"/>
            <rFont val="宋体"/>
            <charset val="134"/>
          </rPr>
          <t xml:space="preserve">
扣1560pcs到PO209028</t>
        </r>
      </text>
    </comment>
    <comment ref="H36" authorId="0">
      <text>
        <r>
          <rPr>
            <b/>
            <sz val="9"/>
            <rFont val="宋体"/>
            <charset val="134"/>
          </rPr>
          <t>Administrator:</t>
        </r>
        <r>
          <rPr>
            <sz val="9"/>
            <rFont val="宋体"/>
            <charset val="134"/>
          </rPr>
          <t xml:space="preserve">
扣1560pcs到PO209028</t>
        </r>
      </text>
    </comment>
    <comment ref="H43" authorId="0">
      <text>
        <r>
          <rPr>
            <b/>
            <sz val="9"/>
            <rFont val="宋体"/>
            <charset val="134"/>
          </rPr>
          <t xml:space="preserve">样板30PCS不扣MA
</t>
        </r>
        <r>
          <rPr>
            <sz val="9"/>
            <rFont val="宋体"/>
            <charset val="134"/>
          </rPr>
          <t xml:space="preserve">
</t>
        </r>
      </text>
    </comment>
  </commentList>
</comments>
</file>

<file path=xl/comments2.xml><?xml version="1.0" encoding="utf-8"?>
<comments xmlns="http://schemas.openxmlformats.org/spreadsheetml/2006/main">
  <authors>
    <author>Administrator</author>
  </authors>
  <commentList>
    <comment ref="J14" authorId="0">
      <text>
        <r>
          <rPr>
            <sz val="9"/>
            <rFont val="宋体"/>
            <charset val="134"/>
          </rPr>
          <t>扣360pcs到PO208475
扣2160PCS到PO208986
扣2160PCS到PO208987
扣2160PCS到PO208988
扣2160PCS到PO208985
扣1200PCS到PO209062
扣2040PCS到PO208867
扣360PCS到PO209779
扣480PCS到PO209909
扣900PCS到PO209485
扣2160PCS到PO208989
扣600pcs到PO210274
扣180pcs到PO210284
扣144pcs到PO210278
扣1680pcs到PO209028</t>
        </r>
      </text>
    </comment>
    <comment ref="J15" authorId="0">
      <text>
        <r>
          <rPr>
            <sz val="9"/>
            <rFont val="宋体"/>
            <charset val="134"/>
          </rPr>
          <t>扣360pcs到PO208475
扣2160PCS到PO208986
扣2160PCS到PO208987
扣2160PCS到PO208988
扣2160PCS到PO208985
扣1200PCS到PO209062
扣2040PCS到PO208867
扣360PCS到PO209779
扣480PCS到PO209909
扣900PCS到PO209485
扣2160PCS到PO208989
扣600pcs到PO210274
扣180pcs到PO210284
扣144pcs到PO210278
扣1680pcs到PO209028</t>
        </r>
      </text>
    </comment>
    <comment ref="J16" authorId="0">
      <text>
        <r>
          <rPr>
            <sz val="9"/>
            <rFont val="宋体"/>
            <charset val="134"/>
          </rPr>
          <t>扣360pcs到PO208475
扣2160PCS到PO208986
扣2160PCS到PO208987
扣2160PCS到PO208988
扣2160PCS到PO208985
扣1200PCS到PO209062
扣2040PCS到PO208867
扣360PCS到PO209779
扣480PCS到PO209909
扣900PCS到PO209485
扣2160PCS到PO208989
扣600pcs到PO210274
扣180pcs到PO210284
扣144pcs到PO210278
扣1680pcs到PO209028</t>
        </r>
      </text>
    </comment>
    <comment ref="J17" authorId="0">
      <text>
        <r>
          <rPr>
            <b/>
            <sz val="9"/>
            <rFont val="宋体"/>
            <charset val="134"/>
          </rPr>
          <t>Administrator:</t>
        </r>
        <r>
          <rPr>
            <sz val="9"/>
            <rFont val="宋体"/>
            <charset val="134"/>
          </rPr>
          <t xml:space="preserve">
扣1560pcs到PO209028
</t>
        </r>
      </text>
    </comment>
    <comment ref="J18" authorId="0">
      <text>
        <r>
          <rPr>
            <b/>
            <sz val="9"/>
            <rFont val="宋体"/>
            <charset val="134"/>
          </rPr>
          <t>Administrator:</t>
        </r>
        <r>
          <rPr>
            <sz val="9"/>
            <rFont val="宋体"/>
            <charset val="134"/>
          </rPr>
          <t xml:space="preserve">
扣1560pcs到PO209028
</t>
        </r>
      </text>
    </comment>
    <comment ref="J19" authorId="0">
      <text>
        <r>
          <rPr>
            <b/>
            <sz val="9"/>
            <rFont val="宋体"/>
            <charset val="134"/>
          </rPr>
          <t>Administrator:</t>
        </r>
        <r>
          <rPr>
            <sz val="9"/>
            <rFont val="宋体"/>
            <charset val="134"/>
          </rPr>
          <t xml:space="preserve">
扣1560pcs到PO209028
</t>
        </r>
      </text>
    </comment>
  </commentList>
</comments>
</file>

<file path=xl/comments3.xml><?xml version="1.0" encoding="utf-8"?>
<comments xmlns="http://schemas.openxmlformats.org/spreadsheetml/2006/main">
  <authors>
    <author>Administrator</author>
  </authors>
  <commentList>
    <comment ref="F1" authorId="0">
      <text>
        <r>
          <rPr>
            <sz val="9"/>
            <rFont val="宋体"/>
            <charset val="134"/>
          </rPr>
          <t>有出发票给到客人</t>
        </r>
      </text>
    </comment>
    <comment ref="H1" authorId="0">
      <text>
        <r>
          <rPr>
            <sz val="9"/>
            <rFont val="宋体"/>
            <charset val="134"/>
          </rPr>
          <t>有出发票给到客人</t>
        </r>
      </text>
    </comment>
    <comment ref="F2" authorId="0">
      <text>
        <r>
          <rPr>
            <b/>
            <sz val="9"/>
            <rFont val="宋体"/>
            <charset val="134"/>
          </rPr>
          <t>Administrator:</t>
        </r>
        <r>
          <rPr>
            <sz val="9"/>
            <rFont val="宋体"/>
            <charset val="134"/>
          </rPr>
          <t xml:space="preserve">
有出发票给到客人
</t>
        </r>
      </text>
    </comment>
    <comment ref="H2" authorId="0">
      <text>
        <r>
          <rPr>
            <b/>
            <sz val="9"/>
            <rFont val="宋体"/>
            <charset val="134"/>
          </rPr>
          <t>Administrator:</t>
        </r>
        <r>
          <rPr>
            <sz val="9"/>
            <rFont val="宋体"/>
            <charset val="134"/>
          </rPr>
          <t xml:space="preserve">
有出发票给到客人
</t>
        </r>
      </text>
    </comment>
    <comment ref="F3" authorId="0">
      <text>
        <r>
          <rPr>
            <b/>
            <sz val="9"/>
            <rFont val="宋体"/>
            <charset val="134"/>
          </rPr>
          <t>Administrator:</t>
        </r>
        <r>
          <rPr>
            <sz val="9"/>
            <rFont val="宋体"/>
            <charset val="134"/>
          </rPr>
          <t xml:space="preserve">
有出发票给到客人
</t>
        </r>
      </text>
    </comment>
    <comment ref="H3" authorId="0">
      <text>
        <r>
          <rPr>
            <b/>
            <sz val="9"/>
            <rFont val="宋体"/>
            <charset val="134"/>
          </rPr>
          <t>Administrator:</t>
        </r>
        <r>
          <rPr>
            <sz val="9"/>
            <rFont val="宋体"/>
            <charset val="134"/>
          </rPr>
          <t xml:space="preserve">
有出发票给到客人
</t>
        </r>
      </text>
    </comment>
    <comment ref="F4" authorId="0">
      <text>
        <r>
          <rPr>
            <b/>
            <sz val="9"/>
            <rFont val="宋体"/>
            <charset val="134"/>
          </rPr>
          <t>Administrator:</t>
        </r>
        <r>
          <rPr>
            <sz val="9"/>
            <rFont val="宋体"/>
            <charset val="134"/>
          </rPr>
          <t xml:space="preserve">
有出发票给到客人
</t>
        </r>
      </text>
    </comment>
    <comment ref="H4" authorId="0">
      <text>
        <r>
          <rPr>
            <b/>
            <sz val="9"/>
            <rFont val="宋体"/>
            <charset val="134"/>
          </rPr>
          <t>Administrator:</t>
        </r>
        <r>
          <rPr>
            <sz val="9"/>
            <rFont val="宋体"/>
            <charset val="134"/>
          </rPr>
          <t xml:space="preserve">
有出发票给到客人
</t>
        </r>
      </text>
    </comment>
    <comment ref="F5" authorId="0">
      <text>
        <r>
          <rPr>
            <b/>
            <sz val="9"/>
            <rFont val="宋体"/>
            <charset val="134"/>
          </rPr>
          <t>Administrator:</t>
        </r>
        <r>
          <rPr>
            <sz val="9"/>
            <rFont val="宋体"/>
            <charset val="134"/>
          </rPr>
          <t xml:space="preserve">
有出发票给到客人
</t>
        </r>
      </text>
    </comment>
    <comment ref="H5" authorId="0">
      <text>
        <r>
          <rPr>
            <b/>
            <sz val="9"/>
            <rFont val="宋体"/>
            <charset val="134"/>
          </rPr>
          <t>Administrator:</t>
        </r>
        <r>
          <rPr>
            <sz val="9"/>
            <rFont val="宋体"/>
            <charset val="134"/>
          </rPr>
          <t xml:space="preserve">
有出发票给到客人
</t>
        </r>
      </text>
    </comment>
    <comment ref="F6" authorId="0">
      <text>
        <r>
          <rPr>
            <b/>
            <sz val="9"/>
            <rFont val="宋体"/>
            <charset val="134"/>
          </rPr>
          <t>Administrator:</t>
        </r>
        <r>
          <rPr>
            <sz val="9"/>
            <rFont val="宋体"/>
            <charset val="134"/>
          </rPr>
          <t xml:space="preserve">
有出发票给到客人
</t>
        </r>
      </text>
    </comment>
    <comment ref="H6" authorId="0">
      <text>
        <r>
          <rPr>
            <b/>
            <sz val="9"/>
            <rFont val="宋体"/>
            <charset val="134"/>
          </rPr>
          <t>Administrator:</t>
        </r>
        <r>
          <rPr>
            <sz val="9"/>
            <rFont val="宋体"/>
            <charset val="134"/>
          </rPr>
          <t xml:space="preserve">
有出发票给到客人
</t>
        </r>
      </text>
    </comment>
  </commentList>
</comments>
</file>

<file path=xl/sharedStrings.xml><?xml version="1.0" encoding="utf-8"?>
<sst xmlns="http://schemas.openxmlformats.org/spreadsheetml/2006/main" count="3297" uniqueCount="721">
  <si>
    <r>
      <rPr>
        <sz val="10"/>
        <rFont val="宋体"/>
        <charset val="134"/>
      </rPr>
      <t>货号</t>
    </r>
  </si>
  <si>
    <r>
      <rPr>
        <sz val="10"/>
        <rFont val="宋体"/>
        <charset val="134"/>
      </rPr>
      <t>名称</t>
    </r>
  </si>
  <si>
    <t>装箱数</t>
  </si>
  <si>
    <t>彩盒UPC条码</t>
  </si>
  <si>
    <t>T01535</t>
  </si>
  <si>
    <r>
      <rPr>
        <sz val="9"/>
        <rFont val="宋体"/>
        <charset val="134"/>
      </rPr>
      <t>恐龙公园</t>
    </r>
  </si>
  <si>
    <t>JW-RV-RPGE</t>
  </si>
  <si>
    <r>
      <rPr>
        <sz val="9"/>
        <rFont val="宋体"/>
        <charset val="134"/>
      </rPr>
      <t>恐龙游戏盘</t>
    </r>
  </si>
  <si>
    <t>T01453</t>
  </si>
  <si>
    <t>T01685</t>
  </si>
  <si>
    <r>
      <rPr>
        <sz val="9"/>
        <rFont val="宋体"/>
        <charset val="134"/>
      </rPr>
      <t>手术游戏盘</t>
    </r>
  </si>
  <si>
    <t>T01685-S</t>
  </si>
  <si>
    <t>JW-RV-RPGE-3PK</t>
  </si>
  <si>
    <r>
      <rPr>
        <sz val="10"/>
        <rFont val="宋体"/>
        <charset val="134"/>
      </rPr>
      <t>恐龙游戏盘</t>
    </r>
  </si>
  <si>
    <t>JW-RV-RPGEA</t>
  </si>
  <si>
    <t>恐龙游戏盘(邮包盒装)</t>
  </si>
  <si>
    <t>恐龙游戏盘</t>
  </si>
  <si>
    <t>手术游戏盘</t>
  </si>
  <si>
    <t>T02444</t>
  </si>
  <si>
    <t>恐龙公园二代</t>
  </si>
  <si>
    <t>T02943</t>
  </si>
  <si>
    <t>9.5寸粉红熊公仔（移印）</t>
  </si>
  <si>
    <t>T02943-2</t>
  </si>
  <si>
    <t>T02945</t>
  </si>
  <si>
    <t>9.5寸格力奇公仔
（移印）</t>
  </si>
  <si>
    <t>T02945-2</t>
  </si>
  <si>
    <t>T03190</t>
  </si>
  <si>
    <t>FLiar</t>
  </si>
  <si>
    <t>T03191</t>
  </si>
  <si>
    <t>Striker</t>
  </si>
  <si>
    <t>T03192</t>
  </si>
  <si>
    <t>Clutch</t>
  </si>
  <si>
    <t>T03204</t>
  </si>
  <si>
    <r>
      <rPr>
        <sz val="10"/>
        <rFont val="Times New Roman"/>
        <charset val="134"/>
      </rPr>
      <t>9.5</t>
    </r>
    <r>
      <rPr>
        <sz val="10"/>
        <rFont val="宋体"/>
        <charset val="134"/>
      </rPr>
      <t>寸粉红熊公仔</t>
    </r>
    <r>
      <rPr>
        <sz val="10"/>
        <rFont val="Times New Roman"/>
        <charset val="134"/>
      </rPr>
      <t>+</t>
    </r>
    <r>
      <rPr>
        <sz val="10"/>
        <rFont val="宋体"/>
        <charset val="134"/>
      </rPr>
      <t>格力奇熊仔混装</t>
    </r>
  </si>
  <si>
    <t>T03349</t>
  </si>
  <si>
    <t>3寸可爱系列</t>
  </si>
  <si>
    <t>T03804</t>
  </si>
  <si>
    <t>T03900</t>
  </si>
  <si>
    <t>9.5寸漫画系列</t>
  </si>
  <si>
    <t>T03980</t>
  </si>
  <si>
    <r>
      <rPr>
        <sz val="10"/>
        <rFont val="Times New Roman"/>
        <charset val="134"/>
      </rPr>
      <t>9.5</t>
    </r>
    <r>
      <rPr>
        <sz val="10"/>
        <rFont val="宋体"/>
        <charset val="134"/>
      </rPr>
      <t>寸绿色淋油公仔</t>
    </r>
    <r>
      <rPr>
        <sz val="10"/>
        <rFont val="Times New Roman"/>
        <charset val="134"/>
      </rPr>
      <t>+</t>
    </r>
    <r>
      <rPr>
        <sz val="10"/>
        <rFont val="宋体"/>
        <charset val="134"/>
      </rPr>
      <t>涂鸦公仔混装</t>
    </r>
  </si>
  <si>
    <t>T03937-DS</t>
  </si>
  <si>
    <r>
      <rPr>
        <sz val="9"/>
        <rFont val="宋体"/>
        <charset val="134"/>
      </rPr>
      <t>恐龙公园一代</t>
    </r>
    <r>
      <rPr>
        <sz val="9"/>
        <rFont val="Times New Roman"/>
        <charset val="134"/>
      </rPr>
      <t>--</t>
    </r>
    <r>
      <rPr>
        <sz val="9"/>
        <rFont val="宋体"/>
        <charset val="134"/>
      </rPr>
      <t>陆地</t>
    </r>
  </si>
  <si>
    <t>T03938-DS</t>
  </si>
  <si>
    <r>
      <rPr>
        <sz val="9"/>
        <rFont val="宋体"/>
        <charset val="134"/>
      </rPr>
      <t>恐龙公园一代</t>
    </r>
    <r>
      <rPr>
        <sz val="9"/>
        <rFont val="Times New Roman"/>
        <charset val="134"/>
      </rPr>
      <t>--</t>
    </r>
    <r>
      <rPr>
        <sz val="9"/>
        <rFont val="宋体"/>
        <charset val="134"/>
      </rPr>
      <t>海洋</t>
    </r>
  </si>
  <si>
    <t>T03939-DS</t>
  </si>
  <si>
    <r>
      <rPr>
        <sz val="9"/>
        <rFont val="宋体"/>
        <charset val="134"/>
      </rPr>
      <t>恐龙公园一代</t>
    </r>
    <r>
      <rPr>
        <sz val="9"/>
        <rFont val="Times New Roman"/>
        <charset val="134"/>
      </rPr>
      <t>--</t>
    </r>
    <r>
      <rPr>
        <sz val="9"/>
        <rFont val="宋体"/>
        <charset val="134"/>
      </rPr>
      <t>天空</t>
    </r>
  </si>
  <si>
    <t>T03940-DS</t>
  </si>
  <si>
    <r>
      <rPr>
        <sz val="9"/>
        <rFont val="宋体"/>
        <charset val="134"/>
      </rPr>
      <t>恐龙公园二代</t>
    </r>
    <r>
      <rPr>
        <sz val="9"/>
        <rFont val="Times New Roman"/>
        <charset val="134"/>
      </rPr>
      <t>--</t>
    </r>
    <r>
      <rPr>
        <sz val="9"/>
        <rFont val="宋体"/>
        <charset val="134"/>
      </rPr>
      <t>海滩</t>
    </r>
  </si>
  <si>
    <t>T03941-DS</t>
  </si>
  <si>
    <r>
      <rPr>
        <sz val="9"/>
        <rFont val="宋体"/>
        <charset val="134"/>
      </rPr>
      <t>恐龙公园二代</t>
    </r>
    <r>
      <rPr>
        <sz val="9"/>
        <rFont val="Times New Roman"/>
        <charset val="134"/>
      </rPr>
      <t>--</t>
    </r>
    <r>
      <rPr>
        <sz val="9"/>
        <rFont val="宋体"/>
        <charset val="134"/>
      </rPr>
      <t>雨林</t>
    </r>
  </si>
  <si>
    <t>T03942-DS</t>
  </si>
  <si>
    <r>
      <rPr>
        <sz val="9"/>
        <rFont val="宋体"/>
        <charset val="134"/>
      </rPr>
      <t>恐龙公园二代</t>
    </r>
    <r>
      <rPr>
        <sz val="9"/>
        <rFont val="Times New Roman"/>
        <charset val="134"/>
      </rPr>
      <t>--</t>
    </r>
    <r>
      <rPr>
        <sz val="9"/>
        <rFont val="宋体"/>
        <charset val="134"/>
      </rPr>
      <t>实验室</t>
    </r>
  </si>
  <si>
    <t>接单期</t>
  </si>
  <si>
    <t>国家</t>
  </si>
  <si>
    <t>客户</t>
  </si>
  <si>
    <t>Customer</t>
  </si>
  <si>
    <t>PO号</t>
  </si>
  <si>
    <t>货号</t>
  </si>
  <si>
    <t>数量</t>
  </si>
  <si>
    <t>出货日期</t>
  </si>
  <si>
    <t>T01685A</t>
  </si>
  <si>
    <t>T02428</t>
  </si>
  <si>
    <t>T03900-9.5寸漫画系列</t>
  </si>
  <si>
    <t>T03349-3寸可爱系列</t>
  </si>
  <si>
    <t>单价USD$</t>
  </si>
  <si>
    <t>金额USD$</t>
  </si>
  <si>
    <t>金额HK$</t>
  </si>
  <si>
    <t>恐龙公园</t>
  </si>
  <si>
    <t>恐龙公园S2</t>
  </si>
  <si>
    <t>涂鸦公仔</t>
  </si>
  <si>
    <t>格力奇公仔</t>
  </si>
  <si>
    <t>绿色油淋公仔</t>
  </si>
  <si>
    <t>粉红熊公仔</t>
  </si>
  <si>
    <t>涂鸦公仔（移印办）</t>
  </si>
  <si>
    <t>格力奇公仔（移印办）</t>
  </si>
  <si>
    <t>绿色油淋公仔（移印办）</t>
  </si>
  <si>
    <t>粉红熊公仔（移印办）</t>
  </si>
  <si>
    <t>弗莱尔</t>
  </si>
  <si>
    <t>前锋</t>
  </si>
  <si>
    <t>大心脏</t>
  </si>
  <si>
    <t>漫画熊</t>
  </si>
  <si>
    <t>战士熊</t>
  </si>
  <si>
    <t>小女孩</t>
  </si>
  <si>
    <t>大眼睛</t>
  </si>
  <si>
    <t>寿司狗</t>
  </si>
  <si>
    <t>柯基</t>
  </si>
  <si>
    <t>爱心柴犬</t>
  </si>
  <si>
    <t>爱心猫</t>
  </si>
  <si>
    <t>仙人掌</t>
  </si>
  <si>
    <t>鸡尾酒</t>
  </si>
  <si>
    <t>可爱熊猫</t>
  </si>
  <si>
    <t>9.5寸绿色淋油公仔</t>
  </si>
  <si>
    <t>9.5寸涂鸦公仔</t>
  </si>
  <si>
    <t>一代陆地</t>
  </si>
  <si>
    <t>一代海洋</t>
  </si>
  <si>
    <t>一代天空</t>
  </si>
  <si>
    <t>二代海滩</t>
  </si>
  <si>
    <t>二代雨林</t>
  </si>
  <si>
    <t>二代实验室</t>
  </si>
  <si>
    <t>越南</t>
  </si>
  <si>
    <t>Viet Tinh Anh Joint Stock Company</t>
  </si>
  <si>
    <t>Viet-TM110225</t>
  </si>
  <si>
    <t>PO211348</t>
  </si>
  <si>
    <t>乌克兰</t>
  </si>
  <si>
    <t>AMIGO &amp; F Ltd</t>
  </si>
  <si>
    <t>Kuma Paw 0126</t>
  </si>
  <si>
    <t>PO211615</t>
  </si>
  <si>
    <t>美国</t>
  </si>
  <si>
    <t>Monster Group LLC</t>
  </si>
  <si>
    <t>WM Domestic Order</t>
  </si>
  <si>
    <t>PO211734</t>
  </si>
  <si>
    <t>PO212369</t>
  </si>
  <si>
    <t>澳大利亚</t>
  </si>
  <si>
    <t>Woolworths Group Limited t/a Big W</t>
  </si>
  <si>
    <t>PO211747</t>
  </si>
  <si>
    <t>PO211748</t>
  </si>
  <si>
    <t>新加坡</t>
  </si>
  <si>
    <t>Sheng Tai Toys Pty Ltd</t>
  </si>
  <si>
    <t>Shengtai-TM110464</t>
  </si>
  <si>
    <t>PO211605</t>
  </si>
  <si>
    <t>香港</t>
  </si>
  <si>
    <t>Asia Goal Limited</t>
  </si>
  <si>
    <t>PO-AG250344</t>
  </si>
  <si>
    <t>PO211794</t>
  </si>
  <si>
    <t>PO212104</t>
  </si>
  <si>
    <t>PO212018</t>
  </si>
  <si>
    <t>中国台湾</t>
  </si>
  <si>
    <t>PO-AG250418</t>
  </si>
  <si>
    <t>PO212218</t>
  </si>
  <si>
    <t>Meijer
LANSING</t>
  </si>
  <si>
    <t>PO212267</t>
  </si>
  <si>
    <t>PO212268</t>
  </si>
  <si>
    <t>PO212336</t>
  </si>
  <si>
    <t>PO212355</t>
  </si>
  <si>
    <t>PO212356</t>
  </si>
  <si>
    <t>英国</t>
  </si>
  <si>
    <t>Smyths Toys HQ UC</t>
  </si>
  <si>
    <t>PO212408</t>
  </si>
  <si>
    <t>Kuma Paw 9.5 inch for WM Domestic Order</t>
  </si>
  <si>
    <t>PO212438</t>
  </si>
  <si>
    <t>新西兰</t>
  </si>
  <si>
    <t>Kmart Australia &amp; NZ Holding Limited</t>
  </si>
  <si>
    <t>PO212479</t>
  </si>
  <si>
    <t>PO212478</t>
  </si>
  <si>
    <t>Flybar Inc</t>
  </si>
  <si>
    <t>FB-7504</t>
  </si>
  <si>
    <t>PO212516</t>
  </si>
  <si>
    <t>加拿大</t>
  </si>
  <si>
    <t>Lachine</t>
  </si>
  <si>
    <t>004980</t>
  </si>
  <si>
    <t>PO212541</t>
  </si>
  <si>
    <t>PO212624</t>
  </si>
  <si>
    <t>PO212625</t>
  </si>
  <si>
    <t>Target Australia Pty Ltd</t>
  </si>
  <si>
    <t>PO212775</t>
  </si>
  <si>
    <t>PO213307</t>
  </si>
  <si>
    <t>PO213308</t>
  </si>
  <si>
    <t>PO213309</t>
  </si>
  <si>
    <t>PO213310</t>
  </si>
  <si>
    <t>FB-7781</t>
  </si>
  <si>
    <t>PO212868</t>
  </si>
  <si>
    <t>FB-7782</t>
  </si>
  <si>
    <t>PO212869</t>
  </si>
  <si>
    <t>FB-7783</t>
  </si>
  <si>
    <t>PO212870</t>
  </si>
  <si>
    <t>Canada Inc./dba Red Planet Group</t>
  </si>
  <si>
    <t>005065</t>
  </si>
  <si>
    <t>PO212771</t>
  </si>
  <si>
    <t>PO212950</t>
  </si>
  <si>
    <t>Viet-TM111631</t>
  </si>
  <si>
    <t>PO212874</t>
  </si>
  <si>
    <t>PO213046</t>
  </si>
  <si>
    <t>PO213048</t>
  </si>
  <si>
    <t>PO213168</t>
  </si>
  <si>
    <t>PO213170</t>
  </si>
  <si>
    <t>PO213271</t>
  </si>
  <si>
    <t>泰国</t>
  </si>
  <si>
    <t>Kiddo Pacific Co. Ltd</t>
  </si>
  <si>
    <t>Kiddo-TM11353</t>
  </si>
  <si>
    <t>PO212633</t>
  </si>
  <si>
    <t>韩国</t>
  </si>
  <si>
    <t>BomNamu Co. Ltd</t>
  </si>
  <si>
    <t>BNM_TM260403</t>
  </si>
  <si>
    <t>PO213297</t>
  </si>
  <si>
    <t>宁波</t>
  </si>
  <si>
    <t>Aliss- Panama</t>
  </si>
  <si>
    <t>Aliss</t>
  </si>
  <si>
    <t>PO213496</t>
  </si>
  <si>
    <t>Kuma Paw T03980 WM Domestic</t>
  </si>
  <si>
    <t>PO213866</t>
  </si>
  <si>
    <t>FB-7937</t>
  </si>
  <si>
    <t>PO213850</t>
  </si>
  <si>
    <t>FB-7938</t>
  </si>
  <si>
    <t>PO213891</t>
  </si>
  <si>
    <t>马来西亚</t>
  </si>
  <si>
    <t>Litt Tak Sdn Bhd</t>
  </si>
  <si>
    <t>TMI-LT112962</t>
  </si>
  <si>
    <t>PO214234</t>
  </si>
  <si>
    <t>PO214263</t>
  </si>
  <si>
    <t>FB-8224</t>
  </si>
  <si>
    <t>PO214370</t>
  </si>
  <si>
    <t>FB-8223</t>
  </si>
  <si>
    <t>PO214369</t>
  </si>
  <si>
    <t>FB-8225</t>
  </si>
  <si>
    <t>PO214371</t>
  </si>
  <si>
    <t>PO214790</t>
  </si>
  <si>
    <t>PO214789</t>
  </si>
  <si>
    <t>上海</t>
  </si>
  <si>
    <t>PO214938</t>
  </si>
  <si>
    <t>PO214939</t>
  </si>
  <si>
    <t>PO214940</t>
  </si>
  <si>
    <t>PO214941</t>
  </si>
  <si>
    <t>26-3202009JUS</t>
  </si>
  <si>
    <t>PO215033</t>
  </si>
  <si>
    <t>26-3202008JDO</t>
  </si>
  <si>
    <t>PO215031</t>
  </si>
  <si>
    <t>26-3202007JEC</t>
  </si>
  <si>
    <t>PO215029</t>
  </si>
  <si>
    <r>
      <rPr>
        <b/>
        <sz val="9"/>
        <color rgb="FF0000FF"/>
        <rFont val="Times New Roman"/>
        <charset val="134"/>
      </rPr>
      <t>25</t>
    </r>
    <r>
      <rPr>
        <b/>
        <sz val="9"/>
        <color rgb="FF0000FF"/>
        <rFont val="宋体"/>
        <charset val="134"/>
      </rPr>
      <t>年库存金额：</t>
    </r>
  </si>
  <si>
    <r>
      <rPr>
        <b/>
        <sz val="9"/>
        <color rgb="FFFF0000"/>
        <rFont val="宋体"/>
        <charset val="134"/>
      </rPr>
      <t>总接单：</t>
    </r>
  </si>
  <si>
    <r>
      <rPr>
        <b/>
        <sz val="9"/>
        <color rgb="FFFF0000"/>
        <rFont val="宋体"/>
        <charset val="134"/>
      </rPr>
      <t>总排期：</t>
    </r>
  </si>
  <si>
    <r>
      <rPr>
        <b/>
        <sz val="9"/>
        <color rgb="FFFF0000"/>
        <rFont val="宋体"/>
        <charset val="134"/>
      </rPr>
      <t>已出货：</t>
    </r>
  </si>
  <si>
    <t>以下标注内容区分识别备注：</t>
  </si>
  <si>
    <t>类型</t>
  </si>
  <si>
    <t>内容</t>
  </si>
  <si>
    <t>黄色填充</t>
  </si>
  <si>
    <t>新加单或更改</t>
  </si>
  <si>
    <t>粉色填充</t>
  </si>
  <si>
    <t>扣单/转单</t>
  </si>
  <si>
    <t>蓝色字体</t>
  </si>
  <si>
    <t>已完成</t>
  </si>
  <si>
    <t>粉色字体</t>
  </si>
  <si>
    <t>已出货</t>
  </si>
  <si>
    <t>红色字体</t>
  </si>
  <si>
    <t>取消单</t>
  </si>
  <si>
    <t>客跟单</t>
  </si>
  <si>
    <t>Customer PO</t>
  </si>
  <si>
    <t>名称</t>
  </si>
  <si>
    <t>总箱数</t>
  </si>
  <si>
    <t>客PO期</t>
  </si>
  <si>
    <t>出货期</t>
  </si>
  <si>
    <t>验货期</t>
  </si>
  <si>
    <t>是否约验货</t>
  </si>
  <si>
    <t>验货结果</t>
  </si>
  <si>
    <t>船期SO</t>
  </si>
  <si>
    <t>吨车/柜货</t>
  </si>
  <si>
    <t>生产车间</t>
  </si>
  <si>
    <t>箱唛资料</t>
  </si>
  <si>
    <t>客贴纸</t>
  </si>
  <si>
    <t>是否寄出签办</t>
  </si>
  <si>
    <t>是否打卡板</t>
  </si>
  <si>
    <t>彩盒版本</t>
  </si>
  <si>
    <t>说明书版本</t>
  </si>
  <si>
    <t>日期码</t>
  </si>
  <si>
    <t>备注</t>
  </si>
  <si>
    <t>单价</t>
  </si>
  <si>
    <t>金额USD</t>
  </si>
  <si>
    <t>金额HKD</t>
  </si>
  <si>
    <r>
      <rPr>
        <b/>
        <sz val="9"/>
        <color rgb="FFFF0000"/>
        <rFont val="宋体"/>
        <charset val="134"/>
      </rPr>
      <t>发票号</t>
    </r>
  </si>
  <si>
    <t>走柜/散货</t>
  </si>
  <si>
    <t>是否入系统</t>
  </si>
  <si>
    <t>下单情况</t>
  </si>
  <si>
    <t>贴纸情况</t>
  </si>
  <si>
    <t>首期扣数</t>
  </si>
  <si>
    <t>Rachel</t>
  </si>
  <si>
    <t>已约</t>
  </si>
  <si>
    <t>pass</t>
  </si>
  <si>
    <t>Extra Costs：$6.875</t>
  </si>
  <si>
    <t>OK</t>
  </si>
  <si>
    <t>SSCC贴纸</t>
  </si>
  <si>
    <t>草地套装：0840148226203
海滩滩套装：0840148226210
实验室套装：0840148226227</t>
  </si>
  <si>
    <t>标准美文版本
（13位数UPC条码）</t>
  </si>
  <si>
    <t>美文版本说明书</t>
  </si>
  <si>
    <t>普通透明胶带封箱，外箱不需要盖日期码</t>
  </si>
  <si>
    <t>已入系统</t>
  </si>
  <si>
    <t>SSCC贴纸4/23给到佩玲</t>
  </si>
  <si>
    <t>Extra Costs：$5.5</t>
  </si>
  <si>
    <t>美国-亚马逊</t>
  </si>
  <si>
    <t>Elaine</t>
  </si>
  <si>
    <t>Extra Costs：$20.04
船期8/26</t>
  </si>
  <si>
    <t>0840148227217</t>
  </si>
  <si>
    <t>亚马逊版本
（12位数UPC条码）</t>
  </si>
  <si>
    <t>外箱不需要盖日期码</t>
  </si>
  <si>
    <t>客追踪贴纸</t>
  </si>
  <si>
    <t>0840148231382</t>
  </si>
  <si>
    <t>沃尔玛版本彩盒
（12位数UPC条码）</t>
  </si>
  <si>
    <t>/</t>
  </si>
  <si>
    <t>用取消单PO211192返工，条形码上已有日期码，不需要另外打日期，产品上的RFID贴纸要撕掉</t>
  </si>
  <si>
    <t>条形码贴纸/客追踪贴纸6/18给到佩玲</t>
  </si>
  <si>
    <t>0840148231399</t>
  </si>
  <si>
    <t>0840148231405</t>
  </si>
  <si>
    <t>0840148231412</t>
  </si>
  <si>
    <t>条形码上已有日期码，不需要另外打日期</t>
  </si>
  <si>
    <t>0840148231429</t>
  </si>
  <si>
    <t>0840148231436</t>
  </si>
  <si>
    <t>Extra Costs：$468</t>
  </si>
  <si>
    <t>用取消单PO211192、P0210601返工，条形码上已有日期码，不需要另外打日期，产品上的RFID贴纸要撕掉</t>
  </si>
  <si>
    <t>Extra Costs：$30.06
2026/8/29</t>
  </si>
  <si>
    <t>追踪贴纸</t>
  </si>
  <si>
    <t>Extra Costs：$30.06
2026/9/21</t>
  </si>
  <si>
    <t>Extra Costs：$24.9
2026/10/21</t>
  </si>
  <si>
    <t>Jennifer</t>
  </si>
  <si>
    <t>840148207301</t>
  </si>
  <si>
    <t>标准美文12位条形码</t>
  </si>
  <si>
    <t>沃尔玛版本说明书</t>
  </si>
  <si>
    <t>RR23726</t>
  </si>
  <si>
    <t>该订单与沃尔玛订单相似，但外箱箱唛不同请注意不要订错外箱，外箱不用加盖日期码。</t>
  </si>
  <si>
    <t>Carol</t>
  </si>
  <si>
    <t>BIG W</t>
  </si>
  <si>
    <t xml:space="preserve">Extra Costs：$300
</t>
  </si>
  <si>
    <t>0840148207301</t>
  </si>
  <si>
    <t>WRT</t>
  </si>
  <si>
    <t>Extra Costs：$7.56</t>
  </si>
  <si>
    <t>0840148215733</t>
  </si>
  <si>
    <t>RR25226</t>
  </si>
  <si>
    <t>0840148221734</t>
  </si>
  <si>
    <t>Extra Costs：$8.64</t>
  </si>
  <si>
    <t>Extra Costs：$30.24</t>
  </si>
  <si>
    <t>是否验货</t>
  </si>
  <si>
    <t>发票号</t>
  </si>
  <si>
    <t>首期扣数30%</t>
  </si>
  <si>
    <t>1/6 extra costs:$300</t>
  </si>
  <si>
    <t>5吨车</t>
  </si>
  <si>
    <t>RR35925</t>
  </si>
  <si>
    <t>090126</t>
  </si>
  <si>
    <t>Extra Costs:$200</t>
  </si>
  <si>
    <t>EXW</t>
  </si>
  <si>
    <t>客贴纸12/29给到佩玲</t>
  </si>
  <si>
    <t>Rainbow</t>
  </si>
  <si>
    <t>extra costs:$16</t>
  </si>
  <si>
    <t>20GP</t>
  </si>
  <si>
    <t>840148224445</t>
  </si>
  <si>
    <t>RR00526</t>
  </si>
  <si>
    <t>客贴纸/条形码贴纸</t>
  </si>
  <si>
    <t>840148224469</t>
  </si>
  <si>
    <t>10吨车</t>
  </si>
  <si>
    <t>出货后PO号跟改为：212368</t>
  </si>
  <si>
    <t>RFID贴纸12/10日给到佩玲</t>
  </si>
  <si>
    <t>2/7-2/9</t>
  </si>
  <si>
    <t>40HQ</t>
  </si>
  <si>
    <t>840148226241</t>
  </si>
  <si>
    <t>RR02126</t>
  </si>
  <si>
    <t>RFID贴纸12/29给到佩玲</t>
  </si>
  <si>
    <t>840148226258</t>
  </si>
  <si>
    <t>840148226265</t>
  </si>
  <si>
    <t>2026/3/10，Extra Costs:$300</t>
  </si>
  <si>
    <t>83229REV1</t>
  </si>
  <si>
    <t>生产彩盒时不要印日期码，日期码由湖南生产大货时打在彩盒上，注意不要漏打！
包装以及说明书均为美文</t>
  </si>
  <si>
    <t>RR07026</t>
  </si>
  <si>
    <t>Extra Costs:$350</t>
  </si>
  <si>
    <t>原PO号：PO211734</t>
  </si>
  <si>
    <t>RR08426</t>
  </si>
  <si>
    <t>Rainbow Peng</t>
  </si>
  <si>
    <t>40GP</t>
  </si>
  <si>
    <t>Smyths客版彩盒
（13位数UPC条码）</t>
  </si>
  <si>
    <t>5国语言客版说明书</t>
  </si>
  <si>
    <t>042026</t>
  </si>
  <si>
    <t>生产彩盒时不要印日期码，日期码由湖南生产大货时打在彩盒上，注意不要漏打！
包装以及说明书均为5国语</t>
  </si>
  <si>
    <t>4/11 extra costs:$2.585</t>
  </si>
  <si>
    <t>外箱上面两面都需要工字形ANKO胶带封箱</t>
  </si>
  <si>
    <t>SSCC贴纸3/30给到佩玲</t>
  </si>
  <si>
    <t>4/11 extra costs:$28.215</t>
  </si>
  <si>
    <t>客自提</t>
  </si>
  <si>
    <t>客贴纸2/2日给到佩玲</t>
  </si>
  <si>
    <t>4/13 extra costs:$60</t>
  </si>
  <si>
    <t>0840148217751</t>
  </si>
  <si>
    <t>03/26</t>
  </si>
  <si>
    <t>Extra Costs：$120</t>
  </si>
  <si>
    <t>标准美文版本
（12位数UPC条码）</t>
  </si>
  <si>
    <t>追踪贴纸/条形码贴纸</t>
  </si>
  <si>
    <t>4/27 Extra Costs：$28.82</t>
  </si>
  <si>
    <t>外箱上下两面都需要工字形ANKO胶带封箱</t>
  </si>
  <si>
    <t>SSCC贴纸4/2给到佩玲</t>
  </si>
  <si>
    <t>4/27 Extra Costs：$1.98</t>
  </si>
  <si>
    <t>840148224445
840148224469</t>
  </si>
  <si>
    <t>RR11226</t>
  </si>
  <si>
    <t>9.5寸粉红色熊仔脚底码货号为：T02943-2，与9.5寸格力奇熊仔混装，配比1:1</t>
  </si>
  <si>
    <t>83246REV1</t>
  </si>
  <si>
    <t>RFID贴纸3/16给到佩玲</t>
  </si>
  <si>
    <t>5/23 Extra Costs：$8.25</t>
  </si>
  <si>
    <t>5/30 Extra Costs：$20.04</t>
  </si>
  <si>
    <t>6/2 Extra Costs：$260</t>
  </si>
  <si>
    <t>客版本英法双语彩盒
(12位数UPC条码)</t>
  </si>
  <si>
    <t>客版英法双语说明书</t>
  </si>
  <si>
    <t>RR14226</t>
  </si>
  <si>
    <t>6/2 Extra Costs：$660</t>
  </si>
  <si>
    <t>840148221734</t>
  </si>
  <si>
    <t>双语版本
（12位数UPC条码）</t>
  </si>
  <si>
    <t>双语版本说明书</t>
  </si>
  <si>
    <t>RR13826</t>
  </si>
  <si>
    <t>混装只需装实验室和海滩两个场景，外箱不需要打日期码</t>
  </si>
  <si>
    <t>6/6 Extra Costs：$300</t>
  </si>
  <si>
    <t>6/9 Extra Costs：$609</t>
  </si>
  <si>
    <t>进口贴纸</t>
  </si>
  <si>
    <t>用取消单P0210601返工</t>
  </si>
  <si>
    <t>PDQ贴纸4/29给到佩玲，条形码贴纸、客贴纸5/11给到佩玲</t>
  </si>
  <si>
    <t>6/10 Extra Costs：$5.61</t>
  </si>
  <si>
    <t>SSCC贴纸5/20给到佩玲</t>
  </si>
  <si>
    <t>6/10 Extra Costs:$25.19</t>
  </si>
  <si>
    <t>6/11 Extra Costs：$360</t>
  </si>
  <si>
    <t>客贴纸4/23给到佩玲</t>
  </si>
  <si>
    <t>050626</t>
  </si>
  <si>
    <t>6/17 Extra Costs：$30.8</t>
  </si>
  <si>
    <r>
      <rPr>
        <sz val="9"/>
        <color rgb="FFFF00FF"/>
        <rFont val="宋体"/>
        <charset val="134"/>
      </rPr>
      <t>RR282</t>
    </r>
    <r>
      <rPr>
        <sz val="8"/>
        <color rgb="FFFF00FF"/>
        <rFont val="宋体"/>
        <charset val="134"/>
      </rPr>
      <t>车</t>
    </r>
  </si>
  <si>
    <t>6/25 Extra Costs：$8.25</t>
  </si>
  <si>
    <r>
      <rPr>
        <sz val="9"/>
        <color rgb="FFFF00FF"/>
        <rFont val="宋体"/>
        <charset val="134"/>
      </rPr>
      <t>RR296</t>
    </r>
    <r>
      <rPr>
        <sz val="8"/>
        <color rgb="FFFF00FF"/>
        <rFont val="宋体"/>
        <charset val="134"/>
      </rPr>
      <t>车</t>
    </r>
  </si>
  <si>
    <t>Extra Costs：$1369.92
船期：7/4</t>
  </si>
  <si>
    <t>0840148230705</t>
  </si>
  <si>
    <t>混装，每款2个，比例为2:2:2:2</t>
  </si>
  <si>
    <r>
      <rPr>
        <sz val="9"/>
        <color rgb="FFFF00FF"/>
        <rFont val="宋体"/>
        <charset val="134"/>
      </rPr>
      <t>RR328</t>
    </r>
    <r>
      <rPr>
        <sz val="8"/>
        <color rgb="FFFF00FF"/>
        <rFont val="宋体"/>
        <charset val="134"/>
      </rPr>
      <t>车</t>
    </r>
  </si>
  <si>
    <t>条形码贴纸/进口商贴纸6/22给到佩玲</t>
  </si>
  <si>
    <t>船期：7/4</t>
  </si>
  <si>
    <t>0840148227583</t>
  </si>
  <si>
    <t>外箱上下两面都需要工字形ANKO胶带封箱,混装，每款2个，比例为2:2:2:2，每款多做4个，共16个样办</t>
  </si>
  <si>
    <r>
      <rPr>
        <b/>
        <sz val="10"/>
        <color rgb="FF000000"/>
        <rFont val="Times New Roman"/>
        <charset val="134"/>
      </rPr>
      <t>RR336</t>
    </r>
    <r>
      <rPr>
        <b/>
        <sz val="10"/>
        <color rgb="FF000000"/>
        <rFont val="宋体"/>
        <charset val="134"/>
      </rPr>
      <t>车</t>
    </r>
  </si>
  <si>
    <t>SSCC贴纸6/18给到佩玲</t>
  </si>
  <si>
    <t>外箱上下两面都需要工字形ANKO胶带封箱，做4套样办</t>
  </si>
  <si>
    <t>外箱上下两面都需要工字形ANKO胶带封箱,混装，每款2个，比例为2:2:2:2</t>
  </si>
  <si>
    <t>840148224438
840148224452</t>
  </si>
  <si>
    <t>RR18826</t>
  </si>
  <si>
    <t>9.5寸绿色淋油公仔脚底码货号为：T02942-2，9.5寸涂鸦公仔脚底码货号为：T02944-2，混装比例1:1，彩盒不需要打日期码</t>
  </si>
  <si>
    <t>95765REV1</t>
  </si>
  <si>
    <r>
      <rPr>
        <b/>
        <sz val="10"/>
        <color rgb="FF000000"/>
        <rFont val="Times New Roman"/>
        <charset val="134"/>
      </rPr>
      <t>RR347</t>
    </r>
    <r>
      <rPr>
        <b/>
        <sz val="10"/>
        <color rgb="FF000000"/>
        <rFont val="宋体"/>
        <charset val="134"/>
      </rPr>
      <t>车</t>
    </r>
  </si>
  <si>
    <t>RFID贴纸5/30给到佩玲</t>
  </si>
  <si>
    <t>Extra Costs：$20.04
7/13</t>
  </si>
  <si>
    <r>
      <rPr>
        <b/>
        <sz val="10"/>
        <color rgb="FF000000"/>
        <rFont val="Times New Roman"/>
        <charset val="134"/>
      </rPr>
      <t>RR444</t>
    </r>
    <r>
      <rPr>
        <b/>
        <sz val="10"/>
        <color rgb="FF000000"/>
        <rFont val="宋体"/>
        <charset val="134"/>
      </rPr>
      <t>柜</t>
    </r>
  </si>
  <si>
    <r>
      <rPr>
        <b/>
        <sz val="10"/>
        <color rgb="FF000000"/>
        <rFont val="Times New Roman"/>
        <charset val="134"/>
      </rPr>
      <t>RR399</t>
    </r>
    <r>
      <rPr>
        <b/>
        <sz val="10"/>
        <color rgb="FF000000"/>
        <rFont val="宋体"/>
        <charset val="134"/>
      </rPr>
      <t>车</t>
    </r>
  </si>
  <si>
    <t>Extra Costs：$318.24</t>
  </si>
  <si>
    <r>
      <rPr>
        <b/>
        <sz val="10"/>
        <color rgb="FF000000"/>
        <rFont val="Times New Roman"/>
        <charset val="134"/>
      </rPr>
      <t>RR527</t>
    </r>
    <r>
      <rPr>
        <b/>
        <sz val="10"/>
        <color rgb="FF000000"/>
        <rFont val="宋体"/>
        <charset val="134"/>
      </rPr>
      <t>柜</t>
    </r>
  </si>
  <si>
    <t>Extra Costs：$22.935</t>
  </si>
  <si>
    <r>
      <rPr>
        <b/>
        <sz val="10"/>
        <color rgb="FF000000"/>
        <rFont val="Times New Roman"/>
        <charset val="134"/>
      </rPr>
      <t>RR428</t>
    </r>
    <r>
      <rPr>
        <b/>
        <sz val="10"/>
        <color rgb="FF000000"/>
        <rFont val="宋体"/>
        <charset val="134"/>
      </rPr>
      <t>车</t>
    </r>
  </si>
  <si>
    <t>Extra Costs：$321.6</t>
  </si>
  <si>
    <t>RR21526</t>
  </si>
  <si>
    <r>
      <t>RR444</t>
    </r>
    <r>
      <rPr>
        <b/>
        <sz val="10"/>
        <color rgb="FF000000"/>
        <rFont val="宋体"/>
        <charset val="134"/>
      </rPr>
      <t>车</t>
    </r>
  </si>
  <si>
    <t>进口商贴纸6/23给到佩玲</t>
  </si>
  <si>
    <t>标准版的说明书+四国语言的说明书</t>
  </si>
  <si>
    <t>Water Sports LLC</t>
  </si>
  <si>
    <t>PO208167</t>
  </si>
  <si>
    <t>RR05725</t>
  </si>
  <si>
    <t>已下</t>
  </si>
  <si>
    <t>Wal-Mart Inc. USA</t>
  </si>
  <si>
    <t>0908207820</t>
  </si>
  <si>
    <t>PO209044</t>
  </si>
  <si>
    <t>客供彩盒RFID贴纸/客供AD贴纸</t>
  </si>
  <si>
    <t>是</t>
  </si>
  <si>
    <t>天空：840148219519
陆地：840148219496
海洋：840148219502</t>
  </si>
  <si>
    <t>RR23925</t>
  </si>
  <si>
    <t>90箱包一个卡板, 一个卡板贴一张客供AD贴纸+1张工厂自行打印的A4纸箱唛
订单都需要滑片包装</t>
  </si>
  <si>
    <t>贴纸4/10RFID贴纸4/17给张佩玲</t>
  </si>
  <si>
    <t>0908207753</t>
  </si>
  <si>
    <t>PO209045</t>
  </si>
  <si>
    <t>0908207829</t>
  </si>
  <si>
    <t>PO209046</t>
  </si>
  <si>
    <t>0908207736</t>
  </si>
  <si>
    <t>PO209047</t>
  </si>
  <si>
    <t>0908207813</t>
  </si>
  <si>
    <t>PO209048</t>
  </si>
  <si>
    <t>0908207783</t>
  </si>
  <si>
    <t>PO209050</t>
  </si>
  <si>
    <t>0908207781</t>
  </si>
  <si>
    <t>PO209051</t>
  </si>
  <si>
    <t>0908207802</t>
  </si>
  <si>
    <t>PO209052</t>
  </si>
  <si>
    <t>0931994883</t>
  </si>
  <si>
    <t>PO210597</t>
  </si>
  <si>
    <t>RR20225</t>
  </si>
  <si>
    <t>7/29给张佩玲</t>
  </si>
  <si>
    <t>0931994886</t>
  </si>
  <si>
    <t>PO210599</t>
  </si>
  <si>
    <t>0931994900</t>
  </si>
  <si>
    <t>PO210601</t>
  </si>
  <si>
    <t>0931994881</t>
  </si>
  <si>
    <t>PO210602</t>
  </si>
  <si>
    <t>0931994882</t>
  </si>
  <si>
    <t>PO210603</t>
  </si>
  <si>
    <t>0931994888</t>
  </si>
  <si>
    <t>PO210604</t>
  </si>
  <si>
    <t>0931994890</t>
  </si>
  <si>
    <t>PO210605</t>
  </si>
  <si>
    <t>0931994892</t>
  </si>
  <si>
    <t>PO210606</t>
  </si>
  <si>
    <t>0931994893</t>
  </si>
  <si>
    <t>PO210607</t>
  </si>
  <si>
    <t>0947524640</t>
  </si>
  <si>
    <t>PO211192</t>
  </si>
  <si>
    <t>客供AD贴纸</t>
  </si>
  <si>
    <t>90箱包一个卡板, 一个卡板贴一张客供AD贴纸+1张工厂自行打印的A4纸箱唛
订单都需要滑片包装
从PO209045取消单中转出，需修改箱唛上的内容</t>
  </si>
  <si>
    <t>AD贴纸10/16给到佩玲</t>
  </si>
  <si>
    <t>0951184673</t>
  </si>
  <si>
    <t>PO211346</t>
  </si>
  <si>
    <t>90箱包一个卡板, 一个卡板贴一张客供AD贴纸+1张工厂自行打印的A4纸箱唛
订单都需要滑片包装
从PO210601取消单中转出，需修改箱唛上的内容</t>
  </si>
  <si>
    <t>AD贴纸10/27给到佩玲</t>
  </si>
  <si>
    <t>产品状态</t>
  </si>
  <si>
    <t>实单扣数单价</t>
  </si>
  <si>
    <t>单价
(半成品单价含30%定金)</t>
  </si>
  <si>
    <t>客人剩余MA数量</t>
  </si>
  <si>
    <t>开票金额
Need to pay for Blance MA</t>
  </si>
  <si>
    <t xml:space="preserve">总计开票金额
total
</t>
  </si>
  <si>
    <t>Deposite paid</t>
  </si>
  <si>
    <t xml:space="preserve">total
Deposite Paid </t>
  </si>
  <si>
    <t xml:space="preserve">Need to pay for
official order  </t>
  </si>
  <si>
    <t xml:space="preserve">total
</t>
  </si>
  <si>
    <t xml:space="preserve"> Not Shipped QTY</t>
  </si>
  <si>
    <t>Jurassic World Ravenous Raptors</t>
  </si>
  <si>
    <t>半成品</t>
  </si>
  <si>
    <t>Jurassic Dino Epic Quest</t>
  </si>
  <si>
    <t>成品</t>
  </si>
  <si>
    <t>Dinorama S1-sky</t>
  </si>
  <si>
    <t>Dinorama S1-land</t>
  </si>
  <si>
    <t>Dinorama S1-sea</t>
  </si>
  <si>
    <t>总计：</t>
  </si>
  <si>
    <t>PO#</t>
  </si>
  <si>
    <t>Item No</t>
  </si>
  <si>
    <t>Item Name</t>
  </si>
  <si>
    <t>Status</t>
  </si>
  <si>
    <t>Start Date</t>
  </si>
  <si>
    <t>Order Qty</t>
  </si>
  <si>
    <t>Unit cost</t>
  </si>
  <si>
    <t>Balance  QTY(INCLUDING ALL OPENING ORDERS)</t>
  </si>
  <si>
    <t>Total Amount</t>
  </si>
  <si>
    <t xml:space="preserve">Deposite inSAP </t>
  </si>
  <si>
    <t>Qty in SAP</t>
  </si>
  <si>
    <t>Total balance qty(including all opening orders)</t>
  </si>
  <si>
    <t xml:space="preserve">Deposite paid </t>
  </si>
  <si>
    <t>Need to pay</t>
  </si>
  <si>
    <t xml:space="preserve">Deduct unit  price  in future payment </t>
  </si>
  <si>
    <t>PO000100</t>
  </si>
  <si>
    <t>semi product</t>
  </si>
  <si>
    <t xml:space="preserve"> </t>
  </si>
  <si>
    <t>P00000114</t>
  </si>
  <si>
    <t>finished product</t>
  </si>
  <si>
    <t>P00000106</t>
  </si>
  <si>
    <t>P00000107</t>
  </si>
  <si>
    <t>P00000108</t>
  </si>
  <si>
    <t>MA数量</t>
  </si>
  <si>
    <t>定金</t>
  </si>
  <si>
    <t>尾款</t>
  </si>
  <si>
    <t>Toymonster客放MA扣数情况</t>
  </si>
  <si>
    <t>释放时间</t>
  </si>
  <si>
    <t>接单数</t>
  </si>
  <si>
    <t>欠PO2</t>
  </si>
  <si>
    <t>恐龙公园
（天空）</t>
  </si>
  <si>
    <t>恐龙公园
（陆地）</t>
  </si>
  <si>
    <t>恐龙公园
（海洋）</t>
  </si>
  <si>
    <t>总计数量</t>
  </si>
  <si>
    <t>已扣MA数量</t>
  </si>
  <si>
    <t>剩余MA数量</t>
  </si>
  <si>
    <t>剩余MA数量金额USD</t>
  </si>
  <si>
    <t>剩余MA数量金额HKD</t>
  </si>
  <si>
    <t>恐龙公园S2
(海滩)</t>
  </si>
  <si>
    <t>恐龙公园S2
(草地)</t>
  </si>
  <si>
    <t>恐龙公园S2
(实验室)</t>
  </si>
  <si>
    <t>P00000133</t>
  </si>
  <si>
    <t>P00000134</t>
  </si>
  <si>
    <t>总计</t>
  </si>
  <si>
    <t>客人放MA数量</t>
  </si>
  <si>
    <t>验货 结果</t>
  </si>
  <si>
    <t>已收款30%</t>
  </si>
  <si>
    <t>82978REV1</t>
  </si>
  <si>
    <t>PO209007
PO209008
PO209009
PO209010
PO209011
PO209012
PO209013
PO209014
PO209015
PO209016
PO209017
PO209018
PO209019
PO209020
PO209021
PO209022
PO209023
PO209024
PO209025
PO209026
PO209027
PO209028
PO209029
PO209030
PO209031
PO209032
PO209033
PO209035
PO209036
PO209037
PO209038
PO209039
PO209040
PO209041
PO209042
PO209043
PO209044
PO209045
PO209046
PO209047
PO209048
PO209049
PO209050
PO209051
PO209052
PO208985
PO208986
PO208987
PO208988
PO208989
PO209062</t>
  </si>
  <si>
    <r>
      <rPr>
        <b/>
        <sz val="10"/>
        <color rgb="FFFF0000"/>
        <rFont val="Times New Roman"/>
        <charset val="134"/>
      </rPr>
      <t>83013</t>
    </r>
    <r>
      <rPr>
        <b/>
        <sz val="10"/>
        <color rgb="FFFF0000"/>
        <rFont val="宋体"/>
        <charset val="134"/>
      </rPr>
      <t>取消</t>
    </r>
  </si>
  <si>
    <t>PO209062</t>
  </si>
  <si>
    <t>83061REV1</t>
  </si>
  <si>
    <t>恐龙公园S2
(雨林)</t>
  </si>
  <si>
    <t>9.5 inch Echo &amp; Knox</t>
  </si>
  <si>
    <t>恐龙公园2代剩余MA金额</t>
  </si>
  <si>
    <t>内部释放</t>
  </si>
  <si>
    <t>下单日期</t>
  </si>
  <si>
    <t>Item</t>
  </si>
  <si>
    <t>包装</t>
  </si>
  <si>
    <t>包装MA数量</t>
  </si>
  <si>
    <t>实单</t>
  </si>
  <si>
    <t>剩余包装数量</t>
  </si>
  <si>
    <t>PDQ</t>
  </si>
  <si>
    <t>小彩盒WM版本(海滩套装)12位数条码</t>
  </si>
  <si>
    <t>客人放MA5000，PMC实际采购3000
PO211348--1680PCS
PO211794--720PCS
PO211605--1200PCS
PO212218--780PCS
PO213850--3024PCS</t>
  </si>
  <si>
    <t>小彩盒WM版本(草地套装)12位数条码</t>
  </si>
  <si>
    <t>小彩盒WM版本(实验室套装)12位数条码</t>
  </si>
  <si>
    <t>小彩盒WW版本(海滩套装)13位数条码</t>
  </si>
  <si>
    <t>PO212479--564PCS
PO212478--6156PCS
PO212624--6288PCS
PO212625--432PCS</t>
  </si>
  <si>
    <t>小彩盒WW版本(草地套装)13位数条码</t>
  </si>
  <si>
    <t>小彩盒WW版本(实验室套装)13位数条码</t>
  </si>
  <si>
    <t>PO212775--1800PCS
PO213307--1800PCS
PO213308--1200PCS
PO213309--1500PCS
PO213310--1200PCS
PO212874--1656PCS
PO213046--5496PCS
PO213048--1224PCS</t>
  </si>
  <si>
    <t>小彩盒通用版本(海滩套装)13位数条码</t>
  </si>
  <si>
    <t>PO213271--6720PCS
PO212633--1404PCS</t>
  </si>
  <si>
    <t>小彩盒通用版本(草地套装)13位数条码</t>
  </si>
  <si>
    <t>小彩盒通用版本(实验室套装)13位数条码</t>
  </si>
  <si>
    <t>亚马逊版本彩盒</t>
  </si>
  <si>
    <t>PO212868--1002PCS
PO212869--1002PCS
PO212870--1002PCS</t>
  </si>
  <si>
    <t>PO212516--504PCS</t>
  </si>
  <si>
    <t>标准美文13位条形码</t>
  </si>
  <si>
    <t>沃尔玛版本12位条形码</t>
  </si>
  <si>
    <t>货名</t>
  </si>
  <si>
    <t>尺码英寸</t>
  </si>
  <si>
    <t>G.W(kg)</t>
  </si>
  <si>
    <t>N.W(kg)</t>
  </si>
  <si>
    <t>报客长
(CM)</t>
  </si>
  <si>
    <t>报客宽
(CM)</t>
  </si>
  <si>
    <t>报客高
(CM)</t>
  </si>
  <si>
    <t>G.W
（LBS）</t>
  </si>
  <si>
    <t>N.W
（LBS）</t>
  </si>
  <si>
    <t>报客长
(inch)</t>
  </si>
  <si>
    <t>报客宽
(inch)</t>
  </si>
  <si>
    <t>报客高
(inch)</t>
  </si>
  <si>
    <t>CU.FT</t>
  </si>
  <si>
    <t>CBM</t>
  </si>
  <si>
    <t>总CBM</t>
  </si>
  <si>
    <t>VM版</t>
  </si>
  <si>
    <t>K4K(150磅)</t>
  </si>
  <si>
    <t>27.7x23.7x27.8cm</t>
  </si>
  <si>
    <t>B3B</t>
  </si>
  <si>
    <t>26.2X25.8X8cm内卡*2</t>
  </si>
  <si>
    <t>64箱/卡板</t>
  </si>
  <si>
    <t>牛皮纸</t>
  </si>
  <si>
    <t>111x97x15CM</t>
  </si>
  <si>
    <t>35.6X27.7X55cm</t>
  </si>
  <si>
    <t>26.2X25.8X8cm啤卡*6</t>
  </si>
  <si>
    <t>恐龙游戏盘
（亚马逊版本）</t>
  </si>
  <si>
    <t>K4K（外箱）</t>
  </si>
  <si>
    <t>37*28*57.5cm</t>
  </si>
  <si>
    <t>K4K（邮包盒）</t>
  </si>
  <si>
    <t>27.8*11.8*27.8cm</t>
  </si>
  <si>
    <t>A=A(175磅)</t>
  </si>
  <si>
    <t>37.2X15.0X23.8cm</t>
  </si>
  <si>
    <t>370X220MM压线卡*1</t>
  </si>
  <si>
    <t>90箱/卡板</t>
  </si>
  <si>
    <t>113x96x15CM</t>
  </si>
  <si>
    <t>35*27.7*28CM</t>
  </si>
  <si>
    <t>K=K 175磅 双坑</t>
  </si>
  <si>
    <t>315*285*287MM</t>
  </si>
  <si>
    <t>K4K</t>
  </si>
  <si>
    <t>270*290MM平卡*2</t>
  </si>
  <si>
    <t>手术游戏盘
（亚马逊版本）</t>
  </si>
  <si>
    <t>T01685-A</t>
  </si>
  <si>
    <t>K4K(150磅)外箱</t>
  </si>
  <si>
    <t>34*33*29cm</t>
  </si>
  <si>
    <t>31.5*5.1*27.6cm</t>
  </si>
  <si>
    <t xml:space="preserve">9.5寸暴力熊Echo </t>
  </si>
  <si>
    <t>T02942</t>
  </si>
  <si>
    <t>9.5寸暴力熊Trixie</t>
  </si>
  <si>
    <t>9.5寸暴力熊Knox</t>
  </si>
  <si>
    <t>T02944</t>
  </si>
  <si>
    <t>9.5寸暴力熊Glitch</t>
  </si>
  <si>
    <t>26 X 23.1 X 32 CM</t>
  </si>
  <si>
    <t>9.5寸FLiar</t>
  </si>
  <si>
    <t>9.5寸Striker</t>
  </si>
  <si>
    <t>9.5寸Clutch</t>
  </si>
  <si>
    <t>版本</t>
  </si>
  <si>
    <t>散货价</t>
  </si>
  <si>
    <t>20尺柜价格</t>
  </si>
  <si>
    <t>标准版/Smyth</t>
  </si>
  <si>
    <t>WM</t>
  </si>
  <si>
    <t>邮包盒</t>
  </si>
  <si>
    <t>SMYTH</t>
  </si>
  <si>
    <t>恐龙公园1代</t>
  </si>
  <si>
    <t>国际版</t>
  </si>
  <si>
    <t>9.5寸暴力熊</t>
  </si>
  <si>
    <t>标准版</t>
  </si>
  <si>
    <t>9.5寸绿色淋油公仔（移印）</t>
  </si>
  <si>
    <t>9.5寸涂鸦公仔（移印）</t>
  </si>
  <si>
    <t>A</t>
  </si>
  <si>
    <t>E</t>
  </si>
  <si>
    <t>H</t>
  </si>
  <si>
    <t>K</t>
  </si>
  <si>
    <t>N</t>
  </si>
  <si>
    <t>Q</t>
  </si>
  <si>
    <r>
      <rPr>
        <b/>
        <sz val="10"/>
        <color theme="1"/>
        <rFont val="宋体"/>
        <charset val="134"/>
      </rPr>
      <t>货号</t>
    </r>
  </si>
  <si>
    <r>
      <rPr>
        <b/>
        <sz val="10"/>
        <color theme="1"/>
        <rFont val="Times New Roman"/>
        <charset val="134"/>
      </rPr>
      <t>MA</t>
    </r>
    <r>
      <rPr>
        <b/>
        <sz val="10"/>
        <color theme="1"/>
        <rFont val="宋体"/>
        <charset val="134"/>
      </rPr>
      <t>数量</t>
    </r>
  </si>
  <si>
    <r>
      <rPr>
        <b/>
        <sz val="10"/>
        <color theme="1"/>
        <rFont val="宋体"/>
        <charset val="134"/>
      </rPr>
      <t>单价</t>
    </r>
  </si>
  <si>
    <r>
      <rPr>
        <b/>
        <sz val="10"/>
        <color theme="1"/>
        <rFont val="宋体"/>
        <charset val="134"/>
      </rPr>
      <t>金额</t>
    </r>
    <r>
      <rPr>
        <b/>
        <sz val="10"/>
        <color theme="1"/>
        <rFont val="Times New Roman"/>
        <charset val="134"/>
      </rPr>
      <t>USD</t>
    </r>
  </si>
  <si>
    <r>
      <rPr>
        <b/>
        <sz val="10"/>
        <color theme="1"/>
        <rFont val="宋体"/>
        <charset val="134"/>
      </rPr>
      <t>金额</t>
    </r>
    <r>
      <rPr>
        <b/>
        <sz val="10"/>
        <rFont val="Times New Roman"/>
        <charset val="134"/>
      </rPr>
      <t>HKD</t>
    </r>
  </si>
  <si>
    <r>
      <rPr>
        <b/>
        <sz val="10"/>
        <color rgb="FFFF0000"/>
        <rFont val="宋体"/>
        <charset val="134"/>
      </rPr>
      <t>发票日期</t>
    </r>
  </si>
  <si>
    <t>尾款付款数量</t>
  </si>
  <si>
    <r>
      <rPr>
        <b/>
        <sz val="10"/>
        <color theme="1"/>
        <rFont val="宋体"/>
        <charset val="134"/>
      </rPr>
      <t>尾款单价</t>
    </r>
  </si>
  <si>
    <t>出货应收单价</t>
  </si>
  <si>
    <r>
      <rPr>
        <b/>
        <sz val="10"/>
        <color theme="1"/>
        <rFont val="宋体"/>
        <charset val="134"/>
      </rPr>
      <t>付款金额</t>
    </r>
    <r>
      <rPr>
        <b/>
        <sz val="10"/>
        <color theme="1"/>
        <rFont val="Times New Roman"/>
        <charset val="134"/>
      </rPr>
      <t>USD</t>
    </r>
  </si>
  <si>
    <r>
      <rPr>
        <b/>
        <sz val="10"/>
        <color theme="1"/>
        <rFont val="宋体"/>
        <charset val="134"/>
      </rPr>
      <t>付款金额</t>
    </r>
    <r>
      <rPr>
        <b/>
        <sz val="10"/>
        <rFont val="Times New Roman"/>
        <charset val="134"/>
      </rPr>
      <t>HKD</t>
    </r>
  </si>
  <si>
    <r>
      <rPr>
        <b/>
        <sz val="10"/>
        <rFont val="宋体"/>
        <charset val="134"/>
      </rPr>
      <t>成品</t>
    </r>
  </si>
  <si>
    <r>
      <rPr>
        <b/>
        <sz val="10"/>
        <rFont val="宋体"/>
        <charset val="134"/>
      </rPr>
      <t>半成品</t>
    </r>
  </si>
  <si>
    <r>
      <rPr>
        <b/>
        <sz val="10"/>
        <color rgb="FFFF0000"/>
        <rFont val="宋体"/>
        <charset val="134"/>
      </rPr>
      <t>合计：</t>
    </r>
  </si>
  <si>
    <r>
      <rPr>
        <b/>
        <sz val="10"/>
        <rFont val="Times New Roman"/>
        <charset val="134"/>
      </rPr>
      <t>5</t>
    </r>
    <r>
      <rPr>
        <b/>
        <sz val="10"/>
        <rFont val="宋体"/>
        <charset val="134"/>
      </rPr>
      <t>月剩余</t>
    </r>
    <r>
      <rPr>
        <b/>
        <sz val="10"/>
        <rFont val="Times New Roman"/>
        <charset val="134"/>
      </rPr>
      <t>MA</t>
    </r>
    <r>
      <rPr>
        <b/>
        <sz val="10"/>
        <rFont val="宋体"/>
        <charset val="134"/>
      </rPr>
      <t>数量</t>
    </r>
  </si>
  <si>
    <r>
      <rPr>
        <b/>
        <sz val="10"/>
        <color theme="1"/>
        <rFont val="Times New Roman"/>
        <charset val="134"/>
      </rPr>
      <t>5-12</t>
    </r>
    <r>
      <rPr>
        <b/>
        <sz val="10"/>
        <color theme="1"/>
        <rFont val="宋体"/>
        <charset val="134"/>
      </rPr>
      <t>月出货数量</t>
    </r>
  </si>
  <si>
    <t>剩余数量</t>
  </si>
  <si>
    <r>
      <rPr>
        <b/>
        <sz val="10"/>
        <rFont val="Times New Roman"/>
        <charset val="134"/>
      </rPr>
      <t>5</t>
    </r>
    <r>
      <rPr>
        <b/>
        <sz val="10"/>
        <rFont val="宋体"/>
        <charset val="134"/>
      </rPr>
      <t>月剩余</t>
    </r>
    <r>
      <rPr>
        <b/>
        <sz val="10"/>
        <rFont val="Times New Roman"/>
        <charset val="134"/>
      </rPr>
      <t>MA</t>
    </r>
    <r>
      <rPr>
        <b/>
        <sz val="10"/>
        <rFont val="宋体"/>
        <charset val="134"/>
      </rPr>
      <t>金额</t>
    </r>
    <r>
      <rPr>
        <b/>
        <sz val="10"/>
        <rFont val="Times New Roman"/>
        <charset val="134"/>
      </rPr>
      <t>HK</t>
    </r>
  </si>
  <si>
    <t>扣除金额USD</t>
  </si>
  <si>
    <r>
      <rPr>
        <b/>
        <sz val="10"/>
        <color theme="1"/>
        <rFont val="宋体"/>
        <charset val="134"/>
      </rPr>
      <t>扣除金额</t>
    </r>
    <r>
      <rPr>
        <b/>
        <sz val="10"/>
        <color theme="1"/>
        <rFont val="Times New Roman"/>
        <charset val="134"/>
      </rPr>
      <t>HK</t>
    </r>
  </si>
  <si>
    <r>
      <rPr>
        <b/>
        <sz val="10"/>
        <color theme="1"/>
        <rFont val="宋体"/>
        <charset val="134"/>
      </rPr>
      <t>定金剩余金额</t>
    </r>
    <r>
      <rPr>
        <b/>
        <sz val="10"/>
        <color theme="1"/>
        <rFont val="Times New Roman"/>
        <charset val="134"/>
      </rPr>
      <t>HK</t>
    </r>
  </si>
  <si>
    <r>
      <rPr>
        <b/>
        <sz val="10"/>
        <color theme="1"/>
        <rFont val="宋体"/>
        <charset val="134"/>
      </rPr>
      <t>出货金额</t>
    </r>
    <r>
      <rPr>
        <b/>
        <sz val="10"/>
        <color theme="1"/>
        <rFont val="Times New Roman"/>
        <charset val="134"/>
      </rPr>
      <t>HK</t>
    </r>
  </si>
  <si>
    <t>排期扣除金额HK</t>
  </si>
  <si>
    <r>
      <rPr>
        <b/>
        <sz val="10"/>
        <rFont val="Times New Roman"/>
        <charset val="134"/>
      </rPr>
      <t>2026</t>
    </r>
    <r>
      <rPr>
        <b/>
        <sz val="10"/>
        <rFont val="宋体"/>
        <charset val="134"/>
      </rPr>
      <t>年</t>
    </r>
    <r>
      <rPr>
        <b/>
        <sz val="10"/>
        <rFont val="Times New Roman"/>
        <charset val="134"/>
      </rPr>
      <t>1-4</t>
    </r>
    <r>
      <rPr>
        <b/>
        <sz val="10"/>
        <rFont val="宋体"/>
        <charset val="134"/>
      </rPr>
      <t>月</t>
    </r>
  </si>
  <si>
    <t>26年剩余MA数量</t>
  </si>
  <si>
    <t>26年剩余MA金额HK</t>
  </si>
  <si>
    <t>26年出货数量</t>
  </si>
  <si>
    <t>扣除金额HK</t>
  </si>
  <si>
    <t>剩余金额HK</t>
  </si>
  <si>
    <t>出货金额HK</t>
  </si>
  <si>
    <t>排期扣除金额</t>
  </si>
  <si>
    <t>发票日期</t>
  </si>
  <si>
    <t>合计：</t>
  </si>
  <si>
    <t>尾款单价</t>
  </si>
  <si>
    <t>付款金额USD</t>
  </si>
  <si>
    <t>付款金额HKD</t>
  </si>
  <si>
    <t>尾款货号</t>
  </si>
  <si>
    <t>出货数量</t>
  </si>
  <si>
    <t>剩余金额USD</t>
  </si>
  <si>
    <t>剩余金额HKD</t>
  </si>
  <si>
    <t>Smyths PO#</t>
  </si>
  <si>
    <t>INSPECTION DATE</t>
  </si>
  <si>
    <t>Cargo Ready Date</t>
  </si>
  <si>
    <t>Country</t>
  </si>
  <si>
    <t>Supplier </t>
  </si>
  <si>
    <t>Keycode</t>
  </si>
  <si>
    <t>ITEM NUMBER</t>
  </si>
  <si>
    <t>PRODUCT DESCRIPTION</t>
  </si>
  <si>
    <t>QTY(PCS)</t>
  </si>
  <si>
    <t>CTN</t>
  </si>
  <si>
    <t>UK</t>
  </si>
  <si>
    <t>R&amp;R</t>
  </si>
  <si>
    <t>IRELAND</t>
  </si>
  <si>
    <t>GERMANY</t>
  </si>
</sst>
</file>

<file path=xl/styles.xml><?xml version="1.0" encoding="utf-8"?>
<styleSheet xmlns="http://schemas.openxmlformats.org/spreadsheetml/2006/main" xmlns:mc="http://schemas.openxmlformats.org/markup-compatibility/2006" xmlns:xr9="http://schemas.microsoft.com/office/spreadsheetml/2016/revision9" mc:Ignorable="xr9">
  <numFmts count="2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 #,##0.00_-;_-* &quot;-&quot;??_-;_-@_-"/>
    <numFmt numFmtId="177" formatCode="[$-409]d/mmm/yy;@"/>
    <numFmt numFmtId="178" formatCode="yyyy/m/d&quot;周&quot;aaa"/>
    <numFmt numFmtId="179" formatCode="0.00_ ;[Red]\-0.00\ "/>
    <numFmt numFmtId="180" formatCode="yyyy&quot;年&quot;m&quot;月&quot;d&quot;日&quot;;@"/>
    <numFmt numFmtId="181" formatCode="#,##0_ "/>
    <numFmt numFmtId="182" formatCode="0_ ;[Red]\-0\ "/>
    <numFmt numFmtId="183" formatCode="#\ ??/??"/>
    <numFmt numFmtId="184" formatCode="&quot;US$&quot;#,##0.00;\-&quot;US$&quot;#,##0.00"/>
    <numFmt numFmtId="185" formatCode="[$-804]yy&quot;年&quot;m&quot;月&quot;d&quot;日&quot;\(ddd\)"/>
    <numFmt numFmtId="186" formatCode="0.00_ "/>
    <numFmt numFmtId="187" formatCode="0.0000_ "/>
    <numFmt numFmtId="188" formatCode="_([$$-409]* #,##0.00_);_([$$-409]* \(#,##0.00\);_([$$-409]* &quot;-&quot;??_);_(@_)"/>
    <numFmt numFmtId="189" formatCode="0.000_ "/>
    <numFmt numFmtId="190" formatCode="0_ "/>
    <numFmt numFmtId="191" formatCode="\$#,##0.00;\-\$#,##0.00"/>
    <numFmt numFmtId="192" formatCode="0_);[Red]\(0\)"/>
    <numFmt numFmtId="193" formatCode="0;\-0;;@"/>
    <numFmt numFmtId="194" formatCode="0.000_ ;[Red]\-0.000\ "/>
    <numFmt numFmtId="195" formatCode="mm/yy"/>
    <numFmt numFmtId="196" formatCode="yyyy/mm"/>
  </numFmts>
  <fonts count="70">
    <font>
      <sz val="12"/>
      <name val="宋体"/>
      <charset val="134"/>
    </font>
    <font>
      <sz val="9"/>
      <name val="宋体"/>
      <charset val="134"/>
    </font>
    <font>
      <sz val="9"/>
      <name val="宋体"/>
      <charset val="134"/>
      <scheme val="major"/>
    </font>
    <font>
      <sz val="10"/>
      <color rgb="FF000000"/>
      <name val="Arial"/>
      <charset val="134"/>
    </font>
    <font>
      <sz val="11"/>
      <color rgb="FF000000"/>
      <name val="等线"/>
      <charset val="134"/>
    </font>
    <font>
      <b/>
      <sz val="10"/>
      <name val="Times New Roman"/>
      <charset val="134"/>
    </font>
    <font>
      <b/>
      <sz val="10"/>
      <color rgb="FFFF0000"/>
      <name val="Times New Roman"/>
      <charset val="134"/>
    </font>
    <font>
      <sz val="12"/>
      <name val="Times New Roman"/>
      <charset val="134"/>
    </font>
    <font>
      <b/>
      <sz val="10"/>
      <color theme="1"/>
      <name val="Times New Roman"/>
      <charset val="134"/>
    </font>
    <font>
      <sz val="12"/>
      <color rgb="FFFF0000"/>
      <name val="Times New Roman"/>
      <charset val="134"/>
    </font>
    <font>
      <b/>
      <sz val="10"/>
      <color theme="1"/>
      <name val="宋体"/>
      <charset val="134"/>
    </font>
    <font>
      <b/>
      <sz val="10"/>
      <color rgb="FFFF0000"/>
      <name val="宋体"/>
      <charset val="134"/>
    </font>
    <font>
      <b/>
      <sz val="10"/>
      <color rgb="FF00B050"/>
      <name val="Times New Roman"/>
      <charset val="134"/>
    </font>
    <font>
      <b/>
      <sz val="12"/>
      <name val="宋体"/>
      <charset val="134"/>
      <scheme val="major"/>
    </font>
    <font>
      <b/>
      <sz val="12"/>
      <name val="幼圆"/>
      <charset val="134"/>
    </font>
    <font>
      <sz val="14"/>
      <name val="宋体"/>
      <charset val="134"/>
      <scheme val="major"/>
    </font>
    <font>
      <sz val="14"/>
      <color indexed="12"/>
      <name val="宋体"/>
      <charset val="134"/>
      <scheme val="major"/>
    </font>
    <font>
      <sz val="14"/>
      <color indexed="10"/>
      <name val="宋体"/>
      <charset val="134"/>
      <scheme val="major"/>
    </font>
    <font>
      <sz val="12"/>
      <name val="宋体"/>
      <charset val="134"/>
      <scheme val="major"/>
    </font>
    <font>
      <sz val="12"/>
      <color theme="1"/>
      <name val="宋体"/>
      <charset val="134"/>
      <scheme val="minor"/>
    </font>
    <font>
      <b/>
      <sz val="9"/>
      <color rgb="FFFF0000"/>
      <name val="宋体"/>
      <charset val="134"/>
    </font>
    <font>
      <sz val="9"/>
      <color rgb="FF000000"/>
      <name val="宋体"/>
      <charset val="134"/>
    </font>
    <font>
      <b/>
      <sz val="11"/>
      <color rgb="FFFF0000"/>
      <name val="宋体"/>
      <charset val="134"/>
    </font>
    <font>
      <sz val="9"/>
      <color rgb="FFFF0000"/>
      <name val="宋体"/>
      <charset val="134"/>
    </font>
    <font>
      <b/>
      <sz val="9"/>
      <color rgb="FFFF0000"/>
      <name val="Times New Roman"/>
      <charset val="134"/>
    </font>
    <font>
      <b/>
      <sz val="9"/>
      <name val="宋体"/>
      <charset val="134"/>
    </font>
    <font>
      <sz val="11"/>
      <name val="Calibri"/>
      <charset val="134"/>
    </font>
    <font>
      <strike/>
      <sz val="9"/>
      <color rgb="FFFF0000"/>
      <name val="宋体"/>
      <charset val="134"/>
    </font>
    <font>
      <b/>
      <strike/>
      <sz val="9"/>
      <color rgb="FFFF0000"/>
      <name val="宋体"/>
      <charset val="134"/>
    </font>
    <font>
      <sz val="9"/>
      <color rgb="FFFF00FF"/>
      <name val="宋体"/>
      <charset val="134"/>
    </font>
    <font>
      <b/>
      <sz val="10"/>
      <color rgb="FF000000"/>
      <name val="Times New Roman"/>
      <charset val="134"/>
    </font>
    <font>
      <sz val="9"/>
      <color rgb="FF0000FF"/>
      <name val="宋体"/>
      <charset val="134"/>
    </font>
    <font>
      <b/>
      <sz val="9"/>
      <color rgb="FF0000FF"/>
      <name val="Times New Roman"/>
      <charset val="134"/>
    </font>
    <font>
      <b/>
      <sz val="9"/>
      <color rgb="FF000000"/>
      <name val="Times New Roman"/>
      <charset val="134"/>
    </font>
    <font>
      <b/>
      <sz val="9"/>
      <color rgb="FF0000FF"/>
      <name val="宋体"/>
      <charset val="134"/>
    </font>
    <font>
      <sz val="9"/>
      <color rgb="FF0000FF"/>
      <name val="宋体"/>
      <charset val="134"/>
      <scheme val="major"/>
    </font>
    <font>
      <sz val="9"/>
      <color rgb="FFFF00FF"/>
      <name val="宋体"/>
      <charset val="134"/>
      <scheme val="major"/>
    </font>
    <font>
      <sz val="9"/>
      <color rgb="FFFF0000"/>
      <name val="宋体"/>
      <charset val="134"/>
      <scheme val="major"/>
    </font>
    <font>
      <sz val="9"/>
      <name val="Times New Roman"/>
      <charset val="134"/>
    </font>
    <font>
      <sz val="10"/>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6"/>
      <scheme val="minor"/>
    </font>
    <font>
      <sz val="10"/>
      <name val="Helv"/>
      <charset val="0"/>
    </font>
    <font>
      <sz val="10"/>
      <name val="Helv"/>
      <charset val="134"/>
    </font>
    <font>
      <sz val="10"/>
      <color indexed="8"/>
      <name val="Arial"/>
      <charset val="134"/>
    </font>
    <font>
      <b/>
      <sz val="10"/>
      <color rgb="FF000000"/>
      <name val="宋体"/>
      <charset val="134"/>
    </font>
    <font>
      <sz val="10"/>
      <name val="宋体"/>
      <charset val="134"/>
    </font>
    <font>
      <sz val="8"/>
      <color rgb="FFFF00FF"/>
      <name val="宋体"/>
      <charset val="134"/>
    </font>
    <font>
      <b/>
      <sz val="10"/>
      <name val="宋体"/>
      <charset val="134"/>
    </font>
    <font>
      <b/>
      <sz val="9"/>
      <name val="宋体"/>
      <charset val="134"/>
    </font>
    <font>
      <sz val="9"/>
      <name val="宋体"/>
      <charset val="134"/>
    </font>
  </fonts>
  <fills count="40">
    <fill>
      <patternFill patternType="none"/>
    </fill>
    <fill>
      <patternFill patternType="gray125"/>
    </fill>
    <fill>
      <patternFill patternType="solid">
        <fgColor rgb="FF00B0F0"/>
        <bgColor indexed="64"/>
      </patternFill>
    </fill>
    <fill>
      <patternFill patternType="solid">
        <fgColor rgb="FFFFFFFF"/>
        <bgColor indexed="64"/>
      </patternFill>
    </fill>
    <fill>
      <patternFill patternType="solid">
        <fgColor rgb="FFFFFF00"/>
        <bgColor indexed="64"/>
      </patternFill>
    </fill>
    <fill>
      <patternFill patternType="solid">
        <fgColor rgb="FFECA7E6"/>
        <bgColor indexed="64"/>
      </patternFill>
    </fill>
    <fill>
      <patternFill patternType="solid">
        <fgColor rgb="FF92D050"/>
        <bgColor indexed="64"/>
      </patternFill>
    </fill>
    <fill>
      <patternFill patternType="solid">
        <fgColor rgb="FFD2F4F2"/>
        <bgColor indexed="64"/>
      </patternFill>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8">
    <xf numFmtId="0" fontId="0" fillId="0" borderId="0"/>
    <xf numFmtId="43" fontId="40" fillId="0" borderId="0" applyFont="0" applyFill="0" applyBorder="0" applyAlignment="0" applyProtection="0">
      <alignment vertical="center"/>
    </xf>
    <xf numFmtId="44" fontId="40" fillId="0" borderId="0" applyFont="0" applyFill="0" applyBorder="0" applyAlignment="0" applyProtection="0">
      <alignment vertical="center"/>
    </xf>
    <xf numFmtId="9" fontId="40" fillId="0" borderId="0" applyFont="0" applyFill="0" applyBorder="0" applyAlignment="0" applyProtection="0">
      <alignment vertical="center"/>
    </xf>
    <xf numFmtId="41" fontId="40" fillId="0" borderId="0" applyFont="0" applyFill="0" applyBorder="0" applyAlignment="0" applyProtection="0">
      <alignment vertical="center"/>
    </xf>
    <xf numFmtId="42" fontId="40" fillId="0" borderId="0" applyFon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0" fillId="9" borderId="10" applyNumberFormat="0" applyFont="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11" applyNumberFormat="0" applyFill="0" applyAlignment="0" applyProtection="0">
      <alignment vertical="center"/>
    </xf>
    <xf numFmtId="0" fontId="47" fillId="0" borderId="11" applyNumberFormat="0" applyFill="0" applyAlignment="0" applyProtection="0">
      <alignment vertical="center"/>
    </xf>
    <xf numFmtId="0" fontId="48" fillId="0" borderId="12" applyNumberFormat="0" applyFill="0" applyAlignment="0" applyProtection="0">
      <alignment vertical="center"/>
    </xf>
    <xf numFmtId="0" fontId="48" fillId="0" borderId="0" applyNumberFormat="0" applyFill="0" applyBorder="0" applyAlignment="0" applyProtection="0">
      <alignment vertical="center"/>
    </xf>
    <xf numFmtId="0" fontId="49" fillId="10" borderId="13" applyNumberFormat="0" applyAlignment="0" applyProtection="0">
      <alignment vertical="center"/>
    </xf>
    <xf numFmtId="0" fontId="50" fillId="11" borderId="14" applyNumberFormat="0" applyAlignment="0" applyProtection="0">
      <alignment vertical="center"/>
    </xf>
    <xf numFmtId="0" fontId="51" fillId="11" borderId="13" applyNumberFormat="0" applyAlignment="0" applyProtection="0">
      <alignment vertical="center"/>
    </xf>
    <xf numFmtId="0" fontId="52" fillId="12" borderId="15" applyNumberFormat="0" applyAlignment="0" applyProtection="0">
      <alignment vertical="center"/>
    </xf>
    <xf numFmtId="0" fontId="53" fillId="0" borderId="16" applyNumberFormat="0" applyFill="0" applyAlignment="0" applyProtection="0">
      <alignment vertical="center"/>
    </xf>
    <xf numFmtId="0" fontId="54" fillId="0" borderId="17" applyNumberFormat="0" applyFill="0" applyAlignment="0" applyProtection="0">
      <alignment vertical="center"/>
    </xf>
    <xf numFmtId="0" fontId="55" fillId="13" borderId="0" applyNumberFormat="0" applyBorder="0" applyAlignment="0" applyProtection="0">
      <alignment vertical="center"/>
    </xf>
    <xf numFmtId="0" fontId="56" fillId="14" borderId="0" applyNumberFormat="0" applyBorder="0" applyAlignment="0" applyProtection="0">
      <alignment vertical="center"/>
    </xf>
    <xf numFmtId="0" fontId="57" fillId="15" borderId="0" applyNumberFormat="0" applyBorder="0" applyAlignment="0" applyProtection="0">
      <alignment vertical="center"/>
    </xf>
    <xf numFmtId="0" fontId="58" fillId="16" borderId="0" applyNumberFormat="0" applyBorder="0" applyAlignment="0" applyProtection="0">
      <alignment vertical="center"/>
    </xf>
    <xf numFmtId="0" fontId="59" fillId="17" borderId="0" applyNumberFormat="0" applyBorder="0" applyAlignment="0" applyProtection="0">
      <alignment vertical="center"/>
    </xf>
    <xf numFmtId="0" fontId="59" fillId="18" borderId="0" applyNumberFormat="0" applyBorder="0" applyAlignment="0" applyProtection="0">
      <alignment vertical="center"/>
    </xf>
    <xf numFmtId="0" fontId="58" fillId="19" borderId="0" applyNumberFormat="0" applyBorder="0" applyAlignment="0" applyProtection="0">
      <alignment vertical="center"/>
    </xf>
    <xf numFmtId="0" fontId="58" fillId="20" borderId="0" applyNumberFormat="0" applyBorder="0" applyAlignment="0" applyProtection="0">
      <alignment vertical="center"/>
    </xf>
    <xf numFmtId="0" fontId="59" fillId="21" borderId="0" applyNumberFormat="0" applyBorder="0" applyAlignment="0" applyProtection="0">
      <alignment vertical="center"/>
    </xf>
    <xf numFmtId="0" fontId="59" fillId="22" borderId="0" applyNumberFormat="0" applyBorder="0" applyAlignment="0" applyProtection="0">
      <alignment vertical="center"/>
    </xf>
    <xf numFmtId="0" fontId="58" fillId="23" borderId="0" applyNumberFormat="0" applyBorder="0" applyAlignment="0" applyProtection="0">
      <alignment vertical="center"/>
    </xf>
    <xf numFmtId="0" fontId="58" fillId="24" borderId="0" applyNumberFormat="0" applyBorder="0" applyAlignment="0" applyProtection="0">
      <alignment vertical="center"/>
    </xf>
    <xf numFmtId="0" fontId="59" fillId="25" borderId="0" applyNumberFormat="0" applyBorder="0" applyAlignment="0" applyProtection="0">
      <alignment vertical="center"/>
    </xf>
    <xf numFmtId="0" fontId="59" fillId="26" borderId="0" applyNumberFormat="0" applyBorder="0" applyAlignment="0" applyProtection="0">
      <alignment vertical="center"/>
    </xf>
    <xf numFmtId="0" fontId="58" fillId="27" borderId="0" applyNumberFormat="0" applyBorder="0" applyAlignment="0" applyProtection="0">
      <alignment vertical="center"/>
    </xf>
    <xf numFmtId="0" fontId="58" fillId="28" borderId="0" applyNumberFormat="0" applyBorder="0" applyAlignment="0" applyProtection="0">
      <alignment vertical="center"/>
    </xf>
    <xf numFmtId="0" fontId="59" fillId="29" borderId="0" applyNumberFormat="0" applyBorder="0" applyAlignment="0" applyProtection="0">
      <alignment vertical="center"/>
    </xf>
    <xf numFmtId="0" fontId="59" fillId="30" borderId="0" applyNumberFormat="0" applyBorder="0" applyAlignment="0" applyProtection="0">
      <alignment vertical="center"/>
    </xf>
    <xf numFmtId="0" fontId="58" fillId="31" borderId="0" applyNumberFormat="0" applyBorder="0" applyAlignment="0" applyProtection="0">
      <alignment vertical="center"/>
    </xf>
    <xf numFmtId="0" fontId="58" fillId="32" borderId="0" applyNumberFormat="0" applyBorder="0" applyAlignment="0" applyProtection="0">
      <alignment vertical="center"/>
    </xf>
    <xf numFmtId="0" fontId="59" fillId="33" borderId="0" applyNumberFormat="0" applyBorder="0" applyAlignment="0" applyProtection="0">
      <alignment vertical="center"/>
    </xf>
    <xf numFmtId="0" fontId="59" fillId="34" borderId="0" applyNumberFormat="0" applyBorder="0" applyAlignment="0" applyProtection="0">
      <alignment vertical="center"/>
    </xf>
    <xf numFmtId="0" fontId="58" fillId="35" borderId="0" applyNumberFormat="0" applyBorder="0" applyAlignment="0" applyProtection="0">
      <alignment vertical="center"/>
    </xf>
    <xf numFmtId="0" fontId="58" fillId="36" borderId="0" applyNumberFormat="0" applyBorder="0" applyAlignment="0" applyProtection="0">
      <alignment vertical="center"/>
    </xf>
    <xf numFmtId="0" fontId="59" fillId="37" borderId="0" applyNumberFormat="0" applyBorder="0" applyAlignment="0" applyProtection="0">
      <alignment vertical="center"/>
    </xf>
    <xf numFmtId="0" fontId="59" fillId="38" borderId="0" applyNumberFormat="0" applyBorder="0" applyAlignment="0" applyProtection="0">
      <alignment vertical="center"/>
    </xf>
    <xf numFmtId="0" fontId="58" fillId="39" borderId="0" applyNumberFormat="0" applyBorder="0" applyAlignment="0" applyProtection="0">
      <alignment vertical="center"/>
    </xf>
    <xf numFmtId="176" fontId="60" fillId="0" borderId="0" applyFont="0" applyFill="0" applyBorder="0" applyAlignment="0" applyProtection="0"/>
    <xf numFmtId="43" fontId="61" fillId="0" borderId="0" applyFont="0" applyFill="0" applyBorder="0" applyAlignment="0" applyProtection="0"/>
    <xf numFmtId="0" fontId="0" fillId="0" borderId="0"/>
    <xf numFmtId="177" fontId="0" fillId="0" borderId="0"/>
    <xf numFmtId="0" fontId="0" fillId="0" borderId="0"/>
    <xf numFmtId="0" fontId="0" fillId="0" borderId="0"/>
    <xf numFmtId="0" fontId="62" fillId="0" borderId="0"/>
    <xf numFmtId="0" fontId="0" fillId="0" borderId="0"/>
    <xf numFmtId="177" fontId="63" fillId="0" borderId="0">
      <alignment vertical="top"/>
    </xf>
  </cellStyleXfs>
  <cellXfs count="387">
    <xf numFmtId="0" fontId="0" fillId="0" borderId="0" xfId="0"/>
    <xf numFmtId="0" fontId="1" fillId="0" borderId="0" xfId="0" applyFont="1" applyAlignment="1">
      <alignment horizontal="center" vertical="center"/>
    </xf>
    <xf numFmtId="178" fontId="2" fillId="0" borderId="1" xfId="0" applyNumberFormat="1" applyFont="1" applyFill="1" applyBorder="1" applyAlignment="1">
      <alignment horizontal="center" vertical="center" shrinkToFi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4" fillId="3" borderId="1" xfId="0" applyFont="1" applyFill="1" applyBorder="1" applyAlignment="1">
      <alignment horizontal="center" wrapText="1"/>
    </xf>
    <xf numFmtId="14" fontId="3" fillId="3" borderId="1" xfId="0" applyNumberFormat="1" applyFont="1" applyFill="1" applyBorder="1" applyAlignment="1">
      <alignment horizontal="center"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xf numFmtId="179" fontId="5" fillId="0" borderId="0" xfId="0" applyNumberFormat="1" applyFont="1" applyAlignment="1">
      <alignment horizontal="center" vertical="center"/>
    </xf>
    <xf numFmtId="0" fontId="5" fillId="0" borderId="0" xfId="0" applyFont="1" applyFill="1" applyAlignment="1">
      <alignment horizontal="center" vertical="center"/>
    </xf>
    <xf numFmtId="0" fontId="5" fillId="0" borderId="1" xfId="0" applyFont="1" applyBorder="1" applyAlignment="1">
      <alignment vertical="center"/>
    </xf>
    <xf numFmtId="0" fontId="6" fillId="0" borderId="0" xfId="0" applyFont="1" applyFill="1" applyAlignment="1">
      <alignment horizontal="center" vertical="center"/>
    </xf>
    <xf numFmtId="180" fontId="8" fillId="4" borderId="1" xfId="0" applyNumberFormat="1" applyFont="1" applyFill="1" applyBorder="1" applyAlignment="1">
      <alignment horizontal="center" vertical="center"/>
    </xf>
    <xf numFmtId="0" fontId="8" fillId="4" borderId="1" xfId="0" applyNumberFormat="1" applyFont="1" applyFill="1" applyBorder="1" applyAlignment="1">
      <alignment horizontal="center" vertical="center"/>
    </xf>
    <xf numFmtId="179" fontId="8" fillId="4" borderId="1" xfId="0" applyNumberFormat="1" applyFont="1" applyFill="1" applyBorder="1" applyAlignment="1">
      <alignment horizontal="center" vertical="center"/>
    </xf>
    <xf numFmtId="0" fontId="6" fillId="4" borderId="1" xfId="0" applyNumberFormat="1" applyFont="1" applyFill="1" applyBorder="1" applyAlignment="1">
      <alignment horizontal="center" vertical="center"/>
    </xf>
    <xf numFmtId="180" fontId="8" fillId="0" borderId="1" xfId="0" applyNumberFormat="1" applyFont="1" applyFill="1" applyBorder="1" applyAlignment="1">
      <alignment horizontal="center" vertical="center" wrapText="1"/>
    </xf>
    <xf numFmtId="0" fontId="8" fillId="0" borderId="1" xfId="0" applyFont="1" applyFill="1" applyBorder="1" applyAlignment="1">
      <alignment horizontal="center" vertical="center"/>
    </xf>
    <xf numFmtId="179" fontId="8" fillId="0" borderId="1" xfId="0" applyNumberFormat="1" applyFont="1" applyFill="1" applyBorder="1" applyAlignment="1">
      <alignment horizontal="center" vertical="center"/>
    </xf>
    <xf numFmtId="0" fontId="6" fillId="0" borderId="1"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xf>
    <xf numFmtId="58" fontId="8" fillId="0"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179" fontId="6" fillId="4" borderId="1" xfId="0" applyNumberFormat="1" applyFont="1" applyFill="1" applyBorder="1" applyAlignment="1">
      <alignment horizontal="center" vertical="center"/>
    </xf>
    <xf numFmtId="0" fontId="9" fillId="0" borderId="0" xfId="0" applyFont="1" applyAlignment="1">
      <alignment horizontal="center" vertical="center"/>
    </xf>
    <xf numFmtId="0" fontId="9" fillId="0" borderId="0" xfId="0" applyFont="1" applyFill="1" applyAlignment="1">
      <alignment horizontal="center" vertical="center"/>
    </xf>
    <xf numFmtId="0" fontId="10" fillId="4" borderId="1" xfId="0" applyNumberFormat="1" applyFont="1" applyFill="1" applyBorder="1" applyAlignment="1">
      <alignment horizontal="center" vertical="center"/>
    </xf>
    <xf numFmtId="0" fontId="8" fillId="4" borderId="1" xfId="0" applyNumberFormat="1" applyFont="1" applyFill="1" applyBorder="1" applyAlignment="1">
      <alignment horizontal="center" vertical="center" wrapText="1"/>
    </xf>
    <xf numFmtId="0" fontId="11" fillId="4" borderId="1" xfId="0" applyNumberFormat="1" applyFont="1" applyFill="1" applyBorder="1" applyAlignment="1">
      <alignment horizontal="center" vertical="center" wrapText="1"/>
    </xf>
    <xf numFmtId="0" fontId="7" fillId="0" borderId="0" xfId="0" applyFont="1" applyFill="1"/>
    <xf numFmtId="181" fontId="6" fillId="5" borderId="1" xfId="0" applyNumberFormat="1" applyFont="1" applyFill="1" applyBorder="1" applyAlignment="1">
      <alignment horizontal="center" vertical="center" wrapText="1"/>
    </xf>
    <xf numFmtId="181" fontId="8" fillId="5" borderId="1" xfId="0" applyNumberFormat="1" applyFont="1" applyFill="1" applyBorder="1" applyAlignment="1">
      <alignment horizontal="center" vertical="center" wrapText="1"/>
    </xf>
    <xf numFmtId="179" fontId="8" fillId="5" borderId="1" xfId="0" applyNumberFormat="1" applyFont="1" applyFill="1" applyBorder="1" applyAlignment="1">
      <alignment horizontal="center" vertical="center"/>
    </xf>
    <xf numFmtId="179" fontId="6" fillId="0" borderId="1" xfId="0" applyNumberFormat="1" applyFont="1" applyFill="1" applyBorder="1" applyAlignment="1">
      <alignment horizontal="center" vertical="center"/>
    </xf>
    <xf numFmtId="0" fontId="8" fillId="0" borderId="1" xfId="0" applyFont="1" applyFill="1" applyBorder="1" applyAlignment="1">
      <alignment horizontal="center" vertical="center" wrapText="1"/>
    </xf>
    <xf numFmtId="0" fontId="5" fillId="0" borderId="1" xfId="0" applyFont="1" applyBorder="1" applyAlignment="1">
      <alignment horizontal="center" vertical="center"/>
    </xf>
    <xf numFmtId="182" fontId="5" fillId="0" borderId="3" xfId="0" applyNumberFormat="1" applyFont="1" applyFill="1" applyBorder="1" applyAlignment="1">
      <alignment horizontal="center" vertical="center"/>
    </xf>
    <xf numFmtId="179" fontId="5" fillId="0" borderId="1" xfId="0" applyNumberFormat="1" applyFont="1" applyBorder="1" applyAlignment="1">
      <alignment horizontal="center" vertical="center"/>
    </xf>
    <xf numFmtId="179" fontId="5" fillId="0" borderId="3" xfId="0" applyNumberFormat="1" applyFont="1" applyBorder="1" applyAlignment="1">
      <alignment horizontal="center" vertical="center"/>
    </xf>
    <xf numFmtId="182" fontId="5" fillId="0" borderId="4" xfId="0" applyNumberFormat="1" applyFont="1" applyFill="1" applyBorder="1" applyAlignment="1">
      <alignment horizontal="center" vertical="center"/>
    </xf>
    <xf numFmtId="179" fontId="5" fillId="0" borderId="4" xfId="0" applyNumberFormat="1" applyFont="1" applyBorder="1" applyAlignment="1">
      <alignment horizontal="center" vertical="center"/>
    </xf>
    <xf numFmtId="182" fontId="5" fillId="0" borderId="5" xfId="0" applyNumberFormat="1" applyFont="1" applyFill="1" applyBorder="1" applyAlignment="1">
      <alignment horizontal="center" vertical="center"/>
    </xf>
    <xf numFmtId="179" fontId="5" fillId="0" borderId="5" xfId="0" applyNumberFormat="1" applyFont="1" applyBorder="1" applyAlignment="1">
      <alignment horizontal="center" vertical="center"/>
    </xf>
    <xf numFmtId="182" fontId="5" fillId="0" borderId="1" xfId="0" applyNumberFormat="1" applyFont="1" applyFill="1" applyBorder="1" applyAlignment="1">
      <alignment horizontal="center" vertical="center"/>
    </xf>
    <xf numFmtId="0" fontId="6" fillId="5" borderId="6" xfId="0" applyFont="1" applyFill="1" applyBorder="1" applyAlignment="1">
      <alignment horizontal="center" vertical="center" wrapText="1"/>
    </xf>
    <xf numFmtId="0" fontId="6" fillId="5" borderId="1" xfId="0" applyFont="1" applyFill="1" applyBorder="1" applyAlignment="1">
      <alignment horizontal="center" vertical="center"/>
    </xf>
    <xf numFmtId="179" fontId="6" fillId="5" borderId="1" xfId="0" applyNumberFormat="1" applyFont="1" applyFill="1" applyBorder="1" applyAlignment="1">
      <alignment horizontal="center" vertical="center"/>
    </xf>
    <xf numFmtId="180" fontId="5" fillId="0" borderId="0" xfId="0" applyNumberFormat="1" applyFont="1" applyAlignment="1">
      <alignment horizontal="center" vertical="center"/>
    </xf>
    <xf numFmtId="179" fontId="6" fillId="0" borderId="0" xfId="0" applyNumberFormat="1" applyFont="1" applyAlignment="1">
      <alignment horizontal="center" vertical="center"/>
    </xf>
    <xf numFmtId="181" fontId="10" fillId="5" borderId="1" xfId="0" applyNumberFormat="1" applyFont="1" applyFill="1" applyBorder="1" applyAlignment="1">
      <alignment horizontal="center" vertical="center" wrapText="1"/>
    </xf>
    <xf numFmtId="0" fontId="5" fillId="5" borderId="1" xfId="0" applyNumberFormat="1" applyFont="1" applyFill="1" applyBorder="1" applyAlignment="1">
      <alignment horizontal="center" vertical="center"/>
    </xf>
    <xf numFmtId="179" fontId="5" fillId="5" borderId="1" xfId="0" applyNumberFormat="1" applyFont="1" applyFill="1" applyBorder="1" applyAlignment="1">
      <alignment horizontal="center" vertical="center"/>
    </xf>
    <xf numFmtId="179" fontId="10" fillId="5" borderId="1" xfId="0" applyNumberFormat="1" applyFont="1" applyFill="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182" fontId="5" fillId="0" borderId="1" xfId="0" applyNumberFormat="1" applyFont="1" applyBorder="1" applyAlignment="1">
      <alignment horizontal="center" vertical="center"/>
    </xf>
    <xf numFmtId="178" fontId="8" fillId="0" borderId="1" xfId="0" applyNumberFormat="1" applyFont="1" applyFill="1" applyBorder="1" applyAlignment="1">
      <alignment horizontal="center" vertical="center"/>
    </xf>
    <xf numFmtId="179" fontId="5" fillId="0" borderId="3" xfId="0" applyNumberFormat="1" applyFont="1" applyFill="1" applyBorder="1" applyAlignment="1">
      <alignment horizontal="center" vertical="center"/>
    </xf>
    <xf numFmtId="179" fontId="5" fillId="0" borderId="1" xfId="0" applyNumberFormat="1" applyFont="1" applyFill="1" applyBorder="1" applyAlignment="1">
      <alignment horizontal="center" vertical="center"/>
    </xf>
    <xf numFmtId="179" fontId="5" fillId="0" borderId="5" xfId="0" applyNumberFormat="1" applyFont="1" applyFill="1" applyBorder="1" applyAlignment="1">
      <alignment horizontal="center" vertical="center"/>
    </xf>
    <xf numFmtId="0" fontId="6" fillId="0" borderId="1" xfId="0" applyFont="1" applyBorder="1" applyAlignment="1">
      <alignment horizontal="center" vertical="center"/>
    </xf>
    <xf numFmtId="179" fontId="6" fillId="6" borderId="1" xfId="0" applyNumberFormat="1" applyFont="1" applyFill="1" applyBorder="1" applyAlignment="1">
      <alignment horizontal="center" vertical="center"/>
    </xf>
    <xf numFmtId="0" fontId="6" fillId="6" borderId="1" xfId="0" applyFont="1" applyFill="1" applyBorder="1" applyAlignment="1">
      <alignment horizontal="center" vertical="center"/>
    </xf>
    <xf numFmtId="0" fontId="12" fillId="0" borderId="1" xfId="0" applyFont="1" applyFill="1" applyBorder="1" applyAlignment="1">
      <alignment horizontal="center" vertical="center" wrapText="1"/>
    </xf>
    <xf numFmtId="0" fontId="5" fillId="0" borderId="1" xfId="0" applyFont="1" applyFill="1" applyBorder="1" applyAlignment="1">
      <alignment horizontal="center" vertical="center"/>
    </xf>
    <xf numFmtId="179" fontId="5" fillId="0" borderId="4" xfId="0" applyNumberFormat="1" applyFont="1" applyFill="1" applyBorder="1" applyAlignment="1">
      <alignment horizontal="center" vertical="center"/>
    </xf>
    <xf numFmtId="178" fontId="12" fillId="0" borderId="1" xfId="0" applyNumberFormat="1" applyFont="1" applyFill="1" applyBorder="1" applyAlignment="1">
      <alignment horizontal="center" vertical="center"/>
    </xf>
    <xf numFmtId="179" fontId="12" fillId="0" borderId="1" xfId="0" applyNumberFormat="1" applyFont="1" applyFill="1" applyBorder="1" applyAlignment="1">
      <alignment horizontal="center" vertical="center"/>
    </xf>
    <xf numFmtId="0" fontId="5" fillId="0" borderId="5" xfId="0" applyFont="1" applyFill="1" applyBorder="1" applyAlignment="1">
      <alignment horizontal="center" vertical="center"/>
    </xf>
    <xf numFmtId="0" fontId="6" fillId="0" borderId="1" xfId="0" applyFont="1" applyFill="1" applyBorder="1" applyAlignment="1">
      <alignment horizontal="center" vertical="center"/>
    </xf>
    <xf numFmtId="0" fontId="13" fillId="0" borderId="1" xfId="0" applyFont="1" applyBorder="1" applyAlignment="1">
      <alignment horizontal="center" vertical="center"/>
    </xf>
    <xf numFmtId="0" fontId="0" fillId="0" borderId="1" xfId="0" applyBorder="1" applyAlignment="1">
      <alignment horizontal="center"/>
    </xf>
    <xf numFmtId="0" fontId="0" fillId="0" borderId="0" xfId="0" applyAlignment="1"/>
    <xf numFmtId="0" fontId="14" fillId="0" borderId="0" xfId="0" applyFont="1" applyAlignment="1">
      <alignment vertical="center"/>
    </xf>
    <xf numFmtId="183" fontId="0" fillId="0" borderId="0" xfId="0" applyNumberFormat="1" applyAlignment="1"/>
    <xf numFmtId="0" fontId="1" fillId="0" borderId="1" xfId="0" applyFont="1" applyFill="1" applyBorder="1" applyAlignment="1">
      <alignment horizontal="center" vertical="center" wrapText="1"/>
    </xf>
    <xf numFmtId="184" fontId="1" fillId="0" borderId="1" xfId="0" applyNumberFormat="1"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1" fillId="0" borderId="1" xfId="0" applyFont="1" applyFill="1" applyBorder="1" applyAlignment="1">
      <alignment horizontal="center" vertical="center"/>
    </xf>
    <xf numFmtId="0" fontId="1" fillId="0" borderId="1" xfId="51" applyFont="1" applyFill="1" applyBorder="1" applyAlignment="1">
      <alignment horizontal="center" vertical="center" wrapText="1" shrinkToFit="1"/>
    </xf>
    <xf numFmtId="0" fontId="15" fillId="0" borderId="1" xfId="0" applyFont="1" applyFill="1" applyBorder="1" applyAlignment="1">
      <alignment horizontal="center" vertical="center"/>
    </xf>
    <xf numFmtId="185" fontId="15" fillId="0" borderId="1" xfId="0" applyNumberFormat="1" applyFont="1" applyFill="1" applyBorder="1" applyAlignment="1">
      <alignment horizontal="center" vertical="center"/>
    </xf>
    <xf numFmtId="0" fontId="15" fillId="0" borderId="1" xfId="0" applyNumberFormat="1" applyFont="1" applyFill="1" applyBorder="1" applyAlignment="1">
      <alignment horizontal="center" vertical="center"/>
    </xf>
    <xf numFmtId="49" fontId="16" fillId="0" borderId="1" xfId="55" applyNumberFormat="1" applyFont="1" applyFill="1" applyBorder="1" applyAlignment="1">
      <alignment horizontal="center" vertical="center"/>
    </xf>
    <xf numFmtId="49" fontId="17" fillId="0" borderId="1" xfId="55" applyNumberFormat="1" applyFont="1" applyFill="1" applyBorder="1" applyAlignment="1">
      <alignment horizontal="center" vertical="center"/>
    </xf>
    <xf numFmtId="0" fontId="16" fillId="0" borderId="1" xfId="55" applyNumberFormat="1" applyFont="1" applyFill="1" applyBorder="1" applyAlignment="1">
      <alignment horizontal="center" vertical="center" wrapText="1"/>
    </xf>
    <xf numFmtId="0" fontId="17" fillId="0" borderId="1" xfId="55" applyNumberFormat="1" applyFont="1" applyFill="1" applyBorder="1" applyAlignment="1">
      <alignment horizontal="center" vertical="center" wrapText="1"/>
    </xf>
    <xf numFmtId="0" fontId="15" fillId="0" borderId="1" xfId="0" applyNumberFormat="1" applyFont="1" applyFill="1" applyBorder="1" applyAlignment="1">
      <alignment horizontal="center" vertical="center" wrapText="1"/>
    </xf>
    <xf numFmtId="49" fontId="15" fillId="0" borderId="1" xfId="0" applyNumberFormat="1" applyFont="1" applyFill="1" applyBorder="1" applyAlignment="1">
      <alignment horizontal="center" vertical="center" wrapText="1"/>
    </xf>
    <xf numFmtId="186" fontId="15" fillId="0" borderId="1" xfId="0" applyNumberFormat="1" applyFont="1" applyFill="1" applyBorder="1" applyAlignment="1">
      <alignment horizontal="center" vertical="center" wrapText="1"/>
    </xf>
    <xf numFmtId="49" fontId="15" fillId="0" borderId="1" xfId="0" applyNumberFormat="1" applyFont="1" applyFill="1" applyBorder="1" applyAlignment="1">
      <alignment horizontal="center" vertical="center"/>
    </xf>
    <xf numFmtId="0" fontId="18" fillId="0" borderId="1" xfId="0" applyFont="1" applyFill="1" applyBorder="1" applyAlignment="1">
      <alignment horizontal="center" vertical="center"/>
    </xf>
    <xf numFmtId="0" fontId="0" fillId="0" borderId="1" xfId="51" applyFont="1" applyFill="1" applyBorder="1" applyAlignment="1">
      <alignment horizontal="center" vertical="center" shrinkToFit="1"/>
    </xf>
    <xf numFmtId="0" fontId="18" fillId="0" borderId="1" xfId="0" applyNumberFormat="1" applyFont="1" applyFill="1" applyBorder="1" applyAlignment="1">
      <alignment horizontal="center" vertical="center"/>
    </xf>
    <xf numFmtId="186" fontId="18" fillId="0" borderId="1" xfId="0" applyNumberFormat="1" applyFont="1" applyFill="1" applyBorder="1" applyAlignment="1">
      <alignment horizontal="center" vertical="center"/>
    </xf>
    <xf numFmtId="187" fontId="18" fillId="0" borderId="1" xfId="0" applyNumberFormat="1" applyFont="1" applyFill="1" applyBorder="1" applyAlignment="1">
      <alignment horizontal="center" vertical="center"/>
    </xf>
    <xf numFmtId="0" fontId="18" fillId="0" borderId="3" xfId="0" applyFont="1" applyFill="1" applyBorder="1" applyAlignment="1">
      <alignment horizontal="center" vertical="center" wrapText="1"/>
    </xf>
    <xf numFmtId="0" fontId="18" fillId="0" borderId="3" xfId="0" applyFont="1" applyFill="1" applyBorder="1" applyAlignment="1">
      <alignment horizontal="center" vertical="center"/>
    </xf>
    <xf numFmtId="0" fontId="18" fillId="0" borderId="5" xfId="0" applyFont="1" applyFill="1" applyBorder="1" applyAlignment="1">
      <alignment horizontal="center" vertical="center"/>
    </xf>
    <xf numFmtId="188" fontId="19" fillId="0" borderId="1" xfId="49" applyNumberFormat="1" applyFont="1" applyFill="1" applyBorder="1" applyAlignment="1">
      <alignment horizontal="center" vertical="center" wrapText="1"/>
    </xf>
    <xf numFmtId="0" fontId="1" fillId="0" borderId="0" xfId="0" applyFont="1"/>
    <xf numFmtId="14" fontId="1" fillId="0" borderId="1" xfId="0" applyNumberFormat="1"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Fill="1" applyAlignment="1">
      <alignment horizontal="center" vertical="center" wrapText="1"/>
    </xf>
    <xf numFmtId="178" fontId="1" fillId="0" borderId="0" xfId="0" applyNumberFormat="1" applyFont="1" applyFill="1" applyBorder="1" applyAlignment="1">
      <alignment horizontal="center" vertical="center" wrapText="1" shrinkToFit="1"/>
    </xf>
    <xf numFmtId="0" fontId="1" fillId="0" borderId="0" xfId="0" applyFont="1" applyFill="1" applyBorder="1" applyAlignment="1">
      <alignment horizontal="center" vertical="center" wrapText="1"/>
    </xf>
    <xf numFmtId="0" fontId="1" fillId="0" borderId="0" xfId="51" applyFont="1" applyFill="1" applyBorder="1" applyAlignment="1">
      <alignment horizontal="center" vertical="center" wrapText="1" shrinkToFit="1"/>
    </xf>
    <xf numFmtId="0" fontId="1" fillId="0" borderId="0" xfId="0" applyFont="1" applyFill="1" applyBorder="1" applyAlignment="1" applyProtection="1">
      <alignment horizontal="center" vertical="center" wrapText="1"/>
      <protection locked="0"/>
    </xf>
    <xf numFmtId="0" fontId="1" fillId="0" borderId="0" xfId="0" applyNumberFormat="1" applyFont="1" applyFill="1" applyBorder="1" applyAlignment="1" applyProtection="1">
      <alignment horizontal="center" vertical="center" wrapText="1"/>
      <protection locked="0"/>
    </xf>
    <xf numFmtId="189" fontId="1" fillId="0" borderId="0" xfId="0" applyNumberFormat="1" applyFont="1" applyFill="1" applyBorder="1" applyAlignment="1">
      <alignment horizontal="center" vertical="center" wrapText="1"/>
    </xf>
    <xf numFmtId="186" fontId="1" fillId="0" borderId="0" xfId="0" applyNumberFormat="1" applyFont="1" applyFill="1" applyBorder="1" applyAlignment="1">
      <alignment horizontal="center" vertical="center" wrapText="1"/>
    </xf>
    <xf numFmtId="0" fontId="20" fillId="0" borderId="0" xfId="0" applyFont="1" applyFill="1" applyBorder="1" applyAlignment="1">
      <alignment horizontal="center" vertical="center" wrapText="1"/>
    </xf>
    <xf numFmtId="178" fontId="1" fillId="0" borderId="1" xfId="0" applyNumberFormat="1" applyFont="1" applyFill="1" applyBorder="1" applyAlignment="1">
      <alignment horizontal="center" vertical="center" wrapText="1" shrinkToFit="1"/>
    </xf>
    <xf numFmtId="0" fontId="1" fillId="0" borderId="2" xfId="0" applyFont="1" applyFill="1" applyBorder="1" applyAlignment="1">
      <alignment horizontal="center" vertical="center" wrapText="1"/>
    </xf>
    <xf numFmtId="0" fontId="1" fillId="0" borderId="7" xfId="0" applyFont="1" applyFill="1" applyBorder="1" applyAlignment="1" applyProtection="1">
      <alignment horizontal="center" vertical="center" wrapText="1"/>
      <protection locked="0"/>
    </xf>
    <xf numFmtId="0" fontId="1" fillId="0" borderId="1" xfId="0" applyFont="1" applyFill="1" applyBorder="1" applyAlignment="1" applyProtection="1">
      <alignment horizontal="center" vertical="center" wrapText="1"/>
      <protection locked="0"/>
    </xf>
    <xf numFmtId="0" fontId="1" fillId="0" borderId="1" xfId="0" applyNumberFormat="1" applyFont="1" applyFill="1" applyBorder="1" applyAlignment="1" applyProtection="1">
      <alignment horizontal="center" vertical="center" wrapText="1"/>
      <protection locked="0"/>
    </xf>
    <xf numFmtId="189" fontId="1" fillId="0" borderId="1" xfId="0" applyNumberFormat="1" applyFont="1" applyFill="1" applyBorder="1" applyAlignment="1">
      <alignment horizontal="center" vertical="center" wrapText="1"/>
    </xf>
    <xf numFmtId="186" fontId="1" fillId="0" borderId="1" xfId="0" applyNumberFormat="1" applyFont="1" applyFill="1" applyBorder="1" applyAlignment="1">
      <alignment horizontal="center" vertical="center" wrapText="1"/>
    </xf>
    <xf numFmtId="0" fontId="20" fillId="0" borderId="1" xfId="0" applyFont="1" applyFill="1" applyBorder="1" applyAlignment="1">
      <alignment horizontal="center" vertical="center" wrapText="1"/>
    </xf>
    <xf numFmtId="0" fontId="2" fillId="0" borderId="1" xfId="51" applyFont="1" applyFill="1" applyBorder="1" applyAlignment="1">
      <alignment horizontal="center" vertical="center" wrapText="1" shrinkToFit="1"/>
    </xf>
    <xf numFmtId="178" fontId="1" fillId="0" borderId="1" xfId="0" applyNumberFormat="1" applyFont="1" applyFill="1" applyBorder="1" applyAlignment="1" applyProtection="1">
      <alignment horizontal="center" vertical="center" wrapText="1" shrinkToFit="1"/>
      <protection locked="0"/>
    </xf>
    <xf numFmtId="0" fontId="1" fillId="0" borderId="1" xfId="0" applyFont="1" applyFill="1" applyBorder="1" applyAlignment="1" applyProtection="1">
      <alignment horizontal="center" vertical="center" wrapText="1" shrinkToFit="1"/>
      <protection locked="0"/>
    </xf>
    <xf numFmtId="189" fontId="2" fillId="0" borderId="1" xfId="0" applyNumberFormat="1" applyFont="1" applyFill="1" applyBorder="1" applyAlignment="1">
      <alignment horizontal="center" vertical="center" wrapText="1"/>
    </xf>
    <xf numFmtId="0" fontId="21" fillId="0" borderId="1" xfId="51" applyFont="1" applyFill="1" applyBorder="1" applyAlignment="1">
      <alignment horizontal="center" vertical="center" wrapText="1" shrinkToFit="1"/>
    </xf>
    <xf numFmtId="0" fontId="1" fillId="0" borderId="0" xfId="0" applyFont="1" applyAlignment="1">
      <alignment horizontal="center" wrapText="1"/>
    </xf>
    <xf numFmtId="0" fontId="1" fillId="0" borderId="0" xfId="0" applyFont="1" applyAlignment="1">
      <alignment horizontal="center" vertical="center" wrapText="1"/>
    </xf>
    <xf numFmtId="0" fontId="22" fillId="4" borderId="0" xfId="0" applyFont="1" applyFill="1" applyBorder="1" applyAlignment="1">
      <alignment horizontal="center" vertical="center" wrapText="1"/>
    </xf>
    <xf numFmtId="0" fontId="1" fillId="0" borderId="0" xfId="0" applyFont="1" applyAlignment="1">
      <alignment horizontal="left" vertical="center"/>
    </xf>
    <xf numFmtId="3" fontId="1" fillId="0" borderId="1" xfId="0" applyNumberFormat="1" applyFont="1" applyBorder="1" applyAlignment="1">
      <alignment horizontal="center" vertical="center"/>
    </xf>
    <xf numFmtId="3" fontId="2" fillId="0" borderId="1" xfId="51" applyNumberFormat="1" applyFont="1" applyFill="1" applyBorder="1" applyAlignment="1">
      <alignment horizontal="center" vertical="center" wrapText="1" shrinkToFit="1"/>
    </xf>
    <xf numFmtId="0" fontId="1" fillId="0" borderId="8" xfId="0" applyFont="1" applyBorder="1" applyAlignment="1">
      <alignment horizontal="center" vertical="center"/>
    </xf>
    <xf numFmtId="0" fontId="1" fillId="0" borderId="7" xfId="0" applyFont="1" applyBorder="1" applyAlignment="1">
      <alignment horizontal="center" vertical="center"/>
    </xf>
    <xf numFmtId="0" fontId="1" fillId="0" borderId="7" xfId="0" applyFont="1" applyBorder="1" applyAlignment="1">
      <alignment horizontal="center" vertical="center" wrapText="1"/>
    </xf>
    <xf numFmtId="0" fontId="1" fillId="0" borderId="0" xfId="0" applyFont="1" applyFill="1" applyBorder="1" applyAlignment="1" applyProtection="1">
      <alignment horizontal="center" vertical="center" wrapText="1"/>
    </xf>
    <xf numFmtId="0" fontId="1" fillId="0" borderId="0" xfId="0" applyFont="1" applyFill="1" applyAlignment="1" applyProtection="1">
      <alignment horizontal="center" vertical="center" wrapText="1"/>
    </xf>
    <xf numFmtId="0" fontId="23" fillId="0" borderId="0" xfId="0" applyFont="1" applyFill="1" applyAlignment="1" applyProtection="1">
      <alignment horizontal="center" vertical="center" wrapText="1"/>
    </xf>
    <xf numFmtId="178" fontId="1" fillId="0" borderId="0" xfId="0" applyNumberFormat="1" applyFont="1" applyFill="1" applyBorder="1" applyAlignment="1" applyProtection="1">
      <alignment horizontal="center" vertical="center" wrapText="1" shrinkToFit="1"/>
    </xf>
    <xf numFmtId="0" fontId="1" fillId="0" borderId="0" xfId="51" applyFont="1" applyFill="1" applyBorder="1" applyAlignment="1" applyProtection="1">
      <alignment horizontal="center" vertical="center" wrapText="1" shrinkToFit="1"/>
    </xf>
    <xf numFmtId="190" fontId="1" fillId="0" borderId="0" xfId="0" applyNumberFormat="1" applyFont="1" applyFill="1" applyBorder="1" applyAlignment="1" applyProtection="1">
      <alignment horizontal="center" vertical="center" wrapText="1"/>
    </xf>
    <xf numFmtId="189" fontId="1" fillId="0" borderId="0" xfId="0" applyNumberFormat="1" applyFont="1" applyFill="1" applyBorder="1" applyAlignment="1" applyProtection="1">
      <alignment horizontal="center" vertical="center" wrapText="1"/>
    </xf>
    <xf numFmtId="186" fontId="1" fillId="0" borderId="0" xfId="0" applyNumberFormat="1" applyFont="1" applyFill="1" applyBorder="1" applyAlignment="1" applyProtection="1">
      <alignment horizontal="center" vertical="center" wrapText="1"/>
    </xf>
    <xf numFmtId="0" fontId="24" fillId="0" borderId="0" xfId="0" applyFont="1" applyFill="1" applyBorder="1" applyAlignment="1" applyProtection="1">
      <alignment horizontal="center" vertical="center" wrapText="1"/>
    </xf>
    <xf numFmtId="178" fontId="1" fillId="0" borderId="1" xfId="0" applyNumberFormat="1" applyFont="1" applyFill="1" applyBorder="1" applyAlignment="1" applyProtection="1">
      <alignment horizontal="center" vertical="center" wrapText="1" shrinkToFit="1"/>
    </xf>
    <xf numFmtId="0" fontId="1" fillId="0" borderId="1" xfId="0" applyFont="1" applyFill="1" applyBorder="1" applyAlignment="1" applyProtection="1">
      <alignment horizontal="center" vertical="center" wrapText="1"/>
    </xf>
    <xf numFmtId="0" fontId="1" fillId="0" borderId="1" xfId="51" applyFont="1" applyFill="1" applyBorder="1" applyAlignment="1" applyProtection="1">
      <alignment horizontal="center" vertical="center" wrapText="1" shrinkToFit="1"/>
    </xf>
    <xf numFmtId="190" fontId="1" fillId="0" borderId="1" xfId="0" applyNumberFormat="1" applyFont="1" applyFill="1" applyBorder="1" applyAlignment="1" applyProtection="1">
      <alignment horizontal="center" vertical="center" wrapText="1"/>
    </xf>
    <xf numFmtId="189" fontId="1" fillId="0" borderId="1" xfId="0" applyNumberFormat="1" applyFont="1" applyFill="1" applyBorder="1" applyAlignment="1" applyProtection="1">
      <alignment horizontal="center" vertical="center" wrapText="1"/>
    </xf>
    <xf numFmtId="186" fontId="1" fillId="0" borderId="1" xfId="0" applyNumberFormat="1"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wrapText="1"/>
    </xf>
    <xf numFmtId="190" fontId="1" fillId="0" borderId="1" xfId="51" applyNumberFormat="1" applyFont="1" applyFill="1" applyBorder="1" applyAlignment="1" applyProtection="1">
      <alignment horizontal="center" vertical="center" wrapText="1" shrinkToFit="1"/>
    </xf>
    <xf numFmtId="178" fontId="20" fillId="0" borderId="1" xfId="0" applyNumberFormat="1" applyFont="1" applyFill="1" applyBorder="1" applyAlignment="1" applyProtection="1">
      <alignment horizontal="center" vertical="center" wrapText="1" shrinkToFit="1"/>
    </xf>
    <xf numFmtId="0" fontId="20" fillId="0" borderId="1" xfId="51" applyFont="1" applyFill="1" applyBorder="1" applyAlignment="1" applyProtection="1">
      <alignment horizontal="center" vertical="center" wrapText="1" shrinkToFit="1"/>
    </xf>
    <xf numFmtId="190" fontId="20" fillId="0" borderId="1" xfId="51" applyNumberFormat="1" applyFont="1" applyFill="1" applyBorder="1" applyAlignment="1" applyProtection="1">
      <alignment horizontal="center" vertical="center" wrapText="1" shrinkToFit="1"/>
    </xf>
    <xf numFmtId="0" fontId="20" fillId="0" borderId="1" xfId="0" applyFont="1" applyFill="1" applyBorder="1" applyAlignment="1" applyProtection="1">
      <alignment horizontal="center" vertical="center" wrapText="1"/>
    </xf>
    <xf numFmtId="189" fontId="20" fillId="0" borderId="1" xfId="0" applyNumberFormat="1" applyFont="1" applyFill="1" applyBorder="1" applyAlignment="1" applyProtection="1">
      <alignment horizontal="center" vertical="center" wrapText="1"/>
    </xf>
    <xf numFmtId="186" fontId="20" fillId="0" borderId="1" xfId="0" applyNumberFormat="1" applyFont="1" applyFill="1" applyBorder="1" applyAlignment="1" applyProtection="1">
      <alignment horizontal="center" vertical="center" wrapText="1"/>
    </xf>
    <xf numFmtId="178" fontId="20" fillId="0" borderId="0" xfId="0" applyNumberFormat="1" applyFont="1" applyFill="1" applyBorder="1" applyAlignment="1" applyProtection="1">
      <alignment horizontal="center" vertical="center" wrapText="1" shrinkToFit="1"/>
    </xf>
    <xf numFmtId="0" fontId="20" fillId="0" borderId="0" xfId="51" applyFont="1" applyFill="1" applyBorder="1" applyAlignment="1" applyProtection="1">
      <alignment horizontal="center" vertical="center" wrapText="1" shrinkToFit="1"/>
    </xf>
    <xf numFmtId="190" fontId="20" fillId="0" borderId="0" xfId="51" applyNumberFormat="1" applyFont="1" applyFill="1" applyBorder="1" applyAlignment="1" applyProtection="1">
      <alignment horizontal="center" vertical="center" wrapText="1" shrinkToFit="1"/>
    </xf>
    <xf numFmtId="0" fontId="20" fillId="0" borderId="0" xfId="0" applyFont="1" applyFill="1" applyBorder="1" applyAlignment="1" applyProtection="1">
      <alignment horizontal="center" vertical="center" wrapText="1"/>
    </xf>
    <xf numFmtId="189" fontId="20" fillId="0" borderId="0" xfId="0" applyNumberFormat="1" applyFont="1" applyFill="1" applyBorder="1" applyAlignment="1" applyProtection="1">
      <alignment horizontal="center" vertical="center" wrapText="1"/>
    </xf>
    <xf numFmtId="186" fontId="20" fillId="0" borderId="0" xfId="0" applyNumberFormat="1" applyFont="1" applyFill="1" applyBorder="1" applyAlignment="1" applyProtection="1">
      <alignment horizontal="center" vertical="center" wrapText="1"/>
    </xf>
    <xf numFmtId="0" fontId="25" fillId="0" borderId="1" xfId="0" applyFont="1" applyFill="1" applyBorder="1" applyAlignment="1">
      <alignment horizontal="center" vertical="center" wrapText="1"/>
    </xf>
    <xf numFmtId="0" fontId="25" fillId="0" borderId="2" xfId="0" applyFont="1" applyFill="1" applyBorder="1" applyAlignment="1">
      <alignment horizontal="center" vertical="center" wrapText="1"/>
    </xf>
    <xf numFmtId="0" fontId="25" fillId="0" borderId="0" xfId="0" applyFont="1" applyFill="1" applyBorder="1" applyAlignment="1">
      <alignment horizontal="center" vertical="center" wrapText="1"/>
    </xf>
    <xf numFmtId="191" fontId="1" fillId="0" borderId="1" xfId="51" applyNumberFormat="1" applyFont="1" applyFill="1" applyBorder="1" applyAlignment="1">
      <alignment horizontal="center" vertical="center" wrapText="1" shrinkToFit="1"/>
    </xf>
    <xf numFmtId="0" fontId="1" fillId="4" borderId="1" xfId="51" applyFont="1" applyFill="1" applyBorder="1" applyAlignment="1">
      <alignment horizontal="center" vertical="center" wrapText="1" shrinkToFit="1"/>
    </xf>
    <xf numFmtId="191" fontId="23" fillId="0" borderId="1" xfId="51" applyNumberFormat="1" applyFont="1" applyFill="1" applyBorder="1" applyAlignment="1">
      <alignment horizontal="center" vertical="center" wrapText="1" shrinkToFit="1"/>
    </xf>
    <xf numFmtId="191" fontId="1" fillId="0" borderId="3" xfId="51" applyNumberFormat="1" applyFont="1" applyFill="1" applyBorder="1" applyAlignment="1">
      <alignment horizontal="center" vertical="center" wrapText="1" shrinkToFit="1"/>
    </xf>
    <xf numFmtId="191" fontId="1" fillId="0" borderId="5" xfId="51" applyNumberFormat="1" applyFont="1" applyFill="1" applyBorder="1" applyAlignment="1">
      <alignment horizontal="center" vertical="center" wrapText="1" shrinkToFit="1"/>
    </xf>
    <xf numFmtId="0" fontId="1" fillId="0" borderId="3" xfId="51" applyFont="1" applyFill="1" applyBorder="1" applyAlignment="1">
      <alignment horizontal="center" vertical="center" wrapText="1" shrinkToFit="1"/>
    </xf>
    <xf numFmtId="0" fontId="1" fillId="0" borderId="5" xfId="51" applyFont="1" applyFill="1" applyBorder="1" applyAlignment="1">
      <alignment horizontal="center" vertical="center" wrapText="1" shrinkToFit="1"/>
    </xf>
    <xf numFmtId="191" fontId="23" fillId="0" borderId="3" xfId="51" applyNumberFormat="1" applyFont="1" applyFill="1" applyBorder="1" applyAlignment="1">
      <alignment horizontal="center" vertical="center" wrapText="1" shrinkToFit="1"/>
    </xf>
    <xf numFmtId="0" fontId="1" fillId="0" borderId="3" xfId="0" applyFont="1" applyFill="1" applyBorder="1" applyAlignment="1">
      <alignment horizontal="center" vertical="center" wrapText="1"/>
    </xf>
    <xf numFmtId="191" fontId="1" fillId="0" borderId="4" xfId="51" applyNumberFormat="1" applyFont="1" applyFill="1" applyBorder="1" applyAlignment="1">
      <alignment horizontal="center" vertical="center" wrapText="1" shrinkToFit="1"/>
    </xf>
    <xf numFmtId="191" fontId="23" fillId="0" borderId="4" xfId="51" applyNumberFormat="1" applyFont="1" applyFill="1" applyBorder="1" applyAlignment="1">
      <alignment horizontal="center" vertical="center" wrapText="1" shrinkToFit="1"/>
    </xf>
    <xf numFmtId="0" fontId="1" fillId="0" borderId="4" xfId="0" applyFont="1" applyFill="1" applyBorder="1" applyAlignment="1">
      <alignment horizontal="center" vertical="center" wrapText="1"/>
    </xf>
    <xf numFmtId="191" fontId="23" fillId="0" borderId="5" xfId="51" applyNumberFormat="1" applyFont="1" applyFill="1" applyBorder="1" applyAlignment="1">
      <alignment horizontal="center" vertical="center" wrapText="1" shrinkToFit="1"/>
    </xf>
    <xf numFmtId="0" fontId="1" fillId="0" borderId="5" xfId="0" applyFont="1" applyFill="1" applyBorder="1" applyAlignment="1">
      <alignment horizontal="center" vertical="center" wrapText="1"/>
    </xf>
    <xf numFmtId="191" fontId="25" fillId="0" borderId="1" xfId="51" applyNumberFormat="1" applyFont="1" applyFill="1" applyBorder="1" applyAlignment="1">
      <alignment horizontal="center" vertical="center" wrapText="1" shrinkToFit="1"/>
    </xf>
    <xf numFmtId="0" fontId="1" fillId="0" borderId="0" xfId="0" applyFont="1" applyFill="1" applyAlignment="1">
      <alignment horizontal="center" wrapText="1"/>
    </xf>
    <xf numFmtId="0" fontId="26" fillId="4" borderId="1" xfId="0" applyFont="1" applyFill="1" applyBorder="1" applyAlignment="1">
      <alignment horizontal="center" vertical="center" wrapText="1"/>
    </xf>
    <xf numFmtId="0" fontId="26" fillId="6" borderId="1" xfId="0" applyFont="1" applyFill="1" applyBorder="1" applyAlignment="1">
      <alignment horizontal="center" vertical="center" wrapText="1"/>
    </xf>
    <xf numFmtId="0" fontId="20" fillId="2" borderId="1" xfId="0" applyFont="1" applyFill="1" applyBorder="1" applyAlignment="1">
      <alignment horizontal="center" vertical="center" wrapText="1"/>
    </xf>
    <xf numFmtId="0" fontId="25" fillId="2" borderId="1" xfId="0" applyFont="1" applyFill="1" applyBorder="1" applyAlignment="1">
      <alignment horizontal="center" vertical="center" wrapText="1"/>
    </xf>
    <xf numFmtId="0" fontId="26" fillId="0" borderId="1" xfId="51" applyFont="1" applyFill="1" applyBorder="1" applyAlignment="1">
      <alignment horizontal="center" vertical="center" wrapText="1" shrinkToFit="1"/>
    </xf>
    <xf numFmtId="14" fontId="26" fillId="0" borderId="1" xfId="51" applyNumberFormat="1" applyFont="1" applyFill="1" applyBorder="1" applyAlignment="1">
      <alignment horizontal="center" vertical="center" wrapText="1" shrinkToFit="1"/>
    </xf>
    <xf numFmtId="191" fontId="26" fillId="0" borderId="1" xfId="51" applyNumberFormat="1" applyFont="1" applyFill="1" applyBorder="1" applyAlignment="1">
      <alignment horizontal="center" vertical="center" wrapText="1" shrinkToFit="1"/>
    </xf>
    <xf numFmtId="4" fontId="26" fillId="0" borderId="1" xfId="0" applyNumberFormat="1" applyFont="1" applyFill="1" applyBorder="1" applyAlignment="1">
      <alignment horizontal="center" vertical="center" wrapText="1"/>
    </xf>
    <xf numFmtId="0" fontId="26" fillId="0" borderId="1" xfId="0" applyFont="1" applyFill="1" applyBorder="1" applyAlignment="1">
      <alignment horizontal="center" vertical="center" wrapText="1"/>
    </xf>
    <xf numFmtId="4" fontId="23" fillId="7" borderId="1" xfId="0" applyNumberFormat="1" applyFont="1" applyFill="1" applyBorder="1" applyAlignment="1">
      <alignment horizontal="center" vertical="center" wrapText="1"/>
    </xf>
    <xf numFmtId="2" fontId="23" fillId="7" borderId="1" xfId="0" applyNumberFormat="1" applyFont="1" applyFill="1" applyBorder="1" applyAlignment="1">
      <alignment horizontal="center" vertical="center" wrapText="1"/>
    </xf>
    <xf numFmtId="191" fontId="20" fillId="8" borderId="1" xfId="0" applyNumberFormat="1" applyFont="1" applyFill="1" applyBorder="1" applyAlignment="1">
      <alignment horizontal="center" vertical="center" wrapText="1"/>
    </xf>
    <xf numFmtId="191" fontId="1" fillId="7" borderId="0" xfId="0" applyNumberFormat="1" applyFont="1" applyFill="1" applyAlignment="1">
      <alignment horizontal="center" vertical="center" wrapText="1"/>
    </xf>
    <xf numFmtId="0" fontId="1" fillId="7" borderId="1" xfId="0" applyFont="1" applyFill="1" applyBorder="1" applyAlignment="1">
      <alignment horizontal="center" vertical="center" wrapText="1"/>
    </xf>
    <xf numFmtId="0" fontId="1" fillId="7" borderId="0" xfId="0" applyFont="1" applyFill="1" applyAlignment="1">
      <alignment horizontal="center" vertical="center" wrapText="1"/>
    </xf>
    <xf numFmtId="4" fontId="1" fillId="0" borderId="1" xfId="0" applyNumberFormat="1" applyFont="1" applyFill="1" applyBorder="1" applyAlignment="1">
      <alignment horizontal="center" vertical="center" wrapText="1"/>
    </xf>
    <xf numFmtId="191" fontId="25" fillId="8" borderId="1" xfId="0" applyNumberFormat="1" applyFont="1" applyFill="1" applyBorder="1" applyAlignment="1">
      <alignment horizontal="center" vertical="center" wrapText="1"/>
    </xf>
    <xf numFmtId="0" fontId="26" fillId="0" borderId="1" xfId="0" applyFont="1" applyFill="1" applyBorder="1" applyAlignment="1">
      <alignment horizontal="center" vertical="center"/>
    </xf>
    <xf numFmtId="4" fontId="23" fillId="0"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26" fillId="0" borderId="1" xfId="0" applyFont="1" applyFill="1" applyBorder="1" applyAlignment="1">
      <alignment vertical="center" wrapText="1"/>
    </xf>
    <xf numFmtId="0" fontId="23" fillId="0" borderId="1" xfId="0" applyFont="1" applyFill="1" applyBorder="1" applyAlignment="1">
      <alignment horizontal="center" vertical="center" wrapText="1"/>
    </xf>
    <xf numFmtId="0" fontId="23" fillId="0" borderId="0" xfId="0" applyFont="1" applyFill="1" applyAlignment="1">
      <alignment horizontal="center" vertical="center" wrapText="1"/>
    </xf>
    <xf numFmtId="191" fontId="25" fillId="8" borderId="0" xfId="0" applyNumberFormat="1" applyFont="1" applyFill="1" applyAlignment="1">
      <alignment horizontal="center" vertical="center" wrapText="1"/>
    </xf>
    <xf numFmtId="0" fontId="27" fillId="0" borderId="0" xfId="0" applyFont="1" applyFill="1" applyAlignment="1">
      <alignment horizontal="center" vertical="center" wrapText="1"/>
    </xf>
    <xf numFmtId="178" fontId="27" fillId="0" borderId="1" xfId="0" applyNumberFormat="1" applyFont="1" applyFill="1" applyBorder="1" applyAlignment="1">
      <alignment horizontal="center" vertical="center" wrapText="1" shrinkToFit="1"/>
    </xf>
    <xf numFmtId="0" fontId="27" fillId="0" borderId="1" xfId="51" applyFont="1" applyFill="1" applyBorder="1" applyAlignment="1">
      <alignment horizontal="center" vertical="center" wrapText="1" shrinkToFit="1"/>
    </xf>
    <xf numFmtId="0" fontId="27" fillId="0" borderId="1" xfId="0" applyFont="1" applyFill="1" applyBorder="1" applyAlignment="1">
      <alignment horizontal="center" vertical="center" wrapText="1"/>
    </xf>
    <xf numFmtId="0" fontId="27" fillId="0" borderId="1" xfId="0" applyFont="1" applyFill="1" applyBorder="1" applyAlignment="1" applyProtection="1">
      <alignment horizontal="center" vertical="center" wrapText="1"/>
      <protection locked="0"/>
    </xf>
    <xf numFmtId="0" fontId="27" fillId="0" borderId="1" xfId="0" applyFont="1" applyFill="1" applyBorder="1" applyAlignment="1" applyProtection="1">
      <alignment horizontal="center" vertical="center" wrapText="1" shrinkToFit="1"/>
      <protection locked="0"/>
    </xf>
    <xf numFmtId="0" fontId="27" fillId="0" borderId="1" xfId="0" applyNumberFormat="1" applyFont="1" applyFill="1" applyBorder="1" applyAlignment="1" applyProtection="1">
      <alignment horizontal="center" vertical="center" wrapText="1"/>
      <protection locked="0"/>
    </xf>
    <xf numFmtId="189" fontId="27" fillId="0" borderId="1" xfId="0" applyNumberFormat="1" applyFont="1" applyFill="1" applyBorder="1" applyAlignment="1">
      <alignment horizontal="center" vertical="center" wrapText="1"/>
    </xf>
    <xf numFmtId="186" fontId="27" fillId="0" borderId="1" xfId="0" applyNumberFormat="1" applyFont="1" applyFill="1" applyBorder="1" applyAlignment="1">
      <alignment horizontal="center" vertical="center" wrapText="1"/>
    </xf>
    <xf numFmtId="0" fontId="28" fillId="0" borderId="1" xfId="0" applyFont="1" applyFill="1" applyBorder="1" applyAlignment="1">
      <alignment horizontal="center" vertical="center" wrapText="1"/>
    </xf>
    <xf numFmtId="178" fontId="27" fillId="0" borderId="1" xfId="0" applyNumberFormat="1" applyFont="1" applyFill="1" applyBorder="1" applyAlignment="1" applyProtection="1">
      <alignment horizontal="center" vertical="center" wrapText="1" shrinkToFit="1"/>
      <protection locked="0"/>
    </xf>
    <xf numFmtId="0" fontId="27" fillId="0" borderId="1" xfId="0" applyNumberFormat="1" applyFont="1" applyFill="1" applyBorder="1" applyAlignment="1" applyProtection="1">
      <alignment horizontal="center" vertical="center" wrapText="1" shrinkToFit="1"/>
      <protection locked="0"/>
    </xf>
    <xf numFmtId="192" fontId="27" fillId="0" borderId="1" xfId="0" applyNumberFormat="1" applyFont="1" applyFill="1" applyBorder="1" applyAlignment="1" applyProtection="1">
      <alignment horizontal="center" vertical="center" wrapText="1"/>
      <protection locked="0"/>
    </xf>
    <xf numFmtId="58" fontId="28" fillId="0" borderId="1" xfId="0" applyNumberFormat="1" applyFont="1" applyFill="1" applyBorder="1" applyAlignment="1">
      <alignment horizontal="center" vertical="center" wrapText="1"/>
    </xf>
    <xf numFmtId="58" fontId="27" fillId="0" borderId="1" xfId="0" applyNumberFormat="1" applyFont="1" applyFill="1" applyBorder="1" applyAlignment="1">
      <alignment horizontal="center" vertical="center" wrapText="1"/>
    </xf>
    <xf numFmtId="17" fontId="1" fillId="0" borderId="0" xfId="0" applyNumberFormat="1" applyFont="1" applyFill="1" applyBorder="1" applyAlignment="1" applyProtection="1">
      <alignment horizontal="center" vertical="center" wrapText="1"/>
      <protection locked="0"/>
    </xf>
    <xf numFmtId="0" fontId="0" fillId="0" borderId="0" xfId="0" applyAlignment="1">
      <alignment wrapText="1"/>
    </xf>
    <xf numFmtId="0" fontId="29" fillId="0" borderId="0" xfId="0" applyFont="1" applyFill="1" applyAlignment="1">
      <alignment horizontal="center" vertical="center" wrapText="1"/>
    </xf>
    <xf numFmtId="0" fontId="29" fillId="0" borderId="0" xfId="0" applyFont="1" applyFill="1" applyAlignment="1" applyProtection="1">
      <alignment horizontal="center" vertical="center" wrapText="1"/>
    </xf>
    <xf numFmtId="0" fontId="0" fillId="0" borderId="0" xfId="0" applyNumberFormat="1" applyAlignment="1">
      <alignment wrapText="1"/>
    </xf>
    <xf numFmtId="193" fontId="0" fillId="0" borderId="0" xfId="0" applyNumberFormat="1"/>
    <xf numFmtId="0" fontId="1" fillId="0" borderId="1" xfId="0" applyNumberFormat="1" applyFont="1" applyFill="1" applyBorder="1" applyAlignment="1">
      <alignment horizontal="center" vertical="center" wrapText="1"/>
    </xf>
    <xf numFmtId="178" fontId="29" fillId="0" borderId="1" xfId="0" applyNumberFormat="1" applyFont="1" applyFill="1" applyBorder="1" applyAlignment="1">
      <alignment horizontal="center" vertical="center" wrapText="1" shrinkToFit="1"/>
    </xf>
    <xf numFmtId="0" fontId="29" fillId="0" borderId="1" xfId="51" applyFont="1" applyFill="1" applyBorder="1" applyAlignment="1">
      <alignment horizontal="center" vertical="center" wrapText="1" shrinkToFit="1"/>
    </xf>
    <xf numFmtId="0" fontId="29" fillId="0" borderId="1" xfId="0" applyFont="1" applyFill="1" applyBorder="1" applyAlignment="1">
      <alignment horizontal="center" vertical="center" wrapText="1"/>
    </xf>
    <xf numFmtId="0" fontId="29" fillId="0" borderId="1" xfId="51" applyNumberFormat="1" applyFont="1" applyFill="1" applyBorder="1" applyAlignment="1">
      <alignment horizontal="center" vertical="center" wrapText="1" shrinkToFit="1"/>
    </xf>
    <xf numFmtId="0" fontId="29" fillId="0" borderId="1" xfId="0" applyFont="1" applyFill="1" applyBorder="1" applyAlignment="1" applyProtection="1">
      <alignment horizontal="center" vertical="center" wrapText="1"/>
    </xf>
    <xf numFmtId="178" fontId="29" fillId="0" borderId="1" xfId="0" applyNumberFormat="1" applyFont="1" applyFill="1" applyBorder="1" applyAlignment="1" applyProtection="1">
      <alignment horizontal="center" vertical="center" wrapText="1" shrinkToFit="1"/>
      <protection locked="0"/>
    </xf>
    <xf numFmtId="0" fontId="29" fillId="0" borderId="1" xfId="0" applyFont="1" applyFill="1" applyBorder="1" applyAlignment="1" applyProtection="1">
      <alignment horizontal="center" vertical="center" wrapText="1"/>
      <protection locked="0"/>
    </xf>
    <xf numFmtId="0" fontId="29" fillId="0" borderId="1" xfId="0" applyFont="1" applyFill="1" applyBorder="1" applyAlignment="1" applyProtection="1">
      <alignment horizontal="center" vertical="center" wrapText="1" shrinkToFit="1"/>
      <protection locked="0"/>
    </xf>
    <xf numFmtId="0" fontId="29" fillId="0" borderId="1" xfId="0" applyNumberFormat="1" applyFont="1" applyFill="1" applyBorder="1" applyAlignment="1" applyProtection="1">
      <alignment horizontal="center" vertical="center" wrapText="1"/>
      <protection locked="0"/>
    </xf>
    <xf numFmtId="189" fontId="29" fillId="0" borderId="1" xfId="0" applyNumberFormat="1" applyFont="1" applyFill="1" applyBorder="1" applyAlignment="1">
      <alignment horizontal="center" vertical="center" wrapText="1"/>
    </xf>
    <xf numFmtId="186" fontId="29" fillId="0" borderId="1" xfId="0" applyNumberFormat="1" applyFont="1" applyFill="1" applyBorder="1" applyAlignment="1">
      <alignment horizontal="center" vertical="center" wrapText="1"/>
    </xf>
    <xf numFmtId="194" fontId="29" fillId="0" borderId="1" xfId="0" applyNumberFormat="1" applyFont="1" applyFill="1" applyBorder="1" applyAlignment="1">
      <alignment horizontal="center" vertical="center" wrapText="1"/>
    </xf>
    <xf numFmtId="195" fontId="29" fillId="0" borderId="1" xfId="0" applyNumberFormat="1" applyFont="1" applyFill="1" applyBorder="1" applyAlignment="1" applyProtection="1">
      <alignment horizontal="center" vertical="center" wrapText="1"/>
      <protection locked="0"/>
    </xf>
    <xf numFmtId="178" fontId="29" fillId="0" borderId="1" xfId="0" applyNumberFormat="1" applyFont="1" applyFill="1" applyBorder="1" applyAlignment="1" applyProtection="1">
      <alignment horizontal="center" vertical="center" wrapText="1" shrinkToFit="1"/>
    </xf>
    <xf numFmtId="0" fontId="29" fillId="0" borderId="1" xfId="51" applyFont="1" applyFill="1" applyBorder="1" applyAlignment="1" applyProtection="1">
      <alignment horizontal="center" vertical="center" wrapText="1" shrinkToFit="1"/>
    </xf>
    <xf numFmtId="0" fontId="29" fillId="0" borderId="1" xfId="51" applyNumberFormat="1" applyFont="1" applyFill="1" applyBorder="1" applyAlignment="1" applyProtection="1">
      <alignment horizontal="center" vertical="center" wrapText="1" shrinkToFit="1"/>
    </xf>
    <xf numFmtId="0" fontId="29" fillId="0" borderId="1" xfId="0" applyFont="1" applyFill="1" applyBorder="1" applyAlignment="1" applyProtection="1">
      <alignment horizontal="center" vertical="center" wrapText="1" shrinkToFit="1"/>
    </xf>
    <xf numFmtId="0" fontId="29" fillId="0" borderId="1" xfId="0" applyNumberFormat="1" applyFont="1" applyFill="1" applyBorder="1" applyAlignment="1" applyProtection="1">
      <alignment horizontal="center" vertical="center" wrapText="1"/>
    </xf>
    <xf numFmtId="196" fontId="29" fillId="0" borderId="1" xfId="0" applyNumberFormat="1" applyFont="1" applyFill="1" applyBorder="1" applyAlignment="1" applyProtection="1">
      <alignment horizontal="center" vertical="center" wrapText="1"/>
    </xf>
    <xf numFmtId="189" fontId="29" fillId="0" borderId="1" xfId="0" applyNumberFormat="1" applyFont="1" applyFill="1" applyBorder="1" applyAlignment="1" applyProtection="1">
      <alignment horizontal="center" vertical="center" wrapText="1"/>
    </xf>
    <xf numFmtId="186" fontId="29" fillId="0" borderId="1" xfId="0" applyNumberFormat="1" applyFont="1" applyFill="1" applyBorder="1" applyAlignment="1" applyProtection="1">
      <alignment horizontal="center" vertical="center" wrapText="1"/>
    </xf>
    <xf numFmtId="195" fontId="29" fillId="0" borderId="1" xfId="0" applyNumberFormat="1" applyFont="1" applyFill="1" applyBorder="1" applyAlignment="1" applyProtection="1">
      <alignment horizontal="center" vertical="center" wrapText="1"/>
    </xf>
    <xf numFmtId="14" fontId="29" fillId="0" borderId="1" xfId="0" applyNumberFormat="1" applyFont="1" applyFill="1" applyBorder="1" applyAlignment="1" applyProtection="1">
      <alignment horizontal="center" vertical="center" wrapText="1"/>
    </xf>
    <xf numFmtId="0" fontId="6" fillId="0" borderId="9" xfId="0" applyFont="1" applyBorder="1" applyAlignment="1">
      <alignment horizontal="center" vertical="center"/>
    </xf>
    <xf numFmtId="58" fontId="30" fillId="0" borderId="9" xfId="0" applyNumberFormat="1" applyFont="1" applyBorder="1" applyAlignment="1">
      <alignment horizontal="center" vertical="center"/>
    </xf>
    <xf numFmtId="178" fontId="30" fillId="0" borderId="9" xfId="0" applyNumberFormat="1" applyFont="1" applyBorder="1" applyAlignment="1">
      <alignment horizontal="center" vertical="center"/>
    </xf>
    <xf numFmtId="178" fontId="29" fillId="4" borderId="1" xfId="0" applyNumberFormat="1" applyFont="1" applyFill="1" applyBorder="1" applyAlignment="1" applyProtection="1">
      <alignment horizontal="center" vertical="center" wrapText="1" shrinkToFit="1"/>
    </xf>
    <xf numFmtId="0" fontId="29" fillId="0" borderId="1" xfId="51" applyFont="1" applyFill="1" applyBorder="1" applyAlignment="1" applyProtection="1">
      <alignment horizontal="center" vertical="center" wrapText="1" shrinkToFit="1"/>
      <protection locked="0"/>
    </xf>
    <xf numFmtId="178" fontId="29" fillId="4" borderId="1" xfId="0" applyNumberFormat="1" applyFont="1" applyFill="1" applyBorder="1" applyAlignment="1" applyProtection="1">
      <alignment horizontal="center" vertical="center" wrapText="1" shrinkToFit="1"/>
      <protection locked="0"/>
    </xf>
    <xf numFmtId="0" fontId="29" fillId="0" borderId="1" xfId="51" applyNumberFormat="1" applyFont="1" applyFill="1" applyBorder="1" applyAlignment="1" applyProtection="1">
      <alignment horizontal="center" vertical="center" shrinkToFit="1"/>
    </xf>
    <xf numFmtId="0" fontId="6" fillId="0" borderId="9" xfId="0" applyFont="1" applyBorder="1" applyAlignment="1">
      <alignment horizontal="center" vertical="center"/>
    </xf>
    <xf numFmtId="58" fontId="30" fillId="0" borderId="9" xfId="0" applyNumberFormat="1" applyFont="1" applyBorder="1" applyAlignment="1">
      <alignment horizontal="center" vertical="center"/>
    </xf>
    <xf numFmtId="0" fontId="1" fillId="0" borderId="2" xfId="51" applyFont="1" applyFill="1" applyBorder="1" applyAlignment="1">
      <alignment horizontal="center" vertical="center" wrapText="1" shrinkToFit="1"/>
    </xf>
    <xf numFmtId="0" fontId="1" fillId="0" borderId="1" xfId="51" applyNumberFormat="1" applyFont="1" applyFill="1" applyBorder="1" applyAlignment="1">
      <alignment horizontal="center" vertical="center" wrapText="1" shrinkToFit="1"/>
    </xf>
    <xf numFmtId="178" fontId="1" fillId="0" borderId="7" xfId="0" applyNumberFormat="1" applyFont="1" applyFill="1" applyBorder="1" applyAlignment="1" applyProtection="1">
      <alignment horizontal="center" vertical="center" wrapText="1" shrinkToFit="1"/>
      <protection locked="0"/>
    </xf>
    <xf numFmtId="193" fontId="1" fillId="0" borderId="1" xfId="0" applyNumberFormat="1" applyFont="1" applyFill="1" applyBorder="1" applyAlignment="1">
      <alignment horizontal="center" vertical="center" wrapText="1"/>
    </xf>
    <xf numFmtId="0" fontId="31" fillId="0" borderId="0" xfId="0" applyFont="1" applyFill="1" applyAlignment="1" applyProtection="1">
      <alignment horizontal="center" vertical="center" wrapText="1"/>
    </xf>
    <xf numFmtId="0" fontId="21" fillId="0" borderId="0" xfId="0" applyFont="1" applyFill="1" applyAlignment="1" applyProtection="1">
      <alignment horizontal="center" vertical="center" wrapText="1"/>
    </xf>
    <xf numFmtId="0" fontId="1" fillId="4" borderId="0" xfId="0" applyFont="1" applyFill="1" applyAlignment="1" applyProtection="1">
      <alignment horizontal="center" vertical="center" wrapText="1"/>
    </xf>
    <xf numFmtId="0" fontId="1" fillId="0" borderId="0" xfId="0" applyNumberFormat="1" applyFont="1" applyFill="1" applyBorder="1" applyAlignment="1" applyProtection="1">
      <alignment horizontal="center" vertical="center"/>
    </xf>
    <xf numFmtId="0" fontId="1" fillId="0" borderId="0" xfId="0" applyNumberFormat="1" applyFont="1" applyFill="1" applyBorder="1" applyAlignment="1" applyProtection="1">
      <alignment horizontal="center" vertical="center" wrapText="1"/>
    </xf>
    <xf numFmtId="0" fontId="0" fillId="0" borderId="0" xfId="0" applyFill="1" applyProtection="1"/>
    <xf numFmtId="0" fontId="1" fillId="0" borderId="1" xfId="0" applyNumberFormat="1" applyFont="1" applyFill="1" applyBorder="1" applyAlignment="1" applyProtection="1">
      <alignment horizontal="center" vertical="center"/>
    </xf>
    <xf numFmtId="0" fontId="1" fillId="0" borderId="1" xfId="0" applyNumberFormat="1" applyFont="1" applyFill="1" applyBorder="1" applyAlignment="1" applyProtection="1">
      <alignment horizontal="center" vertical="center" wrapText="1"/>
    </xf>
    <xf numFmtId="186" fontId="21" fillId="0" borderId="1" xfId="0" applyNumberFormat="1" applyFont="1" applyFill="1" applyBorder="1" applyAlignment="1" applyProtection="1">
      <alignment horizontal="center" vertical="center" wrapText="1"/>
    </xf>
    <xf numFmtId="178" fontId="31" fillId="0" borderId="1" xfId="0" applyNumberFormat="1" applyFont="1" applyFill="1" applyBorder="1" applyAlignment="1" applyProtection="1">
      <alignment horizontal="center" vertical="center" wrapText="1" shrinkToFit="1"/>
    </xf>
    <xf numFmtId="0" fontId="31" fillId="0" borderId="1" xfId="51" applyFont="1" applyFill="1" applyBorder="1" applyAlignment="1" applyProtection="1">
      <alignment horizontal="center" vertical="center" wrapText="1" shrinkToFit="1"/>
    </xf>
    <xf numFmtId="0" fontId="31" fillId="0" borderId="1" xfId="51" applyNumberFormat="1" applyFont="1" applyFill="1" applyBorder="1" applyAlignment="1" applyProtection="1">
      <alignment horizontal="center" vertical="center" shrinkToFit="1"/>
    </xf>
    <xf numFmtId="0" fontId="31" fillId="0" borderId="1" xfId="0" applyFont="1" applyFill="1" applyBorder="1" applyAlignment="1" applyProtection="1">
      <alignment horizontal="center" vertical="center" wrapText="1"/>
    </xf>
    <xf numFmtId="0" fontId="31" fillId="0" borderId="1" xfId="0" applyFont="1" applyFill="1" applyBorder="1" applyAlignment="1" applyProtection="1">
      <alignment horizontal="center" vertical="center" wrapText="1" shrinkToFit="1"/>
    </xf>
    <xf numFmtId="0" fontId="31" fillId="0" borderId="1" xfId="0" applyFont="1" applyFill="1" applyBorder="1" applyAlignment="1" applyProtection="1">
      <alignment horizontal="center" vertical="center" wrapText="1" shrinkToFit="1"/>
      <protection locked="0"/>
    </xf>
    <xf numFmtId="0" fontId="31" fillId="0" borderId="1" xfId="0" applyNumberFormat="1" applyFont="1" applyFill="1" applyBorder="1" applyAlignment="1" applyProtection="1">
      <alignment horizontal="center" vertical="center" wrapText="1"/>
    </xf>
    <xf numFmtId="195" fontId="31" fillId="0" borderId="1" xfId="0" applyNumberFormat="1" applyFont="1" applyFill="1" applyBorder="1" applyAlignment="1" applyProtection="1">
      <alignment horizontal="center" vertical="center" wrapText="1"/>
    </xf>
    <xf numFmtId="189" fontId="31" fillId="0" borderId="1" xfId="0" applyNumberFormat="1" applyFont="1" applyFill="1" applyBorder="1" applyAlignment="1" applyProtection="1">
      <alignment horizontal="center" vertical="center" wrapText="1"/>
    </xf>
    <xf numFmtId="186" fontId="31" fillId="0" borderId="1" xfId="0" applyNumberFormat="1" applyFont="1" applyFill="1" applyBorder="1" applyAlignment="1" applyProtection="1">
      <alignment horizontal="center" vertical="center" wrapText="1"/>
    </xf>
    <xf numFmtId="0" fontId="32" fillId="0" borderId="1" xfId="0" applyFont="1" applyFill="1" applyBorder="1" applyAlignment="1" applyProtection="1">
      <alignment horizontal="center" vertical="center" wrapText="1"/>
    </xf>
    <xf numFmtId="0" fontId="1" fillId="0" borderId="1" xfId="51" applyNumberFormat="1" applyFont="1" applyFill="1" applyBorder="1" applyAlignment="1" applyProtection="1">
      <alignment horizontal="center" vertical="center" shrinkToFit="1"/>
    </xf>
    <xf numFmtId="0" fontId="1" fillId="0" borderId="1" xfId="0" applyFont="1" applyFill="1" applyBorder="1" applyAlignment="1" applyProtection="1">
      <alignment horizontal="center" vertical="center" wrapText="1" shrinkToFit="1"/>
    </xf>
    <xf numFmtId="195" fontId="1" fillId="0" borderId="1" xfId="0" applyNumberFormat="1" applyFont="1" applyFill="1" applyBorder="1" applyAlignment="1" applyProtection="1">
      <alignment horizontal="center" vertical="center" wrapText="1"/>
    </xf>
    <xf numFmtId="0" fontId="31" fillId="0" borderId="1" xfId="0" applyFont="1" applyFill="1" applyBorder="1" applyAlignment="1" applyProtection="1">
      <alignment horizontal="center" vertical="center" wrapText="1"/>
      <protection locked="0"/>
    </xf>
    <xf numFmtId="196" fontId="31" fillId="0" borderId="1" xfId="0" applyNumberFormat="1" applyFont="1" applyFill="1" applyBorder="1" applyAlignment="1" applyProtection="1">
      <alignment horizontal="center" vertical="center" wrapText="1"/>
    </xf>
    <xf numFmtId="0" fontId="31" fillId="0" borderId="1" xfId="51" applyFont="1" applyFill="1" applyBorder="1" applyAlignment="1" applyProtection="1">
      <alignment horizontal="center" vertical="center" wrapText="1" shrinkToFit="1"/>
      <protection locked="0"/>
    </xf>
    <xf numFmtId="178" fontId="31" fillId="0" borderId="1" xfId="0" applyNumberFormat="1" applyFont="1" applyFill="1" applyBorder="1" applyAlignment="1" applyProtection="1">
      <alignment horizontal="center" vertical="center" wrapText="1" shrinkToFit="1"/>
      <protection locked="0"/>
    </xf>
    <xf numFmtId="0" fontId="21" fillId="0" borderId="1" xfId="51" applyFont="1" applyFill="1" applyBorder="1" applyAlignment="1" applyProtection="1">
      <alignment horizontal="center" vertical="center" wrapText="1" shrinkToFit="1"/>
      <protection locked="0"/>
    </xf>
    <xf numFmtId="0" fontId="21" fillId="0" borderId="1" xfId="0" applyFont="1" applyFill="1" applyBorder="1" applyAlignment="1" applyProtection="1">
      <alignment horizontal="center" vertical="center" wrapText="1" shrinkToFit="1"/>
      <protection locked="0"/>
    </xf>
    <xf numFmtId="0" fontId="21" fillId="0" borderId="1" xfId="0" applyFont="1" applyFill="1" applyBorder="1" applyAlignment="1" applyProtection="1">
      <alignment horizontal="center" vertical="center" wrapText="1"/>
    </xf>
    <xf numFmtId="0" fontId="31" fillId="0" borderId="1" xfId="51" applyNumberFormat="1" applyFont="1" applyFill="1" applyBorder="1" applyAlignment="1" applyProtection="1">
      <alignment horizontal="center" vertical="center" shrinkToFit="1"/>
      <protection locked="0"/>
    </xf>
    <xf numFmtId="0" fontId="31" fillId="0" borderId="1" xfId="0" applyNumberFormat="1" applyFont="1" applyFill="1" applyBorder="1" applyAlignment="1" applyProtection="1">
      <alignment horizontal="center" vertical="center" wrapText="1"/>
      <protection locked="0"/>
    </xf>
    <xf numFmtId="196" fontId="31" fillId="0" borderId="1" xfId="0" applyNumberFormat="1" applyFont="1" applyFill="1" applyBorder="1" applyAlignment="1" applyProtection="1">
      <alignment horizontal="center" vertical="center" wrapText="1"/>
      <protection locked="0"/>
    </xf>
    <xf numFmtId="189" fontId="31" fillId="0" borderId="1" xfId="0" applyNumberFormat="1" applyFont="1" applyFill="1" applyBorder="1" applyAlignment="1" applyProtection="1">
      <alignment horizontal="center" vertical="center" wrapText="1"/>
      <protection locked="0"/>
    </xf>
    <xf numFmtId="186" fontId="31" fillId="0" borderId="1" xfId="0" applyNumberFormat="1" applyFont="1" applyFill="1" applyBorder="1" applyAlignment="1" applyProtection="1">
      <alignment horizontal="center" vertical="center" wrapText="1"/>
      <protection locked="0"/>
    </xf>
    <xf numFmtId="0" fontId="32" fillId="0" borderId="1" xfId="0" applyFont="1" applyFill="1" applyBorder="1" applyAlignment="1" applyProtection="1">
      <alignment horizontal="center" vertical="center" wrapText="1"/>
      <protection locked="0"/>
    </xf>
    <xf numFmtId="178" fontId="21" fillId="0" borderId="1" xfId="0" applyNumberFormat="1" applyFont="1" applyFill="1" applyBorder="1" applyAlignment="1" applyProtection="1">
      <alignment horizontal="center" vertical="center" wrapText="1" shrinkToFit="1"/>
      <protection locked="0"/>
    </xf>
    <xf numFmtId="0" fontId="21" fillId="0" borderId="1" xfId="51" applyNumberFormat="1" applyFont="1" applyFill="1" applyBorder="1" applyAlignment="1" applyProtection="1">
      <alignment horizontal="center" vertical="center" shrinkToFit="1"/>
      <protection locked="0"/>
    </xf>
    <xf numFmtId="0" fontId="21" fillId="0" borderId="1" xfId="0" applyFont="1" applyFill="1" applyBorder="1" applyAlignment="1" applyProtection="1">
      <alignment horizontal="center" vertical="center" wrapText="1"/>
      <protection locked="0"/>
    </xf>
    <xf numFmtId="0" fontId="21" fillId="0" borderId="1" xfId="0" applyNumberFormat="1" applyFont="1" applyFill="1" applyBorder="1" applyAlignment="1" applyProtection="1">
      <alignment horizontal="center" vertical="center" wrapText="1"/>
      <protection locked="0"/>
    </xf>
    <xf numFmtId="189" fontId="21" fillId="0" borderId="1" xfId="0" applyNumberFormat="1" applyFont="1" applyFill="1" applyBorder="1" applyAlignment="1" applyProtection="1">
      <alignment horizontal="center" vertical="center" wrapText="1"/>
      <protection locked="0"/>
    </xf>
    <xf numFmtId="186" fontId="21" fillId="0" borderId="1" xfId="0" applyNumberFormat="1" applyFont="1" applyFill="1" applyBorder="1" applyAlignment="1" applyProtection="1">
      <alignment horizontal="center" vertical="center" wrapText="1"/>
      <protection locked="0"/>
    </xf>
    <xf numFmtId="0" fontId="33" fillId="0" borderId="1" xfId="0" applyFont="1" applyFill="1" applyBorder="1" applyAlignment="1" applyProtection="1">
      <alignment horizontal="center" vertical="center" wrapText="1"/>
      <protection locked="0"/>
    </xf>
    <xf numFmtId="178" fontId="21" fillId="4" borderId="1" xfId="0" applyNumberFormat="1" applyFont="1" applyFill="1" applyBorder="1" applyAlignment="1" applyProtection="1">
      <alignment horizontal="center" vertical="center" wrapText="1" shrinkToFit="1"/>
      <protection locked="0"/>
    </xf>
    <xf numFmtId="178" fontId="1" fillId="4" borderId="1" xfId="0" applyNumberFormat="1" applyFont="1" applyFill="1" applyBorder="1" applyAlignment="1" applyProtection="1">
      <alignment horizontal="center" vertical="center" wrapText="1" shrinkToFit="1"/>
      <protection locked="0"/>
    </xf>
    <xf numFmtId="0" fontId="21" fillId="4" borderId="1" xfId="51" applyFont="1" applyFill="1" applyBorder="1" applyAlignment="1" applyProtection="1">
      <alignment horizontal="center" vertical="center" wrapText="1" shrinkToFit="1"/>
      <protection locked="0"/>
    </xf>
    <xf numFmtId="0" fontId="1" fillId="4" borderId="1" xfId="51" applyNumberFormat="1" applyFont="1" applyFill="1" applyBorder="1" applyAlignment="1" applyProtection="1">
      <alignment horizontal="center" vertical="center" shrinkToFit="1"/>
      <protection locked="0"/>
    </xf>
    <xf numFmtId="0" fontId="21" fillId="4" borderId="1"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shrinkToFit="1"/>
      <protection locked="0"/>
    </xf>
    <xf numFmtId="0" fontId="21" fillId="4" borderId="1" xfId="0" applyNumberFormat="1" applyFont="1" applyFill="1" applyBorder="1" applyAlignment="1" applyProtection="1">
      <alignment horizontal="center" vertical="center" wrapText="1"/>
      <protection locked="0"/>
    </xf>
    <xf numFmtId="189" fontId="1" fillId="4" borderId="1" xfId="0" applyNumberFormat="1" applyFont="1" applyFill="1" applyBorder="1" applyAlignment="1" applyProtection="1">
      <alignment horizontal="center" vertical="center" wrapText="1"/>
      <protection locked="0"/>
    </xf>
    <xf numFmtId="186" fontId="1" fillId="4" borderId="1" xfId="0" applyNumberFormat="1" applyFont="1" applyFill="1" applyBorder="1" applyAlignment="1" applyProtection="1">
      <alignment horizontal="center" vertical="center" wrapText="1"/>
      <protection locked="0"/>
    </xf>
    <xf numFmtId="0" fontId="24" fillId="4" borderId="1" xfId="0" applyFont="1" applyFill="1" applyBorder="1" applyAlignment="1" applyProtection="1">
      <alignment horizontal="center" vertical="center" wrapText="1"/>
      <protection locked="0"/>
    </xf>
    <xf numFmtId="0" fontId="1" fillId="4" borderId="1" xfId="51" applyFont="1" applyFill="1" applyBorder="1" applyAlignment="1" applyProtection="1">
      <alignment horizontal="center" vertical="center" wrapText="1" shrinkToFit="1"/>
      <protection locked="0"/>
    </xf>
    <xf numFmtId="0" fontId="1" fillId="0" borderId="1" xfId="51" applyFont="1" applyFill="1" applyBorder="1" applyAlignment="1" applyProtection="1">
      <alignment horizontal="center" vertical="center" wrapText="1" shrinkToFit="1"/>
      <protection locked="0"/>
    </xf>
    <xf numFmtId="0" fontId="1" fillId="0" borderId="1" xfId="51" applyNumberFormat="1" applyFont="1" applyFill="1" applyBorder="1" applyAlignment="1" applyProtection="1">
      <alignment horizontal="center" vertical="center" shrinkToFit="1"/>
      <protection locked="0"/>
    </xf>
    <xf numFmtId="189" fontId="1" fillId="0" borderId="1" xfId="0" applyNumberFormat="1" applyFont="1" applyFill="1" applyBorder="1" applyAlignment="1" applyProtection="1">
      <alignment horizontal="center" vertical="center" wrapText="1"/>
      <protection locked="0"/>
    </xf>
    <xf numFmtId="186" fontId="1" fillId="0" borderId="1" xfId="0" applyNumberFormat="1" applyFont="1" applyFill="1" applyBorder="1" applyAlignment="1" applyProtection="1">
      <alignment horizontal="center" vertical="center" wrapText="1"/>
      <protection locked="0"/>
    </xf>
    <xf numFmtId="0" fontId="24" fillId="0" borderId="1" xfId="0" applyFont="1" applyFill="1" applyBorder="1" applyAlignment="1" applyProtection="1">
      <alignment horizontal="center" vertical="center" wrapText="1"/>
      <protection locked="0"/>
    </xf>
    <xf numFmtId="0" fontId="1" fillId="0" borderId="0" xfId="0" applyFont="1" applyFill="1" applyBorder="1" applyAlignment="1" applyProtection="1">
      <alignment horizontal="center" vertical="center"/>
    </xf>
    <xf numFmtId="17" fontId="1" fillId="0" borderId="0" xfId="0" applyNumberFormat="1" applyFont="1" applyFill="1" applyBorder="1" applyAlignment="1" applyProtection="1">
      <alignment horizontal="center" vertical="center" wrapText="1"/>
    </xf>
    <xf numFmtId="0" fontId="1" fillId="4" borderId="0" xfId="0" applyFont="1" applyFill="1" applyAlignment="1">
      <alignment horizontal="center" vertical="center" wrapText="1"/>
    </xf>
    <xf numFmtId="0" fontId="0" fillId="0" borderId="0" xfId="0" applyFill="1" applyBorder="1"/>
    <xf numFmtId="178" fontId="1" fillId="0" borderId="0" xfId="0" applyNumberFormat="1" applyFont="1" applyFill="1" applyBorder="1" applyAlignment="1">
      <alignment horizontal="center" vertical="center" wrapText="1"/>
    </xf>
    <xf numFmtId="0" fontId="1" fillId="0" borderId="0" xfId="0" applyNumberFormat="1" applyFont="1" applyFill="1" applyBorder="1" applyAlignment="1">
      <alignment horizontal="center" vertical="center"/>
    </xf>
    <xf numFmtId="194" fontId="1" fillId="0" borderId="0" xfId="0" applyNumberFormat="1" applyFont="1" applyFill="1" applyAlignment="1">
      <alignment horizontal="center" vertical="center" wrapText="1"/>
    </xf>
    <xf numFmtId="0" fontId="0" fillId="0" borderId="0" xfId="0" applyFill="1"/>
    <xf numFmtId="178" fontId="1" fillId="0" borderId="1" xfId="0" applyNumberFormat="1" applyFont="1" applyFill="1" applyBorder="1" applyAlignment="1">
      <alignment horizontal="center" vertical="center" wrapText="1"/>
    </xf>
    <xf numFmtId="49" fontId="1" fillId="0" borderId="1" xfId="55" applyNumberFormat="1" applyFont="1" applyFill="1" applyBorder="1" applyAlignment="1">
      <alignment horizontal="center" vertical="center" wrapText="1"/>
    </xf>
    <xf numFmtId="0" fontId="1" fillId="0" borderId="1" xfId="0" applyNumberFormat="1" applyFont="1" applyFill="1" applyBorder="1" applyAlignment="1">
      <alignment horizontal="center" vertical="center"/>
    </xf>
    <xf numFmtId="0" fontId="1" fillId="0" borderId="6" xfId="0" applyFont="1" applyFill="1" applyBorder="1" applyAlignment="1">
      <alignment horizontal="center" vertical="center" wrapText="1"/>
    </xf>
    <xf numFmtId="194" fontId="1" fillId="0" borderId="6" xfId="0" applyNumberFormat="1" applyFont="1" applyFill="1" applyBorder="1" applyAlignment="1">
      <alignment horizontal="center" vertical="center" wrapText="1"/>
    </xf>
    <xf numFmtId="194" fontId="1" fillId="0" borderId="1" xfId="0" applyNumberFormat="1" applyFont="1" applyFill="1" applyBorder="1" applyAlignment="1">
      <alignment horizontal="center" vertical="center" wrapText="1"/>
    </xf>
    <xf numFmtId="0" fontId="1" fillId="0" borderId="6" xfId="51" applyFont="1" applyFill="1" applyBorder="1" applyAlignment="1">
      <alignment horizontal="center" vertical="center" wrapText="1" shrinkToFit="1"/>
    </xf>
    <xf numFmtId="186" fontId="1" fillId="0" borderId="1" xfId="1" applyNumberFormat="1" applyFont="1" applyFill="1" applyBorder="1" applyAlignment="1">
      <alignment horizontal="center" vertical="center" wrapText="1"/>
    </xf>
    <xf numFmtId="0" fontId="1" fillId="0" borderId="1" xfId="0" applyNumberFormat="1" applyFont="1" applyFill="1" applyBorder="1" applyAlignment="1">
      <alignment vertical="center" wrapText="1"/>
    </xf>
    <xf numFmtId="0" fontId="1" fillId="0" borderId="7" xfId="51" applyFont="1" applyFill="1" applyBorder="1" applyAlignment="1">
      <alignment horizontal="center" vertical="center" wrapText="1" shrinkToFit="1"/>
    </xf>
    <xf numFmtId="0" fontId="29" fillId="0" borderId="1" xfId="0" applyNumberFormat="1" applyFont="1" applyFill="1" applyBorder="1" applyAlignment="1">
      <alignment horizontal="center" vertical="center"/>
    </xf>
    <xf numFmtId="186" fontId="29" fillId="0" borderId="1" xfId="1" applyNumberFormat="1" applyFont="1" applyFill="1" applyBorder="1" applyAlignment="1">
      <alignment horizontal="center" vertical="center" wrapText="1"/>
    </xf>
    <xf numFmtId="0" fontId="29" fillId="0" borderId="0" xfId="0" applyFont="1" applyFill="1" applyBorder="1" applyAlignment="1">
      <alignment horizontal="center" vertical="center" wrapText="1"/>
    </xf>
    <xf numFmtId="0" fontId="29" fillId="0" borderId="1" xfId="51" applyNumberFormat="1" applyFont="1" applyFill="1" applyBorder="1" applyAlignment="1">
      <alignment horizontal="center" vertical="center" shrinkToFit="1"/>
    </xf>
    <xf numFmtId="0" fontId="1" fillId="0" borderId="1" xfId="51" applyNumberFormat="1" applyFont="1" applyFill="1" applyBorder="1" applyAlignment="1">
      <alignment horizontal="center" vertical="center" shrinkToFit="1"/>
    </xf>
    <xf numFmtId="0" fontId="21" fillId="0" borderId="1" xfId="51" applyFont="1" applyFill="1" applyBorder="1" applyAlignment="1" applyProtection="1">
      <alignment horizontal="center" vertical="center" wrapText="1" shrinkToFit="1"/>
    </xf>
    <xf numFmtId="194" fontId="1" fillId="4" borderId="1" xfId="0" applyNumberFormat="1" applyFont="1" applyFill="1" applyBorder="1" applyAlignment="1">
      <alignment horizontal="center" vertical="center" wrapText="1"/>
    </xf>
    <xf numFmtId="186" fontId="1" fillId="4" borderId="1" xfId="1" applyNumberFormat="1" applyFont="1" applyFill="1" applyBorder="1" applyAlignment="1">
      <alignment horizontal="center" vertical="center" wrapText="1"/>
    </xf>
    <xf numFmtId="0" fontId="1" fillId="4" borderId="0" xfId="0" applyFont="1" applyFill="1" applyBorder="1" applyAlignment="1">
      <alignment horizontal="center" vertical="center" wrapText="1"/>
    </xf>
    <xf numFmtId="178" fontId="1" fillId="0" borderId="3" xfId="0" applyNumberFormat="1" applyFont="1" applyFill="1" applyBorder="1" applyAlignment="1">
      <alignment horizontal="center" vertical="center" wrapText="1" shrinkToFit="1"/>
    </xf>
    <xf numFmtId="0" fontId="1" fillId="0" borderId="3" xfId="0" applyNumberFormat="1" applyFont="1" applyFill="1" applyBorder="1" applyAlignment="1">
      <alignment horizontal="center" vertical="center"/>
    </xf>
    <xf numFmtId="186" fontId="1" fillId="0" borderId="3" xfId="1" applyNumberFormat="1" applyFont="1" applyFill="1" applyBorder="1" applyAlignment="1">
      <alignment horizontal="center" vertical="center" wrapText="1"/>
    </xf>
    <xf numFmtId="0" fontId="1" fillId="0" borderId="0" xfId="51" applyNumberFormat="1" applyFont="1" applyFill="1" applyBorder="1" applyAlignment="1">
      <alignment horizontal="center" vertical="center" shrinkToFit="1"/>
    </xf>
    <xf numFmtId="194" fontId="1" fillId="0" borderId="0" xfId="0" applyNumberFormat="1" applyFont="1" applyFill="1" applyBorder="1" applyAlignment="1">
      <alignment horizontal="center" vertical="center" wrapText="1"/>
    </xf>
    <xf numFmtId="186" fontId="1" fillId="0" borderId="0" xfId="1" applyNumberFormat="1" applyFont="1" applyFill="1" applyBorder="1" applyAlignment="1">
      <alignment horizontal="center" vertical="center" wrapText="1"/>
    </xf>
    <xf numFmtId="186" fontId="20" fillId="0" borderId="0" xfId="0" applyNumberFormat="1" applyFont="1" applyFill="1" applyBorder="1" applyAlignment="1">
      <alignment horizontal="center" vertical="center" wrapText="1"/>
    </xf>
    <xf numFmtId="0" fontId="34" fillId="0" borderId="0" xfId="0" applyNumberFormat="1" applyFont="1" applyFill="1" applyBorder="1" applyAlignment="1">
      <alignment horizontal="center" vertical="center" wrapText="1"/>
    </xf>
    <xf numFmtId="0" fontId="32" fillId="0" borderId="0" xfId="0" applyFont="1" applyFill="1" applyBorder="1" applyAlignment="1">
      <alignment horizontal="right" vertical="center" wrapText="1"/>
    </xf>
    <xf numFmtId="186" fontId="24" fillId="0" borderId="0" xfId="0" applyNumberFormat="1" applyFont="1" applyFill="1" applyBorder="1" applyAlignment="1">
      <alignment horizontal="center" vertical="center" wrapText="1"/>
    </xf>
    <xf numFmtId="0" fontId="24" fillId="0" borderId="0" xfId="0" applyFont="1" applyFill="1" applyBorder="1" applyAlignment="1">
      <alignment horizontal="right" vertical="center" wrapText="1"/>
    </xf>
    <xf numFmtId="0" fontId="2" fillId="0" borderId="0" xfId="0" applyFont="1" applyFill="1" applyBorder="1" applyAlignment="1" applyProtection="1">
      <alignment horizontal="left" vertical="center"/>
    </xf>
    <xf numFmtId="0" fontId="2" fillId="0" borderId="0" xfId="0" applyFont="1" applyFill="1" applyBorder="1" applyAlignment="1" applyProtection="1">
      <alignment horizontal="center" vertical="center" wrapText="1"/>
    </xf>
    <xf numFmtId="186" fontId="23" fillId="0" borderId="0" xfId="1" applyNumberFormat="1" applyFont="1" applyFill="1" applyBorder="1" applyAlignment="1">
      <alignment horizontal="center" vertical="center" wrapText="1"/>
    </xf>
    <xf numFmtId="0" fontId="2" fillId="0" borderId="9" xfId="0" applyFont="1" applyFill="1" applyBorder="1" applyAlignment="1" applyProtection="1">
      <alignment horizontal="center" vertical="center" wrapText="1"/>
    </xf>
    <xf numFmtId="0" fontId="2" fillId="4" borderId="9" xfId="0" applyFont="1" applyFill="1" applyBorder="1" applyAlignment="1" applyProtection="1">
      <alignment horizontal="center" vertical="center" wrapText="1"/>
    </xf>
    <xf numFmtId="0" fontId="2" fillId="5" borderId="9" xfId="0" applyFont="1" applyFill="1" applyBorder="1" applyAlignment="1" applyProtection="1">
      <alignment horizontal="center" vertical="center" wrapText="1"/>
    </xf>
    <xf numFmtId="0" fontId="35" fillId="0" borderId="9" xfId="0" applyFont="1" applyFill="1" applyBorder="1" applyAlignment="1" applyProtection="1">
      <alignment horizontal="center" vertical="center" wrapText="1"/>
    </xf>
    <xf numFmtId="0" fontId="36" fillId="0" borderId="5" xfId="0" applyFont="1" applyFill="1" applyBorder="1" applyAlignment="1" applyProtection="1">
      <alignment horizontal="center" vertical="center" wrapText="1"/>
    </xf>
    <xf numFmtId="0" fontId="37" fillId="0" borderId="1" xfId="0" applyFont="1" applyFill="1" applyBorder="1" applyAlignment="1" applyProtection="1">
      <alignment horizontal="center" vertical="center" wrapText="1"/>
    </xf>
    <xf numFmtId="0" fontId="7" fillId="0" borderId="0" xfId="0" applyFont="1" applyBorder="1" applyAlignment="1">
      <alignment horizontal="center" vertical="center"/>
    </xf>
    <xf numFmtId="0" fontId="38" fillId="0" borderId="0" xfId="51" applyFont="1" applyFill="1" applyBorder="1" applyAlignment="1">
      <alignment horizontal="center" vertical="center" wrapText="1" shrinkToFit="1"/>
    </xf>
    <xf numFmtId="0" fontId="7" fillId="0" borderId="0" xfId="0" applyFont="1" applyBorder="1" applyAlignment="1">
      <alignment horizontal="center" vertical="center" wrapText="1"/>
    </xf>
    <xf numFmtId="0" fontId="39" fillId="0" borderId="0" xfId="0" applyFont="1" applyBorder="1" applyAlignment="1" applyProtection="1">
      <alignment horizontal="center" vertical="center"/>
    </xf>
    <xf numFmtId="0" fontId="39" fillId="0" borderId="0" xfId="0" applyFont="1" applyBorder="1" applyAlignment="1" applyProtection="1">
      <alignment horizontal="center" vertical="center" wrapText="1"/>
    </xf>
    <xf numFmtId="0" fontId="29" fillId="0" borderId="1" xfId="51" applyFont="1" applyFill="1" applyBorder="1" applyAlignment="1" quotePrefix="1">
      <alignment horizontal="center" vertical="center" wrapText="1" shrinkToFit="1"/>
    </xf>
    <xf numFmtId="0" fontId="31" fillId="0" borderId="1" xfId="0" applyNumberFormat="1" applyFont="1" applyFill="1" applyBorder="1" applyAlignment="1" applyProtection="1" quotePrefix="1">
      <alignment horizontal="center" vertical="center" wrapText="1"/>
    </xf>
    <xf numFmtId="0" fontId="1" fillId="0" borderId="1" xfId="0" applyNumberFormat="1" applyFont="1" applyFill="1" applyBorder="1" applyAlignment="1" applyProtection="1" quotePrefix="1">
      <alignment horizontal="center" vertical="center" wrapText="1"/>
    </xf>
    <xf numFmtId="0" fontId="21" fillId="4" borderId="1" xfId="0" applyNumberFormat="1" applyFont="1" applyFill="1" applyBorder="1" applyAlignment="1" applyProtection="1" quotePrefix="1">
      <alignment horizontal="center" vertical="center" wrapText="1"/>
      <protection locked="0"/>
    </xf>
    <xf numFmtId="0" fontId="29" fillId="0" borderId="1" xfId="51" applyFont="1" applyFill="1" applyBorder="1" applyAlignment="1" applyProtection="1" quotePrefix="1">
      <alignment horizontal="center" vertical="center" wrapText="1" shrinkToFit="1"/>
    </xf>
    <xf numFmtId="0" fontId="29" fillId="0" borderId="1" xfId="0" applyNumberFormat="1" applyFont="1" applyFill="1" applyBorder="1" applyAlignment="1" applyProtection="1" quotePrefix="1">
      <alignment horizontal="center" vertical="center" wrapText="1"/>
    </xf>
    <xf numFmtId="0" fontId="27" fillId="0" borderId="1" xfId="0" applyNumberFormat="1" applyFont="1" applyFill="1" applyBorder="1" applyAlignment="1" applyProtection="1" quotePrefix="1">
      <alignment horizontal="center" vertical="center" wrapText="1"/>
      <protection locked="0"/>
    </xf>
    <xf numFmtId="0" fontId="27" fillId="0" borderId="1" xfId="0" applyFont="1" applyFill="1" applyBorder="1" applyAlignment="1" quotePrefix="1">
      <alignment horizontal="center" vertical="center" wrapText="1"/>
    </xf>
  </cellXfs>
  <cellStyles count="5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2" xfId="49"/>
    <cellStyle name="千位分隔_Sheet1" xfId="50"/>
    <cellStyle name="常规_排期" xfId="51"/>
    <cellStyle name="常规 2" xfId="52"/>
    <cellStyle name="常规 2 3 2 2" xfId="53"/>
    <cellStyle name="常规 20" xfId="54"/>
    <cellStyle name="常规_Sheet1" xfId="55"/>
    <cellStyle name="样式 1" xfId="56"/>
    <cellStyle name="常规_内部明细" xfId="57"/>
  </cellStyles>
  <dxfs count="2">
    <dxf>
      <fill>
        <patternFill patternType="solid">
          <bgColor theme="1"/>
        </patternFill>
      </fill>
    </dxf>
    <dxf>
      <font>
        <color rgb="FF9C0006"/>
      </font>
      <fill>
        <patternFill patternType="solid">
          <bgColor rgb="FFFFC7CE"/>
        </patternFill>
      </fill>
    </dxf>
  </dxfs>
  <tableStyles count="0" defaultTableStyle="TableStyleMedium2" defaultPivotStyle="PivotStyleLight16"/>
  <colors>
    <mruColors>
      <color rgb="00E82EE6"/>
      <color rgb="00F583FF"/>
      <color rgb="00F3D4E6"/>
      <color rgb="000B13BB"/>
      <color rgb="00ECA7E6"/>
      <color rgb="00FF0000"/>
      <color rgb="000000FF"/>
      <color rgb="00FFFF00"/>
      <color rgb="00000000"/>
      <color rgb="00FF00FF"/>
    </mruColors>
  </color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958" dbFileVersion="0" changeLogVersion="0">
    <open main="117" threadCnt="1"/>
    <sheetInfos>
      <sheetInfo cellCmpFml="0" sheetStid="47">
        <open threadCnt="1"/>
      </sheetInfo>
      <sheetInfo cellCmpFml="124" sheetStid="53">
        <open main="6" threadCnt="1"/>
      </sheetInfo>
      <sheetInfo cellCmpFml="110" sheetStid="41">
        <open main="3" threadCnt="1"/>
      </sheetInfo>
      <sheetInfo cellCmpFml="283" sheetStid="44">
        <open main="6" threadCnt="1"/>
      </sheetInfo>
      <sheetInfo cellCmpFml="24" sheetStid="55">
        <open main="1" threadCnt="1"/>
      </sheetInfo>
      <sheetInfo cellCmpFml="54" sheetStid="61">
        <open threadCnt="1"/>
      </sheetInfo>
      <sheetInfo cellCmpFml="57" sheetStid="63">
        <open main="1" threadCnt="1"/>
      </sheetInfo>
      <sheetInfo cellCmpFml="57" sheetStid="50">
        <open main="11" threadCnt="1"/>
      </sheetInfo>
      <sheetInfo cellCmpFml="56" sheetStid="45">
        <open main="3" threadCnt="1"/>
      </sheetInfo>
      <sheetInfo cellCmpFml="14" sheetStid="58">
        <open threadCnt="1"/>
      </sheetInfo>
      <sheetInfo cellCmpFml="0" sheetStid="39">
        <open threadCnt="1"/>
      </sheetInfo>
      <sheetInfo cellCmpFml="49" sheetStid="51">
        <open main="2" threadCnt="1"/>
      </sheetInfo>
      <sheetInfo cellCmpFml="0" sheetStid="56">
        <open threadCnt="1"/>
      </sheetInfo>
      <sheetInfo cellCmpFml="0" sheetStid="60">
        <open threadCnt="1"/>
      </sheetInfo>
      <sheetInfo cellCmpFml="107" sheetStid="49">
        <open main="5" threadCnt="1"/>
      </sheetInfo>
      <sheetInfo cellCmpFml="3" sheetStid="62">
        <open main="4" threadCnt="1"/>
      </sheetInfo>
      <sheetInfo cellCmpFml="20" sheetStid="54">
        <open main="2"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8" Type="http://www.wps.cn/officeDocument/2023/relationships/woinfos" Target="woinfos.xml"/><Relationship Id="rId27" Type="http://schemas.openxmlformats.org/officeDocument/2006/relationships/styles" Target="styles.xml"/><Relationship Id="rId26" Type="http://schemas.openxmlformats.org/officeDocument/2006/relationships/customXml" Target="../customXml/item5.xml"/><Relationship Id="rId25" Type="http://schemas.openxmlformats.org/officeDocument/2006/relationships/customXml" Target="../customXml/item4.xml"/><Relationship Id="rId24" Type="http://schemas.openxmlformats.org/officeDocument/2006/relationships/customXml" Target="../customXml/item3.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customXml" Target="../customXml/item2.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10</xdr:col>
      <xdr:colOff>379095</xdr:colOff>
      <xdr:row>54</xdr:row>
      <xdr:rowOff>176530</xdr:rowOff>
    </xdr:to>
    <xdr:pic>
      <xdr:nvPicPr>
        <xdr:cNvPr id="3" name="图片 2" descr="Toymonster Date code 2026"/>
        <xdr:cNvPicPr>
          <a:picLocks noChangeAspect="1"/>
        </xdr:cNvPicPr>
      </xdr:nvPicPr>
      <xdr:blipFill>
        <a:blip r:embed="rId1"/>
        <a:stretch>
          <a:fillRect/>
        </a:stretch>
      </xdr:blipFill>
      <xdr:spPr>
        <a:xfrm>
          <a:off x="9525" y="9525"/>
          <a:ext cx="7075170" cy="993965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67310</xdr:colOff>
      <xdr:row>0</xdr:row>
      <xdr:rowOff>0</xdr:rowOff>
    </xdr:from>
    <xdr:to>
      <xdr:col>5</xdr:col>
      <xdr:colOff>144145</xdr:colOff>
      <xdr:row>0</xdr:row>
      <xdr:rowOff>11430</xdr:rowOff>
    </xdr:to>
    <xdr:sp>
      <xdr:nvSpPr>
        <xdr:cNvPr id="32"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33"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34"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35"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36"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37"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38"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39"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40"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41"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42"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43"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44"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45"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46"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8890</xdr:rowOff>
    </xdr:to>
    <xdr:sp>
      <xdr:nvSpPr>
        <xdr:cNvPr id="47" name="Text Box 1047"/>
        <xdr:cNvSpPr txBox="1"/>
      </xdr:nvSpPr>
      <xdr:spPr>
        <a:xfrm>
          <a:off x="6875780" y="0"/>
          <a:ext cx="76835" cy="889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8890</xdr:rowOff>
    </xdr:to>
    <xdr:sp>
      <xdr:nvSpPr>
        <xdr:cNvPr id="48" name="Text Box 1047"/>
        <xdr:cNvSpPr txBox="1"/>
      </xdr:nvSpPr>
      <xdr:spPr>
        <a:xfrm>
          <a:off x="6875780" y="0"/>
          <a:ext cx="76835" cy="889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8890</xdr:rowOff>
    </xdr:to>
    <xdr:sp>
      <xdr:nvSpPr>
        <xdr:cNvPr id="49" name="Text Box 1047"/>
        <xdr:cNvSpPr txBox="1"/>
      </xdr:nvSpPr>
      <xdr:spPr>
        <a:xfrm>
          <a:off x="6875780" y="0"/>
          <a:ext cx="76835" cy="889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8890</xdr:rowOff>
    </xdr:to>
    <xdr:sp>
      <xdr:nvSpPr>
        <xdr:cNvPr id="50" name="Text Box 1047"/>
        <xdr:cNvSpPr txBox="1"/>
      </xdr:nvSpPr>
      <xdr:spPr>
        <a:xfrm>
          <a:off x="6875780" y="0"/>
          <a:ext cx="76835" cy="889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8890</xdr:rowOff>
    </xdr:to>
    <xdr:sp>
      <xdr:nvSpPr>
        <xdr:cNvPr id="51" name="Text Box 1047"/>
        <xdr:cNvSpPr txBox="1"/>
      </xdr:nvSpPr>
      <xdr:spPr>
        <a:xfrm>
          <a:off x="6875780" y="0"/>
          <a:ext cx="76835" cy="889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8890</xdr:rowOff>
    </xdr:to>
    <xdr:sp>
      <xdr:nvSpPr>
        <xdr:cNvPr id="52" name="Text Box 1047"/>
        <xdr:cNvSpPr txBox="1"/>
      </xdr:nvSpPr>
      <xdr:spPr>
        <a:xfrm>
          <a:off x="6875780" y="0"/>
          <a:ext cx="76835" cy="889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8890</xdr:rowOff>
    </xdr:to>
    <xdr:sp>
      <xdr:nvSpPr>
        <xdr:cNvPr id="53" name="Text Box 1047"/>
        <xdr:cNvSpPr txBox="1"/>
      </xdr:nvSpPr>
      <xdr:spPr>
        <a:xfrm>
          <a:off x="6875780" y="0"/>
          <a:ext cx="76835" cy="889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8890</xdr:rowOff>
    </xdr:to>
    <xdr:sp>
      <xdr:nvSpPr>
        <xdr:cNvPr id="54" name="Text Box 1047"/>
        <xdr:cNvSpPr txBox="1"/>
      </xdr:nvSpPr>
      <xdr:spPr>
        <a:xfrm>
          <a:off x="6875780" y="0"/>
          <a:ext cx="76835" cy="889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8890</xdr:rowOff>
    </xdr:to>
    <xdr:sp>
      <xdr:nvSpPr>
        <xdr:cNvPr id="55" name="Text Box 1047"/>
        <xdr:cNvSpPr txBox="1"/>
      </xdr:nvSpPr>
      <xdr:spPr>
        <a:xfrm>
          <a:off x="6875780" y="0"/>
          <a:ext cx="76835" cy="889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8890</xdr:rowOff>
    </xdr:to>
    <xdr:sp>
      <xdr:nvSpPr>
        <xdr:cNvPr id="56" name="Text Box 1047"/>
        <xdr:cNvSpPr txBox="1"/>
      </xdr:nvSpPr>
      <xdr:spPr>
        <a:xfrm>
          <a:off x="6875780" y="0"/>
          <a:ext cx="76835" cy="889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8890</xdr:rowOff>
    </xdr:to>
    <xdr:sp>
      <xdr:nvSpPr>
        <xdr:cNvPr id="57" name="Text Box 1047"/>
        <xdr:cNvSpPr txBox="1"/>
      </xdr:nvSpPr>
      <xdr:spPr>
        <a:xfrm>
          <a:off x="6875780" y="0"/>
          <a:ext cx="76835" cy="889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8890</xdr:rowOff>
    </xdr:to>
    <xdr:sp>
      <xdr:nvSpPr>
        <xdr:cNvPr id="58" name="Text Box 1047"/>
        <xdr:cNvSpPr txBox="1"/>
      </xdr:nvSpPr>
      <xdr:spPr>
        <a:xfrm>
          <a:off x="6875780" y="0"/>
          <a:ext cx="76835" cy="889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8890</xdr:rowOff>
    </xdr:to>
    <xdr:sp>
      <xdr:nvSpPr>
        <xdr:cNvPr id="59" name="Text Box 1047"/>
        <xdr:cNvSpPr txBox="1"/>
      </xdr:nvSpPr>
      <xdr:spPr>
        <a:xfrm>
          <a:off x="6875780" y="0"/>
          <a:ext cx="76835" cy="889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8890</xdr:rowOff>
    </xdr:to>
    <xdr:sp>
      <xdr:nvSpPr>
        <xdr:cNvPr id="60" name="Text Box 1047"/>
        <xdr:cNvSpPr txBox="1"/>
      </xdr:nvSpPr>
      <xdr:spPr>
        <a:xfrm>
          <a:off x="6875780" y="0"/>
          <a:ext cx="76835" cy="889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8890</xdr:rowOff>
    </xdr:to>
    <xdr:sp>
      <xdr:nvSpPr>
        <xdr:cNvPr id="61" name="Text Box 1047"/>
        <xdr:cNvSpPr txBox="1"/>
      </xdr:nvSpPr>
      <xdr:spPr>
        <a:xfrm>
          <a:off x="6875780" y="0"/>
          <a:ext cx="76835" cy="889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62"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63"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64"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65"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66"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67"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68"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69"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70"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71"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72"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73"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74"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75"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0</xdr:rowOff>
    </xdr:from>
    <xdr:to>
      <xdr:col>5</xdr:col>
      <xdr:colOff>144145</xdr:colOff>
      <xdr:row>0</xdr:row>
      <xdr:rowOff>11430</xdr:rowOff>
    </xdr:to>
    <xdr:sp>
      <xdr:nvSpPr>
        <xdr:cNvPr id="76" name="Text Box 1047"/>
        <xdr:cNvSpPr txBox="1"/>
      </xdr:nvSpPr>
      <xdr:spPr>
        <a:xfrm>
          <a:off x="6875780" y="0"/>
          <a:ext cx="76835" cy="11430"/>
        </a:xfrm>
        <a:prstGeom prst="rect">
          <a:avLst/>
        </a:prstGeom>
        <a:noFill/>
        <a:ln w="9525">
          <a:noFill/>
        </a:ln>
      </xdr:spPr>
    </xdr:sp>
    <xdr:clientData/>
  </xdr:twoCellAnchor>
  <xdr:twoCellAnchor editAs="oneCell">
    <xdr:from>
      <xdr:col>5</xdr:col>
      <xdr:colOff>67310</xdr:colOff>
      <xdr:row>0</xdr:row>
      <xdr:rowOff>154305</xdr:rowOff>
    </xdr:from>
    <xdr:to>
      <xdr:col>5</xdr:col>
      <xdr:colOff>144145</xdr:colOff>
      <xdr:row>0</xdr:row>
      <xdr:rowOff>163195</xdr:rowOff>
    </xdr:to>
    <xdr:sp>
      <xdr:nvSpPr>
        <xdr:cNvPr id="77" name="Text Box 1047"/>
        <xdr:cNvSpPr txBox="1"/>
      </xdr:nvSpPr>
      <xdr:spPr>
        <a:xfrm>
          <a:off x="6875780" y="154305"/>
          <a:ext cx="76835" cy="8890"/>
        </a:xfrm>
        <a:prstGeom prst="rect">
          <a:avLst/>
        </a:prstGeom>
        <a:noFill/>
        <a:ln w="9525">
          <a:noFill/>
        </a:ln>
      </xdr:spPr>
    </xdr:sp>
    <xdr:clientData/>
  </xdr:twoCellAnchor>
  <xdr:twoCellAnchor editAs="oneCell">
    <xdr:from>
      <xdr:col>5</xdr:col>
      <xdr:colOff>67310</xdr:colOff>
      <xdr:row>0</xdr:row>
      <xdr:rowOff>154305</xdr:rowOff>
    </xdr:from>
    <xdr:to>
      <xdr:col>5</xdr:col>
      <xdr:colOff>144145</xdr:colOff>
      <xdr:row>0</xdr:row>
      <xdr:rowOff>163195</xdr:rowOff>
    </xdr:to>
    <xdr:sp>
      <xdr:nvSpPr>
        <xdr:cNvPr id="78" name="Text Box 1047"/>
        <xdr:cNvSpPr txBox="1"/>
      </xdr:nvSpPr>
      <xdr:spPr>
        <a:xfrm>
          <a:off x="6875780" y="154305"/>
          <a:ext cx="76835" cy="8890"/>
        </a:xfrm>
        <a:prstGeom prst="rect">
          <a:avLst/>
        </a:prstGeom>
        <a:noFill/>
        <a:ln w="9525">
          <a:noFill/>
        </a:ln>
      </xdr:spPr>
    </xdr:sp>
    <xdr:clientData/>
  </xdr:twoCellAnchor>
  <xdr:twoCellAnchor editAs="oneCell">
    <xdr:from>
      <xdr:col>5</xdr:col>
      <xdr:colOff>67310</xdr:colOff>
      <xdr:row>0</xdr:row>
      <xdr:rowOff>154305</xdr:rowOff>
    </xdr:from>
    <xdr:to>
      <xdr:col>5</xdr:col>
      <xdr:colOff>144145</xdr:colOff>
      <xdr:row>0</xdr:row>
      <xdr:rowOff>163195</xdr:rowOff>
    </xdr:to>
    <xdr:sp>
      <xdr:nvSpPr>
        <xdr:cNvPr id="79" name="Text Box 1047"/>
        <xdr:cNvSpPr txBox="1"/>
      </xdr:nvSpPr>
      <xdr:spPr>
        <a:xfrm>
          <a:off x="6875780" y="154305"/>
          <a:ext cx="76835" cy="8890"/>
        </a:xfrm>
        <a:prstGeom prst="rect">
          <a:avLst/>
        </a:prstGeom>
        <a:noFill/>
        <a:ln w="9525">
          <a:noFill/>
        </a:ln>
      </xdr:spPr>
    </xdr:sp>
    <xdr:clientData/>
  </xdr:twoCellAnchor>
  <xdr:twoCellAnchor editAs="oneCell">
    <xdr:from>
      <xdr:col>5</xdr:col>
      <xdr:colOff>67310</xdr:colOff>
      <xdr:row>0</xdr:row>
      <xdr:rowOff>154305</xdr:rowOff>
    </xdr:from>
    <xdr:to>
      <xdr:col>5</xdr:col>
      <xdr:colOff>144145</xdr:colOff>
      <xdr:row>0</xdr:row>
      <xdr:rowOff>163195</xdr:rowOff>
    </xdr:to>
    <xdr:sp>
      <xdr:nvSpPr>
        <xdr:cNvPr id="80" name="Text Box 1047"/>
        <xdr:cNvSpPr txBox="1"/>
      </xdr:nvSpPr>
      <xdr:spPr>
        <a:xfrm>
          <a:off x="6875780" y="154305"/>
          <a:ext cx="76835" cy="8890"/>
        </a:xfrm>
        <a:prstGeom prst="rect">
          <a:avLst/>
        </a:prstGeom>
        <a:noFill/>
        <a:ln w="9525">
          <a:noFill/>
        </a:ln>
      </xdr:spPr>
    </xdr:sp>
    <xdr:clientData/>
  </xdr:twoCellAnchor>
  <xdr:twoCellAnchor editAs="oneCell">
    <xdr:from>
      <xdr:col>5</xdr:col>
      <xdr:colOff>67310</xdr:colOff>
      <xdr:row>0</xdr:row>
      <xdr:rowOff>154305</xdr:rowOff>
    </xdr:from>
    <xdr:to>
      <xdr:col>5</xdr:col>
      <xdr:colOff>144145</xdr:colOff>
      <xdr:row>0</xdr:row>
      <xdr:rowOff>163195</xdr:rowOff>
    </xdr:to>
    <xdr:sp>
      <xdr:nvSpPr>
        <xdr:cNvPr id="81" name="Text Box 1047"/>
        <xdr:cNvSpPr txBox="1"/>
      </xdr:nvSpPr>
      <xdr:spPr>
        <a:xfrm>
          <a:off x="6875780" y="154305"/>
          <a:ext cx="76835" cy="8890"/>
        </a:xfrm>
        <a:prstGeom prst="rect">
          <a:avLst/>
        </a:prstGeom>
        <a:noFill/>
        <a:ln w="9525">
          <a:noFill/>
        </a:ln>
      </xdr:spPr>
    </xdr:sp>
    <xdr:clientData/>
  </xdr:twoCellAnchor>
  <xdr:twoCellAnchor editAs="oneCell">
    <xdr:from>
      <xdr:col>5</xdr:col>
      <xdr:colOff>67310</xdr:colOff>
      <xdr:row>0</xdr:row>
      <xdr:rowOff>154305</xdr:rowOff>
    </xdr:from>
    <xdr:to>
      <xdr:col>5</xdr:col>
      <xdr:colOff>144145</xdr:colOff>
      <xdr:row>0</xdr:row>
      <xdr:rowOff>163195</xdr:rowOff>
    </xdr:to>
    <xdr:sp>
      <xdr:nvSpPr>
        <xdr:cNvPr id="82" name="Text Box 1047"/>
        <xdr:cNvSpPr txBox="1"/>
      </xdr:nvSpPr>
      <xdr:spPr>
        <a:xfrm>
          <a:off x="6875780" y="154305"/>
          <a:ext cx="76835" cy="8890"/>
        </a:xfrm>
        <a:prstGeom prst="rect">
          <a:avLst/>
        </a:prstGeom>
        <a:noFill/>
        <a:ln w="9525">
          <a:noFill/>
        </a:ln>
      </xdr:spPr>
    </xdr:sp>
    <xdr:clientData/>
  </xdr:twoCellAnchor>
  <xdr:twoCellAnchor editAs="oneCell">
    <xdr:from>
      <xdr:col>5</xdr:col>
      <xdr:colOff>67310</xdr:colOff>
      <xdr:row>0</xdr:row>
      <xdr:rowOff>154305</xdr:rowOff>
    </xdr:from>
    <xdr:to>
      <xdr:col>5</xdr:col>
      <xdr:colOff>144145</xdr:colOff>
      <xdr:row>0</xdr:row>
      <xdr:rowOff>163195</xdr:rowOff>
    </xdr:to>
    <xdr:sp>
      <xdr:nvSpPr>
        <xdr:cNvPr id="83" name="Text Box 1047"/>
        <xdr:cNvSpPr txBox="1"/>
      </xdr:nvSpPr>
      <xdr:spPr>
        <a:xfrm>
          <a:off x="6875780" y="154305"/>
          <a:ext cx="76835" cy="8890"/>
        </a:xfrm>
        <a:prstGeom prst="rect">
          <a:avLst/>
        </a:prstGeom>
        <a:noFill/>
        <a:ln w="9525">
          <a:noFill/>
        </a:ln>
      </xdr:spPr>
    </xdr:sp>
    <xdr:clientData/>
  </xdr:twoCellAnchor>
  <xdr:twoCellAnchor editAs="oneCell">
    <xdr:from>
      <xdr:col>5</xdr:col>
      <xdr:colOff>67310</xdr:colOff>
      <xdr:row>0</xdr:row>
      <xdr:rowOff>154305</xdr:rowOff>
    </xdr:from>
    <xdr:to>
      <xdr:col>5</xdr:col>
      <xdr:colOff>144145</xdr:colOff>
      <xdr:row>0</xdr:row>
      <xdr:rowOff>163195</xdr:rowOff>
    </xdr:to>
    <xdr:sp>
      <xdr:nvSpPr>
        <xdr:cNvPr id="84" name="Text Box 1047"/>
        <xdr:cNvSpPr txBox="1"/>
      </xdr:nvSpPr>
      <xdr:spPr>
        <a:xfrm>
          <a:off x="6875780" y="154305"/>
          <a:ext cx="76835" cy="8890"/>
        </a:xfrm>
        <a:prstGeom prst="rect">
          <a:avLst/>
        </a:prstGeom>
        <a:noFill/>
        <a:ln w="9525">
          <a:noFill/>
        </a:ln>
      </xdr:spPr>
    </xdr:sp>
    <xdr:clientData/>
  </xdr:twoCellAnchor>
  <xdr:twoCellAnchor editAs="oneCell">
    <xdr:from>
      <xdr:col>5</xdr:col>
      <xdr:colOff>67310</xdr:colOff>
      <xdr:row>0</xdr:row>
      <xdr:rowOff>154305</xdr:rowOff>
    </xdr:from>
    <xdr:to>
      <xdr:col>5</xdr:col>
      <xdr:colOff>144145</xdr:colOff>
      <xdr:row>0</xdr:row>
      <xdr:rowOff>163195</xdr:rowOff>
    </xdr:to>
    <xdr:sp>
      <xdr:nvSpPr>
        <xdr:cNvPr id="85" name="Text Box 1047"/>
        <xdr:cNvSpPr txBox="1"/>
      </xdr:nvSpPr>
      <xdr:spPr>
        <a:xfrm>
          <a:off x="6875780" y="154305"/>
          <a:ext cx="76835" cy="8890"/>
        </a:xfrm>
        <a:prstGeom prst="rect">
          <a:avLst/>
        </a:prstGeom>
        <a:noFill/>
        <a:ln w="9525">
          <a:noFill/>
        </a:ln>
      </xdr:spPr>
    </xdr:sp>
    <xdr:clientData/>
  </xdr:twoCellAnchor>
  <xdr:twoCellAnchor editAs="oneCell">
    <xdr:from>
      <xdr:col>5</xdr:col>
      <xdr:colOff>67310</xdr:colOff>
      <xdr:row>0</xdr:row>
      <xdr:rowOff>154305</xdr:rowOff>
    </xdr:from>
    <xdr:to>
      <xdr:col>5</xdr:col>
      <xdr:colOff>144145</xdr:colOff>
      <xdr:row>0</xdr:row>
      <xdr:rowOff>163195</xdr:rowOff>
    </xdr:to>
    <xdr:sp>
      <xdr:nvSpPr>
        <xdr:cNvPr id="86" name="Text Box 1047"/>
        <xdr:cNvSpPr txBox="1"/>
      </xdr:nvSpPr>
      <xdr:spPr>
        <a:xfrm>
          <a:off x="6875780" y="154305"/>
          <a:ext cx="76835" cy="8890"/>
        </a:xfrm>
        <a:prstGeom prst="rect">
          <a:avLst/>
        </a:prstGeom>
        <a:noFill/>
        <a:ln w="9525">
          <a:noFill/>
        </a:ln>
      </xdr:spPr>
    </xdr:sp>
    <xdr:clientData/>
  </xdr:twoCellAnchor>
  <xdr:twoCellAnchor editAs="oneCell">
    <xdr:from>
      <xdr:col>5</xdr:col>
      <xdr:colOff>67310</xdr:colOff>
      <xdr:row>0</xdr:row>
      <xdr:rowOff>154305</xdr:rowOff>
    </xdr:from>
    <xdr:to>
      <xdr:col>5</xdr:col>
      <xdr:colOff>144145</xdr:colOff>
      <xdr:row>0</xdr:row>
      <xdr:rowOff>163195</xdr:rowOff>
    </xdr:to>
    <xdr:sp>
      <xdr:nvSpPr>
        <xdr:cNvPr id="87" name="Text Box 1047"/>
        <xdr:cNvSpPr txBox="1"/>
      </xdr:nvSpPr>
      <xdr:spPr>
        <a:xfrm>
          <a:off x="6875780" y="154305"/>
          <a:ext cx="76835" cy="8890"/>
        </a:xfrm>
        <a:prstGeom prst="rect">
          <a:avLst/>
        </a:prstGeom>
        <a:noFill/>
        <a:ln w="9525">
          <a:noFill/>
        </a:ln>
      </xdr:spPr>
    </xdr:sp>
    <xdr:clientData/>
  </xdr:twoCellAnchor>
  <xdr:twoCellAnchor editAs="oneCell">
    <xdr:from>
      <xdr:col>5</xdr:col>
      <xdr:colOff>67310</xdr:colOff>
      <xdr:row>0</xdr:row>
      <xdr:rowOff>154305</xdr:rowOff>
    </xdr:from>
    <xdr:to>
      <xdr:col>5</xdr:col>
      <xdr:colOff>144145</xdr:colOff>
      <xdr:row>0</xdr:row>
      <xdr:rowOff>163195</xdr:rowOff>
    </xdr:to>
    <xdr:sp>
      <xdr:nvSpPr>
        <xdr:cNvPr id="88" name="Text Box 1047"/>
        <xdr:cNvSpPr txBox="1"/>
      </xdr:nvSpPr>
      <xdr:spPr>
        <a:xfrm>
          <a:off x="6875780" y="154305"/>
          <a:ext cx="76835" cy="8890"/>
        </a:xfrm>
        <a:prstGeom prst="rect">
          <a:avLst/>
        </a:prstGeom>
        <a:noFill/>
        <a:ln w="9525">
          <a:noFill/>
        </a:ln>
      </xdr:spPr>
    </xdr:sp>
    <xdr:clientData/>
  </xdr:twoCellAnchor>
  <xdr:twoCellAnchor editAs="oneCell">
    <xdr:from>
      <xdr:col>5</xdr:col>
      <xdr:colOff>67310</xdr:colOff>
      <xdr:row>0</xdr:row>
      <xdr:rowOff>154305</xdr:rowOff>
    </xdr:from>
    <xdr:to>
      <xdr:col>5</xdr:col>
      <xdr:colOff>144145</xdr:colOff>
      <xdr:row>0</xdr:row>
      <xdr:rowOff>163195</xdr:rowOff>
    </xdr:to>
    <xdr:sp>
      <xdr:nvSpPr>
        <xdr:cNvPr id="89" name="Text Box 1047"/>
        <xdr:cNvSpPr txBox="1"/>
      </xdr:nvSpPr>
      <xdr:spPr>
        <a:xfrm>
          <a:off x="6875780" y="154305"/>
          <a:ext cx="76835" cy="8890"/>
        </a:xfrm>
        <a:prstGeom prst="rect">
          <a:avLst/>
        </a:prstGeom>
        <a:noFill/>
        <a:ln w="9525">
          <a:noFill/>
        </a:ln>
      </xdr:spPr>
    </xdr:sp>
    <xdr:clientData/>
  </xdr:twoCellAnchor>
  <xdr:twoCellAnchor editAs="oneCell">
    <xdr:from>
      <xdr:col>5</xdr:col>
      <xdr:colOff>67310</xdr:colOff>
      <xdr:row>0</xdr:row>
      <xdr:rowOff>154305</xdr:rowOff>
    </xdr:from>
    <xdr:to>
      <xdr:col>5</xdr:col>
      <xdr:colOff>144145</xdr:colOff>
      <xdr:row>0</xdr:row>
      <xdr:rowOff>163195</xdr:rowOff>
    </xdr:to>
    <xdr:sp>
      <xdr:nvSpPr>
        <xdr:cNvPr id="90" name="Text Box 1047"/>
        <xdr:cNvSpPr txBox="1"/>
      </xdr:nvSpPr>
      <xdr:spPr>
        <a:xfrm>
          <a:off x="6875780" y="154305"/>
          <a:ext cx="76835" cy="8890"/>
        </a:xfrm>
        <a:prstGeom prst="rect">
          <a:avLst/>
        </a:prstGeom>
        <a:noFill/>
        <a:ln w="9525">
          <a:noFill/>
        </a:ln>
      </xdr:spPr>
    </xdr:sp>
    <xdr:clientData/>
  </xdr:twoCellAnchor>
  <xdr:twoCellAnchor editAs="oneCell">
    <xdr:from>
      <xdr:col>5</xdr:col>
      <xdr:colOff>67310</xdr:colOff>
      <xdr:row>0</xdr:row>
      <xdr:rowOff>154305</xdr:rowOff>
    </xdr:from>
    <xdr:to>
      <xdr:col>5</xdr:col>
      <xdr:colOff>144145</xdr:colOff>
      <xdr:row>0</xdr:row>
      <xdr:rowOff>163195</xdr:rowOff>
    </xdr:to>
    <xdr:sp>
      <xdr:nvSpPr>
        <xdr:cNvPr id="91" name="Text Box 1047"/>
        <xdr:cNvSpPr txBox="1"/>
      </xdr:nvSpPr>
      <xdr:spPr>
        <a:xfrm>
          <a:off x="6875780" y="154305"/>
          <a:ext cx="76835" cy="8890"/>
        </a:xfrm>
        <a:prstGeom prst="rect">
          <a:avLst/>
        </a:prstGeom>
        <a:noFill/>
        <a:ln w="9525">
          <a:noFill/>
        </a:ln>
      </xdr:spPr>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96520</xdr:colOff>
      <xdr:row>1</xdr:row>
      <xdr:rowOff>24130</xdr:rowOff>
    </xdr:from>
    <xdr:to>
      <xdr:col>12</xdr:col>
      <xdr:colOff>46355</xdr:colOff>
      <xdr:row>11</xdr:row>
      <xdr:rowOff>313690</xdr:rowOff>
    </xdr:to>
    <xdr:pic>
      <xdr:nvPicPr>
        <xdr:cNvPr id="6" name="ID_83D3D84210F94C1A87E9D18E6CE2E36D"/>
        <xdr:cNvPicPr>
          <a:picLocks noChangeAspect="1"/>
        </xdr:cNvPicPr>
      </xdr:nvPicPr>
      <xdr:blipFill>
        <a:blip r:embed="rId1"/>
        <a:stretch>
          <a:fillRect/>
        </a:stretch>
      </xdr:blipFill>
      <xdr:spPr>
        <a:xfrm>
          <a:off x="1407160" y="341630"/>
          <a:ext cx="7859395" cy="346456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0</xdr:colOff>
      <xdr:row>614</xdr:row>
      <xdr:rowOff>175260</xdr:rowOff>
    </xdr:from>
    <xdr:to>
      <xdr:col>11</xdr:col>
      <xdr:colOff>293370</xdr:colOff>
      <xdr:row>616</xdr:row>
      <xdr:rowOff>102235</xdr:rowOff>
    </xdr:to>
    <xdr:pic>
      <xdr:nvPicPr>
        <xdr:cNvPr id="2" name="图片 1"/>
        <xdr:cNvPicPr>
          <a:picLocks noChangeAspect="1"/>
        </xdr:cNvPicPr>
      </xdr:nvPicPr>
      <xdr:blipFill>
        <a:blip r:embed="rId1" cstate="print"/>
        <a:stretch>
          <a:fillRect/>
        </a:stretch>
      </xdr:blipFill>
      <xdr:spPr>
        <a:xfrm>
          <a:off x="8334375" y="156131260"/>
          <a:ext cx="5055870" cy="43497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0</xdr:colOff>
      <xdr:row>632</xdr:row>
      <xdr:rowOff>175260</xdr:rowOff>
    </xdr:from>
    <xdr:to>
      <xdr:col>12</xdr:col>
      <xdr:colOff>702945</xdr:colOff>
      <xdr:row>634</xdr:row>
      <xdr:rowOff>102235</xdr:rowOff>
    </xdr:to>
    <xdr:pic>
      <xdr:nvPicPr>
        <xdr:cNvPr id="2" name="图片 1"/>
        <xdr:cNvPicPr>
          <a:picLocks noChangeAspect="1"/>
        </xdr:cNvPicPr>
      </xdr:nvPicPr>
      <xdr:blipFill>
        <a:blip r:embed="rId1" cstate="print"/>
        <a:stretch>
          <a:fillRect/>
        </a:stretch>
      </xdr:blipFill>
      <xdr:spPr>
        <a:xfrm>
          <a:off x="8334375" y="160703260"/>
          <a:ext cx="5055870" cy="434975"/>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Users/Administrator/AppData/Roaming/Foxmail7/Temp-4168-20250704093654/Attach/2025&#24180;Toy&#160;Monster&#29983;&#20135;&#35746;&#21333;&#25490;&#26399;6-27.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X:/2026&#24180;/2026&#24180;&#20986;&#36135;&#26126;&#32454;&#3492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总接单"/>
      <sheetName val="总排期"/>
      <sheetName val="Sheet1"/>
      <sheetName val="已出货"/>
      <sheetName val="取消单"/>
      <sheetName val="MA"/>
      <sheetName val="详细MA表"/>
      <sheetName val="日期码"/>
      <sheetName val="外箱资料"/>
      <sheetName val="Sheet3"/>
      <sheetName val="已打发票扣数"/>
    </sheetNames>
    <sheetDataSet>
      <sheetData sheetId="0" refreshError="1"/>
      <sheetData sheetId="1" refreshError="1"/>
      <sheetData sheetId="2" refreshError="1">
        <row r="1">
          <cell r="B1" t="str">
            <v>货号</v>
          </cell>
          <cell r="C1" t="str">
            <v>名称</v>
          </cell>
        </row>
        <row r="2">
          <cell r="B2" t="str">
            <v>T01535</v>
          </cell>
          <cell r="C2" t="str">
            <v>恐龙公园</v>
          </cell>
        </row>
        <row r="3">
          <cell r="B3" t="str">
            <v>JW-RV-RPGE</v>
          </cell>
          <cell r="C3" t="str">
            <v>恐龙游戏盘</v>
          </cell>
        </row>
        <row r="4">
          <cell r="B4" t="str">
            <v>T01453</v>
          </cell>
          <cell r="C4" t="str">
            <v>恐龙游戏盘</v>
          </cell>
        </row>
        <row r="5">
          <cell r="B5" t="str">
            <v>T01685-S</v>
          </cell>
          <cell r="C5" t="str">
            <v>手术游戏盘</v>
          </cell>
        </row>
        <row r="6">
          <cell r="B6" t="str">
            <v>JW-RV-RPGE-3PK</v>
          </cell>
          <cell r="C6" t="str">
            <v>恐龙游戏盘</v>
          </cell>
        </row>
        <row r="8">
          <cell r="C8" t="str">
            <v>恐龙游戏盘</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oy Monster"/>
      <sheetName val="Toy Monster模"/>
      <sheetName val="JAZ"/>
      <sheetName val="JAZ模"/>
      <sheetName val="Sky Castle"/>
      <sheetName val="Sky Castle (印尼)"/>
      <sheetName val="Sky Castle模"/>
      <sheetName val="智海鑫"/>
      <sheetName val="智海鑫模"/>
      <sheetName val="PWP"/>
      <sheetName val="PWP模"/>
      <sheetName val="Sheet2"/>
    </sheetNames>
    <sheetDataSet>
      <sheetData sheetId="0">
        <row r="1">
          <cell r="L1" t="str">
            <v>发票号</v>
          </cell>
          <cell r="M1" t="str">
            <v>柜号</v>
          </cell>
          <cell r="N1" t="str">
            <v>备注</v>
          </cell>
          <cell r="O1" t="str">
            <v>更改日期</v>
          </cell>
          <cell r="P1" t="str">
            <v>国家</v>
          </cell>
          <cell r="Q1" t="str">
            <v>第三客户名称</v>
          </cell>
          <cell r="R1" t="str">
            <v>定金USD</v>
          </cell>
          <cell r="S1" t="str">
            <v>定金HKD</v>
          </cell>
          <cell r="T1" t="str">
            <v>发票日期</v>
          </cell>
        </row>
        <row r="2">
          <cell r="L2">
            <v>83213</v>
          </cell>
          <cell r="M2" t="str">
            <v>RR02车</v>
          </cell>
        </row>
        <row r="2">
          <cell r="P2" t="str">
            <v>越南</v>
          </cell>
          <cell r="Q2" t="str">
            <v>Viet Tinh Anh Joint Stock Company</v>
          </cell>
          <cell r="R2">
            <v>1058.4</v>
          </cell>
          <cell r="S2">
            <v>8202.6</v>
          </cell>
          <cell r="T2">
            <v>46027</v>
          </cell>
        </row>
        <row r="3">
          <cell r="L3">
            <v>83213</v>
          </cell>
          <cell r="M3" t="str">
            <v>RR02车</v>
          </cell>
        </row>
        <row r="3">
          <cell r="P3" t="str">
            <v>越南</v>
          </cell>
          <cell r="Q3" t="str">
            <v>Viet Tinh Anh Joint Stock Company</v>
          </cell>
          <cell r="R3" t="str">
            <v>0</v>
          </cell>
          <cell r="S3">
            <v>0</v>
          </cell>
          <cell r="T3">
            <v>46027</v>
          </cell>
        </row>
        <row r="4">
          <cell r="L4">
            <v>83218</v>
          </cell>
          <cell r="M4" t="str">
            <v>RR19车</v>
          </cell>
        </row>
        <row r="4">
          <cell r="P4" t="str">
            <v>澳大利亚</v>
          </cell>
          <cell r="Q4" t="str">
            <v>Woolworths Group Limited t/a Big W</v>
          </cell>
          <cell r="R4">
            <v>1368.9</v>
          </cell>
          <cell r="S4">
            <v>10608.98</v>
          </cell>
          <cell r="T4">
            <v>46048</v>
          </cell>
        </row>
        <row r="5">
          <cell r="L5">
            <v>83219</v>
          </cell>
          <cell r="M5" t="str">
            <v>RR19车</v>
          </cell>
        </row>
        <row r="5">
          <cell r="P5" t="str">
            <v>澳大利亚</v>
          </cell>
          <cell r="Q5" t="str">
            <v>Woolworths Group Limited t/a Big W</v>
          </cell>
          <cell r="R5">
            <v>842.4</v>
          </cell>
          <cell r="S5">
            <v>6528.6</v>
          </cell>
          <cell r="T5">
            <v>46048</v>
          </cell>
        </row>
        <row r="6">
          <cell r="L6">
            <v>83220</v>
          </cell>
          <cell r="M6" t="str">
            <v>RR19车</v>
          </cell>
        </row>
        <row r="6">
          <cell r="P6" t="str">
            <v>澳大利亚</v>
          </cell>
          <cell r="Q6" t="str">
            <v>Woolworths Group Limited t/a Big W</v>
          </cell>
          <cell r="R6">
            <v>1620</v>
          </cell>
          <cell r="S6">
            <v>12555</v>
          </cell>
          <cell r="T6">
            <v>46048</v>
          </cell>
        </row>
        <row r="7">
          <cell r="L7">
            <v>83221</v>
          </cell>
          <cell r="M7" t="str">
            <v>RR27客上车</v>
          </cell>
        </row>
        <row r="7">
          <cell r="P7" t="str">
            <v>香港</v>
          </cell>
          <cell r="Q7" t="str">
            <v>Asia Goal Limited</v>
          </cell>
          <cell r="R7">
            <v>453.6</v>
          </cell>
          <cell r="S7">
            <v>3515.4</v>
          </cell>
          <cell r="T7">
            <v>46052</v>
          </cell>
        </row>
        <row r="8">
          <cell r="L8">
            <v>83222</v>
          </cell>
          <cell r="M8" t="str">
            <v>RR103柜</v>
          </cell>
        </row>
        <row r="8">
          <cell r="P8" t="str">
            <v>乌克兰</v>
          </cell>
          <cell r="Q8" t="str">
            <v>AMIGO &amp; F Ltd</v>
          </cell>
          <cell r="R8">
            <v>1521.6</v>
          </cell>
          <cell r="S8">
            <v>11792.4</v>
          </cell>
          <cell r="T8">
            <v>46052</v>
          </cell>
        </row>
        <row r="9">
          <cell r="L9">
            <v>83222</v>
          </cell>
          <cell r="M9" t="str">
            <v>RR103柜</v>
          </cell>
        </row>
        <row r="9">
          <cell r="P9" t="str">
            <v>乌克兰</v>
          </cell>
          <cell r="Q9" t="str">
            <v>AMIGO &amp; F Ltd</v>
          </cell>
          <cell r="R9">
            <v>1593.6</v>
          </cell>
          <cell r="S9">
            <v>12350.4</v>
          </cell>
          <cell r="T9">
            <v>46052</v>
          </cell>
        </row>
        <row r="10">
          <cell r="L10">
            <v>83222</v>
          </cell>
          <cell r="M10" t="str">
            <v>RR103柜</v>
          </cell>
        </row>
        <row r="10">
          <cell r="P10" t="str">
            <v>乌克兰</v>
          </cell>
          <cell r="Q10" t="str">
            <v>AMIGO &amp; F Ltd</v>
          </cell>
          <cell r="R10" t="str">
            <v>0</v>
          </cell>
          <cell r="S10">
            <v>0</v>
          </cell>
          <cell r="T10">
            <v>46052</v>
          </cell>
        </row>
        <row r="11">
          <cell r="P11">
            <v>0</v>
          </cell>
        </row>
        <row r="11">
          <cell r="R11">
            <v>8458.5</v>
          </cell>
          <cell r="S11">
            <v>65553.38</v>
          </cell>
        </row>
        <row r="12">
          <cell r="L12">
            <v>65553.37</v>
          </cell>
          <cell r="M12" t="str">
            <v>发票70%</v>
          </cell>
          <cell r="N12">
            <v>153794.88</v>
          </cell>
        </row>
        <row r="12">
          <cell r="P12" t="str">
            <v>美国</v>
          </cell>
        </row>
        <row r="13">
          <cell r="L13">
            <v>83223</v>
          </cell>
          <cell r="M13" t="str">
            <v>RR21车</v>
          </cell>
        </row>
        <row r="13">
          <cell r="O13">
            <v>46078</v>
          </cell>
          <cell r="P13" t="str">
            <v>美国</v>
          </cell>
          <cell r="Q13" t="str">
            <v>Monster Group LLC</v>
          </cell>
          <cell r="R13">
            <v>4382.21</v>
          </cell>
          <cell r="S13">
            <v>33962.13</v>
          </cell>
          <cell r="T13">
            <v>46059</v>
          </cell>
        </row>
        <row r="14">
          <cell r="L14">
            <v>83223</v>
          </cell>
          <cell r="M14" t="str">
            <v>RR21车</v>
          </cell>
        </row>
        <row r="14">
          <cell r="O14">
            <v>46078</v>
          </cell>
          <cell r="P14" t="str">
            <v>美国</v>
          </cell>
          <cell r="Q14" t="str">
            <v>Monster Group LLC</v>
          </cell>
          <cell r="R14">
            <v>4589.57</v>
          </cell>
          <cell r="S14">
            <v>35569.17</v>
          </cell>
          <cell r="T14">
            <v>46059</v>
          </cell>
        </row>
        <row r="15">
          <cell r="L15">
            <v>83224</v>
          </cell>
          <cell r="M15" t="str">
            <v>RR131-132柜</v>
          </cell>
        </row>
        <row r="15">
          <cell r="P15" t="str">
            <v>美国</v>
          </cell>
          <cell r="Q15" t="str">
            <v>Monster Group LLC</v>
          </cell>
          <cell r="R15" t="str">
            <v>0</v>
          </cell>
          <cell r="S15">
            <v>0</v>
          </cell>
          <cell r="T15">
            <v>46062</v>
          </cell>
        </row>
        <row r="16">
          <cell r="L16">
            <v>83224</v>
          </cell>
          <cell r="M16" t="str">
            <v>RR131-132柜</v>
          </cell>
        </row>
        <row r="16">
          <cell r="P16" t="str">
            <v>美国</v>
          </cell>
          <cell r="Q16" t="str">
            <v>Monster Group LLC</v>
          </cell>
          <cell r="R16" t="str">
            <v>0</v>
          </cell>
          <cell r="S16">
            <v>0</v>
          </cell>
          <cell r="T16">
            <v>46062</v>
          </cell>
        </row>
        <row r="17">
          <cell r="L17">
            <v>83224</v>
          </cell>
          <cell r="M17" t="str">
            <v>RR131-132柜</v>
          </cell>
        </row>
        <row r="17">
          <cell r="P17" t="str">
            <v>美国</v>
          </cell>
          <cell r="Q17" t="str">
            <v>Monster Group LLC</v>
          </cell>
          <cell r="R17" t="str">
            <v>0</v>
          </cell>
          <cell r="S17">
            <v>0</v>
          </cell>
          <cell r="T17">
            <v>46062</v>
          </cell>
        </row>
        <row r="18">
          <cell r="P18">
            <v>862976.14</v>
          </cell>
        </row>
        <row r="18">
          <cell r="R18">
            <v>8971.78</v>
          </cell>
          <cell r="S18">
            <v>69531.3</v>
          </cell>
        </row>
        <row r="19">
          <cell r="L19">
            <v>69531.29</v>
          </cell>
          <cell r="M19" t="str">
            <v>发票70%</v>
          </cell>
          <cell r="N19">
            <v>793444.85</v>
          </cell>
        </row>
        <row r="19">
          <cell r="P19" t="str">
            <v>美国</v>
          </cell>
        </row>
        <row r="20">
          <cell r="L20" t="str">
            <v>83229REV1</v>
          </cell>
          <cell r="M20" t="str">
            <v>RR155柜</v>
          </cell>
        </row>
        <row r="20">
          <cell r="O20">
            <v>46140</v>
          </cell>
          <cell r="P20" t="str">
            <v>新加坡</v>
          </cell>
          <cell r="Q20" t="str">
            <v>Sheng Tai Toys Pty Ltd</v>
          </cell>
          <cell r="R20">
            <v>756</v>
          </cell>
          <cell r="S20">
            <v>5859</v>
          </cell>
          <cell r="T20">
            <v>46094</v>
          </cell>
        </row>
        <row r="21">
          <cell r="L21" t="str">
            <v>83229REV1</v>
          </cell>
          <cell r="M21" t="str">
            <v>RR155柜</v>
          </cell>
        </row>
        <row r="21">
          <cell r="O21">
            <v>46140</v>
          </cell>
          <cell r="P21" t="str">
            <v>新加坡</v>
          </cell>
          <cell r="Q21" t="str">
            <v>Sheng Tai Toys Pty Ltd</v>
          </cell>
          <cell r="R21" t="str">
            <v>0</v>
          </cell>
          <cell r="S21">
            <v>0</v>
          </cell>
          <cell r="T21">
            <v>46094</v>
          </cell>
        </row>
        <row r="22">
          <cell r="L22">
            <v>83230</v>
          </cell>
          <cell r="M22" t="str">
            <v>RR80车</v>
          </cell>
        </row>
        <row r="22">
          <cell r="P22" t="str">
            <v>澳大利亚</v>
          </cell>
          <cell r="Q22" t="str">
            <v>Woolworths Group Limited t/a Big W</v>
          </cell>
          <cell r="R22">
            <v>1620</v>
          </cell>
          <cell r="S22">
            <v>12555</v>
          </cell>
          <cell r="T22">
            <v>46111</v>
          </cell>
        </row>
        <row r="23">
          <cell r="L23">
            <v>83231</v>
          </cell>
          <cell r="M23" t="str">
            <v>RR70车</v>
          </cell>
        </row>
        <row r="23">
          <cell r="P23" t="str">
            <v>美国</v>
          </cell>
          <cell r="Q23" t="str">
            <v>Meijer
LANSING</v>
          </cell>
          <cell r="R23">
            <v>1350</v>
          </cell>
          <cell r="S23">
            <v>10462.5</v>
          </cell>
          <cell r="T23">
            <v>46111</v>
          </cell>
        </row>
        <row r="24">
          <cell r="L24">
            <v>83232</v>
          </cell>
          <cell r="M24" t="str">
            <v>RR70车</v>
          </cell>
        </row>
        <row r="24">
          <cell r="P24" t="str">
            <v>美国</v>
          </cell>
          <cell r="Q24" t="str">
            <v>Meijer
LANSING</v>
          </cell>
          <cell r="R24">
            <v>675</v>
          </cell>
          <cell r="S24">
            <v>5231.25</v>
          </cell>
          <cell r="T24">
            <v>46111</v>
          </cell>
        </row>
        <row r="25">
          <cell r="L25">
            <v>83233</v>
          </cell>
          <cell r="M25" t="str">
            <v>RR86-87车</v>
          </cell>
        </row>
        <row r="25">
          <cell r="O25">
            <v>225</v>
          </cell>
          <cell r="P25" t="str">
            <v>美国</v>
          </cell>
          <cell r="Q25" t="str">
            <v>Monster Group LLC</v>
          </cell>
          <cell r="R25">
            <v>4755</v>
          </cell>
          <cell r="S25">
            <v>36851.25</v>
          </cell>
          <cell r="T25">
            <v>46112</v>
          </cell>
        </row>
        <row r="26">
          <cell r="L26">
            <v>83233</v>
          </cell>
          <cell r="M26" t="str">
            <v>RR86-87车</v>
          </cell>
        </row>
        <row r="26">
          <cell r="P26" t="str">
            <v>美国</v>
          </cell>
          <cell r="Q26" t="str">
            <v>Monster Group LLC</v>
          </cell>
          <cell r="R26">
            <v>4980</v>
          </cell>
          <cell r="S26">
            <v>38595</v>
          </cell>
          <cell r="T26">
            <v>46112</v>
          </cell>
        </row>
        <row r="27">
          <cell r="L27">
            <v>83233</v>
          </cell>
          <cell r="M27" t="str">
            <v>RR86-87车</v>
          </cell>
        </row>
        <row r="27">
          <cell r="P27" t="str">
            <v>美国</v>
          </cell>
          <cell r="Q27" t="str">
            <v>Monster Group LLC</v>
          </cell>
          <cell r="R27" t="str">
            <v>0</v>
          </cell>
          <cell r="S27">
            <v>0</v>
          </cell>
          <cell r="T27">
            <v>46112</v>
          </cell>
        </row>
        <row r="28">
          <cell r="L28">
            <v>83234</v>
          </cell>
          <cell r="M28" t="str">
            <v>RR82车</v>
          </cell>
        </row>
        <row r="28">
          <cell r="P28" t="str">
            <v>美国</v>
          </cell>
          <cell r="Q28" t="str">
            <v>Meijer
LANSING</v>
          </cell>
          <cell r="R28">
            <v>1350</v>
          </cell>
          <cell r="S28">
            <v>10462.5</v>
          </cell>
          <cell r="T28">
            <v>46112</v>
          </cell>
        </row>
        <row r="29">
          <cell r="L29">
            <v>83235</v>
          </cell>
          <cell r="M29" t="str">
            <v>RR82车</v>
          </cell>
        </row>
        <row r="29">
          <cell r="P29" t="str">
            <v>美国</v>
          </cell>
          <cell r="Q29" t="str">
            <v>Meijer
LANSING</v>
          </cell>
          <cell r="R29">
            <v>675</v>
          </cell>
          <cell r="S29">
            <v>5231.25</v>
          </cell>
          <cell r="T29">
            <v>46112</v>
          </cell>
        </row>
        <row r="30">
          <cell r="P30">
            <v>356112.5</v>
          </cell>
        </row>
        <row r="30">
          <cell r="R30">
            <v>16161</v>
          </cell>
          <cell r="S30">
            <v>119388.75</v>
          </cell>
        </row>
        <row r="31">
          <cell r="L31">
            <v>125247.75</v>
          </cell>
          <cell r="M31" t="str">
            <v>发票70%</v>
          </cell>
          <cell r="N31">
            <v>294569.75</v>
          </cell>
        </row>
        <row r="31">
          <cell r="P31" t="str">
            <v>美国</v>
          </cell>
        </row>
        <row r="32">
          <cell r="L32">
            <v>83236</v>
          </cell>
          <cell r="M32" t="str">
            <v>RR169柜</v>
          </cell>
        </row>
        <row r="32">
          <cell r="P32" t="str">
            <v>英国</v>
          </cell>
          <cell r="Q32" t="str">
            <v>Smyths Toys HQ UC</v>
          </cell>
          <cell r="R32">
            <v>8513.1</v>
          </cell>
          <cell r="S32">
            <v>65976.53</v>
          </cell>
          <cell r="T32">
            <v>46122</v>
          </cell>
        </row>
        <row r="33">
          <cell r="L33">
            <v>83237</v>
          </cell>
          <cell r="M33" t="str">
            <v>RR94车</v>
          </cell>
        </row>
        <row r="33">
          <cell r="P33" t="str">
            <v>新西兰</v>
          </cell>
          <cell r="Q33" t="str">
            <v>Kmart Australia &amp; NZ Holding Limited</v>
          </cell>
          <cell r="R33">
            <v>355.32</v>
          </cell>
          <cell r="S33">
            <v>2753.73</v>
          </cell>
          <cell r="T33">
            <v>46127</v>
          </cell>
        </row>
        <row r="34">
          <cell r="L34">
            <v>83237</v>
          </cell>
          <cell r="M34" t="str">
            <v>RR94车</v>
          </cell>
        </row>
        <row r="34">
          <cell r="P34" t="str">
            <v>新西兰</v>
          </cell>
          <cell r="Q34" t="str">
            <v>Kmart Australia &amp; NZ Holding Limited</v>
          </cell>
          <cell r="R34" t="str">
            <v>0</v>
          </cell>
          <cell r="S34">
            <v>0</v>
          </cell>
          <cell r="T34">
            <v>46127</v>
          </cell>
        </row>
        <row r="35">
          <cell r="L35">
            <v>83238</v>
          </cell>
          <cell r="M35" t="str">
            <v>RR94车</v>
          </cell>
        </row>
        <row r="35">
          <cell r="P35" t="str">
            <v>澳大利亚</v>
          </cell>
          <cell r="Q35" t="str">
            <v>Kmart Australia &amp; NZ Holding Limited</v>
          </cell>
          <cell r="R35">
            <v>3878.28</v>
          </cell>
          <cell r="S35">
            <v>30056.67</v>
          </cell>
          <cell r="T35">
            <v>46127</v>
          </cell>
        </row>
        <row r="36">
          <cell r="L36">
            <v>83238</v>
          </cell>
          <cell r="M36" t="str">
            <v>RR94车</v>
          </cell>
        </row>
        <row r="36">
          <cell r="P36" t="str">
            <v>澳大利亚</v>
          </cell>
          <cell r="Q36" t="str">
            <v>Kmart Australia &amp; NZ Holding Limited</v>
          </cell>
          <cell r="R36" t="str">
            <v>0</v>
          </cell>
          <cell r="S36">
            <v>0</v>
          </cell>
          <cell r="T36">
            <v>46127</v>
          </cell>
        </row>
        <row r="37">
          <cell r="L37">
            <v>83239</v>
          </cell>
          <cell r="M37" t="str">
            <v>RR103车</v>
          </cell>
        </row>
        <row r="37">
          <cell r="P37" t="str">
            <v>中国台湾</v>
          </cell>
          <cell r="Q37" t="str">
            <v>Asia Goal Limited</v>
          </cell>
          <cell r="R37">
            <v>491.4</v>
          </cell>
          <cell r="S37">
            <v>3808.35</v>
          </cell>
          <cell r="T37">
            <v>46127</v>
          </cell>
        </row>
        <row r="38">
          <cell r="L38">
            <v>83239</v>
          </cell>
          <cell r="M38" t="str">
            <v>RR103车</v>
          </cell>
        </row>
        <row r="38">
          <cell r="P38" t="str">
            <v>中国台湾</v>
          </cell>
          <cell r="Q38" t="str">
            <v>Asia Goal Limited</v>
          </cell>
          <cell r="R38">
            <v>243</v>
          </cell>
          <cell r="S38">
            <v>1883.25</v>
          </cell>
          <cell r="T38">
            <v>46127</v>
          </cell>
        </row>
        <row r="39">
          <cell r="L39">
            <v>83239</v>
          </cell>
          <cell r="M39" t="str">
            <v>RR103车</v>
          </cell>
        </row>
        <row r="39">
          <cell r="P39" t="str">
            <v>中国台湾</v>
          </cell>
          <cell r="Q39" t="str">
            <v>Asia Goal Limited</v>
          </cell>
          <cell r="R39">
            <v>244.08</v>
          </cell>
          <cell r="S39">
            <v>1891.62</v>
          </cell>
          <cell r="T39">
            <v>46127</v>
          </cell>
        </row>
        <row r="40">
          <cell r="L40">
            <v>83239</v>
          </cell>
          <cell r="M40" t="str">
            <v>RR103车</v>
          </cell>
        </row>
        <row r="40">
          <cell r="P40" t="str">
            <v>中国台湾</v>
          </cell>
          <cell r="Q40" t="str">
            <v>Asia Goal Limited</v>
          </cell>
          <cell r="R40" t="str">
            <v>0</v>
          </cell>
          <cell r="S40">
            <v>0</v>
          </cell>
          <cell r="T40">
            <v>46127</v>
          </cell>
        </row>
        <row r="41">
          <cell r="L41">
            <v>83240</v>
          </cell>
          <cell r="M41" t="str">
            <v>RR201柜</v>
          </cell>
        </row>
        <row r="41">
          <cell r="P41" t="str">
            <v>美国</v>
          </cell>
          <cell r="Q41" t="str">
            <v>Flybar Inc</v>
          </cell>
          <cell r="R41">
            <v>680.4</v>
          </cell>
          <cell r="S41">
            <v>5273.1</v>
          </cell>
          <cell r="T41">
            <v>46141</v>
          </cell>
        </row>
        <row r="42">
          <cell r="L42">
            <v>83240</v>
          </cell>
          <cell r="M42" t="str">
            <v>RR201柜</v>
          </cell>
        </row>
        <row r="42">
          <cell r="P42" t="str">
            <v>美国</v>
          </cell>
          <cell r="Q42" t="str">
            <v>Flybar Inc</v>
          </cell>
          <cell r="R42" t="str">
            <v>0</v>
          </cell>
          <cell r="S42">
            <v>0</v>
          </cell>
          <cell r="T42">
            <v>46141</v>
          </cell>
        </row>
        <row r="43">
          <cell r="L43">
            <v>83241</v>
          </cell>
          <cell r="M43" t="str">
            <v>RR128车</v>
          </cell>
        </row>
        <row r="43">
          <cell r="P43" t="str">
            <v>澳大利亚</v>
          </cell>
          <cell r="Q43" t="str">
            <v>Kmart Australia &amp; NZ Holding Limited</v>
          </cell>
          <cell r="R43">
            <v>3961.44</v>
          </cell>
          <cell r="S43">
            <v>30701.16</v>
          </cell>
          <cell r="T43">
            <v>46141</v>
          </cell>
        </row>
        <row r="44">
          <cell r="L44">
            <v>83241</v>
          </cell>
          <cell r="M44" t="str">
            <v>RR128车</v>
          </cell>
        </row>
        <row r="44">
          <cell r="P44" t="str">
            <v>澳大利亚</v>
          </cell>
          <cell r="Q44" t="str">
            <v>Kmart Australia &amp; NZ Holding Limited</v>
          </cell>
          <cell r="R44" t="str">
            <v>0</v>
          </cell>
          <cell r="S44">
            <v>0</v>
          </cell>
          <cell r="T44">
            <v>46141</v>
          </cell>
        </row>
        <row r="45">
          <cell r="L45">
            <v>83242</v>
          </cell>
          <cell r="M45" t="str">
            <v>RR128车</v>
          </cell>
        </row>
        <row r="45">
          <cell r="P45" t="str">
            <v>澳大利亚</v>
          </cell>
          <cell r="Q45" t="str">
            <v>Kmart Australia &amp; NZ Holding Limited</v>
          </cell>
          <cell r="R45">
            <v>272.16</v>
          </cell>
          <cell r="S45">
            <v>2109.24</v>
          </cell>
          <cell r="T45">
            <v>46141</v>
          </cell>
        </row>
        <row r="46">
          <cell r="L46">
            <v>83242</v>
          </cell>
          <cell r="M46" t="str">
            <v>RR128车</v>
          </cell>
        </row>
        <row r="46">
          <cell r="P46" t="str">
            <v>澳大利亚</v>
          </cell>
          <cell r="Q46" t="str">
            <v>Kmart Australia &amp; NZ Holding Limited</v>
          </cell>
          <cell r="R46" t="str">
            <v>0</v>
          </cell>
          <cell r="S46">
            <v>0</v>
          </cell>
          <cell r="T46">
            <v>46141</v>
          </cell>
        </row>
        <row r="47">
          <cell r="P47">
            <v>20069.4</v>
          </cell>
        </row>
        <row r="47">
          <cell r="R47">
            <v>18639.18</v>
          </cell>
          <cell r="S47">
            <v>144453.65</v>
          </cell>
        </row>
        <row r="48">
          <cell r="L48">
            <v>144453.66</v>
          </cell>
          <cell r="M48" t="str">
            <v>发票70%</v>
          </cell>
          <cell r="N48">
            <v>340367.83</v>
          </cell>
        </row>
        <row r="48">
          <cell r="P48" t="str">
            <v>美国</v>
          </cell>
        </row>
        <row r="48">
          <cell r="R48">
            <v>52230.46</v>
          </cell>
          <cell r="S48">
            <v>398927.08</v>
          </cell>
        </row>
        <row r="49">
          <cell r="E49" t="str">
            <v>T03204</v>
          </cell>
        </row>
        <row r="49">
          <cell r="L49" t="str">
            <v>83246REV1</v>
          </cell>
          <cell r="M49" t="str">
            <v>RR170-171车</v>
          </cell>
          <cell r="N49" t="str">
            <v>5月开始以实收金额报数</v>
          </cell>
          <cell r="O49">
            <v>46175</v>
          </cell>
          <cell r="P49" t="str">
            <v>美国</v>
          </cell>
          <cell r="Q49" t="str">
            <v>Monster Group LLC</v>
          </cell>
          <cell r="R49">
            <v>3489.02</v>
          </cell>
          <cell r="S49">
            <v>27039.91</v>
          </cell>
          <cell r="T49">
            <v>46161</v>
          </cell>
        </row>
        <row r="50">
          <cell r="E50" t="str">
            <v>T02444</v>
          </cell>
        </row>
        <row r="50">
          <cell r="L50">
            <v>83248</v>
          </cell>
          <cell r="M50" t="str">
            <v>RR187车</v>
          </cell>
          <cell r="N50" t="str">
            <v>5月开始以实收金额报数</v>
          </cell>
        </row>
        <row r="50">
          <cell r="P50" t="str">
            <v>澳大利亚</v>
          </cell>
          <cell r="Q50" t="str">
            <v>Target Australia Pty Ltd</v>
          </cell>
          <cell r="R50">
            <v>1134</v>
          </cell>
          <cell r="S50">
            <v>8788.5</v>
          </cell>
          <cell r="T50">
            <v>46172</v>
          </cell>
        </row>
        <row r="51">
          <cell r="E51" t="str">
            <v>JW-RV-RPGEA</v>
          </cell>
        </row>
        <row r="51">
          <cell r="L51">
            <v>83249</v>
          </cell>
          <cell r="M51" t="str">
            <v>RR293柜</v>
          </cell>
          <cell r="N51" t="str">
            <v>5月开始以实收金额报数</v>
          </cell>
        </row>
        <row r="51">
          <cell r="P51" t="str">
            <v>美国</v>
          </cell>
          <cell r="Q51" t="str">
            <v>Flybar Inc</v>
          </cell>
          <cell r="R51">
            <v>3557.1</v>
          </cell>
          <cell r="S51">
            <v>27567.53</v>
          </cell>
          <cell r="T51">
            <v>46172</v>
          </cell>
        </row>
        <row r="52">
          <cell r="L52">
            <v>83249</v>
          </cell>
          <cell r="M52" t="str">
            <v>RR293柜</v>
          </cell>
          <cell r="N52" t="str">
            <v>5月开始以实收金额报数</v>
          </cell>
        </row>
        <row r="52">
          <cell r="P52" t="str">
            <v>美国</v>
          </cell>
          <cell r="Q52" t="str">
            <v>Flybar Inc</v>
          </cell>
          <cell r="R52">
            <v>0</v>
          </cell>
          <cell r="S52">
            <v>0</v>
          </cell>
          <cell r="T52">
            <v>46172</v>
          </cell>
        </row>
        <row r="53">
          <cell r="P53">
            <v>317345.76</v>
          </cell>
        </row>
        <row r="53">
          <cell r="R53">
            <v>8180.12</v>
          </cell>
          <cell r="S53">
            <v>63395.94</v>
          </cell>
        </row>
        <row r="54">
          <cell r="L54">
            <v>63395.92</v>
          </cell>
          <cell r="M54" t="str">
            <v>发票70%</v>
          </cell>
          <cell r="N54">
            <v>283244.84</v>
          </cell>
        </row>
        <row r="54">
          <cell r="P54" t="str">
            <v>美国</v>
          </cell>
        </row>
        <row r="54">
          <cell r="R54">
            <v>60410.58</v>
          </cell>
          <cell r="S54">
            <v>462323.02</v>
          </cell>
        </row>
        <row r="55">
          <cell r="L55">
            <v>83250</v>
          </cell>
          <cell r="M55" t="str">
            <v>RR172车</v>
          </cell>
        </row>
        <row r="55">
          <cell r="P55" t="str">
            <v>加拿大</v>
          </cell>
          <cell r="Q55" t="str">
            <v>Canada Inc./dba Red Planet Group</v>
          </cell>
          <cell r="R55">
            <v>6390</v>
          </cell>
          <cell r="S55">
            <v>49522.5</v>
          </cell>
          <cell r="T55">
            <v>46177</v>
          </cell>
        </row>
        <row r="56">
          <cell r="L56">
            <v>83250</v>
          </cell>
          <cell r="M56" t="str">
            <v>RR172车</v>
          </cell>
        </row>
        <row r="56">
          <cell r="P56" t="str">
            <v>加拿大</v>
          </cell>
          <cell r="Q56" t="str">
            <v>Canada Inc./dba Red Planet Group</v>
          </cell>
          <cell r="R56">
            <v>0</v>
          </cell>
          <cell r="S56">
            <v>0</v>
          </cell>
          <cell r="T56">
            <v>46177</v>
          </cell>
        </row>
        <row r="57">
          <cell r="L57">
            <v>95751</v>
          </cell>
          <cell r="M57" t="str">
            <v>RR172车</v>
          </cell>
        </row>
        <row r="57">
          <cell r="P57" t="str">
            <v>加拿大</v>
          </cell>
          <cell r="Q57" t="str">
            <v>Lachine</v>
          </cell>
          <cell r="R57">
            <v>1867.32</v>
          </cell>
          <cell r="S57">
            <v>14471.73</v>
          </cell>
          <cell r="T57">
            <v>46177</v>
          </cell>
        </row>
        <row r="58">
          <cell r="L58">
            <v>95751</v>
          </cell>
          <cell r="M58" t="str">
            <v>RR172车</v>
          </cell>
        </row>
        <row r="58">
          <cell r="P58" t="str">
            <v>加拿大</v>
          </cell>
          <cell r="Q58" t="str">
            <v>Lachine</v>
          </cell>
          <cell r="R58" t="str">
            <v>0</v>
          </cell>
          <cell r="S58">
            <v>0</v>
          </cell>
          <cell r="T58">
            <v>46177</v>
          </cell>
        </row>
        <row r="59">
          <cell r="L59">
            <v>95752</v>
          </cell>
          <cell r="M59" t="str">
            <v>RR245柜</v>
          </cell>
        </row>
        <row r="59">
          <cell r="P59" t="str">
            <v>越南</v>
          </cell>
          <cell r="Q59" t="str">
            <v>Viet Tinh Anh Joint Stock Company</v>
          </cell>
          <cell r="R59">
            <v>1043.28</v>
          </cell>
          <cell r="S59">
            <v>8085.42</v>
          </cell>
          <cell r="T59">
            <v>46183</v>
          </cell>
        </row>
        <row r="60">
          <cell r="L60">
            <v>95752</v>
          </cell>
          <cell r="M60" t="str">
            <v>RR245柜</v>
          </cell>
        </row>
        <row r="60">
          <cell r="P60" t="str">
            <v>越南</v>
          </cell>
          <cell r="Q60" t="str">
            <v>Viet Tinh Anh Joint Stock Company</v>
          </cell>
          <cell r="R60" t="str">
            <v>0</v>
          </cell>
          <cell r="S60">
            <v>0</v>
          </cell>
          <cell r="T60">
            <v>46183</v>
          </cell>
        </row>
        <row r="61">
          <cell r="L61">
            <v>95753</v>
          </cell>
          <cell r="M61" t="str">
            <v>RR254车</v>
          </cell>
        </row>
        <row r="61">
          <cell r="P61" t="str">
            <v>韩国</v>
          </cell>
          <cell r="Q61" t="str">
            <v>BomNamu Co. Ltd</v>
          </cell>
          <cell r="R61">
            <v>1134</v>
          </cell>
          <cell r="S61">
            <v>8788.5</v>
          </cell>
          <cell r="T61">
            <v>46183</v>
          </cell>
        </row>
        <row r="62">
          <cell r="L62">
            <v>95753</v>
          </cell>
          <cell r="M62" t="str">
            <v>RR254车</v>
          </cell>
        </row>
        <row r="62">
          <cell r="P62" t="str">
            <v>韩国</v>
          </cell>
          <cell r="Q62" t="str">
            <v>BomNamu Co. Ltd</v>
          </cell>
          <cell r="R62">
            <v>0</v>
          </cell>
          <cell r="S62">
            <v>0</v>
          </cell>
          <cell r="T62">
            <v>46183</v>
          </cell>
        </row>
        <row r="63">
          <cell r="L63">
            <v>95754</v>
          </cell>
          <cell r="M63" t="str">
            <v>RR256车</v>
          </cell>
        </row>
        <row r="63">
          <cell r="P63" t="str">
            <v>澳大利亚</v>
          </cell>
          <cell r="Q63" t="str">
            <v>Kmart Australia &amp; NZ Holding Limited</v>
          </cell>
          <cell r="R63">
            <v>771.12</v>
          </cell>
          <cell r="S63">
            <v>5976.18</v>
          </cell>
          <cell r="T63">
            <v>46184</v>
          </cell>
        </row>
        <row r="64">
          <cell r="L64">
            <v>95754</v>
          </cell>
          <cell r="M64" t="str">
            <v>RR256车</v>
          </cell>
        </row>
        <row r="64">
          <cell r="P64" t="str">
            <v>澳大利亚</v>
          </cell>
          <cell r="Q64" t="str">
            <v>Kmart Australia &amp; NZ Holding Limited</v>
          </cell>
          <cell r="R64" t="str">
            <v>0</v>
          </cell>
          <cell r="S64">
            <v>0</v>
          </cell>
          <cell r="T64">
            <v>46184</v>
          </cell>
        </row>
        <row r="65">
          <cell r="L65">
            <v>95755</v>
          </cell>
          <cell r="M65" t="str">
            <v>RR256车</v>
          </cell>
        </row>
        <row r="65">
          <cell r="P65" t="str">
            <v>新西兰</v>
          </cell>
          <cell r="Q65" t="str">
            <v>Kmart Australia &amp; NZ Holding Limited</v>
          </cell>
          <cell r="R65">
            <v>3462.48</v>
          </cell>
          <cell r="S65">
            <v>26834.22</v>
          </cell>
          <cell r="T65">
            <v>46184</v>
          </cell>
        </row>
        <row r="66">
          <cell r="L66">
            <v>95755</v>
          </cell>
          <cell r="M66" t="str">
            <v>RR256车</v>
          </cell>
        </row>
        <row r="66">
          <cell r="P66" t="str">
            <v>新西兰</v>
          </cell>
          <cell r="Q66" t="str">
            <v>Kmart Australia &amp; NZ Holding Limited</v>
          </cell>
          <cell r="R66" t="str">
            <v>0</v>
          </cell>
          <cell r="S66">
            <v>0</v>
          </cell>
          <cell r="T66">
            <v>46184</v>
          </cell>
        </row>
        <row r="67">
          <cell r="L67">
            <v>95756</v>
          </cell>
          <cell r="M67" t="str">
            <v>RR258车</v>
          </cell>
        </row>
        <row r="67">
          <cell r="P67" t="str">
            <v>泰国</v>
          </cell>
          <cell r="Q67" t="str">
            <v>Kiddo Pacific Co. Ltd</v>
          </cell>
          <cell r="R67">
            <v>884.52</v>
          </cell>
          <cell r="S67">
            <v>6855.03</v>
          </cell>
          <cell r="T67">
            <v>46184</v>
          </cell>
        </row>
        <row r="68">
          <cell r="L68">
            <v>95756</v>
          </cell>
          <cell r="M68" t="str">
            <v>RR258车</v>
          </cell>
        </row>
        <row r="68">
          <cell r="P68" t="str">
            <v>泰国</v>
          </cell>
          <cell r="Q68" t="str">
            <v>Kiddo Pacific Co. Ltd</v>
          </cell>
          <cell r="R68" t="str">
            <v>0</v>
          </cell>
          <cell r="S68">
            <v>0</v>
          </cell>
          <cell r="T68">
            <v>46184</v>
          </cell>
        </row>
        <row r="69">
          <cell r="L69">
            <v>95757</v>
          </cell>
          <cell r="M69" t="str">
            <v>RR242车</v>
          </cell>
        </row>
        <row r="69">
          <cell r="P69" t="str">
            <v>澳大利亚</v>
          </cell>
          <cell r="Q69" t="str">
            <v>Woolworths Group Limited t/a Big W</v>
          </cell>
          <cell r="R69">
            <v>4260</v>
          </cell>
          <cell r="S69">
            <v>33015</v>
          </cell>
          <cell r="T69">
            <v>46185</v>
          </cell>
        </row>
        <row r="70">
          <cell r="P70" t="str">
            <v/>
          </cell>
          <cell r="Q70" t="str">
            <v/>
          </cell>
          <cell r="R70" t="str">
            <v>0</v>
          </cell>
          <cell r="S70">
            <v>0</v>
          </cell>
          <cell r="T70">
            <v>0</v>
          </cell>
        </row>
        <row r="71">
          <cell r="P71" t="str">
            <v/>
          </cell>
          <cell r="Q71" t="str">
            <v/>
          </cell>
          <cell r="R71" t="str">
            <v>0</v>
          </cell>
          <cell r="S71">
            <v>0</v>
          </cell>
          <cell r="T71">
            <v>0</v>
          </cell>
        </row>
        <row r="72">
          <cell r="P72" t="str">
            <v/>
          </cell>
          <cell r="Q72" t="str">
            <v/>
          </cell>
          <cell r="R72" t="str">
            <v>0</v>
          </cell>
          <cell r="S72">
            <v>0</v>
          </cell>
          <cell r="T72">
            <v>0</v>
          </cell>
        </row>
        <row r="73">
          <cell r="P73" t="str">
            <v/>
          </cell>
          <cell r="Q73" t="str">
            <v/>
          </cell>
          <cell r="R73" t="str">
            <v>0</v>
          </cell>
          <cell r="S73">
            <v>0</v>
          </cell>
          <cell r="T73">
            <v>0</v>
          </cell>
        </row>
        <row r="74">
          <cell r="P74" t="str">
            <v/>
          </cell>
          <cell r="Q74" t="str">
            <v/>
          </cell>
          <cell r="R74" t="str">
            <v>0</v>
          </cell>
          <cell r="S74">
            <v>0</v>
          </cell>
          <cell r="T74">
            <v>0</v>
          </cell>
        </row>
        <row r="75">
          <cell r="P75" t="str">
            <v/>
          </cell>
          <cell r="Q75" t="str">
            <v/>
          </cell>
          <cell r="R75" t="str">
            <v>0</v>
          </cell>
          <cell r="S75">
            <v>0</v>
          </cell>
          <cell r="T75">
            <v>0</v>
          </cell>
        </row>
        <row r="76">
          <cell r="P76" t="str">
            <v/>
          </cell>
          <cell r="Q76" t="str">
            <v/>
          </cell>
          <cell r="R76" t="str">
            <v>0</v>
          </cell>
          <cell r="S76">
            <v>0</v>
          </cell>
          <cell r="T76">
            <v>0</v>
          </cell>
        </row>
        <row r="77">
          <cell r="P77" t="str">
            <v/>
          </cell>
          <cell r="Q77" t="str">
            <v/>
          </cell>
          <cell r="R77" t="str">
            <v>0</v>
          </cell>
          <cell r="S77">
            <v>0</v>
          </cell>
          <cell r="T77">
            <v>0</v>
          </cell>
        </row>
        <row r="78">
          <cell r="P78" t="str">
            <v/>
          </cell>
          <cell r="Q78" t="str">
            <v/>
          </cell>
          <cell r="R78" t="str">
            <v>0</v>
          </cell>
          <cell r="S78">
            <v>0</v>
          </cell>
          <cell r="T78">
            <v>0</v>
          </cell>
        </row>
        <row r="79">
          <cell r="P79" t="str">
            <v/>
          </cell>
          <cell r="Q79" t="str">
            <v/>
          </cell>
          <cell r="R79" t="str">
            <v>0</v>
          </cell>
          <cell r="S79">
            <v>0</v>
          </cell>
          <cell r="T79">
            <v>0</v>
          </cell>
        </row>
        <row r="80">
          <cell r="P80" t="str">
            <v/>
          </cell>
          <cell r="Q80" t="str">
            <v/>
          </cell>
          <cell r="R80" t="str">
            <v>0</v>
          </cell>
          <cell r="S80">
            <v>0</v>
          </cell>
          <cell r="T80">
            <v>0</v>
          </cell>
        </row>
        <row r="81">
          <cell r="P81" t="str">
            <v/>
          </cell>
          <cell r="Q81" t="str">
            <v/>
          </cell>
          <cell r="R81" t="str">
            <v>0</v>
          </cell>
          <cell r="S81">
            <v>0</v>
          </cell>
          <cell r="T81">
            <v>0</v>
          </cell>
        </row>
        <row r="82">
          <cell r="P82" t="str">
            <v/>
          </cell>
          <cell r="Q82" t="str">
            <v/>
          </cell>
          <cell r="R82">
            <v>0</v>
          </cell>
          <cell r="S82">
            <v>0</v>
          </cell>
          <cell r="T82">
            <v>0</v>
          </cell>
        </row>
        <row r="83">
          <cell r="P83">
            <v>0</v>
          </cell>
        </row>
        <row r="83">
          <cell r="R83">
            <v>19812.72</v>
          </cell>
          <cell r="S83">
            <v>153548.58</v>
          </cell>
        </row>
        <row r="84">
          <cell r="L84">
            <v>153548.58</v>
          </cell>
          <cell r="M84" t="str">
            <v>发票70%</v>
          </cell>
          <cell r="N84">
            <v>184476.97</v>
          </cell>
        </row>
        <row r="84">
          <cell r="P84" t="str">
            <v>美国</v>
          </cell>
        </row>
        <row r="84">
          <cell r="R84">
            <v>80223.3</v>
          </cell>
          <cell r="S84">
            <v>80223.3</v>
          </cell>
        </row>
        <row r="85">
          <cell r="R85">
            <v>0</v>
          </cell>
          <cell r="S85">
            <v>0</v>
          </cell>
        </row>
        <row r="88">
          <cell r="L88" t="str">
            <v>剩余MA金额HK</v>
          </cell>
          <cell r="M88" t="str">
            <v>扣除金额USD</v>
          </cell>
          <cell r="N88" t="str">
            <v>扣除金额HK</v>
          </cell>
          <cell r="O88" t="str">
            <v>剩余金额HK</v>
          </cell>
          <cell r="P88" t="str">
            <v>出货金额HK</v>
          </cell>
          <cell r="Q88" t="str">
            <v>排期扣除金额HK</v>
          </cell>
        </row>
        <row r="89">
          <cell r="L89">
            <v>468510.75</v>
          </cell>
          <cell r="M89">
            <v>4050</v>
          </cell>
          <cell r="N89">
            <v>31387.5</v>
          </cell>
          <cell r="O89">
            <v>426639.82</v>
          </cell>
          <cell r="P89">
            <v>104625</v>
          </cell>
          <cell r="Q89">
            <v>82537.5</v>
          </cell>
        </row>
        <row r="90">
          <cell r="M90">
            <v>1352.7</v>
          </cell>
          <cell r="N90">
            <v>10483.43</v>
          </cell>
        </row>
        <row r="90">
          <cell r="P90">
            <v>38050.95</v>
          </cell>
          <cell r="Q90">
            <v>27567.53</v>
          </cell>
        </row>
        <row r="91">
          <cell r="M91">
            <v>0</v>
          </cell>
          <cell r="N91">
            <v>0</v>
          </cell>
        </row>
        <row r="91">
          <cell r="P91">
            <v>0</v>
          </cell>
          <cell r="Q91">
            <v>0</v>
          </cell>
        </row>
        <row r="92">
          <cell r="M92">
            <v>0</v>
          </cell>
          <cell r="N92">
            <v>0</v>
          </cell>
        </row>
        <row r="92">
          <cell r="P92">
            <v>0</v>
          </cell>
          <cell r="Q92">
            <v>0</v>
          </cell>
        </row>
        <row r="93">
          <cell r="L93">
            <v>241449.39</v>
          </cell>
          <cell r="M93">
            <v>340.2</v>
          </cell>
          <cell r="N93">
            <v>2636.55</v>
          </cell>
          <cell r="O93">
            <v>238812.84</v>
          </cell>
          <cell r="P93">
            <v>8788.5</v>
          </cell>
          <cell r="Q93">
            <v>2636.55</v>
          </cell>
        </row>
        <row r="94">
          <cell r="I94">
            <v>16926</v>
          </cell>
          <cell r="J94">
            <v>0</v>
          </cell>
          <cell r="K94">
            <v>16926</v>
          </cell>
          <cell r="L94">
            <v>177875.33</v>
          </cell>
          <cell r="M94">
            <v>0</v>
          </cell>
          <cell r="N94">
            <v>0</v>
          </cell>
          <cell r="O94">
            <v>177875.33</v>
          </cell>
          <cell r="P94">
            <v>0</v>
          </cell>
          <cell r="Q94">
            <v>0</v>
          </cell>
        </row>
        <row r="95">
          <cell r="M95">
            <v>0</v>
          </cell>
          <cell r="N95">
            <v>0</v>
          </cell>
        </row>
        <row r="95">
          <cell r="P95">
            <v>0</v>
          </cell>
          <cell r="Q95">
            <v>0</v>
          </cell>
        </row>
        <row r="96">
          <cell r="M96">
            <v>0</v>
          </cell>
          <cell r="N96">
            <v>0</v>
          </cell>
        </row>
        <row r="96">
          <cell r="P96">
            <v>0</v>
          </cell>
          <cell r="Q96">
            <v>0</v>
          </cell>
        </row>
        <row r="97">
          <cell r="L97">
            <v>205943.85</v>
          </cell>
          <cell r="M97">
            <v>7295.4</v>
          </cell>
          <cell r="N97">
            <v>56539.35</v>
          </cell>
          <cell r="O97">
            <v>134932.77</v>
          </cell>
          <cell r="P97">
            <v>188464.5</v>
          </cell>
          <cell r="Q97">
            <v>56539.35</v>
          </cell>
        </row>
        <row r="98">
          <cell r="M98">
            <v>1867.32</v>
          </cell>
          <cell r="N98">
            <v>14471.73</v>
          </cell>
        </row>
        <row r="98">
          <cell r="P98">
            <v>48239.1</v>
          </cell>
          <cell r="Q98">
            <v>14471.73</v>
          </cell>
        </row>
        <row r="99">
          <cell r="L99">
            <v>0</v>
          </cell>
          <cell r="M99">
            <v>0</v>
          </cell>
          <cell r="N99">
            <v>0</v>
          </cell>
          <cell r="O99">
            <v>0</v>
          </cell>
          <cell r="P99">
            <v>0</v>
          </cell>
          <cell r="Q99">
            <v>0</v>
          </cell>
        </row>
        <row r="100">
          <cell r="L100">
            <v>0</v>
          </cell>
          <cell r="M100">
            <v>0</v>
          </cell>
          <cell r="N100">
            <v>0</v>
          </cell>
          <cell r="O100">
            <v>0</v>
          </cell>
          <cell r="P100">
            <v>0</v>
          </cell>
          <cell r="Q100">
            <v>0</v>
          </cell>
        </row>
        <row r="101">
          <cell r="L101">
            <v>27039.91</v>
          </cell>
          <cell r="M101">
            <v>3489.02</v>
          </cell>
          <cell r="N101">
            <v>27039.91</v>
          </cell>
          <cell r="O101">
            <v>0</v>
          </cell>
          <cell r="P101">
            <v>279139.5</v>
          </cell>
          <cell r="Q101">
            <v>27039.91</v>
          </cell>
        </row>
        <row r="102">
          <cell r="L102">
            <v>124575.36</v>
          </cell>
          <cell r="M102">
            <v>0</v>
          </cell>
          <cell r="N102">
            <v>0</v>
          </cell>
          <cell r="O102">
            <v>124575.36</v>
          </cell>
          <cell r="P102">
            <v>0</v>
          </cell>
          <cell r="Q102">
            <v>0</v>
          </cell>
        </row>
        <row r="103">
          <cell r="P103">
            <v>0</v>
          </cell>
          <cell r="Q103">
            <v>0</v>
          </cell>
        </row>
        <row r="104">
          <cell r="L104">
            <v>1245394.59</v>
          </cell>
          <cell r="M104">
            <v>18394.64</v>
          </cell>
          <cell r="N104">
            <v>142558.47</v>
          </cell>
          <cell r="O104">
            <v>1102836.12</v>
          </cell>
          <cell r="P104">
            <v>667307.55</v>
          </cell>
          <cell r="Q104">
            <v>210792.57</v>
          </cell>
        </row>
        <row r="105">
          <cell r="L105">
            <v>0.0800000000745058</v>
          </cell>
          <cell r="M105">
            <v>0</v>
          </cell>
        </row>
        <row r="107">
          <cell r="O107">
            <v>14207.1</v>
          </cell>
        </row>
        <row r="108">
          <cell r="L108" t="str">
            <v>收款金额USD</v>
          </cell>
          <cell r="M108" t="str">
            <v>收款金额HKD</v>
          </cell>
          <cell r="N108" t="str">
            <v>扣除金额USD</v>
          </cell>
          <cell r="O108" t="str">
            <v>扣除金额HK</v>
          </cell>
          <cell r="P108" t="str">
            <v>单价</v>
          </cell>
          <cell r="Q108" t="str">
            <v>单价
(半成品单价含30%定金)</v>
          </cell>
          <cell r="R108" t="str">
            <v>出货应收单价</v>
          </cell>
        </row>
        <row r="109">
          <cell r="L109">
            <v>98516</v>
          </cell>
          <cell r="M109">
            <v>763499</v>
          </cell>
          <cell r="N109">
            <v>8804.4</v>
          </cell>
          <cell r="O109">
            <v>68234.1</v>
          </cell>
          <cell r="P109">
            <v>4.5</v>
          </cell>
          <cell r="Q109">
            <v>3.55</v>
          </cell>
          <cell r="R109">
            <v>0.95</v>
          </cell>
        </row>
        <row r="110">
          <cell r="L110">
            <v>27468.29</v>
          </cell>
          <cell r="M110">
            <v>212879.25</v>
          </cell>
          <cell r="N110">
            <v>0</v>
          </cell>
          <cell r="O110">
            <v>0</v>
          </cell>
          <cell r="P110">
            <v>4.52</v>
          </cell>
          <cell r="Q110">
            <v>3.66</v>
          </cell>
          <cell r="R110">
            <v>0.86</v>
          </cell>
        </row>
        <row r="111">
          <cell r="L111">
            <v>15832.66</v>
          </cell>
          <cell r="M111">
            <v>122703.12</v>
          </cell>
          <cell r="N111">
            <v>0</v>
          </cell>
          <cell r="O111">
            <v>0</v>
          </cell>
          <cell r="P111">
            <v>4.52</v>
          </cell>
          <cell r="Q111">
            <v>4.52</v>
          </cell>
          <cell r="R111">
            <v>0</v>
          </cell>
        </row>
        <row r="112">
          <cell r="L112">
            <v>70224.84</v>
          </cell>
          <cell r="M112">
            <v>544242.51</v>
          </cell>
          <cell r="N112">
            <v>793.8</v>
          </cell>
          <cell r="O112">
            <v>6151.95</v>
          </cell>
          <cell r="P112">
            <v>2.1</v>
          </cell>
          <cell r="Q112">
            <v>2.1</v>
          </cell>
          <cell r="R112">
            <v>0</v>
          </cell>
        </row>
        <row r="113">
          <cell r="L113">
            <v>212041.79</v>
          </cell>
          <cell r="M113">
            <v>1643323.88</v>
          </cell>
          <cell r="N113">
            <v>9598.2</v>
          </cell>
          <cell r="O113">
            <v>74386.05</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7"/>
  <sheetViews>
    <sheetView workbookViewId="0">
      <pane ySplit="1" topLeftCell="A13" activePane="bottomLeft" state="frozen"/>
      <selection/>
      <selection pane="bottomLeft" activeCell="D27" sqref="D27"/>
    </sheetView>
  </sheetViews>
  <sheetFormatPr defaultColWidth="15.625" defaultRowHeight="20" customHeight="1" outlineLevelCol="3"/>
  <cols>
    <col min="1" max="1" width="15.625" style="382" customWidth="1"/>
    <col min="2" max="2" width="20.625" style="384" customWidth="1"/>
    <col min="3" max="3" width="6.625" style="384" customWidth="1"/>
    <col min="4" max="4" width="20.625" style="384" customWidth="1"/>
    <col min="5" max="16380" width="15.625" style="382" customWidth="1"/>
    <col min="16381" max="16384" width="15.625" style="382"/>
  </cols>
  <sheetData>
    <row r="1" customHeight="1" spans="1:4">
      <c r="A1" s="385" t="s">
        <v>0</v>
      </c>
      <c r="B1" s="386" t="s">
        <v>1</v>
      </c>
      <c r="C1" s="386" t="s">
        <v>2</v>
      </c>
      <c r="D1" s="386" t="s">
        <v>3</v>
      </c>
    </row>
    <row r="2" customHeight="1" spans="1:4">
      <c r="A2" s="383" t="s">
        <v>4</v>
      </c>
      <c r="B2" s="383" t="s">
        <v>5</v>
      </c>
      <c r="C2" s="383">
        <v>12</v>
      </c>
      <c r="D2" s="383"/>
    </row>
    <row r="3" customHeight="1" spans="1:4">
      <c r="A3" s="383" t="s">
        <v>6</v>
      </c>
      <c r="B3" s="383" t="s">
        <v>7</v>
      </c>
      <c r="C3" s="383">
        <v>6</v>
      </c>
      <c r="D3" s="383"/>
    </row>
    <row r="4" customHeight="1" spans="1:4">
      <c r="A4" s="383" t="s">
        <v>8</v>
      </c>
      <c r="B4" s="383" t="s">
        <v>7</v>
      </c>
      <c r="C4" s="383">
        <v>2</v>
      </c>
      <c r="D4" s="383"/>
    </row>
    <row r="5" s="382" customFormat="1" customHeight="1" spans="1:4">
      <c r="A5" s="383" t="s">
        <v>9</v>
      </c>
      <c r="B5" s="383" t="s">
        <v>10</v>
      </c>
      <c r="C5" s="383">
        <v>6</v>
      </c>
      <c r="D5" s="383"/>
    </row>
    <row r="6" customHeight="1" spans="1:4">
      <c r="A6" s="383" t="s">
        <v>11</v>
      </c>
      <c r="B6" s="383" t="s">
        <v>10</v>
      </c>
      <c r="C6" s="383">
        <v>6</v>
      </c>
      <c r="D6" s="383"/>
    </row>
    <row r="7" customHeight="1" spans="1:4">
      <c r="A7" s="383" t="s">
        <v>12</v>
      </c>
      <c r="B7" s="386" t="s">
        <v>13</v>
      </c>
      <c r="C7" s="383">
        <v>3</v>
      </c>
      <c r="D7" s="386"/>
    </row>
    <row r="8" customHeight="1" spans="1:4">
      <c r="A8" s="383" t="s">
        <v>14</v>
      </c>
      <c r="B8" s="386" t="s">
        <v>15</v>
      </c>
      <c r="C8" s="383">
        <v>6</v>
      </c>
      <c r="D8" s="386"/>
    </row>
    <row r="9" customHeight="1" spans="1:4">
      <c r="A9" s="383" t="s">
        <v>8</v>
      </c>
      <c r="B9" s="386" t="s">
        <v>16</v>
      </c>
      <c r="C9" s="383">
        <v>2</v>
      </c>
      <c r="D9" s="386"/>
    </row>
    <row r="10" customHeight="1" spans="1:4">
      <c r="A10" s="383" t="s">
        <v>9</v>
      </c>
      <c r="B10" s="386" t="s">
        <v>17</v>
      </c>
      <c r="C10" s="383">
        <v>6</v>
      </c>
      <c r="D10" s="386"/>
    </row>
    <row r="11" customHeight="1" spans="1:4">
      <c r="A11" s="383" t="s">
        <v>18</v>
      </c>
      <c r="B11" s="386" t="s">
        <v>19</v>
      </c>
      <c r="C11" s="383">
        <v>12</v>
      </c>
      <c r="D11" s="386"/>
    </row>
    <row r="12" s="382" customFormat="1" customHeight="1" spans="1:4">
      <c r="A12" s="383" t="s">
        <v>20</v>
      </c>
      <c r="B12" s="386" t="s">
        <v>21</v>
      </c>
      <c r="C12" s="383">
        <v>2</v>
      </c>
      <c r="D12" s="386"/>
    </row>
    <row r="13" customHeight="1" spans="1:4">
      <c r="A13" s="383" t="s">
        <v>22</v>
      </c>
      <c r="B13" s="386" t="s">
        <v>21</v>
      </c>
      <c r="C13" s="383">
        <v>2</v>
      </c>
      <c r="D13" s="386"/>
    </row>
    <row r="14" s="382" customFormat="1" customHeight="1" spans="1:4">
      <c r="A14" s="383" t="s">
        <v>23</v>
      </c>
      <c r="B14" s="386" t="s">
        <v>24</v>
      </c>
      <c r="C14" s="383">
        <v>2</v>
      </c>
      <c r="D14" s="386"/>
    </row>
    <row r="15" customHeight="1" spans="1:4">
      <c r="A15" s="383" t="s">
        <v>25</v>
      </c>
      <c r="B15" s="386" t="s">
        <v>24</v>
      </c>
      <c r="C15" s="383">
        <v>2</v>
      </c>
      <c r="D15" s="386"/>
    </row>
    <row r="16" customHeight="1" spans="1:4">
      <c r="A16" s="383" t="s">
        <v>26</v>
      </c>
      <c r="B16" s="386" t="s">
        <v>27</v>
      </c>
      <c r="C16" s="383">
        <v>2</v>
      </c>
      <c r="D16" s="386"/>
    </row>
    <row r="17" customHeight="1" spans="1:4">
      <c r="A17" s="383" t="s">
        <v>28</v>
      </c>
      <c r="B17" s="386" t="s">
        <v>29</v>
      </c>
      <c r="C17" s="383">
        <v>2</v>
      </c>
      <c r="D17" s="386"/>
    </row>
    <row r="18" customHeight="1" spans="1:4">
      <c r="A18" s="383" t="s">
        <v>30</v>
      </c>
      <c r="B18" s="386" t="s">
        <v>31</v>
      </c>
      <c r="C18" s="383">
        <v>2</v>
      </c>
      <c r="D18" s="386"/>
    </row>
    <row r="19" customHeight="1" spans="1:4">
      <c r="A19" s="383" t="s">
        <v>32</v>
      </c>
      <c r="B19" s="386" t="s">
        <v>33</v>
      </c>
      <c r="C19" s="383">
        <v>2</v>
      </c>
      <c r="D19" s="386"/>
    </row>
    <row r="20" customHeight="1" spans="1:4">
      <c r="A20" s="383" t="s">
        <v>34</v>
      </c>
      <c r="B20" s="386" t="s">
        <v>35</v>
      </c>
      <c r="C20" s="383">
        <v>12</v>
      </c>
      <c r="D20" s="386"/>
    </row>
    <row r="21" customHeight="1" spans="1:4">
      <c r="A21" s="383" t="s">
        <v>36</v>
      </c>
      <c r="B21" s="386" t="s">
        <v>19</v>
      </c>
      <c r="C21" s="383">
        <v>12</v>
      </c>
      <c r="D21" s="386"/>
    </row>
    <row r="22" customHeight="1" spans="1:4">
      <c r="A22" s="383" t="s">
        <v>37</v>
      </c>
      <c r="B22" s="386" t="s">
        <v>38</v>
      </c>
      <c r="C22" s="383">
        <v>8</v>
      </c>
      <c r="D22" s="386"/>
    </row>
    <row r="23" s="382" customFormat="1" customHeight="1" spans="1:4">
      <c r="A23" s="383" t="s">
        <v>39</v>
      </c>
      <c r="B23" s="386" t="s">
        <v>40</v>
      </c>
      <c r="C23" s="383">
        <v>2</v>
      </c>
      <c r="D23" s="386"/>
    </row>
    <row r="24" s="383" customFormat="1" customHeight="1" spans="1:4">
      <c r="A24" s="383" t="s">
        <v>41</v>
      </c>
      <c r="B24" s="117" t="s">
        <v>42</v>
      </c>
      <c r="C24" s="383">
        <v>12</v>
      </c>
    </row>
    <row r="25" s="383" customFormat="1" customHeight="1" spans="1:4">
      <c r="A25" s="383" t="s">
        <v>43</v>
      </c>
      <c r="B25" s="117" t="s">
        <v>44</v>
      </c>
      <c r="C25" s="383">
        <v>12</v>
      </c>
    </row>
    <row r="26" s="383" customFormat="1" customHeight="1" spans="1:4">
      <c r="A26" s="383" t="s">
        <v>45</v>
      </c>
      <c r="B26" s="117" t="s">
        <v>46</v>
      </c>
      <c r="C26" s="383">
        <v>12</v>
      </c>
    </row>
    <row r="27" s="383" customFormat="1" customHeight="1" spans="1:4">
      <c r="A27" s="383" t="s">
        <v>47</v>
      </c>
      <c r="B27" s="117" t="s">
        <v>48</v>
      </c>
      <c r="C27" s="383">
        <v>12</v>
      </c>
    </row>
    <row r="28" s="383" customFormat="1" customHeight="1" spans="1:4">
      <c r="A28" s="383" t="s">
        <v>49</v>
      </c>
      <c r="B28" s="117" t="s">
        <v>50</v>
      </c>
      <c r="C28" s="383">
        <v>12</v>
      </c>
    </row>
    <row r="29" s="383" customFormat="1" customHeight="1" spans="1:4">
      <c r="A29" s="383" t="s">
        <v>51</v>
      </c>
      <c r="B29" s="117" t="s">
        <v>52</v>
      </c>
      <c r="C29" s="383">
        <v>12</v>
      </c>
    </row>
    <row r="30" s="383" customFormat="1" customHeight="1"/>
    <row r="31" s="383" customFormat="1" customHeight="1"/>
    <row r="32" s="383" customFormat="1" customHeight="1"/>
    <row r="33" s="383" customFormat="1" customHeight="1"/>
    <row r="34" s="383" customFormat="1" customHeight="1"/>
    <row r="35" s="383" customFormat="1" customHeight="1"/>
    <row r="36" s="383" customFormat="1" customHeight="1"/>
    <row r="37" s="383" customFormat="1" customHeight="1"/>
  </sheetData>
  <sheetProtection formatCells="0" formatColumns="0" formatRows="0" insertRows="0" insertColumns="0" insertHyperlinks="0" deleteColumns="0" deleteRows="0" sort="0" autoFilter="0" pivotTables="0"/>
  <autoFilter xmlns:etc="http://www.wps.cn/officeDocument/2017/etCustomData" ref="A1:D29" etc:filterBottomFollowUsedRange="0">
    <extLst/>
  </autoFilter>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BB116"/>
  <sheetViews>
    <sheetView workbookViewId="0">
      <pane xSplit="8" ySplit="2" topLeftCell="J89" activePane="bottomRight" state="frozen"/>
      <selection/>
      <selection pane="topRight"/>
      <selection pane="bottomLeft"/>
      <selection pane="bottomRight" activeCell="A102" sqref="$A102:$XFD108"/>
    </sheetView>
  </sheetViews>
  <sheetFormatPr defaultColWidth="9" defaultRowHeight="25" customHeight="1"/>
  <cols>
    <col min="1" max="1" width="12.625" style="339" customWidth="1"/>
    <col min="2" max="2" width="10.625" style="116" customWidth="1"/>
    <col min="3" max="3" width="12.625" style="339" customWidth="1"/>
    <col min="4" max="4" width="12.625" style="116" customWidth="1"/>
    <col min="5" max="6" width="10.6" style="116" customWidth="1"/>
    <col min="7" max="7" width="6.625" style="340" customWidth="1"/>
    <col min="8" max="8" width="12.625" style="339" customWidth="1"/>
    <col min="9" max="18" width="8.625" style="114" customWidth="1"/>
    <col min="19" max="19" width="9.875" style="114" customWidth="1"/>
    <col min="20" max="21" width="8.625" style="114" customWidth="1"/>
    <col min="22" max="22" width="9.875" style="114" customWidth="1"/>
    <col min="23" max="23" width="9.8" style="114" customWidth="1"/>
    <col min="24" max="27" width="8.625" style="114" customWidth="1"/>
    <col min="28" max="38" width="8.6" style="341" customWidth="1"/>
    <col min="39" max="49" width="8.625" style="114" customWidth="1"/>
    <col min="50" max="50" width="8.6" style="341" customWidth="1"/>
    <col min="51" max="52" width="12.6" style="114" customWidth="1"/>
    <col min="53" max="54" width="8.625" style="116" customWidth="1"/>
    <col min="55" max="55" width="9" style="342" customWidth="1"/>
    <col min="56" max="16384" width="9" style="342"/>
  </cols>
  <sheetData>
    <row r="1" s="114" customFormat="1" customHeight="1" spans="1:54">
      <c r="A1" s="343" t="s">
        <v>53</v>
      </c>
      <c r="B1" s="82" t="s">
        <v>54</v>
      </c>
      <c r="C1" s="82" t="s">
        <v>55</v>
      </c>
      <c r="D1" s="82" t="s">
        <v>56</v>
      </c>
      <c r="E1" s="344" t="s">
        <v>57</v>
      </c>
      <c r="F1" s="82" t="s">
        <v>58</v>
      </c>
      <c r="G1" s="345" t="s">
        <v>59</v>
      </c>
      <c r="H1" s="343" t="s">
        <v>60</v>
      </c>
      <c r="I1" s="238" t="s">
        <v>6</v>
      </c>
      <c r="J1" s="238" t="s">
        <v>14</v>
      </c>
      <c r="K1" s="87" t="s">
        <v>8</v>
      </c>
      <c r="L1" s="238" t="s">
        <v>4</v>
      </c>
      <c r="M1" s="87" t="s">
        <v>18</v>
      </c>
      <c r="N1" s="87" t="s">
        <v>36</v>
      </c>
      <c r="O1" s="87" t="s">
        <v>11</v>
      </c>
      <c r="P1" s="271" t="s">
        <v>61</v>
      </c>
      <c r="Q1" s="124" t="s">
        <v>62</v>
      </c>
      <c r="R1" s="346"/>
      <c r="S1" s="346"/>
      <c r="T1" s="346"/>
      <c r="U1" s="346"/>
      <c r="V1" s="346" t="s">
        <v>25</v>
      </c>
      <c r="W1" s="346"/>
      <c r="X1" s="346" t="s">
        <v>22</v>
      </c>
      <c r="Y1" s="87" t="s">
        <v>26</v>
      </c>
      <c r="Z1" s="87" t="s">
        <v>28</v>
      </c>
      <c r="AA1" s="87" t="s">
        <v>30</v>
      </c>
      <c r="AB1" s="347" t="s">
        <v>63</v>
      </c>
      <c r="AC1" s="347"/>
      <c r="AD1" s="347"/>
      <c r="AE1" s="347"/>
      <c r="AF1" s="348" t="s">
        <v>64</v>
      </c>
      <c r="AG1" s="348"/>
      <c r="AH1" s="348"/>
      <c r="AI1" s="348"/>
      <c r="AJ1" s="348"/>
      <c r="AK1" s="348"/>
      <c r="AL1" s="348"/>
      <c r="AM1" s="271" t="s">
        <v>39</v>
      </c>
      <c r="AN1" s="349"/>
      <c r="AO1" s="87" t="s">
        <v>41</v>
      </c>
      <c r="AP1" s="87" t="s">
        <v>43</v>
      </c>
      <c r="AQ1" s="87" t="s">
        <v>45</v>
      </c>
      <c r="AR1" s="87" t="s">
        <v>47</v>
      </c>
      <c r="AS1" s="87" t="s">
        <v>49</v>
      </c>
      <c r="AT1" s="87" t="s">
        <v>51</v>
      </c>
      <c r="AU1" s="87"/>
      <c r="AV1" s="87"/>
      <c r="AW1" s="87"/>
      <c r="AX1" s="348" t="s">
        <v>65</v>
      </c>
      <c r="AY1" s="350" t="s">
        <v>66</v>
      </c>
      <c r="AZ1" s="350" t="s">
        <v>67</v>
      </c>
      <c r="BA1" s="114" t="s">
        <v>54</v>
      </c>
      <c r="BB1" s="114" t="str">
        <f>C1</f>
        <v>客户</v>
      </c>
    </row>
    <row r="2" s="114" customFormat="1" customHeight="1" spans="1:54">
      <c r="A2" s="343"/>
      <c r="B2" s="82"/>
      <c r="C2" s="82"/>
      <c r="D2" s="82"/>
      <c r="E2" s="344"/>
      <c r="F2" s="82"/>
      <c r="G2" s="345"/>
      <c r="H2" s="343"/>
      <c r="I2" s="351" t="s">
        <v>16</v>
      </c>
      <c r="J2" s="351" t="s">
        <v>16</v>
      </c>
      <c r="K2" s="238" t="s">
        <v>16</v>
      </c>
      <c r="L2" s="238" t="s">
        <v>68</v>
      </c>
      <c r="M2" s="87" t="s">
        <v>69</v>
      </c>
      <c r="N2" s="87" t="s">
        <v>69</v>
      </c>
      <c r="O2" s="271" t="s">
        <v>17</v>
      </c>
      <c r="P2" s="352"/>
      <c r="Q2" s="87" t="s">
        <v>70</v>
      </c>
      <c r="R2" s="87" t="s">
        <v>71</v>
      </c>
      <c r="S2" s="87" t="s">
        <v>72</v>
      </c>
      <c r="T2" s="87" t="s">
        <v>73</v>
      </c>
      <c r="U2" s="87" t="s">
        <v>74</v>
      </c>
      <c r="V2" s="87" t="s">
        <v>75</v>
      </c>
      <c r="W2" s="87" t="s">
        <v>76</v>
      </c>
      <c r="X2" s="87" t="s">
        <v>77</v>
      </c>
      <c r="Y2" s="87" t="s">
        <v>78</v>
      </c>
      <c r="Z2" s="87" t="s">
        <v>79</v>
      </c>
      <c r="AA2" s="87" t="s">
        <v>80</v>
      </c>
      <c r="AB2" s="87" t="s">
        <v>81</v>
      </c>
      <c r="AC2" s="87" t="s">
        <v>82</v>
      </c>
      <c r="AD2" s="87" t="s">
        <v>83</v>
      </c>
      <c r="AE2" s="87" t="s">
        <v>84</v>
      </c>
      <c r="AF2" s="126" t="s">
        <v>85</v>
      </c>
      <c r="AG2" s="126" t="s">
        <v>86</v>
      </c>
      <c r="AH2" s="126" t="s">
        <v>87</v>
      </c>
      <c r="AI2" s="126" t="s">
        <v>88</v>
      </c>
      <c r="AJ2" s="126" t="s">
        <v>89</v>
      </c>
      <c r="AK2" s="126" t="s">
        <v>90</v>
      </c>
      <c r="AL2" s="126" t="s">
        <v>91</v>
      </c>
      <c r="AM2" s="126" t="s">
        <v>92</v>
      </c>
      <c r="AN2" s="126" t="s">
        <v>93</v>
      </c>
      <c r="AO2" s="87" t="s">
        <v>94</v>
      </c>
      <c r="AP2" s="87" t="s">
        <v>95</v>
      </c>
      <c r="AQ2" s="87" t="s">
        <v>96</v>
      </c>
      <c r="AR2" s="87" t="s">
        <v>97</v>
      </c>
      <c r="AS2" s="87" t="s">
        <v>98</v>
      </c>
      <c r="AT2" s="87" t="s">
        <v>99</v>
      </c>
      <c r="AU2" s="87"/>
      <c r="AV2" s="87"/>
      <c r="AW2" s="87"/>
      <c r="AX2" s="348"/>
      <c r="AY2" s="350"/>
      <c r="AZ2" s="350"/>
    </row>
    <row r="3" s="234" customFormat="1" hidden="1" customHeight="1" spans="1:54">
      <c r="A3" s="239">
        <v>45967</v>
      </c>
      <c r="B3" s="241" t="s">
        <v>100</v>
      </c>
      <c r="C3" s="239" t="s">
        <v>101</v>
      </c>
      <c r="D3" s="241" t="s">
        <v>102</v>
      </c>
      <c r="E3" s="240" t="s">
        <v>103</v>
      </c>
      <c r="F3" s="240" t="s">
        <v>18</v>
      </c>
      <c r="G3" s="353">
        <v>1680</v>
      </c>
      <c r="H3" s="239">
        <v>46021</v>
      </c>
      <c r="I3" s="240"/>
      <c r="J3" s="240"/>
      <c r="K3" s="241"/>
      <c r="L3" s="241"/>
      <c r="M3" s="241">
        <f>G3</f>
        <v>1680</v>
      </c>
      <c r="N3" s="241"/>
      <c r="O3" s="241"/>
      <c r="P3" s="241"/>
      <c r="Q3" s="241"/>
      <c r="R3" s="241"/>
      <c r="S3" s="241"/>
      <c r="T3" s="241"/>
      <c r="U3" s="241"/>
      <c r="V3" s="241"/>
      <c r="W3" s="241"/>
      <c r="X3" s="241"/>
      <c r="Y3" s="241"/>
      <c r="Z3" s="241"/>
      <c r="AA3" s="241"/>
      <c r="AB3" s="250"/>
      <c r="AC3" s="250"/>
      <c r="AD3" s="250"/>
      <c r="AE3" s="250"/>
      <c r="AF3" s="250"/>
      <c r="AG3" s="250"/>
      <c r="AH3" s="250"/>
      <c r="AI3" s="250"/>
      <c r="AJ3" s="250"/>
      <c r="AK3" s="250"/>
      <c r="AL3" s="250"/>
      <c r="AM3" s="241"/>
      <c r="AN3" s="241"/>
      <c r="AO3" s="241"/>
      <c r="AP3" s="241"/>
      <c r="AQ3" s="241"/>
      <c r="AR3" s="241"/>
      <c r="AS3" s="241"/>
      <c r="AT3" s="241"/>
      <c r="AU3" s="241"/>
      <c r="AV3" s="241"/>
      <c r="AW3" s="241"/>
      <c r="AX3" s="250">
        <v>2.1</v>
      </c>
      <c r="AY3" s="354">
        <f>SUM(I3:AW3)*AX3</f>
        <v>3528</v>
      </c>
      <c r="AZ3" s="354">
        <f t="shared" ref="AZ3:AZ13" si="0">AY3*7.75</f>
        <v>27342</v>
      </c>
      <c r="BA3" s="355" t="str">
        <f>B3</f>
        <v>越南</v>
      </c>
      <c r="BB3" s="355" t="str">
        <f>C3</f>
        <v>Viet Tinh Anh Joint Stock Company</v>
      </c>
    </row>
    <row r="4" s="234" customFormat="1" hidden="1" customHeight="1" spans="1:54">
      <c r="A4" s="239">
        <v>45981</v>
      </c>
      <c r="B4" s="241" t="s">
        <v>104</v>
      </c>
      <c r="C4" s="239" t="s">
        <v>105</v>
      </c>
      <c r="D4" s="241" t="s">
        <v>106</v>
      </c>
      <c r="E4" s="240" t="s">
        <v>107</v>
      </c>
      <c r="F4" s="240" t="s">
        <v>22</v>
      </c>
      <c r="G4" s="353">
        <v>800</v>
      </c>
      <c r="H4" s="239">
        <v>46047</v>
      </c>
      <c r="I4" s="240"/>
      <c r="J4" s="240"/>
      <c r="K4" s="241"/>
      <c r="L4" s="241"/>
      <c r="M4" s="241"/>
      <c r="N4" s="241"/>
      <c r="O4" s="241"/>
      <c r="P4" s="241"/>
      <c r="Q4" s="241"/>
      <c r="R4" s="241"/>
      <c r="S4" s="241"/>
      <c r="T4" s="241"/>
      <c r="U4" s="241"/>
      <c r="V4" s="241"/>
      <c r="W4" s="241"/>
      <c r="X4" s="241">
        <f>G4</f>
        <v>800</v>
      </c>
      <c r="Y4" s="241"/>
      <c r="Z4" s="241"/>
      <c r="AA4" s="241"/>
      <c r="AB4" s="250"/>
      <c r="AC4" s="250"/>
      <c r="AD4" s="250"/>
      <c r="AE4" s="250"/>
      <c r="AF4" s="250"/>
      <c r="AG4" s="250"/>
      <c r="AH4" s="250"/>
      <c r="AI4" s="250"/>
      <c r="AJ4" s="250"/>
      <c r="AK4" s="250"/>
      <c r="AL4" s="250"/>
      <c r="AM4" s="241"/>
      <c r="AN4" s="241"/>
      <c r="AO4" s="241"/>
      <c r="AP4" s="241"/>
      <c r="AQ4" s="241"/>
      <c r="AR4" s="241"/>
      <c r="AS4" s="241"/>
      <c r="AT4" s="241"/>
      <c r="AU4" s="241"/>
      <c r="AV4" s="241"/>
      <c r="AW4" s="241"/>
      <c r="AX4" s="250">
        <v>6.2</v>
      </c>
      <c r="AY4" s="354">
        <f t="shared" ref="AY4:AY52" si="1">SUM(I4:AW4)*AX4</f>
        <v>4960</v>
      </c>
      <c r="AZ4" s="354">
        <f t="shared" si="0"/>
        <v>38440</v>
      </c>
      <c r="BA4" s="355" t="str">
        <f t="shared" ref="BA4:BA28" si="2">B4</f>
        <v>乌克兰</v>
      </c>
      <c r="BB4" s="355" t="str">
        <f t="shared" ref="BB4:BB21" si="3">C4</f>
        <v>AMIGO &amp; F Ltd</v>
      </c>
    </row>
    <row r="5" s="234" customFormat="1" hidden="1" customHeight="1" spans="1:54">
      <c r="A5" s="239">
        <v>45981</v>
      </c>
      <c r="B5" s="240" t="s">
        <v>104</v>
      </c>
      <c r="C5" s="239" t="s">
        <v>105</v>
      </c>
      <c r="D5" s="241" t="s">
        <v>106</v>
      </c>
      <c r="E5" s="240" t="s">
        <v>107</v>
      </c>
      <c r="F5" s="240" t="s">
        <v>25</v>
      </c>
      <c r="G5" s="353">
        <v>800</v>
      </c>
      <c r="H5" s="239">
        <v>46047</v>
      </c>
      <c r="I5" s="240"/>
      <c r="J5" s="240"/>
      <c r="K5" s="241"/>
      <c r="L5" s="241"/>
      <c r="M5" s="241"/>
      <c r="N5" s="241"/>
      <c r="O5" s="241"/>
      <c r="P5" s="241"/>
      <c r="Q5" s="241"/>
      <c r="R5" s="241"/>
      <c r="S5" s="241"/>
      <c r="T5" s="241"/>
      <c r="U5" s="241"/>
      <c r="V5" s="241">
        <f>G5</f>
        <v>800</v>
      </c>
      <c r="W5" s="241"/>
      <c r="X5" s="241"/>
      <c r="Y5" s="241"/>
      <c r="Z5" s="241"/>
      <c r="AA5" s="241"/>
      <c r="AB5" s="250"/>
      <c r="AC5" s="250"/>
      <c r="AD5" s="250"/>
      <c r="AE5" s="250"/>
      <c r="AF5" s="250"/>
      <c r="AG5" s="250"/>
      <c r="AH5" s="250"/>
      <c r="AI5" s="250"/>
      <c r="AJ5" s="250"/>
      <c r="AK5" s="250"/>
      <c r="AL5" s="250"/>
      <c r="AM5" s="241"/>
      <c r="AN5" s="241"/>
      <c r="AO5" s="241"/>
      <c r="AP5" s="241"/>
      <c r="AQ5" s="241"/>
      <c r="AR5" s="241"/>
      <c r="AS5" s="241"/>
      <c r="AT5" s="241"/>
      <c r="AU5" s="241"/>
      <c r="AV5" s="241"/>
      <c r="AW5" s="241"/>
      <c r="AX5" s="250">
        <v>6.5</v>
      </c>
      <c r="AY5" s="354">
        <f t="shared" si="1"/>
        <v>5200</v>
      </c>
      <c r="AZ5" s="354">
        <f t="shared" si="0"/>
        <v>40300</v>
      </c>
      <c r="BA5" s="355" t="str">
        <f t="shared" si="2"/>
        <v>乌克兰</v>
      </c>
      <c r="BB5" s="355" t="str">
        <f t="shared" si="3"/>
        <v>AMIGO &amp; F Ltd</v>
      </c>
    </row>
    <row r="6" s="234" customFormat="1" hidden="1" customHeight="1" spans="1:54">
      <c r="A6" s="239">
        <v>45986</v>
      </c>
      <c r="B6" s="241" t="s">
        <v>108</v>
      </c>
      <c r="C6" s="239" t="s">
        <v>109</v>
      </c>
      <c r="D6" s="241" t="s">
        <v>110</v>
      </c>
      <c r="E6" s="240" t="s">
        <v>111</v>
      </c>
      <c r="F6" s="240" t="s">
        <v>22</v>
      </c>
      <c r="G6" s="353">
        <v>2304</v>
      </c>
      <c r="H6" s="239">
        <v>46047</v>
      </c>
      <c r="I6" s="240"/>
      <c r="J6" s="240"/>
      <c r="K6" s="241"/>
      <c r="L6" s="241"/>
      <c r="M6" s="241"/>
      <c r="N6" s="241"/>
      <c r="O6" s="241"/>
      <c r="P6" s="241"/>
      <c r="Q6" s="241"/>
      <c r="R6" s="241"/>
      <c r="S6" s="241"/>
      <c r="T6" s="241"/>
      <c r="U6" s="241"/>
      <c r="V6" s="241"/>
      <c r="W6" s="241"/>
      <c r="X6" s="241">
        <f>G6</f>
        <v>2304</v>
      </c>
      <c r="Y6" s="241"/>
      <c r="Z6" s="241"/>
      <c r="AA6" s="241"/>
      <c r="AB6" s="250"/>
      <c r="AC6" s="250"/>
      <c r="AD6" s="250"/>
      <c r="AE6" s="250"/>
      <c r="AF6" s="250"/>
      <c r="AG6" s="250"/>
      <c r="AH6" s="250"/>
      <c r="AI6" s="250"/>
      <c r="AJ6" s="250"/>
      <c r="AK6" s="250"/>
      <c r="AL6" s="250"/>
      <c r="AM6" s="241"/>
      <c r="AN6" s="241"/>
      <c r="AO6" s="241"/>
      <c r="AP6" s="241"/>
      <c r="AQ6" s="241"/>
      <c r="AR6" s="241"/>
      <c r="AS6" s="241"/>
      <c r="AT6" s="241"/>
      <c r="AU6" s="241"/>
      <c r="AV6" s="241"/>
      <c r="AW6" s="241"/>
      <c r="AX6" s="250">
        <v>6.2</v>
      </c>
      <c r="AY6" s="354">
        <f t="shared" si="1"/>
        <v>14284.8</v>
      </c>
      <c r="AZ6" s="354">
        <f t="shared" si="0"/>
        <v>110707.2</v>
      </c>
      <c r="BA6" s="355" t="str">
        <f t="shared" si="2"/>
        <v>美国</v>
      </c>
      <c r="BB6" s="355" t="str">
        <f t="shared" si="3"/>
        <v>Monster Group LLC</v>
      </c>
    </row>
    <row r="7" s="234" customFormat="1" hidden="1" customHeight="1" spans="1:54">
      <c r="A7" s="239">
        <v>45986</v>
      </c>
      <c r="B7" s="240" t="s">
        <v>108</v>
      </c>
      <c r="C7" s="239" t="s">
        <v>109</v>
      </c>
      <c r="D7" s="241" t="s">
        <v>110</v>
      </c>
      <c r="E7" s="240" t="s">
        <v>111</v>
      </c>
      <c r="F7" s="240" t="s">
        <v>25</v>
      </c>
      <c r="G7" s="353">
        <v>2304</v>
      </c>
      <c r="H7" s="239">
        <v>46047</v>
      </c>
      <c r="I7" s="240"/>
      <c r="J7" s="240"/>
      <c r="K7" s="241"/>
      <c r="L7" s="241"/>
      <c r="M7" s="241"/>
      <c r="N7" s="241"/>
      <c r="O7" s="241"/>
      <c r="P7" s="241"/>
      <c r="Q7" s="241"/>
      <c r="R7" s="241"/>
      <c r="S7" s="241"/>
      <c r="T7" s="241"/>
      <c r="U7" s="241"/>
      <c r="V7" s="241">
        <f>G7</f>
        <v>2304</v>
      </c>
      <c r="W7" s="241"/>
      <c r="X7" s="241"/>
      <c r="Y7" s="241"/>
      <c r="Z7" s="241"/>
      <c r="AA7" s="241"/>
      <c r="AB7" s="250"/>
      <c r="AC7" s="250"/>
      <c r="AD7" s="250"/>
      <c r="AE7" s="250"/>
      <c r="AF7" s="250"/>
      <c r="AG7" s="250"/>
      <c r="AH7" s="250"/>
      <c r="AI7" s="250"/>
      <c r="AJ7" s="250"/>
      <c r="AK7" s="250"/>
      <c r="AL7" s="250"/>
      <c r="AM7" s="241"/>
      <c r="AN7" s="241"/>
      <c r="AO7" s="241"/>
      <c r="AP7" s="241"/>
      <c r="AQ7" s="241"/>
      <c r="AR7" s="241"/>
      <c r="AS7" s="241"/>
      <c r="AT7" s="241"/>
      <c r="AU7" s="241"/>
      <c r="AV7" s="241"/>
      <c r="AW7" s="241"/>
      <c r="AX7" s="250">
        <v>6.5</v>
      </c>
      <c r="AY7" s="354">
        <f t="shared" si="1"/>
        <v>14976</v>
      </c>
      <c r="AZ7" s="354">
        <f t="shared" ref="AZ7:AZ70" si="4">AY7*7.75</f>
        <v>116064</v>
      </c>
      <c r="BA7" s="355" t="str">
        <f t="shared" si="2"/>
        <v>美国</v>
      </c>
      <c r="BB7" s="355" t="str">
        <f t="shared" si="3"/>
        <v>Monster Group LLC</v>
      </c>
    </row>
    <row r="8" s="234" customFormat="1" hidden="1" customHeight="1" spans="1:54">
      <c r="A8" s="239">
        <v>45986</v>
      </c>
      <c r="B8" s="241" t="s">
        <v>108</v>
      </c>
      <c r="C8" s="239" t="s">
        <v>109</v>
      </c>
      <c r="D8" s="241" t="s">
        <v>110</v>
      </c>
      <c r="E8" s="240" t="s">
        <v>112</v>
      </c>
      <c r="F8" s="240" t="s">
        <v>22</v>
      </c>
      <c r="G8" s="356">
        <v>2500</v>
      </c>
      <c r="H8" s="239">
        <v>46086</v>
      </c>
      <c r="I8" s="240"/>
      <c r="J8" s="240"/>
      <c r="K8" s="241"/>
      <c r="L8" s="241"/>
      <c r="M8" s="241"/>
      <c r="N8" s="241"/>
      <c r="O8" s="241"/>
      <c r="P8" s="241"/>
      <c r="Q8" s="241"/>
      <c r="R8" s="241"/>
      <c r="S8" s="241"/>
      <c r="T8" s="241"/>
      <c r="U8" s="241"/>
      <c r="V8" s="241"/>
      <c r="W8" s="241"/>
      <c r="X8" s="241">
        <f>G8</f>
        <v>2500</v>
      </c>
      <c r="Y8" s="241"/>
      <c r="Z8" s="241"/>
      <c r="AA8" s="241"/>
      <c r="AB8" s="250"/>
      <c r="AC8" s="250"/>
      <c r="AD8" s="250"/>
      <c r="AE8" s="250"/>
      <c r="AF8" s="250"/>
      <c r="AG8" s="250"/>
      <c r="AH8" s="250"/>
      <c r="AI8" s="250"/>
      <c r="AJ8" s="250"/>
      <c r="AK8" s="250"/>
      <c r="AL8" s="250"/>
      <c r="AM8" s="241"/>
      <c r="AN8" s="241"/>
      <c r="AO8" s="241"/>
      <c r="AP8" s="241"/>
      <c r="AQ8" s="241"/>
      <c r="AR8" s="241"/>
      <c r="AS8" s="241"/>
      <c r="AT8" s="241"/>
      <c r="AU8" s="241"/>
      <c r="AV8" s="241"/>
      <c r="AW8" s="241"/>
      <c r="AX8" s="250">
        <v>6.2</v>
      </c>
      <c r="AY8" s="354">
        <f t="shared" si="1"/>
        <v>15500</v>
      </c>
      <c r="AZ8" s="354">
        <f t="shared" si="4"/>
        <v>120125</v>
      </c>
      <c r="BA8" s="355" t="str">
        <f t="shared" si="2"/>
        <v>美国</v>
      </c>
      <c r="BB8" s="355" t="str">
        <f t="shared" si="3"/>
        <v>Monster Group LLC</v>
      </c>
    </row>
    <row r="9" s="234" customFormat="1" hidden="1" customHeight="1" spans="1:54">
      <c r="A9" s="239">
        <v>45986</v>
      </c>
      <c r="B9" s="240" t="s">
        <v>108</v>
      </c>
      <c r="C9" s="239" t="s">
        <v>109</v>
      </c>
      <c r="D9" s="241" t="s">
        <v>110</v>
      </c>
      <c r="E9" s="240" t="s">
        <v>112</v>
      </c>
      <c r="F9" s="240" t="s">
        <v>25</v>
      </c>
      <c r="G9" s="356">
        <v>2500</v>
      </c>
      <c r="H9" s="239">
        <v>46086</v>
      </c>
      <c r="I9" s="240"/>
      <c r="J9" s="240"/>
      <c r="K9" s="241"/>
      <c r="L9" s="241"/>
      <c r="M9" s="241"/>
      <c r="N9" s="241"/>
      <c r="O9" s="241"/>
      <c r="P9" s="241"/>
      <c r="Q9" s="241"/>
      <c r="R9" s="241"/>
      <c r="S9" s="241"/>
      <c r="T9" s="241"/>
      <c r="U9" s="241"/>
      <c r="V9" s="241">
        <f>G9</f>
        <v>2500</v>
      </c>
      <c r="W9" s="241"/>
      <c r="X9" s="241"/>
      <c r="Y9" s="241"/>
      <c r="Z9" s="241"/>
      <c r="AA9" s="241"/>
      <c r="AB9" s="250"/>
      <c r="AC9" s="250"/>
      <c r="AD9" s="250"/>
      <c r="AE9" s="250"/>
      <c r="AF9" s="250"/>
      <c r="AG9" s="250"/>
      <c r="AH9" s="250"/>
      <c r="AI9" s="250"/>
      <c r="AJ9" s="250"/>
      <c r="AK9" s="250"/>
      <c r="AL9" s="250"/>
      <c r="AM9" s="241"/>
      <c r="AN9" s="241"/>
      <c r="AO9" s="241"/>
      <c r="AP9" s="241"/>
      <c r="AQ9" s="241"/>
      <c r="AR9" s="241"/>
      <c r="AS9" s="241"/>
      <c r="AT9" s="241"/>
      <c r="AU9" s="241"/>
      <c r="AV9" s="241"/>
      <c r="AW9" s="241"/>
      <c r="AX9" s="250">
        <v>6.5</v>
      </c>
      <c r="AY9" s="354">
        <f t="shared" si="1"/>
        <v>16250</v>
      </c>
      <c r="AZ9" s="354">
        <f t="shared" si="4"/>
        <v>125937.5</v>
      </c>
      <c r="BA9" s="355" t="str">
        <f t="shared" si="2"/>
        <v>美国</v>
      </c>
      <c r="BB9" s="355" t="str">
        <f t="shared" si="3"/>
        <v>Monster Group LLC</v>
      </c>
    </row>
    <row r="10" s="234" customFormat="1" hidden="1" customHeight="1" spans="1:54">
      <c r="A10" s="239">
        <v>45989</v>
      </c>
      <c r="B10" s="241" t="s">
        <v>113</v>
      </c>
      <c r="C10" s="239" t="s">
        <v>114</v>
      </c>
      <c r="D10" s="241">
        <v>47895690</v>
      </c>
      <c r="E10" s="240" t="s">
        <v>115</v>
      </c>
      <c r="F10" s="240" t="s">
        <v>6</v>
      </c>
      <c r="G10" s="353">
        <v>1014</v>
      </c>
      <c r="H10" s="239">
        <v>46040</v>
      </c>
      <c r="I10" s="240">
        <f>G10</f>
        <v>1014</v>
      </c>
      <c r="J10" s="240"/>
      <c r="K10" s="241"/>
      <c r="L10" s="241"/>
      <c r="M10" s="241"/>
      <c r="N10" s="241"/>
      <c r="O10" s="241"/>
      <c r="P10" s="241"/>
      <c r="Q10" s="241"/>
      <c r="R10" s="241"/>
      <c r="S10" s="241"/>
      <c r="T10" s="241"/>
      <c r="U10" s="241"/>
      <c r="V10" s="241"/>
      <c r="W10" s="241"/>
      <c r="X10" s="241"/>
      <c r="Y10" s="241"/>
      <c r="Z10" s="241"/>
      <c r="AA10" s="241"/>
      <c r="AB10" s="250"/>
      <c r="AC10" s="250"/>
      <c r="AD10" s="250"/>
      <c r="AE10" s="250"/>
      <c r="AF10" s="250"/>
      <c r="AG10" s="250"/>
      <c r="AH10" s="250"/>
      <c r="AI10" s="250"/>
      <c r="AJ10" s="250"/>
      <c r="AK10" s="250"/>
      <c r="AL10" s="250"/>
      <c r="AM10" s="241"/>
      <c r="AN10" s="241"/>
      <c r="AO10" s="241"/>
      <c r="AP10" s="241"/>
      <c r="AQ10" s="241"/>
      <c r="AR10" s="241"/>
      <c r="AS10" s="241"/>
      <c r="AT10" s="241"/>
      <c r="AU10" s="241"/>
      <c r="AV10" s="241"/>
      <c r="AW10" s="241"/>
      <c r="AX10" s="250">
        <v>4.5</v>
      </c>
      <c r="AY10" s="354">
        <f t="shared" si="1"/>
        <v>4563</v>
      </c>
      <c r="AZ10" s="354">
        <f t="shared" si="4"/>
        <v>35363.25</v>
      </c>
      <c r="BA10" s="355" t="str">
        <f t="shared" si="2"/>
        <v>澳大利亚</v>
      </c>
      <c r="BB10" s="355" t="str">
        <f t="shared" si="3"/>
        <v>Woolworths Group Limited t/a Big W</v>
      </c>
    </row>
    <row r="11" s="234" customFormat="1" hidden="1" customHeight="1" spans="1:54">
      <c r="A11" s="239">
        <v>45989</v>
      </c>
      <c r="B11" s="241" t="s">
        <v>113</v>
      </c>
      <c r="C11" s="239" t="s">
        <v>114</v>
      </c>
      <c r="D11" s="241">
        <v>47896520</v>
      </c>
      <c r="E11" s="240" t="s">
        <v>116</v>
      </c>
      <c r="F11" s="240" t="s">
        <v>6</v>
      </c>
      <c r="G11" s="353">
        <v>624</v>
      </c>
      <c r="H11" s="239">
        <v>46040</v>
      </c>
      <c r="I11" s="240">
        <f>G11</f>
        <v>624</v>
      </c>
      <c r="J11" s="240"/>
      <c r="K11" s="241"/>
      <c r="L11" s="241"/>
      <c r="M11" s="241"/>
      <c r="N11" s="241"/>
      <c r="O11" s="241"/>
      <c r="P11" s="241"/>
      <c r="Q11" s="241"/>
      <c r="R11" s="241"/>
      <c r="S11" s="241"/>
      <c r="T11" s="241"/>
      <c r="U11" s="241"/>
      <c r="V11" s="241"/>
      <c r="W11" s="241"/>
      <c r="X11" s="241"/>
      <c r="Y11" s="241"/>
      <c r="Z11" s="241"/>
      <c r="AA11" s="241"/>
      <c r="AB11" s="250"/>
      <c r="AC11" s="250"/>
      <c r="AD11" s="250"/>
      <c r="AE11" s="250"/>
      <c r="AF11" s="250"/>
      <c r="AG11" s="250"/>
      <c r="AH11" s="250"/>
      <c r="AI11" s="250"/>
      <c r="AJ11" s="250"/>
      <c r="AK11" s="250"/>
      <c r="AL11" s="250"/>
      <c r="AM11" s="241"/>
      <c r="AN11" s="241"/>
      <c r="AO11" s="241"/>
      <c r="AP11" s="241"/>
      <c r="AQ11" s="241"/>
      <c r="AR11" s="241"/>
      <c r="AS11" s="241"/>
      <c r="AT11" s="241"/>
      <c r="AU11" s="241"/>
      <c r="AV11" s="241"/>
      <c r="AW11" s="241"/>
      <c r="AX11" s="250">
        <v>4.5</v>
      </c>
      <c r="AY11" s="354">
        <f t="shared" si="1"/>
        <v>2808</v>
      </c>
      <c r="AZ11" s="354">
        <f t="shared" si="4"/>
        <v>21762</v>
      </c>
      <c r="BA11" s="355" t="str">
        <f t="shared" si="2"/>
        <v>澳大利亚</v>
      </c>
      <c r="BB11" s="355" t="str">
        <f t="shared" si="3"/>
        <v>Woolworths Group Limited t/a Big W</v>
      </c>
    </row>
    <row r="12" s="234" customFormat="1" hidden="1" customHeight="1" spans="1:54">
      <c r="A12" s="239">
        <v>45993</v>
      </c>
      <c r="B12" s="241" t="s">
        <v>117</v>
      </c>
      <c r="C12" s="239" t="s">
        <v>118</v>
      </c>
      <c r="D12" s="241" t="s">
        <v>119</v>
      </c>
      <c r="E12" s="240" t="s">
        <v>120</v>
      </c>
      <c r="F12" s="240" t="s">
        <v>18</v>
      </c>
      <c r="G12" s="353">
        <v>1200</v>
      </c>
      <c r="H12" s="239">
        <v>46083</v>
      </c>
      <c r="I12" s="240"/>
      <c r="J12" s="240"/>
      <c r="K12" s="241"/>
      <c r="L12" s="241"/>
      <c r="M12" s="241">
        <f>G12</f>
        <v>1200</v>
      </c>
      <c r="N12" s="241"/>
      <c r="O12" s="241"/>
      <c r="P12" s="241"/>
      <c r="Q12" s="241"/>
      <c r="R12" s="241"/>
      <c r="S12" s="241"/>
      <c r="T12" s="241"/>
      <c r="U12" s="241"/>
      <c r="V12" s="241"/>
      <c r="W12" s="241"/>
      <c r="X12" s="241"/>
      <c r="Y12" s="241"/>
      <c r="Z12" s="241"/>
      <c r="AA12" s="241"/>
      <c r="AB12" s="250"/>
      <c r="AC12" s="250"/>
      <c r="AD12" s="250"/>
      <c r="AE12" s="250"/>
      <c r="AF12" s="250"/>
      <c r="AG12" s="250"/>
      <c r="AH12" s="250"/>
      <c r="AI12" s="250"/>
      <c r="AJ12" s="250"/>
      <c r="AK12" s="250"/>
      <c r="AL12" s="250"/>
      <c r="AM12" s="241"/>
      <c r="AN12" s="241"/>
      <c r="AO12" s="241"/>
      <c r="AP12" s="241"/>
      <c r="AQ12" s="241"/>
      <c r="AR12" s="241"/>
      <c r="AS12" s="241"/>
      <c r="AT12" s="241"/>
      <c r="AU12" s="241"/>
      <c r="AV12" s="241"/>
      <c r="AW12" s="241"/>
      <c r="AX12" s="250">
        <v>2.1</v>
      </c>
      <c r="AY12" s="354">
        <f t="shared" si="1"/>
        <v>2520</v>
      </c>
      <c r="AZ12" s="354">
        <f t="shared" si="4"/>
        <v>19530</v>
      </c>
      <c r="BA12" s="355" t="str">
        <f t="shared" si="2"/>
        <v>新加坡</v>
      </c>
      <c r="BB12" s="355" t="str">
        <f t="shared" si="3"/>
        <v>Sheng Tai Toys Pty Ltd</v>
      </c>
    </row>
    <row r="13" s="234" customFormat="1" hidden="1" customHeight="1" spans="1:54">
      <c r="A13" s="239">
        <v>45996</v>
      </c>
      <c r="B13" s="241" t="s">
        <v>121</v>
      </c>
      <c r="C13" s="239" t="s">
        <v>122</v>
      </c>
      <c r="D13" s="240" t="s">
        <v>123</v>
      </c>
      <c r="E13" s="240" t="s">
        <v>124</v>
      </c>
      <c r="F13" s="241" t="s">
        <v>18</v>
      </c>
      <c r="G13" s="356">
        <v>720</v>
      </c>
      <c r="H13" s="239">
        <v>46037</v>
      </c>
      <c r="I13" s="240"/>
      <c r="J13" s="240"/>
      <c r="K13" s="241"/>
      <c r="L13" s="241"/>
      <c r="M13" s="241">
        <f>G13</f>
        <v>720</v>
      </c>
      <c r="N13" s="241"/>
      <c r="O13" s="241"/>
      <c r="P13" s="241"/>
      <c r="Q13" s="241"/>
      <c r="R13" s="241"/>
      <c r="S13" s="241"/>
      <c r="T13" s="241"/>
      <c r="U13" s="241"/>
      <c r="V13" s="241"/>
      <c r="W13" s="241"/>
      <c r="X13" s="241"/>
      <c r="Y13" s="241"/>
      <c r="Z13" s="241"/>
      <c r="AA13" s="241"/>
      <c r="AB13" s="250"/>
      <c r="AC13" s="250"/>
      <c r="AD13" s="250"/>
      <c r="AE13" s="250"/>
      <c r="AF13" s="250"/>
      <c r="AG13" s="250"/>
      <c r="AH13" s="250"/>
      <c r="AI13" s="250"/>
      <c r="AJ13" s="250"/>
      <c r="AK13" s="250"/>
      <c r="AL13" s="250"/>
      <c r="AM13" s="241"/>
      <c r="AN13" s="241"/>
      <c r="AO13" s="241"/>
      <c r="AP13" s="241"/>
      <c r="AQ13" s="241"/>
      <c r="AR13" s="241"/>
      <c r="AS13" s="241"/>
      <c r="AT13" s="241"/>
      <c r="AU13" s="241"/>
      <c r="AV13" s="241"/>
      <c r="AW13" s="241"/>
      <c r="AX13" s="250">
        <v>2.1</v>
      </c>
      <c r="AY13" s="354">
        <f t="shared" si="1"/>
        <v>1512</v>
      </c>
      <c r="AZ13" s="354">
        <f t="shared" si="4"/>
        <v>11718</v>
      </c>
      <c r="BA13" s="355" t="str">
        <f t="shared" si="2"/>
        <v>香港</v>
      </c>
      <c r="BB13" s="355" t="str">
        <f t="shared" si="3"/>
        <v>Asia Goal Limited</v>
      </c>
    </row>
    <row r="14" s="234" customFormat="1" hidden="1" customHeight="1" spans="1:54">
      <c r="A14" s="239">
        <v>46010</v>
      </c>
      <c r="B14" s="241" t="s">
        <v>108</v>
      </c>
      <c r="C14" s="239" t="s">
        <v>109</v>
      </c>
      <c r="D14" s="241" t="s">
        <v>110</v>
      </c>
      <c r="E14" s="240" t="s">
        <v>125</v>
      </c>
      <c r="F14" s="240" t="s">
        <v>26</v>
      </c>
      <c r="G14" s="353">
        <v>4676</v>
      </c>
      <c r="H14" s="239">
        <v>46058</v>
      </c>
      <c r="I14" s="240"/>
      <c r="J14" s="241"/>
      <c r="K14" s="241"/>
      <c r="L14" s="241"/>
      <c r="M14" s="241"/>
      <c r="N14" s="241"/>
      <c r="O14" s="241"/>
      <c r="P14" s="241"/>
      <c r="Q14" s="241"/>
      <c r="R14" s="241"/>
      <c r="S14" s="241"/>
      <c r="T14" s="241"/>
      <c r="U14" s="241"/>
      <c r="V14" s="241"/>
      <c r="W14" s="241"/>
      <c r="X14" s="241"/>
      <c r="Y14" s="241">
        <f>G14</f>
        <v>4676</v>
      </c>
      <c r="Z14" s="241"/>
      <c r="AA14" s="241"/>
      <c r="AB14" s="250"/>
      <c r="AC14" s="250"/>
      <c r="AD14" s="250"/>
      <c r="AE14" s="250"/>
      <c r="AF14" s="250"/>
      <c r="AG14" s="250"/>
      <c r="AH14" s="250"/>
      <c r="AI14" s="250"/>
      <c r="AJ14" s="250"/>
      <c r="AK14" s="250"/>
      <c r="AL14" s="250"/>
      <c r="AM14" s="241"/>
      <c r="AN14" s="241"/>
      <c r="AO14" s="241"/>
      <c r="AP14" s="241"/>
      <c r="AQ14" s="241"/>
      <c r="AR14" s="241"/>
      <c r="AS14" s="241"/>
      <c r="AT14" s="241"/>
      <c r="AU14" s="241"/>
      <c r="AV14" s="241"/>
      <c r="AW14" s="241"/>
      <c r="AX14" s="250">
        <v>6.15</v>
      </c>
      <c r="AY14" s="354">
        <f t="shared" si="1"/>
        <v>28757.4</v>
      </c>
      <c r="AZ14" s="354">
        <f t="shared" si="4"/>
        <v>222869.85</v>
      </c>
      <c r="BA14" s="355" t="str">
        <f t="shared" si="2"/>
        <v>美国</v>
      </c>
      <c r="BB14" s="355" t="str">
        <f t="shared" si="3"/>
        <v>Monster Group LLC</v>
      </c>
    </row>
    <row r="15" s="234" customFormat="1" hidden="1" customHeight="1" spans="1:54">
      <c r="A15" s="239">
        <v>46010</v>
      </c>
      <c r="B15" s="241" t="s">
        <v>108</v>
      </c>
      <c r="C15" s="239" t="s">
        <v>109</v>
      </c>
      <c r="D15" s="241" t="s">
        <v>110</v>
      </c>
      <c r="E15" s="240" t="s">
        <v>125</v>
      </c>
      <c r="F15" s="240" t="s">
        <v>28</v>
      </c>
      <c r="G15" s="353">
        <v>4376</v>
      </c>
      <c r="H15" s="239">
        <v>46058</v>
      </c>
      <c r="I15" s="240"/>
      <c r="J15" s="241"/>
      <c r="K15" s="241"/>
      <c r="L15" s="241"/>
      <c r="M15" s="241"/>
      <c r="N15" s="241"/>
      <c r="O15" s="241"/>
      <c r="P15" s="241"/>
      <c r="Q15" s="241"/>
      <c r="R15" s="241"/>
      <c r="S15" s="241"/>
      <c r="T15" s="241"/>
      <c r="U15" s="241"/>
      <c r="V15" s="241"/>
      <c r="W15" s="241"/>
      <c r="X15" s="241"/>
      <c r="Y15" s="241"/>
      <c r="Z15" s="241">
        <f>G15</f>
        <v>4376</v>
      </c>
      <c r="AA15" s="241"/>
      <c r="AB15" s="250"/>
      <c r="AC15" s="250"/>
      <c r="AD15" s="250"/>
      <c r="AE15" s="250"/>
      <c r="AF15" s="250"/>
      <c r="AG15" s="250"/>
      <c r="AH15" s="250"/>
      <c r="AI15" s="250"/>
      <c r="AJ15" s="250"/>
      <c r="AK15" s="250"/>
      <c r="AL15" s="250"/>
      <c r="AM15" s="241"/>
      <c r="AN15" s="241"/>
      <c r="AO15" s="241"/>
      <c r="AP15" s="241"/>
      <c r="AQ15" s="241"/>
      <c r="AR15" s="241"/>
      <c r="AS15" s="241"/>
      <c r="AT15" s="241"/>
      <c r="AU15" s="241"/>
      <c r="AV15" s="241"/>
      <c r="AW15" s="241"/>
      <c r="AX15" s="250">
        <v>6.47</v>
      </c>
      <c r="AY15" s="354">
        <f t="shared" si="1"/>
        <v>28312.72</v>
      </c>
      <c r="AZ15" s="354">
        <f t="shared" si="4"/>
        <v>219423.58</v>
      </c>
      <c r="BA15" s="355" t="str">
        <f t="shared" si="2"/>
        <v>美国</v>
      </c>
      <c r="BB15" s="355" t="str">
        <f t="shared" si="3"/>
        <v>Monster Group LLC</v>
      </c>
    </row>
    <row r="16" s="234" customFormat="1" hidden="1" customHeight="1" spans="1:54">
      <c r="A16" s="239">
        <v>46010</v>
      </c>
      <c r="B16" s="241" t="s">
        <v>108</v>
      </c>
      <c r="C16" s="239" t="s">
        <v>109</v>
      </c>
      <c r="D16" s="241" t="s">
        <v>110</v>
      </c>
      <c r="E16" s="240" t="s">
        <v>125</v>
      </c>
      <c r="F16" s="240" t="s">
        <v>30</v>
      </c>
      <c r="G16" s="353">
        <v>4476</v>
      </c>
      <c r="H16" s="239">
        <v>46058</v>
      </c>
      <c r="I16" s="240"/>
      <c r="J16" s="241"/>
      <c r="K16" s="241"/>
      <c r="L16" s="241"/>
      <c r="M16" s="241"/>
      <c r="N16" s="241"/>
      <c r="O16" s="241"/>
      <c r="P16" s="241"/>
      <c r="Q16" s="241"/>
      <c r="R16" s="241"/>
      <c r="S16" s="241"/>
      <c r="T16" s="241"/>
      <c r="U16" s="241"/>
      <c r="V16" s="241"/>
      <c r="W16" s="241"/>
      <c r="X16" s="241"/>
      <c r="Y16" s="241"/>
      <c r="Z16" s="241"/>
      <c r="AA16" s="241">
        <f>G16</f>
        <v>4476</v>
      </c>
      <c r="AB16" s="250"/>
      <c r="AC16" s="250"/>
      <c r="AD16" s="250"/>
      <c r="AE16" s="250"/>
      <c r="AF16" s="250"/>
      <c r="AG16" s="250"/>
      <c r="AH16" s="250"/>
      <c r="AI16" s="250"/>
      <c r="AJ16" s="250"/>
      <c r="AK16" s="250"/>
      <c r="AL16" s="250"/>
      <c r="AM16" s="241"/>
      <c r="AN16" s="241"/>
      <c r="AO16" s="241"/>
      <c r="AP16" s="241"/>
      <c r="AQ16" s="241"/>
      <c r="AR16" s="241"/>
      <c r="AS16" s="241"/>
      <c r="AT16" s="241"/>
      <c r="AU16" s="241"/>
      <c r="AV16" s="241"/>
      <c r="AW16" s="241"/>
      <c r="AX16" s="250">
        <v>5.59</v>
      </c>
      <c r="AY16" s="354">
        <f t="shared" si="1"/>
        <v>25020.84</v>
      </c>
      <c r="AZ16" s="354">
        <f t="shared" si="4"/>
        <v>193911.51</v>
      </c>
      <c r="BA16" s="355" t="str">
        <f t="shared" si="2"/>
        <v>美国</v>
      </c>
      <c r="BB16" s="355" t="str">
        <f t="shared" si="3"/>
        <v>Monster Group LLC</v>
      </c>
    </row>
    <row r="17" s="234" customFormat="1" hidden="1" customHeight="1" spans="1:54">
      <c r="A17" s="239">
        <v>46010</v>
      </c>
      <c r="B17" s="241" t="s">
        <v>113</v>
      </c>
      <c r="C17" s="239" t="s">
        <v>114</v>
      </c>
      <c r="D17" s="241">
        <v>47905042</v>
      </c>
      <c r="E17" s="240" t="s">
        <v>126</v>
      </c>
      <c r="F17" s="240" t="s">
        <v>6</v>
      </c>
      <c r="G17" s="353">
        <v>1200</v>
      </c>
      <c r="H17" s="239">
        <v>46048</v>
      </c>
      <c r="I17" s="240">
        <f>G17</f>
        <v>1200</v>
      </c>
      <c r="J17" s="241"/>
      <c r="K17" s="241"/>
      <c r="L17" s="241"/>
      <c r="M17" s="241"/>
      <c r="N17" s="241"/>
      <c r="O17" s="241"/>
      <c r="P17" s="241"/>
      <c r="Q17" s="241"/>
      <c r="R17" s="241"/>
      <c r="S17" s="241"/>
      <c r="T17" s="241"/>
      <c r="U17" s="241"/>
      <c r="V17" s="241"/>
      <c r="W17" s="241"/>
      <c r="X17" s="241"/>
      <c r="Y17" s="241"/>
      <c r="Z17" s="241"/>
      <c r="AA17" s="241"/>
      <c r="AB17" s="250"/>
      <c r="AC17" s="250"/>
      <c r="AD17" s="250"/>
      <c r="AE17" s="250"/>
      <c r="AF17" s="250"/>
      <c r="AG17" s="250"/>
      <c r="AH17" s="250"/>
      <c r="AI17" s="250"/>
      <c r="AJ17" s="250"/>
      <c r="AK17" s="250"/>
      <c r="AL17" s="250"/>
      <c r="AM17" s="241"/>
      <c r="AN17" s="241"/>
      <c r="AO17" s="241"/>
      <c r="AP17" s="241"/>
      <c r="AQ17" s="241"/>
      <c r="AR17" s="241"/>
      <c r="AS17" s="241"/>
      <c r="AT17" s="241"/>
      <c r="AU17" s="241"/>
      <c r="AV17" s="241"/>
      <c r="AW17" s="241"/>
      <c r="AX17" s="250">
        <v>4.5</v>
      </c>
      <c r="AY17" s="354">
        <f t="shared" si="1"/>
        <v>5400</v>
      </c>
      <c r="AZ17" s="354">
        <f t="shared" si="4"/>
        <v>41850</v>
      </c>
      <c r="BA17" s="355" t="str">
        <f t="shared" si="2"/>
        <v>澳大利亚</v>
      </c>
      <c r="BB17" s="355" t="str">
        <f t="shared" si="3"/>
        <v>Woolworths Group Limited t/a Big W</v>
      </c>
    </row>
    <row r="18" s="234" customFormat="1" hidden="1" customHeight="1" spans="1:54">
      <c r="A18" s="239">
        <v>46030</v>
      </c>
      <c r="B18" s="240" t="s">
        <v>127</v>
      </c>
      <c r="C18" s="240" t="s">
        <v>122</v>
      </c>
      <c r="D18" s="240" t="s">
        <v>128</v>
      </c>
      <c r="E18" s="240" t="s">
        <v>129</v>
      </c>
      <c r="F18" s="240" t="s">
        <v>18</v>
      </c>
      <c r="G18" s="356">
        <v>780</v>
      </c>
      <c r="H18" s="239">
        <v>46101</v>
      </c>
      <c r="I18" s="241"/>
      <c r="J18" s="241"/>
      <c r="K18" s="241"/>
      <c r="L18" s="241"/>
      <c r="M18" s="241">
        <f>G18</f>
        <v>780</v>
      </c>
      <c r="N18" s="241"/>
      <c r="O18" s="241"/>
      <c r="P18" s="241"/>
      <c r="Q18" s="241"/>
      <c r="R18" s="241"/>
      <c r="S18" s="241"/>
      <c r="T18" s="241"/>
      <c r="U18" s="241"/>
      <c r="V18" s="241"/>
      <c r="W18" s="241"/>
      <c r="X18" s="241"/>
      <c r="Y18" s="241"/>
      <c r="Z18" s="241"/>
      <c r="AA18" s="241"/>
      <c r="AB18" s="250"/>
      <c r="AC18" s="250"/>
      <c r="AD18" s="250"/>
      <c r="AE18" s="250"/>
      <c r="AF18" s="250"/>
      <c r="AG18" s="250"/>
      <c r="AH18" s="250"/>
      <c r="AI18" s="250"/>
      <c r="AJ18" s="250"/>
      <c r="AK18" s="250"/>
      <c r="AL18" s="250"/>
      <c r="AM18" s="241"/>
      <c r="AN18" s="241"/>
      <c r="AO18" s="241"/>
      <c r="AP18" s="241"/>
      <c r="AQ18" s="241"/>
      <c r="AR18" s="241"/>
      <c r="AS18" s="241"/>
      <c r="AT18" s="241"/>
      <c r="AU18" s="241"/>
      <c r="AV18" s="241"/>
      <c r="AW18" s="241"/>
      <c r="AX18" s="250">
        <v>2.1</v>
      </c>
      <c r="AY18" s="354">
        <f t="shared" si="1"/>
        <v>1638</v>
      </c>
      <c r="AZ18" s="354">
        <f t="shared" si="4"/>
        <v>12694.5</v>
      </c>
      <c r="BA18" s="355" t="str">
        <f t="shared" si="2"/>
        <v>中国台湾</v>
      </c>
      <c r="BB18" s="355" t="str">
        <f t="shared" si="3"/>
        <v>Asia Goal Limited</v>
      </c>
    </row>
    <row r="19" s="234" customFormat="1" hidden="1" customHeight="1" spans="1:54">
      <c r="A19" s="239">
        <v>46030</v>
      </c>
      <c r="B19" s="240" t="s">
        <v>127</v>
      </c>
      <c r="C19" s="240" t="s">
        <v>122</v>
      </c>
      <c r="D19" s="240" t="s">
        <v>128</v>
      </c>
      <c r="E19" s="240" t="s">
        <v>129</v>
      </c>
      <c r="F19" s="240" t="s">
        <v>6</v>
      </c>
      <c r="G19" s="356">
        <v>180</v>
      </c>
      <c r="H19" s="239">
        <v>46101</v>
      </c>
      <c r="I19" s="241">
        <f>G19</f>
        <v>180</v>
      </c>
      <c r="J19" s="241"/>
      <c r="K19" s="241"/>
      <c r="L19" s="241"/>
      <c r="M19" s="241"/>
      <c r="N19" s="241"/>
      <c r="O19" s="241"/>
      <c r="P19" s="241"/>
      <c r="Q19" s="241"/>
      <c r="R19" s="241"/>
      <c r="S19" s="241"/>
      <c r="T19" s="241"/>
      <c r="U19" s="241"/>
      <c r="V19" s="241"/>
      <c r="W19" s="241"/>
      <c r="X19" s="241"/>
      <c r="Y19" s="241"/>
      <c r="Z19" s="241"/>
      <c r="AA19" s="241"/>
      <c r="AB19" s="250"/>
      <c r="AC19" s="250"/>
      <c r="AD19" s="250"/>
      <c r="AE19" s="250"/>
      <c r="AF19" s="250"/>
      <c r="AG19" s="250"/>
      <c r="AH19" s="250"/>
      <c r="AI19" s="250"/>
      <c r="AJ19" s="250"/>
      <c r="AK19" s="250"/>
      <c r="AL19" s="250"/>
      <c r="AM19" s="241"/>
      <c r="AN19" s="241"/>
      <c r="AO19" s="241"/>
      <c r="AP19" s="241"/>
      <c r="AQ19" s="241"/>
      <c r="AR19" s="241"/>
      <c r="AS19" s="241"/>
      <c r="AT19" s="241"/>
      <c r="AU19" s="241"/>
      <c r="AV19" s="241"/>
      <c r="AW19" s="241"/>
      <c r="AX19" s="250">
        <v>4.5</v>
      </c>
      <c r="AY19" s="354">
        <f t="shared" si="1"/>
        <v>810</v>
      </c>
      <c r="AZ19" s="354">
        <f t="shared" si="4"/>
        <v>6277.5</v>
      </c>
      <c r="BA19" s="355" t="str">
        <f t="shared" si="2"/>
        <v>中国台湾</v>
      </c>
      <c r="BB19" s="355" t="str">
        <f t="shared" si="3"/>
        <v>Asia Goal Limited</v>
      </c>
    </row>
    <row r="20" s="234" customFormat="1" hidden="1" customHeight="1" spans="1:54">
      <c r="A20" s="239">
        <v>46030</v>
      </c>
      <c r="B20" s="240" t="s">
        <v>127</v>
      </c>
      <c r="C20" s="240" t="s">
        <v>122</v>
      </c>
      <c r="D20" s="240" t="s">
        <v>128</v>
      </c>
      <c r="E20" s="240" t="s">
        <v>129</v>
      </c>
      <c r="F20" s="240" t="s">
        <v>9</v>
      </c>
      <c r="G20" s="356">
        <v>180</v>
      </c>
      <c r="H20" s="239">
        <v>46101</v>
      </c>
      <c r="I20" s="241"/>
      <c r="J20" s="241"/>
      <c r="K20" s="241"/>
      <c r="L20" s="241"/>
      <c r="M20" s="241"/>
      <c r="N20" s="241"/>
      <c r="O20" s="241">
        <f>G20</f>
        <v>180</v>
      </c>
      <c r="P20" s="241"/>
      <c r="Q20" s="241"/>
      <c r="R20" s="241"/>
      <c r="S20" s="241"/>
      <c r="T20" s="241"/>
      <c r="U20" s="241"/>
      <c r="V20" s="241"/>
      <c r="W20" s="241"/>
      <c r="X20" s="241"/>
      <c r="Y20" s="241"/>
      <c r="Z20" s="241"/>
      <c r="AA20" s="241"/>
      <c r="AB20" s="250"/>
      <c r="AC20" s="250"/>
      <c r="AD20" s="250"/>
      <c r="AE20" s="250"/>
      <c r="AF20" s="250"/>
      <c r="AG20" s="250"/>
      <c r="AH20" s="250"/>
      <c r="AI20" s="250"/>
      <c r="AJ20" s="250"/>
      <c r="AK20" s="250"/>
      <c r="AL20" s="250"/>
      <c r="AM20" s="241">
        <f>AC20</f>
        <v>0</v>
      </c>
      <c r="AN20" s="241"/>
      <c r="AO20" s="241">
        <f t="shared" ref="AO20:AT20" si="5">Z20</f>
        <v>0</v>
      </c>
      <c r="AP20" s="241">
        <f t="shared" si="5"/>
        <v>0</v>
      </c>
      <c r="AQ20" s="241">
        <f t="shared" si="5"/>
        <v>0</v>
      </c>
      <c r="AR20" s="241">
        <f t="shared" si="5"/>
        <v>0</v>
      </c>
      <c r="AS20" s="241">
        <f t="shared" si="5"/>
        <v>0</v>
      </c>
      <c r="AT20" s="241">
        <f t="shared" si="5"/>
        <v>0</v>
      </c>
      <c r="AU20" s="241"/>
      <c r="AV20" s="241"/>
      <c r="AW20" s="241"/>
      <c r="AX20" s="250">
        <v>4.43</v>
      </c>
      <c r="AY20" s="354">
        <f t="shared" si="1"/>
        <v>797.4</v>
      </c>
      <c r="AZ20" s="354">
        <f t="shared" si="4"/>
        <v>6179.85</v>
      </c>
      <c r="BA20" s="355" t="str">
        <f t="shared" si="2"/>
        <v>中国台湾</v>
      </c>
      <c r="BB20" s="355" t="str">
        <f t="shared" si="3"/>
        <v>Asia Goal Limited</v>
      </c>
    </row>
    <row r="21" s="234" customFormat="1" hidden="1" customHeight="1" spans="1:54">
      <c r="A21" s="239">
        <v>46038</v>
      </c>
      <c r="B21" s="240" t="s">
        <v>108</v>
      </c>
      <c r="C21" s="240" t="s">
        <v>130</v>
      </c>
      <c r="D21" s="240">
        <v>218955615</v>
      </c>
      <c r="E21" s="240" t="s">
        <v>131</v>
      </c>
      <c r="F21" s="240" t="s">
        <v>8</v>
      </c>
      <c r="G21" s="356">
        <v>1000</v>
      </c>
      <c r="H21" s="239">
        <v>46092</v>
      </c>
      <c r="I21" s="240"/>
      <c r="J21" s="241"/>
      <c r="K21" s="241">
        <f>G21</f>
        <v>1000</v>
      </c>
      <c r="L21" s="241"/>
      <c r="M21" s="241"/>
      <c r="N21" s="241"/>
      <c r="O21" s="241"/>
      <c r="P21" s="241"/>
      <c r="Q21" s="241"/>
      <c r="R21" s="241"/>
      <c r="S21" s="241"/>
      <c r="T21" s="241"/>
      <c r="U21" s="241"/>
      <c r="V21" s="241"/>
      <c r="W21" s="241"/>
      <c r="X21" s="241"/>
      <c r="Y21" s="241"/>
      <c r="Z21" s="241"/>
      <c r="AA21" s="241"/>
      <c r="AB21" s="250"/>
      <c r="AC21" s="250"/>
      <c r="AD21" s="250"/>
      <c r="AE21" s="250"/>
      <c r="AF21" s="250"/>
      <c r="AG21" s="250"/>
      <c r="AH21" s="250"/>
      <c r="AI21" s="250"/>
      <c r="AJ21" s="250"/>
      <c r="AK21" s="250"/>
      <c r="AL21" s="250"/>
      <c r="AM21" s="241"/>
      <c r="AN21" s="241"/>
      <c r="AO21" s="241"/>
      <c r="AP21" s="241"/>
      <c r="AQ21" s="241"/>
      <c r="AR21" s="241"/>
      <c r="AS21" s="241"/>
      <c r="AT21" s="241"/>
      <c r="AU21" s="241"/>
      <c r="AV21" s="241"/>
      <c r="AW21" s="241"/>
      <c r="AX21" s="250">
        <v>4.5</v>
      </c>
      <c r="AY21" s="354">
        <f t="shared" si="1"/>
        <v>4500</v>
      </c>
      <c r="AZ21" s="354">
        <f t="shared" si="4"/>
        <v>34875</v>
      </c>
      <c r="BA21" s="355" t="str">
        <f t="shared" si="2"/>
        <v>美国</v>
      </c>
      <c r="BB21" s="355" t="str">
        <f t="shared" si="3"/>
        <v>Meijer
LANSING</v>
      </c>
    </row>
    <row r="22" s="234" customFormat="1" hidden="1" customHeight="1" spans="1:54">
      <c r="A22" s="239">
        <v>46038</v>
      </c>
      <c r="B22" s="240" t="s">
        <v>108</v>
      </c>
      <c r="C22" s="240" t="s">
        <v>130</v>
      </c>
      <c r="D22" s="241">
        <v>218955627</v>
      </c>
      <c r="E22" s="240" t="s">
        <v>132</v>
      </c>
      <c r="F22" s="240" t="s">
        <v>8</v>
      </c>
      <c r="G22" s="353">
        <v>500</v>
      </c>
      <c r="H22" s="239">
        <v>46092</v>
      </c>
      <c r="I22" s="241"/>
      <c r="J22" s="241"/>
      <c r="K22" s="241">
        <f>G22</f>
        <v>500</v>
      </c>
      <c r="L22" s="241"/>
      <c r="M22" s="241"/>
      <c r="N22" s="241"/>
      <c r="O22" s="241"/>
      <c r="P22" s="241"/>
      <c r="Q22" s="241"/>
      <c r="R22" s="241"/>
      <c r="S22" s="241"/>
      <c r="T22" s="241"/>
      <c r="U22" s="241"/>
      <c r="V22" s="241"/>
      <c r="W22" s="241"/>
      <c r="X22" s="241"/>
      <c r="Y22" s="241"/>
      <c r="Z22" s="241"/>
      <c r="AA22" s="241"/>
      <c r="AB22" s="250"/>
      <c r="AC22" s="250"/>
      <c r="AD22" s="250"/>
      <c r="AE22" s="250"/>
      <c r="AF22" s="250"/>
      <c r="AG22" s="250"/>
      <c r="AH22" s="250"/>
      <c r="AI22" s="250"/>
      <c r="AJ22" s="250"/>
      <c r="AK22" s="250"/>
      <c r="AL22" s="250"/>
      <c r="AM22" s="241"/>
      <c r="AN22" s="241"/>
      <c r="AO22" s="241"/>
      <c r="AP22" s="241"/>
      <c r="AQ22" s="241"/>
      <c r="AR22" s="241"/>
      <c r="AS22" s="241"/>
      <c r="AT22" s="241"/>
      <c r="AU22" s="241"/>
      <c r="AV22" s="241"/>
      <c r="AW22" s="241"/>
      <c r="AX22" s="250">
        <v>4.5</v>
      </c>
      <c r="AY22" s="354">
        <f t="shared" si="1"/>
        <v>2250</v>
      </c>
      <c r="AZ22" s="354">
        <f t="shared" si="4"/>
        <v>17437.5</v>
      </c>
      <c r="BA22" s="355" t="str">
        <f t="shared" si="2"/>
        <v>美国</v>
      </c>
      <c r="BB22" s="355" t="str">
        <f t="shared" ref="BB21:BB28" si="6">C22</f>
        <v>Meijer
LANSING</v>
      </c>
    </row>
    <row r="23" s="234" customFormat="1" hidden="1" customHeight="1" spans="1:54">
      <c r="A23" s="239">
        <v>46049</v>
      </c>
      <c r="B23" s="240" t="s">
        <v>113</v>
      </c>
      <c r="C23" s="240" t="s">
        <v>114</v>
      </c>
      <c r="D23" s="241">
        <v>47908798</v>
      </c>
      <c r="E23" s="240" t="s">
        <v>133</v>
      </c>
      <c r="F23" s="240" t="s">
        <v>6</v>
      </c>
      <c r="G23" s="353">
        <v>1200</v>
      </c>
      <c r="H23" s="239">
        <v>46100</v>
      </c>
      <c r="I23" s="241">
        <v>1200</v>
      </c>
      <c r="J23" s="241"/>
      <c r="K23" s="241"/>
      <c r="L23" s="241"/>
      <c r="M23" s="241"/>
      <c r="N23" s="241"/>
      <c r="O23" s="241"/>
      <c r="P23" s="241"/>
      <c r="Q23" s="241"/>
      <c r="R23" s="241"/>
      <c r="S23" s="241"/>
      <c r="T23" s="241"/>
      <c r="U23" s="241"/>
      <c r="V23" s="241"/>
      <c r="W23" s="241"/>
      <c r="X23" s="241"/>
      <c r="Y23" s="241"/>
      <c r="Z23" s="241"/>
      <c r="AA23" s="241"/>
      <c r="AB23" s="250"/>
      <c r="AC23" s="250"/>
      <c r="AD23" s="250"/>
      <c r="AE23" s="250"/>
      <c r="AF23" s="250"/>
      <c r="AG23" s="250"/>
      <c r="AH23" s="250"/>
      <c r="AI23" s="250"/>
      <c r="AJ23" s="250"/>
      <c r="AK23" s="250"/>
      <c r="AL23" s="250"/>
      <c r="AM23" s="241"/>
      <c r="AN23" s="241"/>
      <c r="AO23" s="241"/>
      <c r="AP23" s="241"/>
      <c r="AQ23" s="241"/>
      <c r="AR23" s="241"/>
      <c r="AS23" s="241"/>
      <c r="AT23" s="241"/>
      <c r="AU23" s="241"/>
      <c r="AV23" s="241"/>
      <c r="AW23" s="241"/>
      <c r="AX23" s="250">
        <v>4.5</v>
      </c>
      <c r="AY23" s="354">
        <f t="shared" si="1"/>
        <v>5400</v>
      </c>
      <c r="AZ23" s="354">
        <f t="shared" si="4"/>
        <v>41850</v>
      </c>
      <c r="BA23" s="355" t="str">
        <f t="shared" si="2"/>
        <v>澳大利亚</v>
      </c>
      <c r="BB23" s="355" t="str">
        <f t="shared" si="6"/>
        <v>Woolworths Group Limited t/a Big W</v>
      </c>
    </row>
    <row r="24" s="234" customFormat="1" hidden="1" customHeight="1" spans="1:54">
      <c r="A24" s="239">
        <v>46051</v>
      </c>
      <c r="B24" s="240" t="s">
        <v>108</v>
      </c>
      <c r="C24" s="240" t="s">
        <v>130</v>
      </c>
      <c r="D24" s="241">
        <v>219021251</v>
      </c>
      <c r="E24" s="240" t="s">
        <v>134</v>
      </c>
      <c r="F24" s="240" t="s">
        <v>8</v>
      </c>
      <c r="G24" s="356">
        <v>1000</v>
      </c>
      <c r="H24" s="239">
        <v>46106</v>
      </c>
      <c r="I24" s="241"/>
      <c r="J24" s="241"/>
      <c r="K24" s="241">
        <v>1000</v>
      </c>
      <c r="L24" s="241"/>
      <c r="M24" s="241"/>
      <c r="N24" s="241"/>
      <c r="O24" s="241"/>
      <c r="P24" s="241"/>
      <c r="Q24" s="241"/>
      <c r="R24" s="241"/>
      <c r="S24" s="241"/>
      <c r="T24" s="241"/>
      <c r="U24" s="241"/>
      <c r="V24" s="241"/>
      <c r="W24" s="241"/>
      <c r="X24" s="241"/>
      <c r="Y24" s="241"/>
      <c r="Z24" s="241"/>
      <c r="AA24" s="241"/>
      <c r="AB24" s="250"/>
      <c r="AC24" s="250"/>
      <c r="AD24" s="250"/>
      <c r="AE24" s="250"/>
      <c r="AF24" s="250"/>
      <c r="AG24" s="250"/>
      <c r="AH24" s="250"/>
      <c r="AI24" s="250"/>
      <c r="AJ24" s="250"/>
      <c r="AK24" s="250"/>
      <c r="AL24" s="250"/>
      <c r="AM24" s="241"/>
      <c r="AN24" s="241"/>
      <c r="AO24" s="241"/>
      <c r="AP24" s="241"/>
      <c r="AQ24" s="241"/>
      <c r="AR24" s="241"/>
      <c r="AS24" s="241"/>
      <c r="AT24" s="241"/>
      <c r="AU24" s="241"/>
      <c r="AV24" s="241"/>
      <c r="AW24" s="241"/>
      <c r="AX24" s="250">
        <v>4.5</v>
      </c>
      <c r="AY24" s="354">
        <f t="shared" si="1"/>
        <v>4500</v>
      </c>
      <c r="AZ24" s="354">
        <f t="shared" si="4"/>
        <v>34875</v>
      </c>
      <c r="BA24" s="355" t="str">
        <f t="shared" si="2"/>
        <v>美国</v>
      </c>
      <c r="BB24" s="355" t="str">
        <f t="shared" si="6"/>
        <v>Meijer
LANSING</v>
      </c>
    </row>
    <row r="25" s="234" customFormat="1" hidden="1" customHeight="1" spans="1:54">
      <c r="A25" s="239">
        <v>46051</v>
      </c>
      <c r="B25" s="240" t="s">
        <v>108</v>
      </c>
      <c r="C25" s="240" t="s">
        <v>130</v>
      </c>
      <c r="D25" s="241">
        <v>219021257</v>
      </c>
      <c r="E25" s="240" t="s">
        <v>135</v>
      </c>
      <c r="F25" s="240" t="s">
        <v>8</v>
      </c>
      <c r="G25" s="356">
        <v>500</v>
      </c>
      <c r="H25" s="239">
        <v>46106</v>
      </c>
      <c r="I25" s="241"/>
      <c r="J25" s="241"/>
      <c r="K25" s="241">
        <v>500</v>
      </c>
      <c r="L25" s="241"/>
      <c r="M25" s="241"/>
      <c r="N25" s="241"/>
      <c r="O25" s="241"/>
      <c r="P25" s="241"/>
      <c r="Q25" s="241"/>
      <c r="R25" s="241"/>
      <c r="S25" s="241"/>
      <c r="T25" s="241"/>
      <c r="U25" s="241"/>
      <c r="V25" s="241"/>
      <c r="W25" s="241"/>
      <c r="X25" s="241"/>
      <c r="Y25" s="241"/>
      <c r="Z25" s="241"/>
      <c r="AA25" s="241"/>
      <c r="AB25" s="250"/>
      <c r="AC25" s="250"/>
      <c r="AD25" s="250"/>
      <c r="AE25" s="250"/>
      <c r="AF25" s="250"/>
      <c r="AG25" s="250"/>
      <c r="AH25" s="250"/>
      <c r="AI25" s="250"/>
      <c r="AJ25" s="250"/>
      <c r="AK25" s="250"/>
      <c r="AL25" s="250"/>
      <c r="AM25" s="241"/>
      <c r="AN25" s="241"/>
      <c r="AO25" s="241"/>
      <c r="AP25" s="241"/>
      <c r="AQ25" s="241"/>
      <c r="AR25" s="241"/>
      <c r="AS25" s="241"/>
      <c r="AT25" s="241"/>
      <c r="AU25" s="241"/>
      <c r="AV25" s="241"/>
      <c r="AW25" s="241"/>
      <c r="AX25" s="250">
        <v>4.5</v>
      </c>
      <c r="AY25" s="354">
        <f t="shared" si="1"/>
        <v>2250</v>
      </c>
      <c r="AZ25" s="354">
        <f t="shared" si="4"/>
        <v>17437.5</v>
      </c>
      <c r="BA25" s="355" t="str">
        <f t="shared" si="2"/>
        <v>美国</v>
      </c>
      <c r="BB25" s="355" t="str">
        <f t="shared" si="6"/>
        <v>Meijer
LANSING</v>
      </c>
    </row>
    <row r="26" s="234" customFormat="1" hidden="1" customHeight="1" spans="1:54">
      <c r="A26" s="239">
        <v>46062</v>
      </c>
      <c r="B26" s="240" t="s">
        <v>136</v>
      </c>
      <c r="C26" s="240" t="s">
        <v>137</v>
      </c>
      <c r="D26" s="241">
        <v>4400542038</v>
      </c>
      <c r="E26" s="240" t="s">
        <v>138</v>
      </c>
      <c r="F26" s="240" t="s">
        <v>6</v>
      </c>
      <c r="G26" s="353">
        <v>6306</v>
      </c>
      <c r="H26" s="239">
        <v>46111</v>
      </c>
      <c r="I26" s="241">
        <v>6306</v>
      </c>
      <c r="J26" s="241"/>
      <c r="K26" s="241"/>
      <c r="L26" s="241"/>
      <c r="M26" s="241"/>
      <c r="N26" s="241"/>
      <c r="O26" s="241"/>
      <c r="P26" s="241"/>
      <c r="Q26" s="241"/>
      <c r="R26" s="241"/>
      <c r="S26" s="241"/>
      <c r="T26" s="241"/>
      <c r="U26" s="241"/>
      <c r="V26" s="241"/>
      <c r="W26" s="241"/>
      <c r="X26" s="241"/>
      <c r="Y26" s="241"/>
      <c r="Z26" s="241"/>
      <c r="AA26" s="241"/>
      <c r="AB26" s="250"/>
      <c r="AC26" s="250"/>
      <c r="AD26" s="250"/>
      <c r="AE26" s="250"/>
      <c r="AF26" s="250"/>
      <c r="AG26" s="250"/>
      <c r="AH26" s="250"/>
      <c r="AI26" s="250"/>
      <c r="AJ26" s="250"/>
      <c r="AK26" s="250"/>
      <c r="AL26" s="250"/>
      <c r="AM26" s="241"/>
      <c r="AN26" s="241"/>
      <c r="AO26" s="241"/>
      <c r="AP26" s="241"/>
      <c r="AQ26" s="241"/>
      <c r="AR26" s="241"/>
      <c r="AS26" s="241"/>
      <c r="AT26" s="241"/>
      <c r="AU26" s="241"/>
      <c r="AV26" s="241"/>
      <c r="AW26" s="241"/>
      <c r="AX26" s="250">
        <v>4.5</v>
      </c>
      <c r="AY26" s="354">
        <f t="shared" si="1"/>
        <v>28377</v>
      </c>
      <c r="AZ26" s="354">
        <f t="shared" si="4"/>
        <v>219921.75</v>
      </c>
      <c r="BA26" s="355" t="str">
        <f t="shared" si="2"/>
        <v>英国</v>
      </c>
      <c r="BB26" s="355" t="str">
        <f t="shared" si="6"/>
        <v>Smyths Toys HQ UC</v>
      </c>
    </row>
    <row r="27" s="234" customFormat="1" hidden="1" customHeight="1" spans="1:54">
      <c r="A27" s="239">
        <v>46077</v>
      </c>
      <c r="B27" s="240" t="s">
        <v>108</v>
      </c>
      <c r="C27" s="240" t="s">
        <v>109</v>
      </c>
      <c r="D27" s="240" t="s">
        <v>139</v>
      </c>
      <c r="E27" s="240" t="s">
        <v>140</v>
      </c>
      <c r="F27" s="240" t="s">
        <v>32</v>
      </c>
      <c r="G27" s="356">
        <v>5400</v>
      </c>
      <c r="H27" s="239">
        <v>46141</v>
      </c>
      <c r="I27" s="241"/>
      <c r="J27" s="241"/>
      <c r="K27" s="241"/>
      <c r="L27" s="241"/>
      <c r="M27" s="241"/>
      <c r="N27" s="241"/>
      <c r="O27" s="241"/>
      <c r="P27" s="241"/>
      <c r="Q27" s="241"/>
      <c r="R27" s="241"/>
      <c r="S27" s="241"/>
      <c r="T27" s="241"/>
      <c r="U27" s="241"/>
      <c r="V27" s="241">
        <f>G27/2</f>
        <v>2700</v>
      </c>
      <c r="W27" s="241"/>
      <c r="X27" s="241">
        <f>G27/2</f>
        <v>2700</v>
      </c>
      <c r="Y27" s="241"/>
      <c r="Z27" s="241"/>
      <c r="AA27" s="241"/>
      <c r="AB27" s="250"/>
      <c r="AC27" s="250"/>
      <c r="AD27" s="250"/>
      <c r="AE27" s="250"/>
      <c r="AF27" s="250"/>
      <c r="AG27" s="250"/>
      <c r="AH27" s="250"/>
      <c r="AI27" s="250"/>
      <c r="AJ27" s="250"/>
      <c r="AK27" s="250"/>
      <c r="AL27" s="250"/>
      <c r="AM27" s="241"/>
      <c r="AN27" s="241"/>
      <c r="AO27" s="241"/>
      <c r="AP27" s="241"/>
      <c r="AQ27" s="241"/>
      <c r="AR27" s="241"/>
      <c r="AS27" s="241"/>
      <c r="AT27" s="241"/>
      <c r="AU27" s="241"/>
      <c r="AV27" s="241"/>
      <c r="AW27" s="241"/>
      <c r="AX27" s="250">
        <v>6.67</v>
      </c>
      <c r="AY27" s="354">
        <f t="shared" si="1"/>
        <v>36018</v>
      </c>
      <c r="AZ27" s="354">
        <f t="shared" si="4"/>
        <v>279139.5</v>
      </c>
      <c r="BA27" s="355" t="str">
        <f t="shared" ref="BA27:BA90" si="7">B27</f>
        <v>美国</v>
      </c>
      <c r="BB27" s="355" t="str">
        <f t="shared" ref="BB27:BB92" si="8">C27</f>
        <v>Monster Group LLC</v>
      </c>
    </row>
    <row r="28" s="234" customFormat="1" hidden="1" customHeight="1" spans="1:54">
      <c r="A28" s="239">
        <v>46083</v>
      </c>
      <c r="B28" s="240" t="s">
        <v>141</v>
      </c>
      <c r="C28" s="240" t="s">
        <v>142</v>
      </c>
      <c r="D28" s="240">
        <v>21559600</v>
      </c>
      <c r="E28" s="240" t="s">
        <v>143</v>
      </c>
      <c r="F28" s="240" t="s">
        <v>18</v>
      </c>
      <c r="G28" s="356">
        <v>564</v>
      </c>
      <c r="H28" s="239">
        <v>46122</v>
      </c>
      <c r="I28" s="241"/>
      <c r="J28" s="241"/>
      <c r="K28" s="241"/>
      <c r="L28" s="241"/>
      <c r="M28" s="241">
        <f>G28</f>
        <v>564</v>
      </c>
      <c r="N28" s="241"/>
      <c r="O28" s="241"/>
      <c r="P28" s="241"/>
      <c r="Q28" s="241"/>
      <c r="R28" s="241"/>
      <c r="S28" s="241"/>
      <c r="T28" s="241"/>
      <c r="U28" s="241"/>
      <c r="V28" s="241"/>
      <c r="W28" s="241"/>
      <c r="X28" s="241"/>
      <c r="Y28" s="241"/>
      <c r="Z28" s="241"/>
      <c r="AA28" s="241"/>
      <c r="AB28" s="250"/>
      <c r="AC28" s="250"/>
      <c r="AD28" s="250"/>
      <c r="AE28" s="250"/>
      <c r="AF28" s="250"/>
      <c r="AG28" s="250"/>
      <c r="AH28" s="250"/>
      <c r="AI28" s="250"/>
      <c r="AJ28" s="250"/>
      <c r="AK28" s="250"/>
      <c r="AL28" s="250"/>
      <c r="AM28" s="241"/>
      <c r="AN28" s="241"/>
      <c r="AO28" s="241"/>
      <c r="AP28" s="241"/>
      <c r="AQ28" s="241"/>
      <c r="AR28" s="241"/>
      <c r="AS28" s="241"/>
      <c r="AT28" s="241"/>
      <c r="AU28" s="241"/>
      <c r="AV28" s="241"/>
      <c r="AW28" s="241"/>
      <c r="AX28" s="250">
        <v>2.1</v>
      </c>
      <c r="AY28" s="354">
        <f t="shared" si="1"/>
        <v>1184.4</v>
      </c>
      <c r="AZ28" s="354">
        <f t="shared" si="4"/>
        <v>9179.1</v>
      </c>
      <c r="BA28" s="355" t="str">
        <f t="shared" si="7"/>
        <v>新西兰</v>
      </c>
      <c r="BB28" s="355" t="str">
        <f t="shared" si="8"/>
        <v>Kmart Australia &amp; NZ Holding Limited</v>
      </c>
    </row>
    <row r="29" s="234" customFormat="1" hidden="1" customHeight="1" spans="1:54">
      <c r="A29" s="239">
        <v>46083</v>
      </c>
      <c r="B29" s="240" t="s">
        <v>113</v>
      </c>
      <c r="C29" s="240" t="s">
        <v>142</v>
      </c>
      <c r="D29" s="240">
        <v>21559598</v>
      </c>
      <c r="E29" s="240" t="s">
        <v>144</v>
      </c>
      <c r="F29" s="240" t="s">
        <v>18</v>
      </c>
      <c r="G29" s="356">
        <v>6156</v>
      </c>
      <c r="H29" s="239">
        <v>46122</v>
      </c>
      <c r="I29" s="241"/>
      <c r="J29" s="241"/>
      <c r="K29" s="241"/>
      <c r="L29" s="241"/>
      <c r="M29" s="241">
        <f>G29</f>
        <v>6156</v>
      </c>
      <c r="N29" s="241"/>
      <c r="O29" s="241"/>
      <c r="P29" s="241"/>
      <c r="Q29" s="241"/>
      <c r="R29" s="241"/>
      <c r="S29" s="241"/>
      <c r="T29" s="241"/>
      <c r="U29" s="241"/>
      <c r="V29" s="241"/>
      <c r="W29" s="241"/>
      <c r="X29" s="241"/>
      <c r="Y29" s="241"/>
      <c r="Z29" s="241"/>
      <c r="AA29" s="241"/>
      <c r="AB29" s="250"/>
      <c r="AC29" s="250"/>
      <c r="AD29" s="250"/>
      <c r="AE29" s="250"/>
      <c r="AF29" s="250"/>
      <c r="AG29" s="250"/>
      <c r="AH29" s="250"/>
      <c r="AI29" s="250"/>
      <c r="AJ29" s="250"/>
      <c r="AK29" s="250"/>
      <c r="AL29" s="250"/>
      <c r="AM29" s="241"/>
      <c r="AN29" s="241"/>
      <c r="AO29" s="241"/>
      <c r="AP29" s="241"/>
      <c r="AQ29" s="241"/>
      <c r="AR29" s="241"/>
      <c r="AS29" s="241"/>
      <c r="AT29" s="241"/>
      <c r="AU29" s="241"/>
      <c r="AV29" s="241"/>
      <c r="AW29" s="241"/>
      <c r="AX29" s="250">
        <v>2.1</v>
      </c>
      <c r="AY29" s="354">
        <f t="shared" si="1"/>
        <v>12927.6</v>
      </c>
      <c r="AZ29" s="354">
        <f t="shared" si="4"/>
        <v>100188.9</v>
      </c>
      <c r="BA29" s="355" t="str">
        <f t="shared" si="7"/>
        <v>澳大利亚</v>
      </c>
      <c r="BB29" s="355" t="str">
        <f t="shared" si="8"/>
        <v>Kmart Australia &amp; NZ Holding Limited</v>
      </c>
    </row>
    <row r="30" s="234" customFormat="1" hidden="1" customHeight="1" spans="1:54">
      <c r="A30" s="239">
        <v>46086</v>
      </c>
      <c r="B30" s="240" t="s">
        <v>108</v>
      </c>
      <c r="C30" s="240" t="s">
        <v>145</v>
      </c>
      <c r="D30" s="240" t="s">
        <v>146</v>
      </c>
      <c r="E30" s="240" t="s">
        <v>147</v>
      </c>
      <c r="F30" s="240" t="s">
        <v>14</v>
      </c>
      <c r="G30" s="356">
        <v>504</v>
      </c>
      <c r="H30" s="239">
        <v>46127</v>
      </c>
      <c r="I30" s="241"/>
      <c r="J30" s="241"/>
      <c r="K30" s="241">
        <v>504</v>
      </c>
      <c r="L30" s="241"/>
      <c r="M30" s="241"/>
      <c r="N30" s="241"/>
      <c r="O30" s="241"/>
      <c r="P30" s="241"/>
      <c r="Q30" s="241"/>
      <c r="R30" s="241"/>
      <c r="S30" s="241"/>
      <c r="T30" s="241"/>
      <c r="U30" s="241"/>
      <c r="V30" s="241"/>
      <c r="W30" s="241"/>
      <c r="X30" s="241"/>
      <c r="Y30" s="241"/>
      <c r="Z30" s="241"/>
      <c r="AA30" s="241"/>
      <c r="AB30" s="250"/>
      <c r="AC30" s="250"/>
      <c r="AD30" s="250"/>
      <c r="AE30" s="250"/>
      <c r="AF30" s="250"/>
      <c r="AG30" s="250"/>
      <c r="AH30" s="250"/>
      <c r="AI30" s="250"/>
      <c r="AJ30" s="250"/>
      <c r="AK30" s="250"/>
      <c r="AL30" s="250"/>
      <c r="AM30" s="241"/>
      <c r="AN30" s="241"/>
      <c r="AO30" s="241"/>
      <c r="AP30" s="241"/>
      <c r="AQ30" s="241"/>
      <c r="AR30" s="241"/>
      <c r="AS30" s="241"/>
      <c r="AT30" s="241"/>
      <c r="AU30" s="241"/>
      <c r="AV30" s="241"/>
      <c r="AW30" s="241"/>
      <c r="AX30" s="250">
        <v>4.9</v>
      </c>
      <c r="AY30" s="354">
        <f t="shared" si="1"/>
        <v>2469.6</v>
      </c>
      <c r="AZ30" s="354">
        <f t="shared" si="4"/>
        <v>19139.4</v>
      </c>
      <c r="BA30" s="355" t="str">
        <f t="shared" si="7"/>
        <v>美国</v>
      </c>
      <c r="BB30" s="355" t="str">
        <f t="shared" si="8"/>
        <v>Flybar Inc</v>
      </c>
    </row>
    <row r="31" s="234" customFormat="1" hidden="1" customHeight="1" spans="1:54">
      <c r="A31" s="239">
        <v>46102</v>
      </c>
      <c r="B31" s="240" t="s">
        <v>148</v>
      </c>
      <c r="C31" s="240" t="s">
        <v>149</v>
      </c>
      <c r="D31" s="387" t="s">
        <v>150</v>
      </c>
      <c r="E31" s="240" t="s">
        <v>151</v>
      </c>
      <c r="F31" s="240" t="s">
        <v>36</v>
      </c>
      <c r="G31" s="356">
        <v>2964</v>
      </c>
      <c r="H31" s="239">
        <v>46157</v>
      </c>
      <c r="I31" s="241"/>
      <c r="J31" s="241"/>
      <c r="K31" s="241"/>
      <c r="L31" s="241"/>
      <c r="M31" s="241"/>
      <c r="N31" s="241">
        <f>G31</f>
        <v>2964</v>
      </c>
      <c r="O31" s="241"/>
      <c r="P31" s="241"/>
      <c r="Q31" s="241"/>
      <c r="R31" s="241"/>
      <c r="S31" s="241"/>
      <c r="T31" s="241"/>
      <c r="U31" s="241"/>
      <c r="V31" s="241"/>
      <c r="W31" s="241"/>
      <c r="X31" s="241"/>
      <c r="Y31" s="241"/>
      <c r="Z31" s="241"/>
      <c r="AA31" s="241"/>
      <c r="AB31" s="250"/>
      <c r="AC31" s="250"/>
      <c r="AD31" s="250"/>
      <c r="AE31" s="250"/>
      <c r="AF31" s="250"/>
      <c r="AG31" s="250"/>
      <c r="AH31" s="250"/>
      <c r="AI31" s="250"/>
      <c r="AJ31" s="250"/>
      <c r="AK31" s="250"/>
      <c r="AL31" s="250"/>
      <c r="AM31" s="241"/>
      <c r="AN31" s="241"/>
      <c r="AO31" s="241"/>
      <c r="AP31" s="241"/>
      <c r="AQ31" s="241"/>
      <c r="AR31" s="241"/>
      <c r="AS31" s="241"/>
      <c r="AT31" s="241"/>
      <c r="AU31" s="241"/>
      <c r="AV31" s="241"/>
      <c r="AW31" s="241"/>
      <c r="AX31" s="250">
        <v>2.1</v>
      </c>
      <c r="AY31" s="354">
        <f t="shared" si="1"/>
        <v>6224.4</v>
      </c>
      <c r="AZ31" s="354">
        <f t="shared" si="4"/>
        <v>48239.1</v>
      </c>
      <c r="BA31" s="355" t="str">
        <f t="shared" si="7"/>
        <v>加拿大</v>
      </c>
      <c r="BB31" s="355" t="str">
        <f t="shared" si="8"/>
        <v>Lachine</v>
      </c>
    </row>
    <row r="32" s="234" customFormat="1" hidden="1" customHeight="1" spans="1:54">
      <c r="A32" s="239">
        <v>46101</v>
      </c>
      <c r="B32" s="240" t="s">
        <v>113</v>
      </c>
      <c r="C32" s="240" t="s">
        <v>142</v>
      </c>
      <c r="D32" s="240">
        <v>21657135</v>
      </c>
      <c r="E32" s="240" t="s">
        <v>152</v>
      </c>
      <c r="F32" s="240" t="s">
        <v>18</v>
      </c>
      <c r="G32" s="356">
        <v>6288</v>
      </c>
      <c r="H32" s="239">
        <v>46135</v>
      </c>
      <c r="I32" s="241"/>
      <c r="J32" s="241"/>
      <c r="K32" s="241"/>
      <c r="L32" s="241"/>
      <c r="M32" s="241">
        <f t="shared" ref="M32:M40" si="9">G32</f>
        <v>6288</v>
      </c>
      <c r="N32" s="241"/>
      <c r="O32" s="241"/>
      <c r="P32" s="241"/>
      <c r="Q32" s="241"/>
      <c r="R32" s="241"/>
      <c r="S32" s="241"/>
      <c r="T32" s="241"/>
      <c r="U32" s="241"/>
      <c r="V32" s="241"/>
      <c r="W32" s="241"/>
      <c r="X32" s="241"/>
      <c r="Y32" s="241"/>
      <c r="Z32" s="241"/>
      <c r="AA32" s="241"/>
      <c r="AB32" s="250"/>
      <c r="AC32" s="250"/>
      <c r="AD32" s="250"/>
      <c r="AE32" s="250"/>
      <c r="AF32" s="250"/>
      <c r="AG32" s="250"/>
      <c r="AH32" s="250"/>
      <c r="AI32" s="250"/>
      <c r="AJ32" s="250"/>
      <c r="AK32" s="250"/>
      <c r="AL32" s="250"/>
      <c r="AM32" s="241"/>
      <c r="AN32" s="241"/>
      <c r="AO32" s="241"/>
      <c r="AP32" s="241"/>
      <c r="AQ32" s="241"/>
      <c r="AR32" s="241"/>
      <c r="AS32" s="241"/>
      <c r="AT32" s="241"/>
      <c r="AU32" s="241"/>
      <c r="AV32" s="241"/>
      <c r="AW32" s="241"/>
      <c r="AX32" s="250">
        <v>2.1</v>
      </c>
      <c r="AY32" s="354">
        <f t="shared" si="1"/>
        <v>13204.8</v>
      </c>
      <c r="AZ32" s="354">
        <f t="shared" si="4"/>
        <v>102337.2</v>
      </c>
      <c r="BA32" s="355" t="str">
        <f t="shared" si="7"/>
        <v>澳大利亚</v>
      </c>
      <c r="BB32" s="355" t="str">
        <f t="shared" si="8"/>
        <v>Kmart Australia &amp; NZ Holding Limited</v>
      </c>
    </row>
    <row r="33" s="234" customFormat="1" hidden="1" customHeight="1" spans="1:54">
      <c r="A33" s="239">
        <v>46101</v>
      </c>
      <c r="B33" s="240" t="s">
        <v>113</v>
      </c>
      <c r="C33" s="240" t="s">
        <v>142</v>
      </c>
      <c r="D33" s="240">
        <v>21602319</v>
      </c>
      <c r="E33" s="240" t="s">
        <v>153</v>
      </c>
      <c r="F33" s="240" t="s">
        <v>18</v>
      </c>
      <c r="G33" s="356">
        <v>432</v>
      </c>
      <c r="H33" s="239">
        <v>46129</v>
      </c>
      <c r="I33" s="241"/>
      <c r="J33" s="241"/>
      <c r="K33" s="241"/>
      <c r="L33" s="241"/>
      <c r="M33" s="241">
        <f t="shared" si="9"/>
        <v>432</v>
      </c>
      <c r="N33" s="241"/>
      <c r="O33" s="241"/>
      <c r="P33" s="241"/>
      <c r="Q33" s="241"/>
      <c r="R33" s="241"/>
      <c r="S33" s="241"/>
      <c r="T33" s="241"/>
      <c r="U33" s="241"/>
      <c r="V33" s="241"/>
      <c r="W33" s="241"/>
      <c r="X33" s="241"/>
      <c r="Y33" s="241"/>
      <c r="Z33" s="241"/>
      <c r="AA33" s="241"/>
      <c r="AB33" s="250"/>
      <c r="AC33" s="250"/>
      <c r="AD33" s="250"/>
      <c r="AE33" s="250"/>
      <c r="AF33" s="250"/>
      <c r="AG33" s="250"/>
      <c r="AH33" s="250"/>
      <c r="AI33" s="250"/>
      <c r="AJ33" s="250"/>
      <c r="AK33" s="250"/>
      <c r="AL33" s="250"/>
      <c r="AM33" s="241"/>
      <c r="AN33" s="241"/>
      <c r="AO33" s="241"/>
      <c r="AP33" s="241"/>
      <c r="AQ33" s="241"/>
      <c r="AR33" s="241"/>
      <c r="AS33" s="241"/>
      <c r="AT33" s="241"/>
      <c r="AU33" s="241"/>
      <c r="AV33" s="241"/>
      <c r="AW33" s="241"/>
      <c r="AX33" s="250">
        <v>2.1</v>
      </c>
      <c r="AY33" s="354">
        <f t="shared" si="1"/>
        <v>907.2</v>
      </c>
      <c r="AZ33" s="354">
        <f t="shared" si="4"/>
        <v>7030.8</v>
      </c>
      <c r="BA33" s="355" t="str">
        <f t="shared" si="7"/>
        <v>澳大利亚</v>
      </c>
      <c r="BB33" s="355" t="str">
        <f t="shared" si="8"/>
        <v>Kmart Australia &amp; NZ Holding Limited</v>
      </c>
    </row>
    <row r="34" s="234" customFormat="1" hidden="1" customHeight="1" spans="1:54">
      <c r="A34" s="239">
        <v>46101</v>
      </c>
      <c r="B34" s="240" t="s">
        <v>113</v>
      </c>
      <c r="C34" s="240" t="s">
        <v>154</v>
      </c>
      <c r="D34" s="240">
        <v>2617376</v>
      </c>
      <c r="E34" s="240" t="s">
        <v>155</v>
      </c>
      <c r="F34" s="240" t="s">
        <v>18</v>
      </c>
      <c r="G34" s="356">
        <v>1800</v>
      </c>
      <c r="H34" s="239">
        <v>46135</v>
      </c>
      <c r="I34" s="241"/>
      <c r="J34" s="241"/>
      <c r="K34" s="241"/>
      <c r="L34" s="241"/>
      <c r="M34" s="241">
        <f t="shared" si="9"/>
        <v>1800</v>
      </c>
      <c r="N34" s="241"/>
      <c r="O34" s="241"/>
      <c r="P34" s="241"/>
      <c r="Q34" s="241"/>
      <c r="R34" s="241"/>
      <c r="S34" s="241"/>
      <c r="T34" s="241"/>
      <c r="U34" s="241"/>
      <c r="V34" s="241"/>
      <c r="W34" s="241"/>
      <c r="X34" s="241"/>
      <c r="Y34" s="241"/>
      <c r="Z34" s="241"/>
      <c r="AA34" s="241"/>
      <c r="AB34" s="250"/>
      <c r="AC34" s="250"/>
      <c r="AD34" s="250"/>
      <c r="AE34" s="250"/>
      <c r="AF34" s="250"/>
      <c r="AG34" s="250"/>
      <c r="AH34" s="250"/>
      <c r="AI34" s="250"/>
      <c r="AJ34" s="250"/>
      <c r="AK34" s="250"/>
      <c r="AL34" s="250"/>
      <c r="AM34" s="241"/>
      <c r="AN34" s="241"/>
      <c r="AO34" s="241"/>
      <c r="AP34" s="241"/>
      <c r="AQ34" s="241"/>
      <c r="AR34" s="241"/>
      <c r="AS34" s="241"/>
      <c r="AT34" s="241"/>
      <c r="AU34" s="241"/>
      <c r="AV34" s="241"/>
      <c r="AW34" s="241"/>
      <c r="AX34" s="250">
        <v>2.1</v>
      </c>
      <c r="AY34" s="354">
        <f t="shared" si="1"/>
        <v>3780</v>
      </c>
      <c r="AZ34" s="354">
        <f t="shared" si="4"/>
        <v>29295</v>
      </c>
      <c r="BA34" s="355" t="str">
        <f t="shared" si="7"/>
        <v>澳大利亚</v>
      </c>
      <c r="BB34" s="355" t="str">
        <f t="shared" si="8"/>
        <v>Target Australia Pty Ltd</v>
      </c>
    </row>
    <row r="35" s="234" customFormat="1" hidden="1" customHeight="1" spans="1:54">
      <c r="A35" s="239">
        <v>46101</v>
      </c>
      <c r="B35" s="240" t="s">
        <v>113</v>
      </c>
      <c r="C35" s="240" t="s">
        <v>154</v>
      </c>
      <c r="D35" s="240">
        <v>2617377</v>
      </c>
      <c r="E35" s="240" t="s">
        <v>156</v>
      </c>
      <c r="F35" s="240" t="s">
        <v>18</v>
      </c>
      <c r="G35" s="356">
        <v>1800</v>
      </c>
      <c r="H35" s="239">
        <v>46176</v>
      </c>
      <c r="I35" s="241"/>
      <c r="J35" s="241"/>
      <c r="K35" s="241"/>
      <c r="L35" s="241"/>
      <c r="M35" s="241">
        <f t="shared" si="9"/>
        <v>1800</v>
      </c>
      <c r="N35" s="241"/>
      <c r="O35" s="241"/>
      <c r="P35" s="241"/>
      <c r="Q35" s="241"/>
      <c r="R35" s="241"/>
      <c r="S35" s="241"/>
      <c r="T35" s="241"/>
      <c r="U35" s="241"/>
      <c r="V35" s="241"/>
      <c r="W35" s="241"/>
      <c r="X35" s="241"/>
      <c r="Y35" s="241"/>
      <c r="Z35" s="241"/>
      <c r="AA35" s="241"/>
      <c r="AB35" s="250"/>
      <c r="AC35" s="250"/>
      <c r="AD35" s="250"/>
      <c r="AE35" s="250"/>
      <c r="AF35" s="250"/>
      <c r="AG35" s="250"/>
      <c r="AH35" s="250"/>
      <c r="AI35" s="250"/>
      <c r="AJ35" s="250"/>
      <c r="AK35" s="250"/>
      <c r="AL35" s="250"/>
      <c r="AM35" s="241"/>
      <c r="AN35" s="241"/>
      <c r="AO35" s="241"/>
      <c r="AP35" s="241"/>
      <c r="AQ35" s="241"/>
      <c r="AR35" s="241"/>
      <c r="AS35" s="241"/>
      <c r="AT35" s="241"/>
      <c r="AU35" s="241"/>
      <c r="AV35" s="241"/>
      <c r="AW35" s="241"/>
      <c r="AX35" s="250">
        <v>2.1</v>
      </c>
      <c r="AY35" s="354">
        <f t="shared" si="1"/>
        <v>3780</v>
      </c>
      <c r="AZ35" s="354">
        <f t="shared" si="4"/>
        <v>29295</v>
      </c>
      <c r="BA35" s="355" t="str">
        <f t="shared" si="7"/>
        <v>澳大利亚</v>
      </c>
      <c r="BB35" s="355" t="str">
        <f t="shared" si="8"/>
        <v>Target Australia Pty Ltd</v>
      </c>
    </row>
    <row r="36" s="234" customFormat="1" hidden="1" customHeight="1" spans="1:54">
      <c r="A36" s="239">
        <v>46101</v>
      </c>
      <c r="B36" s="240" t="s">
        <v>113</v>
      </c>
      <c r="C36" s="240" t="s">
        <v>154</v>
      </c>
      <c r="D36" s="240">
        <v>2617378</v>
      </c>
      <c r="E36" s="240" t="s">
        <v>157</v>
      </c>
      <c r="F36" s="240" t="s">
        <v>18</v>
      </c>
      <c r="G36" s="356">
        <v>1200</v>
      </c>
      <c r="H36" s="239">
        <v>46211</v>
      </c>
      <c r="I36" s="241"/>
      <c r="J36" s="241"/>
      <c r="K36" s="241"/>
      <c r="L36" s="241"/>
      <c r="M36" s="241">
        <f t="shared" si="9"/>
        <v>1200</v>
      </c>
      <c r="N36" s="241"/>
      <c r="O36" s="241"/>
      <c r="P36" s="241"/>
      <c r="Q36" s="241"/>
      <c r="R36" s="241"/>
      <c r="S36" s="241"/>
      <c r="T36" s="241"/>
      <c r="U36" s="241"/>
      <c r="V36" s="241"/>
      <c r="W36" s="241"/>
      <c r="X36" s="241"/>
      <c r="Y36" s="241"/>
      <c r="Z36" s="241"/>
      <c r="AA36" s="241"/>
      <c r="AB36" s="250"/>
      <c r="AC36" s="250"/>
      <c r="AD36" s="250"/>
      <c r="AE36" s="250"/>
      <c r="AF36" s="250"/>
      <c r="AG36" s="250"/>
      <c r="AH36" s="250"/>
      <c r="AI36" s="250"/>
      <c r="AJ36" s="250"/>
      <c r="AK36" s="250"/>
      <c r="AL36" s="250"/>
      <c r="AM36" s="241"/>
      <c r="AN36" s="241"/>
      <c r="AO36" s="241"/>
      <c r="AP36" s="241"/>
      <c r="AQ36" s="241"/>
      <c r="AR36" s="241"/>
      <c r="AS36" s="241"/>
      <c r="AT36" s="241"/>
      <c r="AU36" s="241"/>
      <c r="AV36" s="241"/>
      <c r="AW36" s="241"/>
      <c r="AX36" s="250">
        <v>2.1</v>
      </c>
      <c r="AY36" s="354">
        <f t="shared" si="1"/>
        <v>2520</v>
      </c>
      <c r="AZ36" s="354">
        <f t="shared" si="4"/>
        <v>19530</v>
      </c>
      <c r="BA36" s="355" t="str">
        <f t="shared" si="7"/>
        <v>澳大利亚</v>
      </c>
      <c r="BB36" s="355" t="str">
        <f t="shared" si="8"/>
        <v>Target Australia Pty Ltd</v>
      </c>
    </row>
    <row r="37" s="114" customFormat="1" hidden="1" customHeight="1" spans="1:54">
      <c r="A37" s="123">
        <v>46101</v>
      </c>
      <c r="B37" s="87" t="s">
        <v>113</v>
      </c>
      <c r="C37" s="87" t="s">
        <v>154</v>
      </c>
      <c r="D37" s="87">
        <v>2617379</v>
      </c>
      <c r="E37" s="87" t="s">
        <v>158</v>
      </c>
      <c r="F37" s="87" t="s">
        <v>18</v>
      </c>
      <c r="G37" s="357">
        <v>1500</v>
      </c>
      <c r="H37" s="123">
        <v>46245</v>
      </c>
      <c r="I37" s="82"/>
      <c r="J37" s="82"/>
      <c r="K37" s="82"/>
      <c r="L37" s="82"/>
      <c r="M37" s="82">
        <f t="shared" si="9"/>
        <v>1500</v>
      </c>
      <c r="N37" s="82"/>
      <c r="O37" s="82"/>
      <c r="P37" s="82"/>
      <c r="Q37" s="82"/>
      <c r="R37" s="82"/>
      <c r="S37" s="82"/>
      <c r="T37" s="82"/>
      <c r="U37" s="82"/>
      <c r="V37" s="82"/>
      <c r="W37" s="82"/>
      <c r="X37" s="82"/>
      <c r="Y37" s="82"/>
      <c r="Z37" s="82"/>
      <c r="AA37" s="82"/>
      <c r="AB37" s="348"/>
      <c r="AC37" s="348"/>
      <c r="AD37" s="348"/>
      <c r="AE37" s="348"/>
      <c r="AF37" s="348"/>
      <c r="AG37" s="348"/>
      <c r="AH37" s="348"/>
      <c r="AI37" s="348"/>
      <c r="AJ37" s="348"/>
      <c r="AK37" s="348"/>
      <c r="AL37" s="348"/>
      <c r="AM37" s="82"/>
      <c r="AN37" s="82"/>
      <c r="AO37" s="82"/>
      <c r="AP37" s="82"/>
      <c r="AQ37" s="82"/>
      <c r="AR37" s="82"/>
      <c r="AS37" s="82"/>
      <c r="AT37" s="82"/>
      <c r="AU37" s="82"/>
      <c r="AV37" s="82"/>
      <c r="AW37" s="82"/>
      <c r="AX37" s="348">
        <v>2.1</v>
      </c>
      <c r="AY37" s="350">
        <f t="shared" si="1"/>
        <v>3150</v>
      </c>
      <c r="AZ37" s="350">
        <f t="shared" si="4"/>
        <v>24412.5</v>
      </c>
      <c r="BA37" s="116" t="str">
        <f t="shared" si="7"/>
        <v>澳大利亚</v>
      </c>
      <c r="BB37" s="116" t="str">
        <f t="shared" si="8"/>
        <v>Target Australia Pty Ltd</v>
      </c>
    </row>
    <row r="38" s="114" customFormat="1" hidden="1" customHeight="1" spans="1:54">
      <c r="A38" s="123">
        <v>46101</v>
      </c>
      <c r="B38" s="87" t="s">
        <v>113</v>
      </c>
      <c r="C38" s="87" t="s">
        <v>154</v>
      </c>
      <c r="D38" s="87">
        <v>2617380</v>
      </c>
      <c r="E38" s="87" t="s">
        <v>159</v>
      </c>
      <c r="F38" s="87" t="s">
        <v>18</v>
      </c>
      <c r="G38" s="357">
        <v>1200</v>
      </c>
      <c r="H38" s="123">
        <v>46267</v>
      </c>
      <c r="I38" s="82"/>
      <c r="J38" s="82"/>
      <c r="K38" s="82"/>
      <c r="L38" s="82"/>
      <c r="M38" s="82">
        <f t="shared" si="9"/>
        <v>1200</v>
      </c>
      <c r="N38" s="82"/>
      <c r="O38" s="82"/>
      <c r="P38" s="82"/>
      <c r="Q38" s="82"/>
      <c r="R38" s="82"/>
      <c r="S38" s="82"/>
      <c r="T38" s="82"/>
      <c r="U38" s="82"/>
      <c r="V38" s="82"/>
      <c r="W38" s="82"/>
      <c r="X38" s="82"/>
      <c r="Y38" s="82"/>
      <c r="Z38" s="82"/>
      <c r="AA38" s="82"/>
      <c r="AB38" s="348"/>
      <c r="AC38" s="348"/>
      <c r="AD38" s="348"/>
      <c r="AE38" s="348"/>
      <c r="AF38" s="348"/>
      <c r="AG38" s="348"/>
      <c r="AH38" s="348"/>
      <c r="AI38" s="348"/>
      <c r="AJ38" s="348"/>
      <c r="AK38" s="348"/>
      <c r="AL38" s="348"/>
      <c r="AM38" s="82"/>
      <c r="AN38" s="82"/>
      <c r="AO38" s="82"/>
      <c r="AP38" s="82"/>
      <c r="AQ38" s="82"/>
      <c r="AR38" s="82"/>
      <c r="AS38" s="82"/>
      <c r="AT38" s="82"/>
      <c r="AU38" s="82"/>
      <c r="AV38" s="82"/>
      <c r="AW38" s="82"/>
      <c r="AX38" s="348">
        <v>2.1</v>
      </c>
      <c r="AY38" s="350">
        <f t="shared" si="1"/>
        <v>2520</v>
      </c>
      <c r="AZ38" s="350">
        <f t="shared" si="4"/>
        <v>19530</v>
      </c>
      <c r="BA38" s="116" t="str">
        <f t="shared" si="7"/>
        <v>澳大利亚</v>
      </c>
      <c r="BB38" s="116" t="str">
        <f t="shared" si="8"/>
        <v>Target Australia Pty Ltd</v>
      </c>
    </row>
    <row r="39" s="234" customFormat="1" hidden="1" customHeight="1" spans="1:54">
      <c r="A39" s="239">
        <v>46114</v>
      </c>
      <c r="B39" s="240" t="s">
        <v>108</v>
      </c>
      <c r="C39" s="240" t="s">
        <v>145</v>
      </c>
      <c r="D39" s="240" t="s">
        <v>160</v>
      </c>
      <c r="E39" s="240" t="s">
        <v>161</v>
      </c>
      <c r="F39" s="240" t="s">
        <v>14</v>
      </c>
      <c r="G39" s="356">
        <v>1002</v>
      </c>
      <c r="H39" s="239">
        <v>46160</v>
      </c>
      <c r="I39" s="241"/>
      <c r="J39" s="241">
        <f>G39</f>
        <v>1002</v>
      </c>
      <c r="K39" s="241"/>
      <c r="L39" s="241"/>
      <c r="M39" s="241"/>
      <c r="N39" s="241"/>
      <c r="O39" s="241"/>
      <c r="P39" s="241"/>
      <c r="Q39" s="241"/>
      <c r="R39" s="241"/>
      <c r="S39" s="241"/>
      <c r="T39" s="241"/>
      <c r="U39" s="241"/>
      <c r="V39" s="241"/>
      <c r="W39" s="241"/>
      <c r="X39" s="241"/>
      <c r="Y39" s="241"/>
      <c r="Z39" s="241"/>
      <c r="AA39" s="241"/>
      <c r="AB39" s="250"/>
      <c r="AC39" s="250"/>
      <c r="AD39" s="250"/>
      <c r="AE39" s="250"/>
      <c r="AF39" s="250"/>
      <c r="AG39" s="250"/>
      <c r="AH39" s="250"/>
      <c r="AI39" s="250"/>
      <c r="AJ39" s="250"/>
      <c r="AK39" s="250"/>
      <c r="AL39" s="250"/>
      <c r="AM39" s="241"/>
      <c r="AN39" s="241"/>
      <c r="AO39" s="241"/>
      <c r="AP39" s="241"/>
      <c r="AQ39" s="241"/>
      <c r="AR39" s="241"/>
      <c r="AS39" s="241"/>
      <c r="AT39" s="241"/>
      <c r="AU39" s="241"/>
      <c r="AV39" s="241"/>
      <c r="AW39" s="241"/>
      <c r="AX39" s="250">
        <v>4.9</v>
      </c>
      <c r="AY39" s="354">
        <f t="shared" si="1"/>
        <v>4909.8</v>
      </c>
      <c r="AZ39" s="354">
        <f t="shared" si="4"/>
        <v>38050.95</v>
      </c>
      <c r="BA39" s="355" t="str">
        <f t="shared" si="7"/>
        <v>美国</v>
      </c>
      <c r="BB39" s="355" t="str">
        <f t="shared" si="8"/>
        <v>Flybar Inc</v>
      </c>
    </row>
    <row r="40" s="234" customFormat="1" hidden="1" customHeight="1" spans="1:54">
      <c r="A40" s="239">
        <v>46114</v>
      </c>
      <c r="B40" s="240" t="s">
        <v>108</v>
      </c>
      <c r="C40" s="240" t="s">
        <v>145</v>
      </c>
      <c r="D40" s="240" t="s">
        <v>162</v>
      </c>
      <c r="E40" s="240" t="s">
        <v>163</v>
      </c>
      <c r="F40" s="240" t="s">
        <v>14</v>
      </c>
      <c r="G40" s="356">
        <v>1002</v>
      </c>
      <c r="H40" s="239">
        <v>46160</v>
      </c>
      <c r="I40" s="241"/>
      <c r="J40" s="241">
        <f>G40</f>
        <v>1002</v>
      </c>
      <c r="K40" s="241"/>
      <c r="L40" s="241"/>
      <c r="M40" s="241"/>
      <c r="N40" s="241"/>
      <c r="O40" s="241"/>
      <c r="P40" s="241"/>
      <c r="Q40" s="241"/>
      <c r="R40" s="241"/>
      <c r="S40" s="241"/>
      <c r="T40" s="241"/>
      <c r="U40" s="241"/>
      <c r="V40" s="241"/>
      <c r="W40" s="241"/>
      <c r="X40" s="241"/>
      <c r="Y40" s="241"/>
      <c r="Z40" s="241"/>
      <c r="AA40" s="241"/>
      <c r="AB40" s="250"/>
      <c r="AC40" s="250"/>
      <c r="AD40" s="250"/>
      <c r="AE40" s="250"/>
      <c r="AF40" s="250"/>
      <c r="AG40" s="250"/>
      <c r="AH40" s="250"/>
      <c r="AI40" s="250"/>
      <c r="AJ40" s="250"/>
      <c r="AK40" s="250"/>
      <c r="AL40" s="250"/>
      <c r="AM40" s="241"/>
      <c r="AN40" s="241"/>
      <c r="AO40" s="241"/>
      <c r="AP40" s="241"/>
      <c r="AQ40" s="241"/>
      <c r="AR40" s="241"/>
      <c r="AS40" s="241"/>
      <c r="AT40" s="241"/>
      <c r="AU40" s="241"/>
      <c r="AV40" s="241"/>
      <c r="AW40" s="241"/>
      <c r="AX40" s="250">
        <v>4.9</v>
      </c>
      <c r="AY40" s="354">
        <f t="shared" si="1"/>
        <v>4909.8</v>
      </c>
      <c r="AZ40" s="354">
        <f t="shared" si="4"/>
        <v>38050.95</v>
      </c>
      <c r="BA40" s="355" t="str">
        <f t="shared" si="7"/>
        <v>美国</v>
      </c>
      <c r="BB40" s="355" t="str">
        <f t="shared" si="8"/>
        <v>Flybar Inc</v>
      </c>
    </row>
    <row r="41" s="114" customFormat="1" hidden="1" customHeight="1" spans="1:54">
      <c r="A41" s="123">
        <v>46114</v>
      </c>
      <c r="B41" s="87" t="s">
        <v>108</v>
      </c>
      <c r="C41" s="87" t="s">
        <v>145</v>
      </c>
      <c r="D41" s="87" t="s">
        <v>164</v>
      </c>
      <c r="E41" s="87" t="s">
        <v>165</v>
      </c>
      <c r="F41" s="87" t="s">
        <v>14</v>
      </c>
      <c r="G41" s="357">
        <v>1002</v>
      </c>
      <c r="H41" s="123">
        <v>46160</v>
      </c>
      <c r="I41" s="82"/>
      <c r="J41" s="82">
        <f>G41</f>
        <v>1002</v>
      </c>
      <c r="K41" s="82"/>
      <c r="L41" s="82"/>
      <c r="M41" s="82"/>
      <c r="N41" s="82"/>
      <c r="O41" s="82"/>
      <c r="P41" s="82"/>
      <c r="Q41" s="82"/>
      <c r="R41" s="82"/>
      <c r="S41" s="82"/>
      <c r="T41" s="82"/>
      <c r="U41" s="82"/>
      <c r="V41" s="82"/>
      <c r="W41" s="82"/>
      <c r="X41" s="82"/>
      <c r="Y41" s="82"/>
      <c r="Z41" s="82"/>
      <c r="AA41" s="82"/>
      <c r="AB41" s="348"/>
      <c r="AC41" s="348"/>
      <c r="AD41" s="348"/>
      <c r="AE41" s="348"/>
      <c r="AF41" s="348"/>
      <c r="AG41" s="348"/>
      <c r="AH41" s="348"/>
      <c r="AI41" s="348"/>
      <c r="AJ41" s="348"/>
      <c r="AK41" s="348"/>
      <c r="AL41" s="348"/>
      <c r="AM41" s="82"/>
      <c r="AN41" s="82"/>
      <c r="AO41" s="82"/>
      <c r="AP41" s="82"/>
      <c r="AQ41" s="82"/>
      <c r="AR41" s="82"/>
      <c r="AS41" s="82"/>
      <c r="AT41" s="82"/>
      <c r="AU41" s="82"/>
      <c r="AV41" s="82"/>
      <c r="AW41" s="82"/>
      <c r="AX41" s="348">
        <v>4.9</v>
      </c>
      <c r="AY41" s="350">
        <f t="shared" si="1"/>
        <v>4909.8</v>
      </c>
      <c r="AZ41" s="350">
        <f t="shared" si="4"/>
        <v>38050.95</v>
      </c>
      <c r="BA41" s="116" t="str">
        <f t="shared" si="7"/>
        <v>美国</v>
      </c>
      <c r="BB41" s="116" t="str">
        <f t="shared" si="8"/>
        <v>Flybar Inc</v>
      </c>
    </row>
    <row r="42" s="234" customFormat="1" hidden="1" customHeight="1" spans="1:54">
      <c r="A42" s="239">
        <v>46119</v>
      </c>
      <c r="B42" s="240" t="s">
        <v>148</v>
      </c>
      <c r="C42" s="240" t="s">
        <v>166</v>
      </c>
      <c r="D42" s="387" t="s">
        <v>167</v>
      </c>
      <c r="E42" s="240" t="s">
        <v>168</v>
      </c>
      <c r="F42" s="240" t="s">
        <v>6</v>
      </c>
      <c r="G42" s="353">
        <v>1800</v>
      </c>
      <c r="H42" s="239">
        <v>46164</v>
      </c>
      <c r="I42" s="234">
        <f>G42</f>
        <v>1800</v>
      </c>
      <c r="J42" s="241"/>
      <c r="K42" s="241"/>
      <c r="L42" s="241"/>
      <c r="M42" s="241"/>
      <c r="N42" s="241"/>
      <c r="O42" s="241"/>
      <c r="P42" s="241"/>
      <c r="Q42" s="241"/>
      <c r="R42" s="241"/>
      <c r="S42" s="241"/>
      <c r="T42" s="241"/>
      <c r="U42" s="241"/>
      <c r="V42" s="241"/>
      <c r="W42" s="241"/>
      <c r="X42" s="241"/>
      <c r="Y42" s="241"/>
      <c r="Z42" s="241"/>
      <c r="AA42" s="241"/>
      <c r="AB42" s="250"/>
      <c r="AC42" s="250"/>
      <c r="AD42" s="250"/>
      <c r="AE42" s="250"/>
      <c r="AF42" s="250"/>
      <c r="AG42" s="250"/>
      <c r="AH42" s="250"/>
      <c r="AI42" s="250"/>
      <c r="AJ42" s="250"/>
      <c r="AK42" s="250"/>
      <c r="AL42" s="250"/>
      <c r="AM42" s="241"/>
      <c r="AN42" s="241"/>
      <c r="AO42" s="241"/>
      <c r="AP42" s="241"/>
      <c r="AQ42" s="241"/>
      <c r="AR42" s="241"/>
      <c r="AS42" s="241"/>
      <c r="AT42" s="241"/>
      <c r="AU42" s="241"/>
      <c r="AV42" s="241"/>
      <c r="AW42" s="241"/>
      <c r="AX42" s="250">
        <v>4.5</v>
      </c>
      <c r="AY42" s="354">
        <f t="shared" si="1"/>
        <v>8100</v>
      </c>
      <c r="AZ42" s="354">
        <f t="shared" si="4"/>
        <v>62775</v>
      </c>
      <c r="BA42" s="355" t="str">
        <f t="shared" si="7"/>
        <v>加拿大</v>
      </c>
      <c r="BB42" s="355" t="str">
        <f t="shared" si="8"/>
        <v>Canada Inc./dba Red Planet Group</v>
      </c>
    </row>
    <row r="43" s="234" customFormat="1" hidden="1" customHeight="1" spans="1:54">
      <c r="A43" s="239">
        <v>46119</v>
      </c>
      <c r="B43" s="240" t="s">
        <v>113</v>
      </c>
      <c r="C43" s="240" t="s">
        <v>114</v>
      </c>
      <c r="D43" s="240">
        <v>47946690</v>
      </c>
      <c r="E43" s="240" t="s">
        <v>169</v>
      </c>
      <c r="F43" s="240" t="s">
        <v>6</v>
      </c>
      <c r="G43" s="356">
        <v>1200</v>
      </c>
      <c r="H43" s="239">
        <v>46171</v>
      </c>
      <c r="I43" s="241">
        <f>G43</f>
        <v>1200</v>
      </c>
      <c r="J43" s="241"/>
      <c r="K43" s="241"/>
      <c r="L43" s="241"/>
      <c r="M43" s="241"/>
      <c r="N43" s="241"/>
      <c r="O43" s="241"/>
      <c r="P43" s="241"/>
      <c r="Q43" s="241"/>
      <c r="R43" s="241"/>
      <c r="S43" s="241"/>
      <c r="T43" s="241"/>
      <c r="U43" s="241"/>
      <c r="V43" s="241"/>
      <c r="W43" s="241"/>
      <c r="X43" s="241"/>
      <c r="Y43" s="241"/>
      <c r="Z43" s="241"/>
      <c r="AA43" s="241"/>
      <c r="AB43" s="250"/>
      <c r="AC43" s="250"/>
      <c r="AD43" s="250"/>
      <c r="AE43" s="250"/>
      <c r="AF43" s="250"/>
      <c r="AG43" s="250"/>
      <c r="AH43" s="250"/>
      <c r="AI43" s="250"/>
      <c r="AJ43" s="250"/>
      <c r="AK43" s="250"/>
      <c r="AL43" s="250"/>
      <c r="AM43" s="241"/>
      <c r="AN43" s="241"/>
      <c r="AO43" s="241"/>
      <c r="AP43" s="241"/>
      <c r="AQ43" s="241"/>
      <c r="AR43" s="241"/>
      <c r="AS43" s="241"/>
      <c r="AT43" s="241"/>
      <c r="AU43" s="241"/>
      <c r="AV43" s="241"/>
      <c r="AW43" s="241"/>
      <c r="AX43" s="250">
        <v>4.5</v>
      </c>
      <c r="AY43" s="354">
        <f t="shared" si="1"/>
        <v>5400</v>
      </c>
      <c r="AZ43" s="354">
        <f t="shared" si="4"/>
        <v>41850</v>
      </c>
      <c r="BA43" s="355" t="str">
        <f t="shared" si="7"/>
        <v>澳大利亚</v>
      </c>
      <c r="BB43" s="355" t="str">
        <f t="shared" si="8"/>
        <v>Woolworths Group Limited t/a Big W</v>
      </c>
    </row>
    <row r="44" s="234" customFormat="1" hidden="1" customHeight="1" spans="1:54">
      <c r="A44" s="239">
        <v>46121</v>
      </c>
      <c r="B44" s="240" t="s">
        <v>100</v>
      </c>
      <c r="C44" s="240" t="s">
        <v>101</v>
      </c>
      <c r="D44" s="240" t="s">
        <v>170</v>
      </c>
      <c r="E44" s="240" t="s">
        <v>171</v>
      </c>
      <c r="F44" s="240" t="s">
        <v>18</v>
      </c>
      <c r="G44" s="356">
        <v>1656</v>
      </c>
      <c r="H44" s="239">
        <v>46175</v>
      </c>
      <c r="I44" s="241"/>
      <c r="J44" s="241"/>
      <c r="K44" s="241"/>
      <c r="L44" s="241"/>
      <c r="M44" s="241">
        <f t="shared" ref="M44:M46" si="10">G44</f>
        <v>1656</v>
      </c>
      <c r="N44" s="241"/>
      <c r="O44" s="241"/>
      <c r="P44" s="241"/>
      <c r="Q44" s="241"/>
      <c r="R44" s="241"/>
      <c r="S44" s="241"/>
      <c r="T44" s="241"/>
      <c r="U44" s="241"/>
      <c r="V44" s="241"/>
      <c r="W44" s="241"/>
      <c r="X44" s="241"/>
      <c r="Y44" s="241"/>
      <c r="Z44" s="241"/>
      <c r="AA44" s="241"/>
      <c r="AB44" s="250"/>
      <c r="AC44" s="250"/>
      <c r="AD44" s="250"/>
      <c r="AE44" s="250"/>
      <c r="AF44" s="250"/>
      <c r="AG44" s="250"/>
      <c r="AH44" s="250"/>
      <c r="AI44" s="250"/>
      <c r="AJ44" s="250"/>
      <c r="AK44" s="250"/>
      <c r="AL44" s="250"/>
      <c r="AM44" s="241"/>
      <c r="AN44" s="241"/>
      <c r="AO44" s="241"/>
      <c r="AP44" s="241"/>
      <c r="AQ44" s="241"/>
      <c r="AR44" s="241"/>
      <c r="AS44" s="241"/>
      <c r="AT44" s="241"/>
      <c r="AU44" s="241"/>
      <c r="AV44" s="241"/>
      <c r="AW44" s="241"/>
      <c r="AX44" s="250">
        <v>2.1</v>
      </c>
      <c r="AY44" s="354">
        <f t="shared" si="1"/>
        <v>3477.6</v>
      </c>
      <c r="AZ44" s="354">
        <f t="shared" si="4"/>
        <v>26951.4</v>
      </c>
      <c r="BA44" s="355" t="str">
        <f t="shared" si="7"/>
        <v>越南</v>
      </c>
      <c r="BB44" s="355" t="str">
        <f t="shared" si="8"/>
        <v>Viet Tinh Anh Joint Stock Company</v>
      </c>
    </row>
    <row r="45" s="234" customFormat="1" hidden="1" customHeight="1" spans="1:54">
      <c r="A45" s="239">
        <v>46122</v>
      </c>
      <c r="B45" s="240" t="s">
        <v>141</v>
      </c>
      <c r="C45" s="240" t="s">
        <v>142</v>
      </c>
      <c r="D45" s="240">
        <v>21688244</v>
      </c>
      <c r="E45" s="240" t="s">
        <v>172</v>
      </c>
      <c r="F45" s="240" t="s">
        <v>18</v>
      </c>
      <c r="G45" s="353">
        <v>5496</v>
      </c>
      <c r="H45" s="239">
        <v>46170</v>
      </c>
      <c r="I45" s="241"/>
      <c r="J45" s="241"/>
      <c r="K45" s="241"/>
      <c r="L45" s="241"/>
      <c r="M45" s="241">
        <f t="shared" si="10"/>
        <v>5496</v>
      </c>
      <c r="N45" s="241"/>
      <c r="O45" s="241"/>
      <c r="P45" s="241"/>
      <c r="Q45" s="241"/>
      <c r="R45" s="241"/>
      <c r="S45" s="241"/>
      <c r="T45" s="241"/>
      <c r="U45" s="241"/>
      <c r="V45" s="241"/>
      <c r="W45" s="241"/>
      <c r="X45" s="241"/>
      <c r="Y45" s="241"/>
      <c r="Z45" s="241"/>
      <c r="AA45" s="241"/>
      <c r="AB45" s="250"/>
      <c r="AC45" s="250"/>
      <c r="AD45" s="250"/>
      <c r="AE45" s="250"/>
      <c r="AF45" s="250"/>
      <c r="AG45" s="250"/>
      <c r="AH45" s="250"/>
      <c r="AI45" s="250"/>
      <c r="AJ45" s="250"/>
      <c r="AK45" s="250"/>
      <c r="AL45" s="250"/>
      <c r="AM45" s="241"/>
      <c r="AN45" s="241"/>
      <c r="AO45" s="241"/>
      <c r="AP45" s="241"/>
      <c r="AQ45" s="241"/>
      <c r="AR45" s="241"/>
      <c r="AS45" s="241"/>
      <c r="AT45" s="241"/>
      <c r="AU45" s="241"/>
      <c r="AV45" s="241"/>
      <c r="AW45" s="241"/>
      <c r="AX45" s="250">
        <v>2.1</v>
      </c>
      <c r="AY45" s="354">
        <f t="shared" si="1"/>
        <v>11541.6</v>
      </c>
      <c r="AZ45" s="354">
        <f t="shared" si="4"/>
        <v>89447.4</v>
      </c>
      <c r="BA45" s="355" t="str">
        <f t="shared" si="7"/>
        <v>新西兰</v>
      </c>
      <c r="BB45" s="355" t="str">
        <f t="shared" si="8"/>
        <v>Kmart Australia &amp; NZ Holding Limited</v>
      </c>
    </row>
    <row r="46" s="234" customFormat="1" hidden="1" customHeight="1" spans="1:54">
      <c r="A46" s="239">
        <v>46122</v>
      </c>
      <c r="B46" s="240" t="s">
        <v>113</v>
      </c>
      <c r="C46" s="240" t="s">
        <v>142</v>
      </c>
      <c r="D46" s="240">
        <v>21688246</v>
      </c>
      <c r="E46" s="240" t="s">
        <v>173</v>
      </c>
      <c r="F46" s="240" t="s">
        <v>18</v>
      </c>
      <c r="G46" s="353">
        <v>1224</v>
      </c>
      <c r="H46" s="239">
        <v>46170</v>
      </c>
      <c r="I46" s="241"/>
      <c r="J46" s="241"/>
      <c r="K46" s="241"/>
      <c r="L46" s="241"/>
      <c r="M46" s="241">
        <f t="shared" si="10"/>
        <v>1224</v>
      </c>
      <c r="N46" s="241"/>
      <c r="O46" s="241"/>
      <c r="P46" s="241"/>
      <c r="Q46" s="241"/>
      <c r="R46" s="241"/>
      <c r="S46" s="241"/>
      <c r="T46" s="241"/>
      <c r="U46" s="241"/>
      <c r="V46" s="241"/>
      <c r="W46" s="241"/>
      <c r="X46" s="241"/>
      <c r="Y46" s="241"/>
      <c r="Z46" s="241"/>
      <c r="AA46" s="241"/>
      <c r="AB46" s="250"/>
      <c r="AC46" s="250"/>
      <c r="AD46" s="250"/>
      <c r="AE46" s="250"/>
      <c r="AF46" s="250"/>
      <c r="AG46" s="250"/>
      <c r="AH46" s="250"/>
      <c r="AI46" s="250"/>
      <c r="AJ46" s="250"/>
      <c r="AK46" s="250"/>
      <c r="AL46" s="250"/>
      <c r="AM46" s="241"/>
      <c r="AN46" s="241"/>
      <c r="AO46" s="241"/>
      <c r="AP46" s="241"/>
      <c r="AQ46" s="241"/>
      <c r="AR46" s="241"/>
      <c r="AS46" s="241"/>
      <c r="AT46" s="241"/>
      <c r="AU46" s="241"/>
      <c r="AV46" s="241"/>
      <c r="AW46" s="241"/>
      <c r="AX46" s="250">
        <v>2.1</v>
      </c>
      <c r="AY46" s="354">
        <f t="shared" si="1"/>
        <v>2570.4</v>
      </c>
      <c r="AZ46" s="354">
        <f t="shared" si="4"/>
        <v>19920.6</v>
      </c>
      <c r="BA46" s="355" t="str">
        <f t="shared" si="7"/>
        <v>澳大利亚</v>
      </c>
      <c r="BB46" s="355" t="str">
        <f t="shared" si="8"/>
        <v>Kmart Australia &amp; NZ Holding Limited</v>
      </c>
    </row>
    <row r="47" s="234" customFormat="1" hidden="1" customHeight="1" spans="1:54">
      <c r="A47" s="239">
        <v>46127</v>
      </c>
      <c r="B47" s="240" t="s">
        <v>113</v>
      </c>
      <c r="C47" s="240" t="s">
        <v>142</v>
      </c>
      <c r="D47" s="240">
        <v>21700273</v>
      </c>
      <c r="E47" s="240" t="s">
        <v>174</v>
      </c>
      <c r="F47" s="240" t="s">
        <v>37</v>
      </c>
      <c r="G47" s="356">
        <v>3600</v>
      </c>
      <c r="H47" s="239">
        <v>46188</v>
      </c>
      <c r="I47" s="241"/>
      <c r="J47" s="241"/>
      <c r="K47" s="241"/>
      <c r="L47" s="241"/>
      <c r="M47" s="241"/>
      <c r="N47" s="241"/>
      <c r="O47" s="241"/>
      <c r="P47" s="241"/>
      <c r="Q47" s="241"/>
      <c r="R47" s="241"/>
      <c r="S47" s="241"/>
      <c r="T47" s="241"/>
      <c r="U47" s="241"/>
      <c r="V47" s="241"/>
      <c r="W47" s="241"/>
      <c r="X47" s="241"/>
      <c r="Y47" s="241"/>
      <c r="Z47" s="241"/>
      <c r="AA47" s="241"/>
      <c r="AB47" s="241">
        <f>G47/4</f>
        <v>900</v>
      </c>
      <c r="AC47" s="241">
        <f>G47/4</f>
        <v>900</v>
      </c>
      <c r="AD47" s="241">
        <f>G47/4</f>
        <v>900</v>
      </c>
      <c r="AE47" s="241">
        <f>G47/4</f>
        <v>900</v>
      </c>
      <c r="AF47" s="241"/>
      <c r="AG47" s="241"/>
      <c r="AH47" s="241"/>
      <c r="AI47" s="241"/>
      <c r="AJ47" s="241"/>
      <c r="AK47" s="241"/>
      <c r="AL47" s="241"/>
      <c r="AM47" s="241"/>
      <c r="AN47" s="241"/>
      <c r="AO47" s="241"/>
      <c r="AP47" s="241"/>
      <c r="AQ47" s="241"/>
      <c r="AR47" s="241"/>
      <c r="AS47" s="241"/>
      <c r="AT47" s="241"/>
      <c r="AU47" s="241"/>
      <c r="AV47" s="241"/>
      <c r="AW47" s="241"/>
      <c r="AX47" s="248">
        <v>6.35</v>
      </c>
      <c r="AY47" s="354">
        <f t="shared" si="1"/>
        <v>22860</v>
      </c>
      <c r="AZ47" s="354">
        <f t="shared" si="4"/>
        <v>177165</v>
      </c>
      <c r="BA47" s="355" t="str">
        <f t="shared" si="7"/>
        <v>澳大利亚</v>
      </c>
      <c r="BB47" s="355" t="str">
        <f>C48</f>
        <v>Kmart Australia &amp; NZ Holding Limited</v>
      </c>
    </row>
    <row r="48" s="234" customFormat="1" hidden="1" customHeight="1" spans="1:54">
      <c r="A48" s="239">
        <v>46127</v>
      </c>
      <c r="B48" s="240" t="s">
        <v>113</v>
      </c>
      <c r="C48" s="240" t="s">
        <v>142</v>
      </c>
      <c r="D48" s="240">
        <v>21700273</v>
      </c>
      <c r="E48" s="240" t="s">
        <v>174</v>
      </c>
      <c r="F48" s="240" t="s">
        <v>34</v>
      </c>
      <c r="G48" s="356">
        <v>7200</v>
      </c>
      <c r="H48" s="239">
        <v>46188</v>
      </c>
      <c r="I48" s="241"/>
      <c r="J48" s="241"/>
      <c r="K48" s="241"/>
      <c r="L48" s="241"/>
      <c r="M48" s="241"/>
      <c r="N48" s="241"/>
      <c r="O48" s="241"/>
      <c r="P48" s="241"/>
      <c r="Q48" s="241"/>
      <c r="R48" s="241"/>
      <c r="S48" s="241"/>
      <c r="T48" s="241"/>
      <c r="U48" s="241"/>
      <c r="V48" s="241"/>
      <c r="W48" s="241"/>
      <c r="X48" s="241"/>
      <c r="Y48" s="241"/>
      <c r="Z48" s="241"/>
      <c r="AA48" s="241"/>
      <c r="AB48" s="241"/>
      <c r="AC48" s="241"/>
      <c r="AD48" s="241"/>
      <c r="AE48" s="241"/>
      <c r="AF48" s="241">
        <f>G48*11/72</f>
        <v>1100</v>
      </c>
      <c r="AG48" s="241">
        <f>G48*11/72</f>
        <v>1100</v>
      </c>
      <c r="AH48" s="241">
        <f>G48*11/72</f>
        <v>1100</v>
      </c>
      <c r="AI48" s="241">
        <f>G48*11/72</f>
        <v>1100</v>
      </c>
      <c r="AJ48" s="241">
        <f>G48*11/72</f>
        <v>1100</v>
      </c>
      <c r="AK48" s="241">
        <f>G48*11/72</f>
        <v>1100</v>
      </c>
      <c r="AL48" s="241">
        <f>G48*6/72</f>
        <v>600</v>
      </c>
      <c r="AM48" s="241"/>
      <c r="AN48" s="241"/>
      <c r="AO48" s="241"/>
      <c r="AP48" s="241"/>
      <c r="AQ48" s="241"/>
      <c r="AR48" s="241"/>
      <c r="AS48" s="241"/>
      <c r="AT48" s="241"/>
      <c r="AU48" s="241"/>
      <c r="AV48" s="241"/>
      <c r="AW48" s="241"/>
      <c r="AX48" s="248">
        <v>1.95</v>
      </c>
      <c r="AY48" s="354">
        <f t="shared" si="1"/>
        <v>14040</v>
      </c>
      <c r="AZ48" s="354">
        <f t="shared" si="4"/>
        <v>108810</v>
      </c>
      <c r="BA48" s="355" t="str">
        <f t="shared" si="7"/>
        <v>澳大利亚</v>
      </c>
      <c r="BB48" s="355" t="str">
        <f>C49</f>
        <v>Kmart Australia &amp; NZ Holding Limited</v>
      </c>
    </row>
    <row r="49" s="234" customFormat="1" hidden="1" customHeight="1" spans="1:54">
      <c r="A49" s="239">
        <v>46127</v>
      </c>
      <c r="B49" s="240" t="s">
        <v>113</v>
      </c>
      <c r="C49" s="240" t="s">
        <v>142</v>
      </c>
      <c r="D49" s="240">
        <v>21700276</v>
      </c>
      <c r="E49" s="240" t="s">
        <v>175</v>
      </c>
      <c r="F49" s="240" t="s">
        <v>37</v>
      </c>
      <c r="G49" s="356">
        <v>400</v>
      </c>
      <c r="H49" s="239">
        <v>46188</v>
      </c>
      <c r="I49" s="241"/>
      <c r="J49" s="241"/>
      <c r="K49" s="241"/>
      <c r="L49" s="241"/>
      <c r="M49" s="241"/>
      <c r="N49" s="241"/>
      <c r="O49" s="241"/>
      <c r="P49" s="241"/>
      <c r="Q49" s="241"/>
      <c r="R49" s="241"/>
      <c r="S49" s="241"/>
      <c r="T49" s="241"/>
      <c r="U49" s="241"/>
      <c r="V49" s="241"/>
      <c r="W49" s="241"/>
      <c r="X49" s="241"/>
      <c r="Y49" s="241"/>
      <c r="Z49" s="241"/>
      <c r="AA49" s="241"/>
      <c r="AB49" s="241">
        <f>G49/4</f>
        <v>100</v>
      </c>
      <c r="AC49" s="241">
        <f>G49/4</f>
        <v>100</v>
      </c>
      <c r="AD49" s="241">
        <f>G49/4</f>
        <v>100</v>
      </c>
      <c r="AE49" s="241">
        <f>G49/4</f>
        <v>100</v>
      </c>
      <c r="AF49" s="241"/>
      <c r="AG49" s="241"/>
      <c r="AH49" s="241"/>
      <c r="AI49" s="241"/>
      <c r="AJ49" s="241"/>
      <c r="AK49" s="241"/>
      <c r="AL49" s="241"/>
      <c r="AM49" s="241"/>
      <c r="AN49" s="241"/>
      <c r="AO49" s="241"/>
      <c r="AP49" s="241"/>
      <c r="AQ49" s="241"/>
      <c r="AR49" s="241"/>
      <c r="AS49" s="241"/>
      <c r="AT49" s="241"/>
      <c r="AU49" s="241"/>
      <c r="AV49" s="241"/>
      <c r="AW49" s="241"/>
      <c r="AX49" s="248">
        <v>6.35</v>
      </c>
      <c r="AY49" s="354">
        <f t="shared" si="1"/>
        <v>2540</v>
      </c>
      <c r="AZ49" s="354">
        <f t="shared" si="4"/>
        <v>19685</v>
      </c>
      <c r="BA49" s="355" t="str">
        <f t="shared" si="7"/>
        <v>澳大利亚</v>
      </c>
      <c r="BB49" s="355" t="str">
        <f t="shared" si="8"/>
        <v>Kmart Australia &amp; NZ Holding Limited</v>
      </c>
    </row>
    <row r="50" s="234" customFormat="1" hidden="1" customHeight="1" spans="1:54">
      <c r="A50" s="239">
        <v>46127</v>
      </c>
      <c r="B50" s="240" t="s">
        <v>113</v>
      </c>
      <c r="C50" s="240" t="s">
        <v>142</v>
      </c>
      <c r="D50" s="240">
        <v>21700276</v>
      </c>
      <c r="E50" s="240" t="s">
        <v>175</v>
      </c>
      <c r="F50" s="240" t="s">
        <v>34</v>
      </c>
      <c r="G50" s="356">
        <v>792</v>
      </c>
      <c r="H50" s="239">
        <v>46188</v>
      </c>
      <c r="I50" s="241"/>
      <c r="J50" s="241"/>
      <c r="K50" s="241"/>
      <c r="L50" s="241"/>
      <c r="M50" s="241"/>
      <c r="N50" s="241"/>
      <c r="O50" s="241"/>
      <c r="P50" s="241"/>
      <c r="Q50" s="241"/>
      <c r="R50" s="241"/>
      <c r="S50" s="241"/>
      <c r="T50" s="241"/>
      <c r="U50" s="241"/>
      <c r="V50" s="241"/>
      <c r="W50" s="241"/>
      <c r="X50" s="241"/>
      <c r="Y50" s="241"/>
      <c r="Z50" s="241"/>
      <c r="AA50" s="241"/>
      <c r="AB50" s="241"/>
      <c r="AC50" s="241"/>
      <c r="AD50" s="241"/>
      <c r="AE50" s="241"/>
      <c r="AF50" s="241">
        <f>G50*11/72</f>
        <v>121</v>
      </c>
      <c r="AG50" s="241">
        <f>G50*11/72</f>
        <v>121</v>
      </c>
      <c r="AH50" s="241">
        <f>G50*11/72</f>
        <v>121</v>
      </c>
      <c r="AI50" s="241">
        <f>G50*11/72</f>
        <v>121</v>
      </c>
      <c r="AJ50" s="241">
        <f>G50*11/72</f>
        <v>121</v>
      </c>
      <c r="AK50" s="241">
        <f>G50*11/72</f>
        <v>121</v>
      </c>
      <c r="AL50" s="241">
        <f>G50*6/72</f>
        <v>66</v>
      </c>
      <c r="AM50" s="241"/>
      <c r="AN50" s="241"/>
      <c r="AO50" s="241"/>
      <c r="AP50" s="241"/>
      <c r="AQ50" s="241"/>
      <c r="AR50" s="241"/>
      <c r="AS50" s="241"/>
      <c r="AT50" s="241"/>
      <c r="AU50" s="241"/>
      <c r="AV50" s="241"/>
      <c r="AW50" s="241"/>
      <c r="AX50" s="248">
        <v>1.95</v>
      </c>
      <c r="AY50" s="354">
        <f t="shared" si="1"/>
        <v>1544.4</v>
      </c>
      <c r="AZ50" s="354">
        <f t="shared" si="4"/>
        <v>11969.1</v>
      </c>
      <c r="BA50" s="355" t="str">
        <f t="shared" si="7"/>
        <v>澳大利亚</v>
      </c>
      <c r="BB50" s="355" t="str">
        <f t="shared" si="8"/>
        <v>Kmart Australia &amp; NZ Holding Limited</v>
      </c>
    </row>
    <row r="51" s="234" customFormat="1" hidden="1" customHeight="1" spans="1:54">
      <c r="A51" s="239">
        <v>46129</v>
      </c>
      <c r="B51" s="240" t="s">
        <v>113</v>
      </c>
      <c r="C51" s="240" t="s">
        <v>142</v>
      </c>
      <c r="D51" s="240">
        <v>21711859</v>
      </c>
      <c r="E51" s="240" t="s">
        <v>176</v>
      </c>
      <c r="F51" s="240" t="s">
        <v>18</v>
      </c>
      <c r="G51" s="356">
        <v>6720</v>
      </c>
      <c r="H51" s="239">
        <v>46175</v>
      </c>
      <c r="I51" s="241"/>
      <c r="J51" s="241"/>
      <c r="K51" s="241"/>
      <c r="L51" s="241"/>
      <c r="M51" s="241">
        <f>G51</f>
        <v>6720</v>
      </c>
      <c r="N51" s="241"/>
      <c r="O51" s="241"/>
      <c r="P51" s="241"/>
      <c r="Q51" s="241"/>
      <c r="R51" s="241"/>
      <c r="S51" s="241"/>
      <c r="T51" s="241"/>
      <c r="U51" s="241"/>
      <c r="V51" s="241"/>
      <c r="W51" s="241"/>
      <c r="X51" s="241"/>
      <c r="Y51" s="241"/>
      <c r="Z51" s="241"/>
      <c r="AA51" s="241"/>
      <c r="AB51" s="250"/>
      <c r="AC51" s="250"/>
      <c r="AD51" s="250"/>
      <c r="AE51" s="250"/>
      <c r="AF51" s="250"/>
      <c r="AG51" s="250"/>
      <c r="AH51" s="250"/>
      <c r="AI51" s="250"/>
      <c r="AJ51" s="250"/>
      <c r="AK51" s="250"/>
      <c r="AL51" s="250"/>
      <c r="AM51" s="241"/>
      <c r="AN51" s="241"/>
      <c r="AO51" s="241"/>
      <c r="AP51" s="241"/>
      <c r="AQ51" s="241"/>
      <c r="AR51" s="241"/>
      <c r="AS51" s="241"/>
      <c r="AT51" s="241"/>
      <c r="AU51" s="241"/>
      <c r="AV51" s="241"/>
      <c r="AW51" s="241"/>
      <c r="AX51" s="248">
        <v>2.1</v>
      </c>
      <c r="AY51" s="354">
        <f t="shared" si="1"/>
        <v>14112</v>
      </c>
      <c r="AZ51" s="354">
        <f t="shared" si="4"/>
        <v>109368</v>
      </c>
      <c r="BA51" s="355" t="str">
        <f t="shared" si="7"/>
        <v>澳大利亚</v>
      </c>
      <c r="BB51" s="355" t="str">
        <f t="shared" si="8"/>
        <v>Kmart Australia &amp; NZ Holding Limited</v>
      </c>
    </row>
    <row r="52" s="234" customFormat="1" hidden="1" customHeight="1" spans="1:54">
      <c r="A52" s="252">
        <v>46134</v>
      </c>
      <c r="B52" s="253" t="s">
        <v>177</v>
      </c>
      <c r="C52" s="253" t="s">
        <v>178</v>
      </c>
      <c r="D52" s="253" t="s">
        <v>179</v>
      </c>
      <c r="E52" s="253" t="s">
        <v>180</v>
      </c>
      <c r="F52" s="253" t="s">
        <v>18</v>
      </c>
      <c r="G52" s="268">
        <v>1404</v>
      </c>
      <c r="H52" s="252">
        <v>46168</v>
      </c>
      <c r="I52" s="241"/>
      <c r="J52" s="241"/>
      <c r="K52" s="241"/>
      <c r="L52" s="241"/>
      <c r="M52" s="241">
        <f>G52</f>
        <v>1404</v>
      </c>
      <c r="N52" s="241"/>
      <c r="O52" s="241"/>
      <c r="P52" s="241"/>
      <c r="Q52" s="241"/>
      <c r="R52" s="241"/>
      <c r="S52" s="241"/>
      <c r="T52" s="241"/>
      <c r="U52" s="241"/>
      <c r="V52" s="241"/>
      <c r="W52" s="241"/>
      <c r="X52" s="241"/>
      <c r="Y52" s="241"/>
      <c r="Z52" s="241"/>
      <c r="AA52" s="241"/>
      <c r="AB52" s="250"/>
      <c r="AC52" s="250"/>
      <c r="AD52" s="250"/>
      <c r="AE52" s="250"/>
      <c r="AF52" s="250"/>
      <c r="AG52" s="250"/>
      <c r="AH52" s="250"/>
      <c r="AI52" s="250"/>
      <c r="AJ52" s="250"/>
      <c r="AK52" s="250"/>
      <c r="AL52" s="250"/>
      <c r="AM52" s="241"/>
      <c r="AN52" s="241"/>
      <c r="AO52" s="241"/>
      <c r="AP52" s="241"/>
      <c r="AQ52" s="241"/>
      <c r="AR52" s="241"/>
      <c r="AS52" s="241"/>
      <c r="AT52" s="241"/>
      <c r="AU52" s="241"/>
      <c r="AV52" s="241"/>
      <c r="AW52" s="241"/>
      <c r="AX52" s="248">
        <v>2.1</v>
      </c>
      <c r="AY52" s="354">
        <f t="shared" si="1"/>
        <v>2948.4</v>
      </c>
      <c r="AZ52" s="354">
        <f t="shared" si="4"/>
        <v>22850.1</v>
      </c>
      <c r="BA52" s="355" t="str">
        <f t="shared" si="7"/>
        <v>泰国</v>
      </c>
      <c r="BB52" s="355" t="str">
        <f t="shared" si="8"/>
        <v>Kiddo Pacific Co. Ltd</v>
      </c>
    </row>
    <row r="53" s="234" customFormat="1" hidden="1" customHeight="1" spans="1:54">
      <c r="A53" s="252">
        <v>46134</v>
      </c>
      <c r="B53" s="253" t="s">
        <v>181</v>
      </c>
      <c r="C53" s="253" t="s">
        <v>182</v>
      </c>
      <c r="D53" s="253" t="s">
        <v>183</v>
      </c>
      <c r="E53" s="253" t="s">
        <v>184</v>
      </c>
      <c r="F53" s="253" t="s">
        <v>4</v>
      </c>
      <c r="G53" s="268">
        <v>540</v>
      </c>
      <c r="H53" s="252">
        <v>46174</v>
      </c>
      <c r="I53" s="241"/>
      <c r="J53" s="241"/>
      <c r="K53" s="241"/>
      <c r="L53" s="241">
        <f>G53</f>
        <v>540</v>
      </c>
      <c r="M53" s="241"/>
      <c r="N53" s="241"/>
      <c r="O53" s="241"/>
      <c r="P53" s="241"/>
      <c r="Q53" s="241"/>
      <c r="R53" s="241"/>
      <c r="S53" s="241"/>
      <c r="T53" s="241"/>
      <c r="U53" s="241"/>
      <c r="V53" s="241"/>
      <c r="W53" s="241"/>
      <c r="X53" s="241"/>
      <c r="Y53" s="241"/>
      <c r="Z53" s="241"/>
      <c r="AA53" s="241"/>
      <c r="AB53" s="250"/>
      <c r="AC53" s="250"/>
      <c r="AD53" s="250"/>
      <c r="AE53" s="250"/>
      <c r="AF53" s="250"/>
      <c r="AG53" s="250"/>
      <c r="AH53" s="250"/>
      <c r="AI53" s="250"/>
      <c r="AJ53" s="250"/>
      <c r="AK53" s="250"/>
      <c r="AL53" s="250"/>
      <c r="AM53" s="241"/>
      <c r="AN53" s="241"/>
      <c r="AO53" s="241"/>
      <c r="AP53" s="241"/>
      <c r="AQ53" s="241"/>
      <c r="AR53" s="241"/>
      <c r="AS53" s="241"/>
      <c r="AT53" s="241"/>
      <c r="AU53" s="241"/>
      <c r="AV53" s="241"/>
      <c r="AW53" s="241"/>
      <c r="AX53" s="248">
        <v>2.1</v>
      </c>
      <c r="AY53" s="354">
        <f t="shared" ref="AY53:AY63" si="11">SUM(I53:AW53)*AX53</f>
        <v>1134</v>
      </c>
      <c r="AZ53" s="354">
        <f t="shared" si="4"/>
        <v>8788.5</v>
      </c>
      <c r="BA53" s="355" t="str">
        <f t="shared" si="7"/>
        <v>韩国</v>
      </c>
      <c r="BB53" s="355" t="str">
        <f t="shared" si="8"/>
        <v>BomNamu Co. Ltd</v>
      </c>
    </row>
    <row r="54" s="234" customFormat="1" hidden="1" customHeight="1" spans="1:54">
      <c r="A54" s="252">
        <v>46154</v>
      </c>
      <c r="B54" s="253" t="s">
        <v>185</v>
      </c>
      <c r="C54" s="253" t="s">
        <v>186</v>
      </c>
      <c r="D54" s="253" t="s">
        <v>187</v>
      </c>
      <c r="E54" s="253" t="s">
        <v>188</v>
      </c>
      <c r="F54" s="253" t="s">
        <v>37</v>
      </c>
      <c r="G54" s="268">
        <v>1440</v>
      </c>
      <c r="H54" s="252">
        <v>46191</v>
      </c>
      <c r="I54" s="243"/>
      <c r="J54" s="243"/>
      <c r="K54" s="241"/>
      <c r="L54" s="241"/>
      <c r="M54" s="241"/>
      <c r="N54" s="241"/>
      <c r="O54" s="241"/>
      <c r="P54" s="241"/>
      <c r="Q54" s="241"/>
      <c r="R54" s="241"/>
      <c r="S54" s="241"/>
      <c r="T54" s="241"/>
      <c r="U54" s="241"/>
      <c r="V54" s="241"/>
      <c r="W54" s="241"/>
      <c r="X54" s="241"/>
      <c r="Y54" s="241"/>
      <c r="Z54" s="241"/>
      <c r="AA54" s="241"/>
      <c r="AB54" s="241">
        <f>G54/4</f>
        <v>360</v>
      </c>
      <c r="AC54" s="241">
        <f>G54/4</f>
        <v>360</v>
      </c>
      <c r="AD54" s="241">
        <f>G54/4</f>
        <v>360</v>
      </c>
      <c r="AE54" s="241">
        <f>G54/4</f>
        <v>360</v>
      </c>
      <c r="AF54" s="241"/>
      <c r="AG54" s="241"/>
      <c r="AH54" s="241"/>
      <c r="AI54" s="241"/>
      <c r="AJ54" s="241"/>
      <c r="AK54" s="241"/>
      <c r="AL54" s="250"/>
      <c r="AM54" s="241"/>
      <c r="AN54" s="241"/>
      <c r="AO54" s="241"/>
      <c r="AP54" s="241"/>
      <c r="AQ54" s="241"/>
      <c r="AR54" s="241"/>
      <c r="AS54" s="241"/>
      <c r="AT54" s="241"/>
      <c r="AU54" s="241"/>
      <c r="AV54" s="241"/>
      <c r="AW54" s="241"/>
      <c r="AX54" s="258">
        <v>6.35</v>
      </c>
      <c r="AY54" s="354">
        <f t="shared" si="11"/>
        <v>9144</v>
      </c>
      <c r="AZ54" s="354">
        <f t="shared" si="4"/>
        <v>70866</v>
      </c>
      <c r="BA54" s="355" t="str">
        <f t="shared" si="7"/>
        <v>宁波</v>
      </c>
      <c r="BB54" s="355" t="str">
        <f t="shared" si="8"/>
        <v>Aliss- Panama</v>
      </c>
    </row>
    <row r="55" s="234" customFormat="1" hidden="1" customHeight="1" spans="1:54">
      <c r="A55" s="252">
        <v>46154</v>
      </c>
      <c r="B55" s="253" t="s">
        <v>185</v>
      </c>
      <c r="C55" s="253" t="s">
        <v>186</v>
      </c>
      <c r="D55" s="253" t="s">
        <v>187</v>
      </c>
      <c r="E55" s="253" t="s">
        <v>188</v>
      </c>
      <c r="F55" s="253" t="s">
        <v>34</v>
      </c>
      <c r="G55" s="268">
        <v>1392</v>
      </c>
      <c r="H55" s="252">
        <v>46191</v>
      </c>
      <c r="I55" s="243"/>
      <c r="J55" s="243"/>
      <c r="K55" s="241"/>
      <c r="L55" s="241"/>
      <c r="M55" s="241"/>
      <c r="N55" s="241"/>
      <c r="O55" s="241"/>
      <c r="P55" s="241"/>
      <c r="Q55" s="241"/>
      <c r="R55" s="241"/>
      <c r="S55" s="241"/>
      <c r="T55" s="241"/>
      <c r="U55" s="241"/>
      <c r="V55" s="241"/>
      <c r="W55" s="241"/>
      <c r="X55" s="241"/>
      <c r="Y55" s="241"/>
      <c r="Z55" s="241"/>
      <c r="AA55" s="241"/>
      <c r="AB55" s="241"/>
      <c r="AC55" s="241"/>
      <c r="AD55" s="241"/>
      <c r="AE55" s="241"/>
      <c r="AF55" s="241">
        <v>212</v>
      </c>
      <c r="AG55" s="241">
        <v>212</v>
      </c>
      <c r="AH55" s="241">
        <v>213</v>
      </c>
      <c r="AI55" s="241">
        <v>213</v>
      </c>
      <c r="AJ55" s="241">
        <v>213</v>
      </c>
      <c r="AK55" s="241">
        <v>213</v>
      </c>
      <c r="AL55" s="241">
        <v>116</v>
      </c>
      <c r="AM55" s="241"/>
      <c r="AN55" s="241"/>
      <c r="AO55" s="241"/>
      <c r="AP55" s="241"/>
      <c r="AQ55" s="241"/>
      <c r="AR55" s="241"/>
      <c r="AS55" s="241"/>
      <c r="AT55" s="241"/>
      <c r="AU55" s="241"/>
      <c r="AV55" s="241"/>
      <c r="AW55" s="241"/>
      <c r="AX55" s="258">
        <v>1.95</v>
      </c>
      <c r="AY55" s="354">
        <f t="shared" si="11"/>
        <v>2714.4</v>
      </c>
      <c r="AZ55" s="354">
        <f t="shared" si="4"/>
        <v>21036.6</v>
      </c>
      <c r="BA55" s="355" t="str">
        <f t="shared" si="7"/>
        <v>宁波</v>
      </c>
      <c r="BB55" s="355" t="str">
        <f t="shared" si="8"/>
        <v>Aliss- Panama</v>
      </c>
    </row>
    <row r="56" s="234" customFormat="1" customHeight="1" spans="1:54">
      <c r="A56" s="252">
        <v>46164</v>
      </c>
      <c r="B56" s="253" t="s">
        <v>108</v>
      </c>
      <c r="C56" s="253" t="s">
        <v>109</v>
      </c>
      <c r="D56" s="253" t="s">
        <v>189</v>
      </c>
      <c r="E56" s="253" t="s">
        <v>190</v>
      </c>
      <c r="F56" s="253" t="s">
        <v>39</v>
      </c>
      <c r="G56" s="268">
        <v>2474</v>
      </c>
      <c r="H56" s="252">
        <v>46210</v>
      </c>
      <c r="I56" s="241"/>
      <c r="J56" s="241"/>
      <c r="K56" s="241"/>
      <c r="L56" s="241"/>
      <c r="M56" s="241"/>
      <c r="N56" s="241"/>
      <c r="O56" s="241"/>
      <c r="P56" s="241"/>
      <c r="Q56" s="241"/>
      <c r="R56" s="241"/>
      <c r="S56" s="241"/>
      <c r="T56" s="241"/>
      <c r="U56" s="241"/>
      <c r="V56" s="241"/>
      <c r="W56" s="241"/>
      <c r="X56" s="241"/>
      <c r="Y56" s="241"/>
      <c r="Z56" s="241"/>
      <c r="AA56" s="241"/>
      <c r="AB56" s="250"/>
      <c r="AC56" s="250"/>
      <c r="AD56" s="250"/>
      <c r="AE56" s="250"/>
      <c r="AF56" s="250"/>
      <c r="AG56" s="250"/>
      <c r="AH56" s="250"/>
      <c r="AI56" s="250"/>
      <c r="AJ56" s="250"/>
      <c r="AK56" s="250"/>
      <c r="AL56" s="250"/>
      <c r="AM56" s="241">
        <f>G56/2</f>
        <v>1237</v>
      </c>
      <c r="AN56" s="241">
        <f>G56/2</f>
        <v>1237</v>
      </c>
      <c r="AO56" s="241"/>
      <c r="AP56" s="241"/>
      <c r="AQ56" s="241"/>
      <c r="AR56" s="241"/>
      <c r="AS56" s="241"/>
      <c r="AT56" s="241"/>
      <c r="AU56" s="241"/>
      <c r="AV56" s="241"/>
      <c r="AW56" s="241"/>
      <c r="AX56" s="258">
        <v>5.6</v>
      </c>
      <c r="AY56" s="354">
        <f t="shared" si="11"/>
        <v>13854.4</v>
      </c>
      <c r="AZ56" s="354">
        <f t="shared" si="4"/>
        <v>107371.6</v>
      </c>
      <c r="BA56" s="355" t="str">
        <f t="shared" si="7"/>
        <v>美国</v>
      </c>
      <c r="BB56" s="355" t="str">
        <f t="shared" si="8"/>
        <v>Monster Group LLC</v>
      </c>
    </row>
    <row r="57" s="234" customFormat="1" customHeight="1" spans="1:54">
      <c r="A57" s="252">
        <v>46164</v>
      </c>
      <c r="B57" s="253" t="s">
        <v>108</v>
      </c>
      <c r="C57" s="253" t="s">
        <v>109</v>
      </c>
      <c r="D57" s="253" t="s">
        <v>189</v>
      </c>
      <c r="E57" s="253" t="s">
        <v>190</v>
      </c>
      <c r="F57" s="253" t="s">
        <v>39</v>
      </c>
      <c r="G57" s="268">
        <f>9568-2474</f>
        <v>7094</v>
      </c>
      <c r="H57" s="252">
        <v>46210</v>
      </c>
      <c r="I57" s="241"/>
      <c r="J57" s="241"/>
      <c r="K57" s="241"/>
      <c r="L57" s="241"/>
      <c r="M57" s="241"/>
      <c r="N57" s="241"/>
      <c r="O57" s="241"/>
      <c r="P57" s="241"/>
      <c r="Q57" s="241"/>
      <c r="R57" s="241"/>
      <c r="S57" s="241"/>
      <c r="T57" s="241"/>
      <c r="U57" s="241"/>
      <c r="V57" s="241"/>
      <c r="W57" s="241"/>
      <c r="X57" s="241"/>
      <c r="Y57" s="241"/>
      <c r="Z57" s="241"/>
      <c r="AA57" s="241"/>
      <c r="AB57" s="250"/>
      <c r="AC57" s="250"/>
      <c r="AD57" s="250"/>
      <c r="AE57" s="250"/>
      <c r="AF57" s="250"/>
      <c r="AG57" s="250"/>
      <c r="AH57" s="250"/>
      <c r="AI57" s="250"/>
      <c r="AJ57" s="250"/>
      <c r="AK57" s="250"/>
      <c r="AL57" s="250"/>
      <c r="AM57" s="241">
        <f>G57/2</f>
        <v>3547</v>
      </c>
      <c r="AN57" s="241">
        <f>G57/2</f>
        <v>3547</v>
      </c>
      <c r="AO57" s="241"/>
      <c r="AP57" s="241"/>
      <c r="AQ57" s="241"/>
      <c r="AR57" s="241"/>
      <c r="AS57" s="241"/>
      <c r="AT57" s="241"/>
      <c r="AU57" s="241"/>
      <c r="AV57" s="241"/>
      <c r="AW57" s="241"/>
      <c r="AX57" s="258">
        <v>5.6</v>
      </c>
      <c r="AY57" s="354">
        <f t="shared" si="11"/>
        <v>39726.4</v>
      </c>
      <c r="AZ57" s="354">
        <f t="shared" si="4"/>
        <v>307879.6</v>
      </c>
      <c r="BA57" s="355" t="str">
        <f t="shared" si="7"/>
        <v>美国</v>
      </c>
      <c r="BB57" s="355" t="str">
        <f t="shared" si="8"/>
        <v>Monster Group LLC</v>
      </c>
    </row>
    <row r="58" s="234" customFormat="1" hidden="1" customHeight="1" spans="1:54">
      <c r="A58" s="252">
        <v>46167</v>
      </c>
      <c r="B58" s="253" t="s">
        <v>108</v>
      </c>
      <c r="C58" s="253" t="s">
        <v>145</v>
      </c>
      <c r="D58" s="253" t="s">
        <v>191</v>
      </c>
      <c r="E58" s="253" t="s">
        <v>192</v>
      </c>
      <c r="F58" s="253" t="s">
        <v>41</v>
      </c>
      <c r="G58" s="268">
        <v>144</v>
      </c>
      <c r="H58" s="252">
        <v>46229</v>
      </c>
      <c r="I58" s="241"/>
      <c r="J58" s="241"/>
      <c r="K58" s="241"/>
      <c r="L58" s="241"/>
      <c r="M58" s="241"/>
      <c r="N58" s="241"/>
      <c r="O58" s="241"/>
      <c r="P58" s="241"/>
      <c r="Q58" s="241"/>
      <c r="R58" s="241"/>
      <c r="S58" s="241"/>
      <c r="T58" s="241"/>
      <c r="U58" s="241"/>
      <c r="V58" s="241"/>
      <c r="W58" s="241"/>
      <c r="X58" s="241"/>
      <c r="Y58" s="241"/>
      <c r="Z58" s="241"/>
      <c r="AA58" s="241"/>
      <c r="AB58" s="250"/>
      <c r="AC58" s="250"/>
      <c r="AD58" s="250"/>
      <c r="AE58" s="250"/>
      <c r="AF58" s="250"/>
      <c r="AG58" s="250"/>
      <c r="AH58" s="250"/>
      <c r="AI58" s="250"/>
      <c r="AJ58" s="250"/>
      <c r="AK58" s="250"/>
      <c r="AL58" s="250"/>
      <c r="AM58" s="241"/>
      <c r="AN58" s="241"/>
      <c r="AO58" s="241">
        <f>G58</f>
        <v>144</v>
      </c>
      <c r="AP58" s="241"/>
      <c r="AQ58" s="241"/>
      <c r="AR58" s="241"/>
      <c r="AS58" s="241"/>
      <c r="AT58" s="241"/>
      <c r="AU58" s="241"/>
      <c r="AV58" s="241"/>
      <c r="AW58" s="241"/>
      <c r="AX58" s="258">
        <v>2.1</v>
      </c>
      <c r="AY58" s="354">
        <f t="shared" si="11"/>
        <v>302.4</v>
      </c>
      <c r="AZ58" s="354">
        <f t="shared" si="4"/>
        <v>2343.6</v>
      </c>
      <c r="BA58" s="355" t="str">
        <f t="shared" si="7"/>
        <v>美国</v>
      </c>
      <c r="BB58" s="355" t="str">
        <f t="shared" si="8"/>
        <v>Flybar Inc</v>
      </c>
    </row>
    <row r="59" s="234" customFormat="1" hidden="1" customHeight="1" spans="1:54">
      <c r="A59" s="252">
        <v>46167</v>
      </c>
      <c r="B59" s="253" t="s">
        <v>108</v>
      </c>
      <c r="C59" s="253" t="s">
        <v>145</v>
      </c>
      <c r="D59" s="253" t="s">
        <v>191</v>
      </c>
      <c r="E59" s="253" t="s">
        <v>192</v>
      </c>
      <c r="F59" s="253" t="s">
        <v>43</v>
      </c>
      <c r="G59" s="268">
        <v>144</v>
      </c>
      <c r="H59" s="252">
        <v>46229</v>
      </c>
      <c r="I59" s="241"/>
      <c r="J59" s="241"/>
      <c r="K59" s="241"/>
      <c r="L59" s="241"/>
      <c r="M59" s="241"/>
      <c r="N59" s="241"/>
      <c r="O59" s="241"/>
      <c r="P59" s="241"/>
      <c r="Q59" s="241"/>
      <c r="R59" s="241"/>
      <c r="S59" s="241"/>
      <c r="T59" s="241"/>
      <c r="U59" s="241"/>
      <c r="V59" s="241"/>
      <c r="W59" s="241"/>
      <c r="X59" s="241"/>
      <c r="Y59" s="241"/>
      <c r="Z59" s="241"/>
      <c r="AA59" s="241"/>
      <c r="AB59" s="250"/>
      <c r="AC59" s="250"/>
      <c r="AD59" s="250"/>
      <c r="AE59" s="250"/>
      <c r="AF59" s="250"/>
      <c r="AG59" s="250"/>
      <c r="AH59" s="250"/>
      <c r="AI59" s="250"/>
      <c r="AJ59" s="250"/>
      <c r="AK59" s="250"/>
      <c r="AL59" s="250"/>
      <c r="AM59" s="241"/>
      <c r="AN59" s="241"/>
      <c r="AO59" s="241"/>
      <c r="AP59" s="241">
        <f>G59</f>
        <v>144</v>
      </c>
      <c r="AQ59" s="241"/>
      <c r="AR59" s="241"/>
      <c r="AS59" s="241"/>
      <c r="AT59" s="241"/>
      <c r="AU59" s="241"/>
      <c r="AV59" s="241"/>
      <c r="AW59" s="241"/>
      <c r="AX59" s="258">
        <v>2.1</v>
      </c>
      <c r="AY59" s="354">
        <f t="shared" si="11"/>
        <v>302.4</v>
      </c>
      <c r="AZ59" s="354">
        <f t="shared" si="4"/>
        <v>2343.6</v>
      </c>
      <c r="BA59" s="355" t="str">
        <f t="shared" si="7"/>
        <v>美国</v>
      </c>
      <c r="BB59" s="355" t="str">
        <f t="shared" si="8"/>
        <v>Flybar Inc</v>
      </c>
    </row>
    <row r="60" s="234" customFormat="1" hidden="1" customHeight="1" spans="1:54">
      <c r="A60" s="252">
        <v>46167</v>
      </c>
      <c r="B60" s="253" t="s">
        <v>108</v>
      </c>
      <c r="C60" s="253" t="s">
        <v>145</v>
      </c>
      <c r="D60" s="253" t="s">
        <v>191</v>
      </c>
      <c r="E60" s="253" t="s">
        <v>192</v>
      </c>
      <c r="F60" s="253" t="s">
        <v>45</v>
      </c>
      <c r="G60" s="268">
        <v>144</v>
      </c>
      <c r="H60" s="252">
        <v>46229</v>
      </c>
      <c r="I60" s="241"/>
      <c r="J60" s="241"/>
      <c r="K60" s="241"/>
      <c r="L60" s="241"/>
      <c r="M60" s="241"/>
      <c r="N60" s="241"/>
      <c r="O60" s="241"/>
      <c r="P60" s="241"/>
      <c r="Q60" s="241"/>
      <c r="R60" s="241"/>
      <c r="S60" s="241"/>
      <c r="T60" s="241"/>
      <c r="U60" s="241"/>
      <c r="V60" s="241"/>
      <c r="W60" s="241"/>
      <c r="X60" s="241"/>
      <c r="Y60" s="241"/>
      <c r="Z60" s="241"/>
      <c r="AA60" s="241"/>
      <c r="AB60" s="250"/>
      <c r="AC60" s="250"/>
      <c r="AD60" s="250"/>
      <c r="AE60" s="250"/>
      <c r="AF60" s="250"/>
      <c r="AG60" s="250"/>
      <c r="AH60" s="250"/>
      <c r="AI60" s="250"/>
      <c r="AJ60" s="250"/>
      <c r="AK60" s="250"/>
      <c r="AL60" s="250"/>
      <c r="AM60" s="241"/>
      <c r="AN60" s="241"/>
      <c r="AO60" s="241"/>
      <c r="AP60" s="241"/>
      <c r="AQ60" s="241">
        <f>G60</f>
        <v>144</v>
      </c>
      <c r="AR60" s="241"/>
      <c r="AS60" s="241"/>
      <c r="AT60" s="241"/>
      <c r="AU60" s="241"/>
      <c r="AV60" s="241"/>
      <c r="AW60" s="241"/>
      <c r="AX60" s="258">
        <v>2.1</v>
      </c>
      <c r="AY60" s="354">
        <f t="shared" si="11"/>
        <v>302.4</v>
      </c>
      <c r="AZ60" s="354">
        <f t="shared" si="4"/>
        <v>2343.6</v>
      </c>
      <c r="BA60" s="355" t="str">
        <f t="shared" si="7"/>
        <v>美国</v>
      </c>
      <c r="BB60" s="355" t="str">
        <f t="shared" si="8"/>
        <v>Flybar Inc</v>
      </c>
    </row>
    <row r="61" s="234" customFormat="1" hidden="1" customHeight="1" spans="1:54">
      <c r="A61" s="252">
        <v>46167</v>
      </c>
      <c r="B61" s="253" t="s">
        <v>108</v>
      </c>
      <c r="C61" s="253" t="s">
        <v>145</v>
      </c>
      <c r="D61" s="253" t="s">
        <v>191</v>
      </c>
      <c r="E61" s="253" t="s">
        <v>192</v>
      </c>
      <c r="F61" s="253" t="s">
        <v>47</v>
      </c>
      <c r="G61" s="268">
        <v>144</v>
      </c>
      <c r="H61" s="252">
        <v>46229</v>
      </c>
      <c r="I61" s="241"/>
      <c r="J61" s="241"/>
      <c r="K61" s="241"/>
      <c r="L61" s="241"/>
      <c r="M61" s="241"/>
      <c r="N61" s="241"/>
      <c r="O61" s="241"/>
      <c r="P61" s="241"/>
      <c r="Q61" s="241"/>
      <c r="R61" s="241"/>
      <c r="S61" s="241"/>
      <c r="T61" s="241"/>
      <c r="U61" s="241"/>
      <c r="V61" s="241"/>
      <c r="W61" s="241"/>
      <c r="X61" s="241"/>
      <c r="Y61" s="241"/>
      <c r="Z61" s="241"/>
      <c r="AA61" s="241"/>
      <c r="AB61" s="250"/>
      <c r="AC61" s="250"/>
      <c r="AD61" s="250"/>
      <c r="AE61" s="250"/>
      <c r="AF61" s="250"/>
      <c r="AG61" s="250"/>
      <c r="AH61" s="250"/>
      <c r="AI61" s="250"/>
      <c r="AJ61" s="250"/>
      <c r="AK61" s="250"/>
      <c r="AL61" s="250"/>
      <c r="AM61" s="241"/>
      <c r="AN61" s="241"/>
      <c r="AO61" s="241"/>
      <c r="AP61" s="241"/>
      <c r="AQ61" s="241"/>
      <c r="AR61" s="241">
        <f>G61</f>
        <v>144</v>
      </c>
      <c r="AS61" s="241"/>
      <c r="AT61" s="241"/>
      <c r="AU61" s="241"/>
      <c r="AV61" s="241"/>
      <c r="AW61" s="241"/>
      <c r="AX61" s="258">
        <v>2.1</v>
      </c>
      <c r="AY61" s="354">
        <f t="shared" si="11"/>
        <v>302.4</v>
      </c>
      <c r="AZ61" s="354">
        <f t="shared" si="4"/>
        <v>2343.6</v>
      </c>
      <c r="BA61" s="355" t="str">
        <f t="shared" si="7"/>
        <v>美国</v>
      </c>
      <c r="BB61" s="355" t="str">
        <f t="shared" si="8"/>
        <v>Flybar Inc</v>
      </c>
    </row>
    <row r="62" s="234" customFormat="1" hidden="1" customHeight="1" spans="1:54">
      <c r="A62" s="252">
        <v>46167</v>
      </c>
      <c r="B62" s="253" t="s">
        <v>108</v>
      </c>
      <c r="C62" s="253" t="s">
        <v>145</v>
      </c>
      <c r="D62" s="253" t="s">
        <v>191</v>
      </c>
      <c r="E62" s="253" t="s">
        <v>192</v>
      </c>
      <c r="F62" s="253" t="s">
        <v>49</v>
      </c>
      <c r="G62" s="268">
        <v>144</v>
      </c>
      <c r="H62" s="252">
        <v>46229</v>
      </c>
      <c r="I62" s="241"/>
      <c r="J62" s="241"/>
      <c r="K62" s="241"/>
      <c r="L62" s="241"/>
      <c r="M62" s="241"/>
      <c r="N62" s="241"/>
      <c r="O62" s="241"/>
      <c r="P62" s="241"/>
      <c r="Q62" s="241"/>
      <c r="R62" s="241"/>
      <c r="S62" s="241"/>
      <c r="T62" s="241"/>
      <c r="U62" s="241"/>
      <c r="V62" s="241"/>
      <c r="W62" s="241"/>
      <c r="X62" s="241"/>
      <c r="Y62" s="241"/>
      <c r="Z62" s="241"/>
      <c r="AA62" s="241"/>
      <c r="AB62" s="250"/>
      <c r="AC62" s="250"/>
      <c r="AD62" s="250"/>
      <c r="AE62" s="250"/>
      <c r="AF62" s="250"/>
      <c r="AG62" s="250"/>
      <c r="AH62" s="250"/>
      <c r="AI62" s="250"/>
      <c r="AJ62" s="250"/>
      <c r="AK62" s="250"/>
      <c r="AL62" s="250"/>
      <c r="AM62" s="241"/>
      <c r="AN62" s="241"/>
      <c r="AO62" s="241"/>
      <c r="AP62" s="241"/>
      <c r="AQ62" s="241"/>
      <c r="AR62" s="241"/>
      <c r="AS62" s="241">
        <f>G62</f>
        <v>144</v>
      </c>
      <c r="AT62" s="241"/>
      <c r="AU62" s="241"/>
      <c r="AV62" s="241"/>
      <c r="AW62" s="241"/>
      <c r="AX62" s="258">
        <v>2.1</v>
      </c>
      <c r="AY62" s="354">
        <f t="shared" si="11"/>
        <v>302.4</v>
      </c>
      <c r="AZ62" s="354">
        <f t="shared" si="4"/>
        <v>2343.6</v>
      </c>
      <c r="BA62" s="355" t="str">
        <f t="shared" si="7"/>
        <v>美国</v>
      </c>
      <c r="BB62" s="355" t="str">
        <f t="shared" si="8"/>
        <v>Flybar Inc</v>
      </c>
    </row>
    <row r="63" s="234" customFormat="1" hidden="1" customHeight="1" spans="1:54">
      <c r="A63" s="252">
        <v>46167</v>
      </c>
      <c r="B63" s="253" t="s">
        <v>108</v>
      </c>
      <c r="C63" s="253" t="s">
        <v>145</v>
      </c>
      <c r="D63" s="253" t="s">
        <v>191</v>
      </c>
      <c r="E63" s="253" t="s">
        <v>192</v>
      </c>
      <c r="F63" s="253" t="s">
        <v>51</v>
      </c>
      <c r="G63" s="268">
        <v>144</v>
      </c>
      <c r="H63" s="252">
        <v>46229</v>
      </c>
      <c r="I63" s="241"/>
      <c r="J63" s="241"/>
      <c r="K63" s="241"/>
      <c r="L63" s="241"/>
      <c r="M63" s="241"/>
      <c r="N63" s="241"/>
      <c r="O63" s="241"/>
      <c r="P63" s="241"/>
      <c r="Q63" s="241"/>
      <c r="R63" s="241"/>
      <c r="S63" s="241"/>
      <c r="T63" s="241"/>
      <c r="U63" s="241"/>
      <c r="V63" s="241"/>
      <c r="W63" s="241"/>
      <c r="X63" s="241"/>
      <c r="Y63" s="241"/>
      <c r="Z63" s="241"/>
      <c r="AA63" s="241"/>
      <c r="AB63" s="250"/>
      <c r="AC63" s="250"/>
      <c r="AD63" s="250"/>
      <c r="AE63" s="250"/>
      <c r="AF63" s="250"/>
      <c r="AG63" s="250"/>
      <c r="AH63" s="250"/>
      <c r="AI63" s="250"/>
      <c r="AJ63" s="250"/>
      <c r="AK63" s="250"/>
      <c r="AL63" s="250"/>
      <c r="AM63" s="241"/>
      <c r="AN63" s="241"/>
      <c r="AO63" s="241"/>
      <c r="AP63" s="241"/>
      <c r="AQ63" s="241"/>
      <c r="AR63" s="241"/>
      <c r="AS63" s="241"/>
      <c r="AT63" s="241">
        <f>G63</f>
        <v>144</v>
      </c>
      <c r="AU63" s="241"/>
      <c r="AV63" s="241"/>
      <c r="AW63" s="241"/>
      <c r="AX63" s="258">
        <v>2.1</v>
      </c>
      <c r="AY63" s="354">
        <f t="shared" si="11"/>
        <v>302.4</v>
      </c>
      <c r="AZ63" s="354">
        <f t="shared" si="4"/>
        <v>2343.6</v>
      </c>
      <c r="BA63" s="355" t="str">
        <f t="shared" si="7"/>
        <v>美国</v>
      </c>
      <c r="BB63" s="355" t="str">
        <f t="shared" si="8"/>
        <v>Flybar Inc</v>
      </c>
    </row>
    <row r="64" s="114" customFormat="1" hidden="1" customHeight="1" spans="1:54">
      <c r="A64" s="154">
        <v>46167</v>
      </c>
      <c r="B64" s="156" t="s">
        <v>108</v>
      </c>
      <c r="C64" s="156" t="s">
        <v>145</v>
      </c>
      <c r="D64" s="156" t="s">
        <v>191</v>
      </c>
      <c r="E64" s="156" t="s">
        <v>192</v>
      </c>
      <c r="F64" s="156" t="s">
        <v>41</v>
      </c>
      <c r="G64" s="295">
        <f t="shared" ref="G64:G69" si="12">408-144</f>
        <v>264</v>
      </c>
      <c r="H64" s="154">
        <v>46229</v>
      </c>
      <c r="I64" s="82"/>
      <c r="J64" s="82"/>
      <c r="K64" s="82"/>
      <c r="L64" s="82"/>
      <c r="M64" s="82"/>
      <c r="N64" s="82"/>
      <c r="O64" s="82"/>
      <c r="P64" s="82"/>
      <c r="Q64" s="82"/>
      <c r="R64" s="82"/>
      <c r="S64" s="82"/>
      <c r="T64" s="82"/>
      <c r="U64" s="82"/>
      <c r="V64" s="82"/>
      <c r="W64" s="82"/>
      <c r="X64" s="82"/>
      <c r="Y64" s="82"/>
      <c r="Z64" s="82"/>
      <c r="AA64" s="82"/>
      <c r="AB64" s="348"/>
      <c r="AC64" s="348"/>
      <c r="AD64" s="348"/>
      <c r="AE64" s="348"/>
      <c r="AF64" s="348"/>
      <c r="AG64" s="348"/>
      <c r="AH64" s="348"/>
      <c r="AI64" s="348"/>
      <c r="AJ64" s="348"/>
      <c r="AK64" s="348"/>
      <c r="AL64" s="348"/>
      <c r="AM64" s="82"/>
      <c r="AN64" s="82"/>
      <c r="AO64" s="82">
        <f>G64</f>
        <v>264</v>
      </c>
      <c r="AP64" s="82"/>
      <c r="AQ64" s="82"/>
      <c r="AR64" s="82"/>
      <c r="AS64" s="82"/>
      <c r="AT64" s="82"/>
      <c r="AU64" s="82"/>
      <c r="AV64" s="82"/>
      <c r="AW64" s="82"/>
      <c r="AX64" s="158">
        <v>2.1</v>
      </c>
      <c r="AY64" s="350">
        <f t="shared" ref="AY64:AY99" si="13">SUM(I64:AW64)*AX64</f>
        <v>554.4</v>
      </c>
      <c r="AZ64" s="350">
        <f t="shared" si="4"/>
        <v>4296.6</v>
      </c>
      <c r="BA64" s="116" t="str">
        <f t="shared" si="7"/>
        <v>美国</v>
      </c>
      <c r="BB64" s="116" t="str">
        <f t="shared" si="8"/>
        <v>Flybar Inc</v>
      </c>
    </row>
    <row r="65" s="114" customFormat="1" hidden="1" customHeight="1" spans="1:54">
      <c r="A65" s="154">
        <v>46167</v>
      </c>
      <c r="B65" s="156" t="s">
        <v>108</v>
      </c>
      <c r="C65" s="156" t="s">
        <v>145</v>
      </c>
      <c r="D65" s="156" t="s">
        <v>191</v>
      </c>
      <c r="E65" s="156" t="s">
        <v>192</v>
      </c>
      <c r="F65" s="156" t="s">
        <v>43</v>
      </c>
      <c r="G65" s="295">
        <f t="shared" si="12"/>
        <v>264</v>
      </c>
      <c r="H65" s="154">
        <v>46229</v>
      </c>
      <c r="I65" s="82"/>
      <c r="J65" s="82"/>
      <c r="K65" s="82"/>
      <c r="L65" s="82"/>
      <c r="M65" s="82"/>
      <c r="N65" s="82"/>
      <c r="O65" s="82"/>
      <c r="P65" s="82"/>
      <c r="Q65" s="82"/>
      <c r="R65" s="82"/>
      <c r="S65" s="82"/>
      <c r="T65" s="82"/>
      <c r="U65" s="82"/>
      <c r="V65" s="82"/>
      <c r="W65" s="82"/>
      <c r="X65" s="82"/>
      <c r="Y65" s="82"/>
      <c r="Z65" s="82"/>
      <c r="AA65" s="82"/>
      <c r="AB65" s="348"/>
      <c r="AC65" s="348"/>
      <c r="AD65" s="348"/>
      <c r="AE65" s="348"/>
      <c r="AF65" s="348"/>
      <c r="AG65" s="348"/>
      <c r="AH65" s="348"/>
      <c r="AI65" s="348"/>
      <c r="AJ65" s="348"/>
      <c r="AK65" s="348"/>
      <c r="AL65" s="348"/>
      <c r="AM65" s="82"/>
      <c r="AN65" s="82"/>
      <c r="AO65" s="82"/>
      <c r="AP65" s="82">
        <f>G65</f>
        <v>264</v>
      </c>
      <c r="AQ65" s="82"/>
      <c r="AR65" s="82"/>
      <c r="AS65" s="82"/>
      <c r="AT65" s="82"/>
      <c r="AU65" s="82"/>
      <c r="AV65" s="82"/>
      <c r="AW65" s="82"/>
      <c r="AX65" s="158">
        <v>2.1</v>
      </c>
      <c r="AY65" s="350">
        <f t="shared" si="13"/>
        <v>554.4</v>
      </c>
      <c r="AZ65" s="350">
        <f t="shared" si="4"/>
        <v>4296.6</v>
      </c>
      <c r="BA65" s="116" t="str">
        <f t="shared" si="7"/>
        <v>美国</v>
      </c>
      <c r="BB65" s="116" t="str">
        <f t="shared" si="8"/>
        <v>Flybar Inc</v>
      </c>
    </row>
    <row r="66" s="114" customFormat="1" hidden="1" customHeight="1" spans="1:54">
      <c r="A66" s="154">
        <v>46167</v>
      </c>
      <c r="B66" s="156" t="s">
        <v>108</v>
      </c>
      <c r="C66" s="156" t="s">
        <v>145</v>
      </c>
      <c r="D66" s="156" t="s">
        <v>191</v>
      </c>
      <c r="E66" s="156" t="s">
        <v>192</v>
      </c>
      <c r="F66" s="156" t="s">
        <v>45</v>
      </c>
      <c r="G66" s="295">
        <f t="shared" si="12"/>
        <v>264</v>
      </c>
      <c r="H66" s="154">
        <v>46229</v>
      </c>
      <c r="I66" s="82"/>
      <c r="J66" s="82"/>
      <c r="K66" s="82"/>
      <c r="L66" s="82"/>
      <c r="M66" s="82"/>
      <c r="N66" s="82"/>
      <c r="O66" s="82"/>
      <c r="P66" s="82"/>
      <c r="Q66" s="82"/>
      <c r="R66" s="82"/>
      <c r="S66" s="82"/>
      <c r="T66" s="82"/>
      <c r="U66" s="82"/>
      <c r="V66" s="82"/>
      <c r="W66" s="82"/>
      <c r="X66" s="82"/>
      <c r="Y66" s="82"/>
      <c r="Z66" s="82"/>
      <c r="AA66" s="82"/>
      <c r="AB66" s="348"/>
      <c r="AC66" s="348"/>
      <c r="AD66" s="348"/>
      <c r="AE66" s="348"/>
      <c r="AF66" s="348"/>
      <c r="AG66" s="348"/>
      <c r="AH66" s="348"/>
      <c r="AI66" s="348"/>
      <c r="AJ66" s="348"/>
      <c r="AK66" s="348"/>
      <c r="AL66" s="348"/>
      <c r="AM66" s="82"/>
      <c r="AN66" s="82"/>
      <c r="AO66" s="82"/>
      <c r="AP66" s="82"/>
      <c r="AQ66" s="82">
        <f>G66</f>
        <v>264</v>
      </c>
      <c r="AR66" s="82"/>
      <c r="AS66" s="82"/>
      <c r="AT66" s="82"/>
      <c r="AU66" s="82"/>
      <c r="AV66" s="82"/>
      <c r="AW66" s="82"/>
      <c r="AX66" s="158">
        <v>2.1</v>
      </c>
      <c r="AY66" s="350">
        <f t="shared" si="13"/>
        <v>554.4</v>
      </c>
      <c r="AZ66" s="350">
        <f t="shared" si="4"/>
        <v>4296.6</v>
      </c>
      <c r="BA66" s="116" t="str">
        <f t="shared" si="7"/>
        <v>美国</v>
      </c>
      <c r="BB66" s="116" t="str">
        <f t="shared" si="8"/>
        <v>Flybar Inc</v>
      </c>
    </row>
    <row r="67" s="114" customFormat="1" hidden="1" customHeight="1" spans="1:54">
      <c r="A67" s="154">
        <v>46167</v>
      </c>
      <c r="B67" s="156" t="s">
        <v>108</v>
      </c>
      <c r="C67" s="156" t="s">
        <v>145</v>
      </c>
      <c r="D67" s="156" t="s">
        <v>191</v>
      </c>
      <c r="E67" s="156" t="s">
        <v>192</v>
      </c>
      <c r="F67" s="156" t="s">
        <v>47</v>
      </c>
      <c r="G67" s="295">
        <f t="shared" si="12"/>
        <v>264</v>
      </c>
      <c r="H67" s="154">
        <v>46229</v>
      </c>
      <c r="I67" s="82"/>
      <c r="J67" s="82"/>
      <c r="K67" s="82"/>
      <c r="L67" s="82"/>
      <c r="M67" s="82"/>
      <c r="N67" s="82"/>
      <c r="O67" s="82"/>
      <c r="P67" s="82"/>
      <c r="Q67" s="82"/>
      <c r="R67" s="82"/>
      <c r="S67" s="82"/>
      <c r="T67" s="82"/>
      <c r="U67" s="82"/>
      <c r="V67" s="82"/>
      <c r="W67" s="82"/>
      <c r="X67" s="82"/>
      <c r="Y67" s="82"/>
      <c r="Z67" s="82"/>
      <c r="AA67" s="82"/>
      <c r="AB67" s="348"/>
      <c r="AC67" s="348"/>
      <c r="AD67" s="348"/>
      <c r="AE67" s="348"/>
      <c r="AF67" s="348"/>
      <c r="AG67" s="348"/>
      <c r="AH67" s="348"/>
      <c r="AI67" s="348"/>
      <c r="AJ67" s="348"/>
      <c r="AK67" s="348"/>
      <c r="AL67" s="348"/>
      <c r="AM67" s="82"/>
      <c r="AN67" s="82"/>
      <c r="AO67" s="82"/>
      <c r="AP67" s="82"/>
      <c r="AQ67" s="82"/>
      <c r="AR67" s="82">
        <f>G67</f>
        <v>264</v>
      </c>
      <c r="AS67" s="82"/>
      <c r="AT67" s="82"/>
      <c r="AU67" s="82"/>
      <c r="AV67" s="82"/>
      <c r="AW67" s="82"/>
      <c r="AX67" s="158">
        <v>2.1</v>
      </c>
      <c r="AY67" s="350">
        <f t="shared" si="13"/>
        <v>554.4</v>
      </c>
      <c r="AZ67" s="350">
        <f t="shared" si="4"/>
        <v>4296.6</v>
      </c>
      <c r="BA67" s="116" t="str">
        <f t="shared" si="7"/>
        <v>美国</v>
      </c>
      <c r="BB67" s="116" t="str">
        <f t="shared" si="8"/>
        <v>Flybar Inc</v>
      </c>
    </row>
    <row r="68" s="114" customFormat="1" hidden="1" customHeight="1" spans="1:54">
      <c r="A68" s="154">
        <v>46167</v>
      </c>
      <c r="B68" s="156" t="s">
        <v>108</v>
      </c>
      <c r="C68" s="156" t="s">
        <v>145</v>
      </c>
      <c r="D68" s="156" t="s">
        <v>191</v>
      </c>
      <c r="E68" s="156" t="s">
        <v>192</v>
      </c>
      <c r="F68" s="156" t="s">
        <v>49</v>
      </c>
      <c r="G68" s="295">
        <f t="shared" si="12"/>
        <v>264</v>
      </c>
      <c r="H68" s="154">
        <v>46229</v>
      </c>
      <c r="I68" s="82"/>
      <c r="J68" s="82"/>
      <c r="K68" s="82"/>
      <c r="L68" s="82"/>
      <c r="M68" s="82"/>
      <c r="N68" s="82"/>
      <c r="O68" s="82"/>
      <c r="P68" s="82"/>
      <c r="Q68" s="82"/>
      <c r="R68" s="82"/>
      <c r="S68" s="82"/>
      <c r="T68" s="82"/>
      <c r="U68" s="82"/>
      <c r="V68" s="82"/>
      <c r="W68" s="82"/>
      <c r="X68" s="82"/>
      <c r="Y68" s="82"/>
      <c r="Z68" s="82"/>
      <c r="AA68" s="82"/>
      <c r="AB68" s="348"/>
      <c r="AC68" s="348"/>
      <c r="AD68" s="348"/>
      <c r="AE68" s="348"/>
      <c r="AF68" s="348"/>
      <c r="AG68" s="348"/>
      <c r="AH68" s="348"/>
      <c r="AI68" s="348"/>
      <c r="AJ68" s="348"/>
      <c r="AK68" s="348"/>
      <c r="AL68" s="348"/>
      <c r="AM68" s="82"/>
      <c r="AN68" s="82"/>
      <c r="AO68" s="82"/>
      <c r="AP68" s="82"/>
      <c r="AQ68" s="82"/>
      <c r="AR68" s="82"/>
      <c r="AS68" s="82">
        <f>G68</f>
        <v>264</v>
      </c>
      <c r="AT68" s="82"/>
      <c r="AU68" s="82"/>
      <c r="AV68" s="82"/>
      <c r="AW68" s="82"/>
      <c r="AX68" s="158">
        <v>2.1</v>
      </c>
      <c r="AY68" s="350">
        <f t="shared" si="13"/>
        <v>554.4</v>
      </c>
      <c r="AZ68" s="350">
        <f t="shared" si="4"/>
        <v>4296.6</v>
      </c>
      <c r="BA68" s="116" t="str">
        <f t="shared" si="7"/>
        <v>美国</v>
      </c>
      <c r="BB68" s="116" t="str">
        <f t="shared" si="8"/>
        <v>Flybar Inc</v>
      </c>
    </row>
    <row r="69" s="114" customFormat="1" hidden="1" customHeight="1" spans="1:54">
      <c r="A69" s="154">
        <v>46167</v>
      </c>
      <c r="B69" s="156" t="s">
        <v>108</v>
      </c>
      <c r="C69" s="156" t="s">
        <v>145</v>
      </c>
      <c r="D69" s="156" t="s">
        <v>191</v>
      </c>
      <c r="E69" s="156" t="s">
        <v>192</v>
      </c>
      <c r="F69" s="156" t="s">
        <v>51</v>
      </c>
      <c r="G69" s="295">
        <f t="shared" si="12"/>
        <v>264</v>
      </c>
      <c r="H69" s="154">
        <v>46229</v>
      </c>
      <c r="I69" s="82"/>
      <c r="J69" s="82"/>
      <c r="K69" s="82"/>
      <c r="L69" s="82"/>
      <c r="M69" s="82"/>
      <c r="N69" s="82"/>
      <c r="O69" s="82"/>
      <c r="P69" s="82"/>
      <c r="Q69" s="82"/>
      <c r="R69" s="82"/>
      <c r="S69" s="82"/>
      <c r="T69" s="82"/>
      <c r="U69" s="82"/>
      <c r="V69" s="82"/>
      <c r="W69" s="82"/>
      <c r="X69" s="82"/>
      <c r="Y69" s="82"/>
      <c r="Z69" s="82"/>
      <c r="AA69" s="82"/>
      <c r="AB69" s="348"/>
      <c r="AC69" s="348"/>
      <c r="AD69" s="348"/>
      <c r="AE69" s="348"/>
      <c r="AF69" s="348"/>
      <c r="AG69" s="348"/>
      <c r="AH69" s="348"/>
      <c r="AI69" s="348"/>
      <c r="AJ69" s="348"/>
      <c r="AK69" s="348"/>
      <c r="AL69" s="348"/>
      <c r="AM69" s="82"/>
      <c r="AN69" s="82"/>
      <c r="AO69" s="82"/>
      <c r="AP69" s="82"/>
      <c r="AQ69" s="82"/>
      <c r="AR69" s="82"/>
      <c r="AS69" s="82"/>
      <c r="AT69" s="82">
        <f>G69</f>
        <v>264</v>
      </c>
      <c r="AU69" s="82"/>
      <c r="AV69" s="82"/>
      <c r="AW69" s="82"/>
      <c r="AX69" s="158">
        <v>2.1</v>
      </c>
      <c r="AY69" s="350">
        <f t="shared" si="13"/>
        <v>554.4</v>
      </c>
      <c r="AZ69" s="350">
        <f t="shared" si="4"/>
        <v>4296.6</v>
      </c>
      <c r="BA69" s="116" t="str">
        <f t="shared" si="7"/>
        <v>美国</v>
      </c>
      <c r="BB69" s="116" t="str">
        <f t="shared" si="8"/>
        <v>Flybar Inc</v>
      </c>
    </row>
    <row r="70" s="114" customFormat="1" hidden="1" customHeight="1" spans="1:54">
      <c r="A70" s="154">
        <v>46167</v>
      </c>
      <c r="B70" s="156" t="s">
        <v>108</v>
      </c>
      <c r="C70" s="156" t="s">
        <v>145</v>
      </c>
      <c r="D70" s="156" t="s">
        <v>193</v>
      </c>
      <c r="E70" s="156" t="s">
        <v>194</v>
      </c>
      <c r="F70" s="156" t="s">
        <v>41</v>
      </c>
      <c r="G70" s="295">
        <v>600</v>
      </c>
      <c r="H70" s="154">
        <v>46261</v>
      </c>
      <c r="I70" s="82"/>
      <c r="J70" s="82"/>
      <c r="K70" s="82"/>
      <c r="L70" s="82"/>
      <c r="M70" s="82"/>
      <c r="N70" s="82"/>
      <c r="O70" s="82"/>
      <c r="P70" s="82"/>
      <c r="Q70" s="82"/>
      <c r="R70" s="82"/>
      <c r="S70" s="82"/>
      <c r="T70" s="82"/>
      <c r="U70" s="82"/>
      <c r="V70" s="82"/>
      <c r="W70" s="82"/>
      <c r="X70" s="82"/>
      <c r="Y70" s="82"/>
      <c r="Z70" s="82"/>
      <c r="AA70" s="82"/>
      <c r="AB70" s="348"/>
      <c r="AC70" s="348"/>
      <c r="AD70" s="348"/>
      <c r="AE70" s="348"/>
      <c r="AF70" s="348"/>
      <c r="AG70" s="348"/>
      <c r="AH70" s="348"/>
      <c r="AI70" s="348"/>
      <c r="AJ70" s="348"/>
      <c r="AK70" s="348"/>
      <c r="AL70" s="348"/>
      <c r="AM70" s="82"/>
      <c r="AN70" s="82"/>
      <c r="AO70" s="82">
        <f>G70</f>
        <v>600</v>
      </c>
      <c r="AP70" s="82"/>
      <c r="AQ70" s="82"/>
      <c r="AR70" s="82"/>
      <c r="AS70" s="82"/>
      <c r="AT70" s="82"/>
      <c r="AU70" s="82"/>
      <c r="AV70" s="82"/>
      <c r="AW70" s="82"/>
      <c r="AX70" s="158">
        <v>2.1</v>
      </c>
      <c r="AY70" s="350">
        <f t="shared" si="13"/>
        <v>1260</v>
      </c>
      <c r="AZ70" s="350">
        <f t="shared" si="4"/>
        <v>9765</v>
      </c>
      <c r="BA70" s="116" t="str">
        <f t="shared" si="7"/>
        <v>美国</v>
      </c>
      <c r="BB70" s="116" t="str">
        <f t="shared" si="8"/>
        <v>Flybar Inc</v>
      </c>
    </row>
    <row r="71" s="114" customFormat="1" hidden="1" customHeight="1" spans="1:54">
      <c r="A71" s="154">
        <v>46167</v>
      </c>
      <c r="B71" s="156" t="s">
        <v>108</v>
      </c>
      <c r="C71" s="156" t="s">
        <v>145</v>
      </c>
      <c r="D71" s="156" t="s">
        <v>193</v>
      </c>
      <c r="E71" s="156" t="s">
        <v>194</v>
      </c>
      <c r="F71" s="156" t="s">
        <v>43</v>
      </c>
      <c r="G71" s="295">
        <v>600</v>
      </c>
      <c r="H71" s="154">
        <v>46261</v>
      </c>
      <c r="I71" s="82"/>
      <c r="J71" s="82"/>
      <c r="K71" s="82"/>
      <c r="L71" s="82"/>
      <c r="M71" s="82"/>
      <c r="N71" s="82"/>
      <c r="O71" s="82"/>
      <c r="P71" s="82"/>
      <c r="Q71" s="82"/>
      <c r="R71" s="82"/>
      <c r="S71" s="82"/>
      <c r="T71" s="82"/>
      <c r="U71" s="82"/>
      <c r="V71" s="82"/>
      <c r="W71" s="82"/>
      <c r="X71" s="82"/>
      <c r="Y71" s="82"/>
      <c r="Z71" s="82"/>
      <c r="AA71" s="82"/>
      <c r="AB71" s="348"/>
      <c r="AC71" s="348"/>
      <c r="AD71" s="348"/>
      <c r="AE71" s="348"/>
      <c r="AF71" s="348"/>
      <c r="AG71" s="348"/>
      <c r="AH71" s="348"/>
      <c r="AI71" s="348"/>
      <c r="AJ71" s="348"/>
      <c r="AK71" s="348"/>
      <c r="AL71" s="348"/>
      <c r="AM71" s="82"/>
      <c r="AN71" s="82"/>
      <c r="AO71" s="82"/>
      <c r="AP71" s="82">
        <f>G71</f>
        <v>600</v>
      </c>
      <c r="AQ71" s="82"/>
      <c r="AR71" s="82"/>
      <c r="AS71" s="82"/>
      <c r="AT71" s="82"/>
      <c r="AU71" s="82"/>
      <c r="AV71" s="82"/>
      <c r="AW71" s="82"/>
      <c r="AX71" s="158">
        <v>2.1</v>
      </c>
      <c r="AY71" s="350">
        <f t="shared" si="13"/>
        <v>1260</v>
      </c>
      <c r="AZ71" s="350">
        <f t="shared" ref="AZ71:AZ76" si="14">AY71*7.75</f>
        <v>9765</v>
      </c>
      <c r="BA71" s="116" t="str">
        <f t="shared" si="7"/>
        <v>美国</v>
      </c>
      <c r="BB71" s="116" t="str">
        <f t="shared" si="8"/>
        <v>Flybar Inc</v>
      </c>
    </row>
    <row r="72" s="114" customFormat="1" hidden="1" customHeight="1" spans="1:54">
      <c r="A72" s="154">
        <v>46167</v>
      </c>
      <c r="B72" s="156" t="s">
        <v>108</v>
      </c>
      <c r="C72" s="156" t="s">
        <v>145</v>
      </c>
      <c r="D72" s="156" t="s">
        <v>193</v>
      </c>
      <c r="E72" s="156" t="s">
        <v>194</v>
      </c>
      <c r="F72" s="156" t="s">
        <v>45</v>
      </c>
      <c r="G72" s="295">
        <v>600</v>
      </c>
      <c r="H72" s="154">
        <v>46261</v>
      </c>
      <c r="I72" s="82"/>
      <c r="J72" s="82"/>
      <c r="K72" s="82"/>
      <c r="L72" s="82"/>
      <c r="M72" s="82"/>
      <c r="N72" s="82"/>
      <c r="O72" s="82"/>
      <c r="P72" s="82"/>
      <c r="Q72" s="82"/>
      <c r="R72" s="82"/>
      <c r="S72" s="82"/>
      <c r="T72" s="82"/>
      <c r="U72" s="82"/>
      <c r="V72" s="82"/>
      <c r="W72" s="82"/>
      <c r="X72" s="82"/>
      <c r="Y72" s="82"/>
      <c r="Z72" s="82"/>
      <c r="AA72" s="82"/>
      <c r="AB72" s="348"/>
      <c r="AC72" s="348"/>
      <c r="AD72" s="348"/>
      <c r="AE72" s="348"/>
      <c r="AF72" s="348"/>
      <c r="AG72" s="348"/>
      <c r="AH72" s="348"/>
      <c r="AI72" s="348"/>
      <c r="AJ72" s="348"/>
      <c r="AK72" s="348"/>
      <c r="AL72" s="348"/>
      <c r="AM72" s="82"/>
      <c r="AN72" s="82"/>
      <c r="AO72" s="82"/>
      <c r="AP72" s="82"/>
      <c r="AQ72" s="82">
        <f>G72</f>
        <v>600</v>
      </c>
      <c r="AR72" s="82"/>
      <c r="AS72" s="82"/>
      <c r="AT72" s="82"/>
      <c r="AU72" s="82"/>
      <c r="AV72" s="82"/>
      <c r="AW72" s="82"/>
      <c r="AX72" s="158">
        <v>2.1</v>
      </c>
      <c r="AY72" s="350">
        <f t="shared" si="13"/>
        <v>1260</v>
      </c>
      <c r="AZ72" s="350">
        <f t="shared" si="14"/>
        <v>9765</v>
      </c>
      <c r="BA72" s="116" t="str">
        <f t="shared" si="7"/>
        <v>美国</v>
      </c>
      <c r="BB72" s="116" t="str">
        <f t="shared" si="8"/>
        <v>Flybar Inc</v>
      </c>
    </row>
    <row r="73" s="114" customFormat="1" hidden="1" customHeight="1" spans="1:54">
      <c r="A73" s="154">
        <v>46167</v>
      </c>
      <c r="B73" s="156" t="s">
        <v>108</v>
      </c>
      <c r="C73" s="156" t="s">
        <v>145</v>
      </c>
      <c r="D73" s="156" t="s">
        <v>193</v>
      </c>
      <c r="E73" s="156" t="s">
        <v>194</v>
      </c>
      <c r="F73" s="156" t="s">
        <v>47</v>
      </c>
      <c r="G73" s="295">
        <v>600</v>
      </c>
      <c r="H73" s="154">
        <v>46261</v>
      </c>
      <c r="I73" s="82"/>
      <c r="J73" s="82"/>
      <c r="K73" s="82"/>
      <c r="L73" s="82"/>
      <c r="M73" s="82"/>
      <c r="N73" s="82"/>
      <c r="O73" s="82"/>
      <c r="P73" s="82"/>
      <c r="Q73" s="82"/>
      <c r="R73" s="82"/>
      <c r="S73" s="82"/>
      <c r="T73" s="82"/>
      <c r="U73" s="82"/>
      <c r="V73" s="82"/>
      <c r="W73" s="82"/>
      <c r="X73" s="82"/>
      <c r="Y73" s="82"/>
      <c r="Z73" s="82"/>
      <c r="AA73" s="82"/>
      <c r="AB73" s="348"/>
      <c r="AC73" s="348"/>
      <c r="AD73" s="348"/>
      <c r="AE73" s="348"/>
      <c r="AF73" s="348"/>
      <c r="AG73" s="348"/>
      <c r="AH73" s="348"/>
      <c r="AI73" s="348"/>
      <c r="AJ73" s="348"/>
      <c r="AK73" s="348"/>
      <c r="AL73" s="348"/>
      <c r="AM73" s="82"/>
      <c r="AN73" s="82"/>
      <c r="AO73" s="82"/>
      <c r="AP73" s="82"/>
      <c r="AQ73" s="82"/>
      <c r="AR73" s="82">
        <f>G73</f>
        <v>600</v>
      </c>
      <c r="AS73" s="82"/>
      <c r="AT73" s="82"/>
      <c r="AU73" s="82"/>
      <c r="AV73" s="82"/>
      <c r="AW73" s="82"/>
      <c r="AX73" s="158">
        <v>2.1</v>
      </c>
      <c r="AY73" s="350">
        <f t="shared" si="13"/>
        <v>1260</v>
      </c>
      <c r="AZ73" s="350">
        <f t="shared" si="14"/>
        <v>9765</v>
      </c>
      <c r="BA73" s="116" t="str">
        <f t="shared" si="7"/>
        <v>美国</v>
      </c>
      <c r="BB73" s="116" t="str">
        <f t="shared" si="8"/>
        <v>Flybar Inc</v>
      </c>
    </row>
    <row r="74" s="114" customFormat="1" hidden="1" customHeight="1" spans="1:54">
      <c r="A74" s="154">
        <v>46167</v>
      </c>
      <c r="B74" s="156" t="s">
        <v>108</v>
      </c>
      <c r="C74" s="156" t="s">
        <v>145</v>
      </c>
      <c r="D74" s="156" t="s">
        <v>193</v>
      </c>
      <c r="E74" s="156" t="s">
        <v>194</v>
      </c>
      <c r="F74" s="156" t="s">
        <v>49</v>
      </c>
      <c r="G74" s="295">
        <v>600</v>
      </c>
      <c r="H74" s="154">
        <v>46261</v>
      </c>
      <c r="I74" s="82"/>
      <c r="J74" s="82"/>
      <c r="K74" s="82"/>
      <c r="L74" s="82"/>
      <c r="M74" s="82"/>
      <c r="N74" s="82"/>
      <c r="O74" s="82"/>
      <c r="P74" s="82"/>
      <c r="Q74" s="82"/>
      <c r="R74" s="82"/>
      <c r="S74" s="82"/>
      <c r="T74" s="82"/>
      <c r="U74" s="82"/>
      <c r="V74" s="82"/>
      <c r="W74" s="82"/>
      <c r="X74" s="82"/>
      <c r="Y74" s="82"/>
      <c r="Z74" s="82"/>
      <c r="AA74" s="82"/>
      <c r="AB74" s="348"/>
      <c r="AC74" s="348"/>
      <c r="AD74" s="348"/>
      <c r="AE74" s="348"/>
      <c r="AF74" s="348"/>
      <c r="AG74" s="348"/>
      <c r="AH74" s="348"/>
      <c r="AI74" s="348"/>
      <c r="AJ74" s="348"/>
      <c r="AK74" s="348"/>
      <c r="AL74" s="348"/>
      <c r="AM74" s="82"/>
      <c r="AN74" s="82"/>
      <c r="AO74" s="82"/>
      <c r="AP74" s="82"/>
      <c r="AQ74" s="82"/>
      <c r="AR74" s="82"/>
      <c r="AS74" s="82">
        <f>G74</f>
        <v>600</v>
      </c>
      <c r="AT74" s="82"/>
      <c r="AU74" s="82"/>
      <c r="AV74" s="82"/>
      <c r="AW74" s="82"/>
      <c r="AX74" s="158">
        <v>2.1</v>
      </c>
      <c r="AY74" s="350">
        <f t="shared" si="13"/>
        <v>1260</v>
      </c>
      <c r="AZ74" s="350">
        <f t="shared" si="14"/>
        <v>9765</v>
      </c>
      <c r="BA74" s="116" t="str">
        <f t="shared" si="7"/>
        <v>美国</v>
      </c>
      <c r="BB74" s="116" t="str">
        <f t="shared" si="8"/>
        <v>Flybar Inc</v>
      </c>
    </row>
    <row r="75" s="114" customFormat="1" hidden="1" customHeight="1" spans="1:54">
      <c r="A75" s="154">
        <v>46167</v>
      </c>
      <c r="B75" s="156" t="s">
        <v>108</v>
      </c>
      <c r="C75" s="156" t="s">
        <v>145</v>
      </c>
      <c r="D75" s="156" t="s">
        <v>193</v>
      </c>
      <c r="E75" s="156" t="s">
        <v>194</v>
      </c>
      <c r="F75" s="156" t="s">
        <v>51</v>
      </c>
      <c r="G75" s="295">
        <v>600</v>
      </c>
      <c r="H75" s="154">
        <v>46261</v>
      </c>
      <c r="I75" s="82"/>
      <c r="J75" s="82"/>
      <c r="K75" s="82"/>
      <c r="L75" s="82"/>
      <c r="M75" s="82"/>
      <c r="N75" s="82"/>
      <c r="O75" s="82"/>
      <c r="P75" s="82"/>
      <c r="Q75" s="82"/>
      <c r="R75" s="82"/>
      <c r="S75" s="82"/>
      <c r="T75" s="82"/>
      <c r="U75" s="82"/>
      <c r="V75" s="82"/>
      <c r="W75" s="82"/>
      <c r="X75" s="82"/>
      <c r="Y75" s="82"/>
      <c r="Z75" s="82"/>
      <c r="AA75" s="82"/>
      <c r="AB75" s="348"/>
      <c r="AC75" s="348"/>
      <c r="AD75" s="348"/>
      <c r="AE75" s="348"/>
      <c r="AF75" s="348"/>
      <c r="AG75" s="348"/>
      <c r="AH75" s="348"/>
      <c r="AI75" s="348"/>
      <c r="AJ75" s="348"/>
      <c r="AK75" s="348"/>
      <c r="AL75" s="348"/>
      <c r="AM75" s="82"/>
      <c r="AN75" s="82"/>
      <c r="AO75" s="82"/>
      <c r="AP75" s="82"/>
      <c r="AQ75" s="82"/>
      <c r="AR75" s="82"/>
      <c r="AS75" s="82"/>
      <c r="AT75" s="82">
        <f>G75</f>
        <v>600</v>
      </c>
      <c r="AU75" s="82"/>
      <c r="AV75" s="82"/>
      <c r="AW75" s="82"/>
      <c r="AX75" s="158">
        <v>2.1</v>
      </c>
      <c r="AY75" s="350">
        <f t="shared" si="13"/>
        <v>1260</v>
      </c>
      <c r="AZ75" s="350">
        <f t="shared" si="14"/>
        <v>9765</v>
      </c>
      <c r="BA75" s="116" t="str">
        <f t="shared" si="7"/>
        <v>美国</v>
      </c>
      <c r="BB75" s="116" t="str">
        <f t="shared" si="8"/>
        <v>Flybar Inc</v>
      </c>
    </row>
    <row r="76" s="234" customFormat="1" hidden="1" customHeight="1" spans="1:54">
      <c r="A76" s="252">
        <v>46191</v>
      </c>
      <c r="B76" s="253" t="s">
        <v>195</v>
      </c>
      <c r="C76" s="253" t="s">
        <v>196</v>
      </c>
      <c r="D76" s="253" t="s">
        <v>197</v>
      </c>
      <c r="E76" s="253" t="s">
        <v>198</v>
      </c>
      <c r="F76" s="253" t="s">
        <v>18</v>
      </c>
      <c r="G76" s="268">
        <v>720</v>
      </c>
      <c r="H76" s="252">
        <v>46238</v>
      </c>
      <c r="I76" s="241"/>
      <c r="J76" s="241"/>
      <c r="K76" s="241"/>
      <c r="L76" s="241"/>
      <c r="M76" s="241">
        <f>G76</f>
        <v>720</v>
      </c>
      <c r="N76" s="241"/>
      <c r="O76" s="241"/>
      <c r="P76" s="241"/>
      <c r="Q76" s="241"/>
      <c r="R76" s="241"/>
      <c r="S76" s="241"/>
      <c r="T76" s="241"/>
      <c r="U76" s="241"/>
      <c r="V76" s="241"/>
      <c r="W76" s="241"/>
      <c r="X76" s="241"/>
      <c r="Y76" s="241"/>
      <c r="Z76" s="241"/>
      <c r="AA76" s="241"/>
      <c r="AB76" s="250"/>
      <c r="AC76" s="250"/>
      <c r="AD76" s="250"/>
      <c r="AE76" s="250"/>
      <c r="AF76" s="250"/>
      <c r="AG76" s="250"/>
      <c r="AH76" s="250"/>
      <c r="AI76" s="250"/>
      <c r="AJ76" s="250"/>
      <c r="AK76" s="250"/>
      <c r="AL76" s="250"/>
      <c r="AM76" s="241"/>
      <c r="AN76" s="241"/>
      <c r="AO76" s="241"/>
      <c r="AP76" s="241"/>
      <c r="AQ76" s="241"/>
      <c r="AR76" s="241"/>
      <c r="AS76" s="241"/>
      <c r="AT76" s="241"/>
      <c r="AU76" s="241"/>
      <c r="AV76" s="241"/>
      <c r="AW76" s="241"/>
      <c r="AX76" s="258">
        <v>2.1</v>
      </c>
      <c r="AY76" s="354">
        <f t="shared" si="13"/>
        <v>1512</v>
      </c>
      <c r="AZ76" s="354">
        <f t="shared" si="14"/>
        <v>11718</v>
      </c>
      <c r="BA76" s="355" t="str">
        <f t="shared" si="7"/>
        <v>马来西亚</v>
      </c>
      <c r="BB76" s="355" t="str">
        <f t="shared" si="8"/>
        <v>Litt Tak Sdn Bhd</v>
      </c>
    </row>
    <row r="77" s="234" customFormat="1" hidden="1" customHeight="1" spans="1:54">
      <c r="A77" s="252">
        <v>46195</v>
      </c>
      <c r="B77" s="253" t="s">
        <v>113</v>
      </c>
      <c r="C77" s="253" t="s">
        <v>142</v>
      </c>
      <c r="D77" s="253">
        <v>21848574</v>
      </c>
      <c r="E77" s="253" t="s">
        <v>199</v>
      </c>
      <c r="F77" s="253" t="s">
        <v>18</v>
      </c>
      <c r="G77" s="268">
        <v>5004</v>
      </c>
      <c r="H77" s="252">
        <v>46233</v>
      </c>
      <c r="I77" s="241"/>
      <c r="J77" s="241"/>
      <c r="K77" s="241"/>
      <c r="L77" s="241"/>
      <c r="M77" s="245">
        <f>G77</f>
        <v>5004</v>
      </c>
      <c r="N77" s="241"/>
      <c r="O77" s="241"/>
      <c r="P77" s="241"/>
      <c r="Q77" s="241"/>
      <c r="R77" s="241"/>
      <c r="S77" s="241"/>
      <c r="T77" s="241"/>
      <c r="U77" s="241"/>
      <c r="V77" s="241"/>
      <c r="W77" s="241"/>
      <c r="X77" s="241"/>
      <c r="Y77" s="241"/>
      <c r="Z77" s="241"/>
      <c r="AA77" s="241"/>
      <c r="AB77" s="250"/>
      <c r="AC77" s="250"/>
      <c r="AD77" s="250"/>
      <c r="AE77" s="250"/>
      <c r="AF77" s="250"/>
      <c r="AG77" s="250"/>
      <c r="AH77" s="250"/>
      <c r="AI77" s="250"/>
      <c r="AJ77" s="250"/>
      <c r="AK77" s="250"/>
      <c r="AL77" s="250"/>
      <c r="AM77" s="241"/>
      <c r="AN77" s="241"/>
      <c r="AO77" s="241"/>
      <c r="AP77" s="241"/>
      <c r="AQ77" s="241"/>
      <c r="AR77" s="241"/>
      <c r="AS77" s="241"/>
      <c r="AT77" s="241"/>
      <c r="AU77" s="241"/>
      <c r="AV77" s="241"/>
      <c r="AW77" s="241"/>
      <c r="AX77" s="258">
        <v>2.1</v>
      </c>
      <c r="AY77" s="354">
        <f t="shared" si="13"/>
        <v>10508.4</v>
      </c>
      <c r="AZ77" s="354">
        <f t="shared" ref="AZ77:AZ99" si="15">AY77*7.75</f>
        <v>81440.1</v>
      </c>
      <c r="BA77" s="355" t="str">
        <f t="shared" si="7"/>
        <v>澳大利亚</v>
      </c>
      <c r="BB77" s="355" t="str">
        <f t="shared" si="8"/>
        <v>Kmart Australia &amp; NZ Holding Limited</v>
      </c>
    </row>
    <row r="78" s="114" customFormat="1" hidden="1" customHeight="1" spans="1:54">
      <c r="A78" s="154">
        <v>46195</v>
      </c>
      <c r="B78" s="156" t="s">
        <v>108</v>
      </c>
      <c r="C78" s="358" t="s">
        <v>145</v>
      </c>
      <c r="D78" s="358" t="s">
        <v>200</v>
      </c>
      <c r="E78" s="358" t="s">
        <v>201</v>
      </c>
      <c r="F78" s="358" t="s">
        <v>14</v>
      </c>
      <c r="G78" s="295">
        <v>1002</v>
      </c>
      <c r="H78" s="154">
        <v>46249</v>
      </c>
      <c r="I78" s="82"/>
      <c r="J78" s="82">
        <f t="shared" ref="J78:J91" si="16">G78</f>
        <v>1002</v>
      </c>
      <c r="K78" s="82"/>
      <c r="L78" s="82"/>
      <c r="M78" s="82"/>
      <c r="N78" s="82"/>
      <c r="O78" s="82"/>
      <c r="P78" s="82"/>
      <c r="Q78" s="82"/>
      <c r="R78" s="82"/>
      <c r="S78" s="82"/>
      <c r="T78" s="82"/>
      <c r="U78" s="82"/>
      <c r="V78" s="82"/>
      <c r="W78" s="82"/>
      <c r="X78" s="82"/>
      <c r="Y78" s="82"/>
      <c r="Z78" s="82"/>
      <c r="AA78" s="82"/>
      <c r="AB78" s="348"/>
      <c r="AC78" s="348"/>
      <c r="AD78" s="348"/>
      <c r="AE78" s="348"/>
      <c r="AF78" s="348"/>
      <c r="AG78" s="348"/>
      <c r="AH78" s="348"/>
      <c r="AI78" s="348"/>
      <c r="AJ78" s="348"/>
      <c r="AK78" s="348"/>
      <c r="AL78" s="348"/>
      <c r="AM78" s="82"/>
      <c r="AN78" s="82"/>
      <c r="AO78" s="82"/>
      <c r="AP78" s="82"/>
      <c r="AQ78" s="82"/>
      <c r="AR78" s="82"/>
      <c r="AS78" s="82"/>
      <c r="AT78" s="82"/>
      <c r="AU78" s="82"/>
      <c r="AV78" s="82"/>
      <c r="AW78" s="82"/>
      <c r="AX78" s="158">
        <v>4.9</v>
      </c>
      <c r="AY78" s="350">
        <f t="shared" si="13"/>
        <v>4909.8</v>
      </c>
      <c r="AZ78" s="350">
        <f t="shared" si="15"/>
        <v>38050.95</v>
      </c>
      <c r="BA78" s="116" t="str">
        <f t="shared" si="7"/>
        <v>美国</v>
      </c>
      <c r="BB78" s="116" t="str">
        <f t="shared" si="8"/>
        <v>Flybar Inc</v>
      </c>
    </row>
    <row r="79" s="114" customFormat="1" hidden="1" customHeight="1" spans="1:54">
      <c r="A79" s="154">
        <v>46195</v>
      </c>
      <c r="B79" s="156" t="s">
        <v>108</v>
      </c>
      <c r="C79" s="358" t="s">
        <v>145</v>
      </c>
      <c r="D79" s="358" t="s">
        <v>202</v>
      </c>
      <c r="E79" s="358" t="s">
        <v>203</v>
      </c>
      <c r="F79" s="358" t="s">
        <v>14</v>
      </c>
      <c r="G79" s="295">
        <v>1002</v>
      </c>
      <c r="H79" s="154">
        <v>46249</v>
      </c>
      <c r="I79" s="82"/>
      <c r="J79" s="82">
        <f t="shared" si="16"/>
        <v>1002</v>
      </c>
      <c r="K79" s="82"/>
      <c r="L79" s="82"/>
      <c r="M79" s="82"/>
      <c r="N79" s="82"/>
      <c r="O79" s="82"/>
      <c r="P79" s="82"/>
      <c r="Q79" s="82"/>
      <c r="R79" s="82"/>
      <c r="S79" s="82"/>
      <c r="T79" s="82"/>
      <c r="U79" s="82"/>
      <c r="V79" s="82"/>
      <c r="W79" s="82"/>
      <c r="X79" s="82"/>
      <c r="Y79" s="82"/>
      <c r="Z79" s="82"/>
      <c r="AA79" s="82"/>
      <c r="AB79" s="348"/>
      <c r="AC79" s="348"/>
      <c r="AD79" s="348"/>
      <c r="AE79" s="348"/>
      <c r="AF79" s="348"/>
      <c r="AG79" s="348"/>
      <c r="AH79" s="348"/>
      <c r="AI79" s="348"/>
      <c r="AJ79" s="348"/>
      <c r="AK79" s="348"/>
      <c r="AL79" s="348"/>
      <c r="AM79" s="82"/>
      <c r="AN79" s="82"/>
      <c r="AO79" s="82"/>
      <c r="AP79" s="82"/>
      <c r="AQ79" s="82"/>
      <c r="AR79" s="82"/>
      <c r="AS79" s="82"/>
      <c r="AT79" s="82"/>
      <c r="AU79" s="82"/>
      <c r="AV79" s="82"/>
      <c r="AW79" s="82"/>
      <c r="AX79" s="158">
        <v>4.9</v>
      </c>
      <c r="AY79" s="350">
        <f t="shared" si="13"/>
        <v>4909.8</v>
      </c>
      <c r="AZ79" s="350">
        <f t="shared" si="15"/>
        <v>38050.95</v>
      </c>
      <c r="BA79" s="116" t="str">
        <f t="shared" si="7"/>
        <v>美国</v>
      </c>
      <c r="BB79" s="116" t="str">
        <f t="shared" si="8"/>
        <v>Flybar Inc</v>
      </c>
    </row>
    <row r="80" s="114" customFormat="1" hidden="1" customHeight="1" spans="1:54">
      <c r="A80" s="154">
        <v>46195</v>
      </c>
      <c r="B80" s="156" t="s">
        <v>108</v>
      </c>
      <c r="C80" s="358" t="s">
        <v>145</v>
      </c>
      <c r="D80" s="358" t="s">
        <v>204</v>
      </c>
      <c r="E80" s="358" t="s">
        <v>205</v>
      </c>
      <c r="F80" s="358" t="s">
        <v>14</v>
      </c>
      <c r="G80" s="295">
        <v>498</v>
      </c>
      <c r="H80" s="154">
        <v>46249</v>
      </c>
      <c r="I80" s="82"/>
      <c r="J80" s="82">
        <f t="shared" si="16"/>
        <v>498</v>
      </c>
      <c r="K80" s="82"/>
      <c r="L80" s="82"/>
      <c r="M80" s="82"/>
      <c r="N80" s="82"/>
      <c r="O80" s="82"/>
      <c r="P80" s="82"/>
      <c r="Q80" s="82"/>
      <c r="R80" s="82"/>
      <c r="S80" s="82"/>
      <c r="T80" s="82"/>
      <c r="U80" s="82"/>
      <c r="V80" s="82"/>
      <c r="W80" s="82"/>
      <c r="X80" s="82"/>
      <c r="Y80" s="82"/>
      <c r="Z80" s="82"/>
      <c r="AA80" s="82"/>
      <c r="AB80" s="348"/>
      <c r="AC80" s="348"/>
      <c r="AD80" s="348"/>
      <c r="AE80" s="348"/>
      <c r="AF80" s="348"/>
      <c r="AG80" s="348"/>
      <c r="AH80" s="348"/>
      <c r="AI80" s="348"/>
      <c r="AJ80" s="348"/>
      <c r="AK80" s="348"/>
      <c r="AL80" s="348"/>
      <c r="AM80" s="82"/>
      <c r="AN80" s="82"/>
      <c r="AO80" s="82"/>
      <c r="AP80" s="82"/>
      <c r="AQ80" s="82"/>
      <c r="AR80" s="82"/>
      <c r="AS80" s="82"/>
      <c r="AT80" s="82"/>
      <c r="AU80" s="82"/>
      <c r="AV80" s="82"/>
      <c r="AW80" s="82"/>
      <c r="AX80" s="158">
        <v>4.9</v>
      </c>
      <c r="AY80" s="350">
        <f t="shared" si="13"/>
        <v>2440.2</v>
      </c>
      <c r="AZ80" s="350">
        <f t="shared" si="15"/>
        <v>18911.55</v>
      </c>
      <c r="BA80" s="116" t="str">
        <f t="shared" si="7"/>
        <v>美国</v>
      </c>
      <c r="BB80" s="116" t="str">
        <f t="shared" si="8"/>
        <v>Flybar Inc</v>
      </c>
    </row>
    <row r="81" s="114" customFormat="1" hidden="1" customHeight="1" spans="1:54">
      <c r="A81" s="311">
        <v>46226</v>
      </c>
      <c r="B81" s="302" t="s">
        <v>108</v>
      </c>
      <c r="C81" s="302" t="s">
        <v>130</v>
      </c>
      <c r="D81" s="330">
        <v>219664389</v>
      </c>
      <c r="E81" s="302" t="s">
        <v>206</v>
      </c>
      <c r="F81" s="302" t="s">
        <v>8</v>
      </c>
      <c r="G81" s="331">
        <v>574</v>
      </c>
      <c r="H81" s="132">
        <v>46267</v>
      </c>
      <c r="I81" s="82"/>
      <c r="J81" s="82">
        <f t="shared" si="16"/>
        <v>574</v>
      </c>
      <c r="K81" s="82"/>
      <c r="L81" s="82"/>
      <c r="M81" s="82"/>
      <c r="N81" s="82"/>
      <c r="O81" s="82"/>
      <c r="P81" s="82"/>
      <c r="Q81" s="82"/>
      <c r="R81" s="82"/>
      <c r="S81" s="82"/>
      <c r="T81" s="82"/>
      <c r="U81" s="82"/>
      <c r="V81" s="82"/>
      <c r="W81" s="82"/>
      <c r="X81" s="82"/>
      <c r="Y81" s="82"/>
      <c r="Z81" s="82"/>
      <c r="AA81" s="82"/>
      <c r="AB81" s="348"/>
      <c r="AC81" s="348"/>
      <c r="AD81" s="348"/>
      <c r="AE81" s="348"/>
      <c r="AF81" s="348"/>
      <c r="AG81" s="348"/>
      <c r="AH81" s="348"/>
      <c r="AI81" s="348"/>
      <c r="AJ81" s="348"/>
      <c r="AK81" s="348"/>
      <c r="AL81" s="348"/>
      <c r="AM81" s="82"/>
      <c r="AN81" s="82"/>
      <c r="AO81" s="82"/>
      <c r="AP81" s="82"/>
      <c r="AQ81" s="82"/>
      <c r="AR81" s="82"/>
      <c r="AS81" s="82"/>
      <c r="AT81" s="82"/>
      <c r="AU81" s="82"/>
      <c r="AV81" s="82"/>
      <c r="AW81" s="82"/>
      <c r="AX81" s="158">
        <v>4.5</v>
      </c>
      <c r="AY81" s="350">
        <f t="shared" si="13"/>
        <v>2583</v>
      </c>
      <c r="AZ81" s="350">
        <f t="shared" si="15"/>
        <v>20018.25</v>
      </c>
      <c r="BA81" s="116" t="str">
        <f t="shared" si="7"/>
        <v>美国</v>
      </c>
      <c r="BB81" s="116" t="str">
        <f t="shared" si="8"/>
        <v>Meijer
LANSING</v>
      </c>
    </row>
    <row r="82" s="114" customFormat="1" hidden="1" customHeight="1" spans="1:54">
      <c r="A82" s="311">
        <v>46226</v>
      </c>
      <c r="B82" s="302" t="s">
        <v>108</v>
      </c>
      <c r="C82" s="302" t="s">
        <v>130</v>
      </c>
      <c r="D82" s="302">
        <v>219664388</v>
      </c>
      <c r="E82" s="302" t="s">
        <v>207</v>
      </c>
      <c r="F82" s="302" t="s">
        <v>8</v>
      </c>
      <c r="G82" s="312">
        <v>1300</v>
      </c>
      <c r="H82" s="311">
        <v>46266</v>
      </c>
      <c r="I82" s="82"/>
      <c r="J82" s="82">
        <f t="shared" si="16"/>
        <v>1300</v>
      </c>
      <c r="K82" s="82"/>
      <c r="L82" s="82"/>
      <c r="M82" s="82"/>
      <c r="N82" s="82"/>
      <c r="O82" s="82"/>
      <c r="P82" s="82"/>
      <c r="Q82" s="82"/>
      <c r="R82" s="82"/>
      <c r="S82" s="82"/>
      <c r="T82" s="82"/>
      <c r="U82" s="82"/>
      <c r="V82" s="82"/>
      <c r="W82" s="82"/>
      <c r="X82" s="82"/>
      <c r="Y82" s="82"/>
      <c r="Z82" s="82"/>
      <c r="AA82" s="82"/>
      <c r="AB82" s="348"/>
      <c r="AC82" s="348"/>
      <c r="AD82" s="348"/>
      <c r="AE82" s="348"/>
      <c r="AF82" s="348"/>
      <c r="AG82" s="348"/>
      <c r="AH82" s="348"/>
      <c r="AI82" s="348"/>
      <c r="AJ82" s="348"/>
      <c r="AK82" s="348"/>
      <c r="AL82" s="348"/>
      <c r="AM82" s="82"/>
      <c r="AN82" s="82"/>
      <c r="AO82" s="82"/>
      <c r="AP82" s="82"/>
      <c r="AQ82" s="82"/>
      <c r="AR82" s="82"/>
      <c r="AS82" s="82"/>
      <c r="AT82" s="82"/>
      <c r="AU82" s="82"/>
      <c r="AV82" s="82"/>
      <c r="AW82" s="82"/>
      <c r="AX82" s="158">
        <v>4.5</v>
      </c>
      <c r="AY82" s="350">
        <f t="shared" si="13"/>
        <v>5850</v>
      </c>
      <c r="AZ82" s="350">
        <f t="shared" si="15"/>
        <v>45337.5</v>
      </c>
      <c r="BA82" s="116" t="str">
        <f t="shared" si="7"/>
        <v>美国</v>
      </c>
      <c r="BB82" s="116" t="str">
        <f t="shared" si="8"/>
        <v>Meijer
LANSING</v>
      </c>
    </row>
    <row r="83" s="114" customFormat="1" hidden="1" customHeight="1" spans="1:54">
      <c r="A83" s="311">
        <v>46240</v>
      </c>
      <c r="B83" s="302" t="s">
        <v>208</v>
      </c>
      <c r="C83" s="302"/>
      <c r="D83" s="302">
        <v>47981637</v>
      </c>
      <c r="E83" s="302" t="s">
        <v>209</v>
      </c>
      <c r="F83" s="302" t="s">
        <v>6</v>
      </c>
      <c r="G83" s="312">
        <v>198</v>
      </c>
      <c r="H83" s="311">
        <v>46277</v>
      </c>
      <c r="I83" s="82"/>
      <c r="J83" s="82">
        <f t="shared" si="16"/>
        <v>198</v>
      </c>
      <c r="K83" s="82"/>
      <c r="L83" s="82"/>
      <c r="M83" s="82"/>
      <c r="N83" s="82"/>
      <c r="O83" s="82"/>
      <c r="P83" s="82"/>
      <c r="Q83" s="82"/>
      <c r="R83" s="82"/>
      <c r="S83" s="82"/>
      <c r="T83" s="82"/>
      <c r="U83" s="82"/>
      <c r="V83" s="82"/>
      <c r="W83" s="82"/>
      <c r="X83" s="82"/>
      <c r="Y83" s="82"/>
      <c r="Z83" s="82"/>
      <c r="AA83" s="82"/>
      <c r="AB83" s="348"/>
      <c r="AC83" s="348"/>
      <c r="AD83" s="348"/>
      <c r="AE83" s="348"/>
      <c r="AF83" s="348"/>
      <c r="AG83" s="348"/>
      <c r="AH83" s="348"/>
      <c r="AI83" s="348"/>
      <c r="AJ83" s="348"/>
      <c r="AK83" s="348"/>
      <c r="AL83" s="348"/>
      <c r="AM83" s="82"/>
      <c r="AN83" s="82"/>
      <c r="AO83" s="82"/>
      <c r="AP83" s="82"/>
      <c r="AQ83" s="82"/>
      <c r="AR83" s="82"/>
      <c r="AS83" s="82"/>
      <c r="AT83" s="82"/>
      <c r="AU83" s="82"/>
      <c r="AV83" s="82"/>
      <c r="AW83" s="82"/>
      <c r="AX83" s="315">
        <v>4.5</v>
      </c>
      <c r="AY83" s="350">
        <f t="shared" si="13"/>
        <v>891</v>
      </c>
      <c r="AZ83" s="350">
        <f t="shared" si="15"/>
        <v>6905.25</v>
      </c>
      <c r="BA83" s="116" t="str">
        <f t="shared" si="7"/>
        <v>上海</v>
      </c>
      <c r="BB83" s="116">
        <f t="shared" si="8"/>
        <v>0</v>
      </c>
    </row>
    <row r="84" s="114" customFormat="1" hidden="1" customHeight="1" spans="1:54">
      <c r="A84" s="311">
        <v>46240</v>
      </c>
      <c r="B84" s="302" t="s">
        <v>208</v>
      </c>
      <c r="C84" s="302"/>
      <c r="D84" s="302">
        <v>47981746</v>
      </c>
      <c r="E84" s="302" t="s">
        <v>210</v>
      </c>
      <c r="F84" s="302" t="s">
        <v>6</v>
      </c>
      <c r="G84" s="312">
        <v>942</v>
      </c>
      <c r="H84" s="311">
        <v>46277</v>
      </c>
      <c r="I84" s="82"/>
      <c r="J84" s="82">
        <f t="shared" si="16"/>
        <v>942</v>
      </c>
      <c r="K84" s="82"/>
      <c r="L84" s="82"/>
      <c r="M84" s="82"/>
      <c r="N84" s="82"/>
      <c r="O84" s="82"/>
      <c r="P84" s="82"/>
      <c r="Q84" s="82"/>
      <c r="R84" s="82"/>
      <c r="S84" s="82"/>
      <c r="T84" s="82"/>
      <c r="U84" s="82"/>
      <c r="V84" s="82"/>
      <c r="W84" s="82"/>
      <c r="X84" s="82"/>
      <c r="Y84" s="82"/>
      <c r="Z84" s="82"/>
      <c r="AA84" s="82"/>
      <c r="AB84" s="348"/>
      <c r="AC84" s="348"/>
      <c r="AD84" s="348"/>
      <c r="AE84" s="348"/>
      <c r="AF84" s="348"/>
      <c r="AG84" s="348"/>
      <c r="AH84" s="348"/>
      <c r="AI84" s="348"/>
      <c r="AJ84" s="348"/>
      <c r="AK84" s="348"/>
      <c r="AL84" s="348"/>
      <c r="AM84" s="82"/>
      <c r="AN84" s="82"/>
      <c r="AO84" s="82"/>
      <c r="AP84" s="82"/>
      <c r="AQ84" s="82"/>
      <c r="AR84" s="82"/>
      <c r="AS84" s="82"/>
      <c r="AT84" s="82"/>
      <c r="AU84" s="82"/>
      <c r="AV84" s="82"/>
      <c r="AW84" s="82"/>
      <c r="AX84" s="315">
        <v>4.5</v>
      </c>
      <c r="AY84" s="350">
        <f t="shared" si="13"/>
        <v>4239</v>
      </c>
      <c r="AZ84" s="350">
        <f t="shared" si="15"/>
        <v>32852.25</v>
      </c>
      <c r="BA84" s="116" t="str">
        <f t="shared" si="7"/>
        <v>上海</v>
      </c>
      <c r="BB84" s="116">
        <f t="shared" si="8"/>
        <v>0</v>
      </c>
    </row>
    <row r="85" s="114" customFormat="1" hidden="1" customHeight="1" spans="1:54">
      <c r="A85" s="311">
        <v>46240</v>
      </c>
      <c r="B85" s="302" t="s">
        <v>208</v>
      </c>
      <c r="C85" s="302"/>
      <c r="D85" s="302">
        <v>47982010</v>
      </c>
      <c r="E85" s="302" t="s">
        <v>211</v>
      </c>
      <c r="F85" s="302" t="s">
        <v>6</v>
      </c>
      <c r="G85" s="312">
        <v>432</v>
      </c>
      <c r="H85" s="311">
        <v>46277</v>
      </c>
      <c r="I85" s="82"/>
      <c r="J85" s="82">
        <f t="shared" si="16"/>
        <v>432</v>
      </c>
      <c r="K85" s="82"/>
      <c r="L85" s="82"/>
      <c r="M85" s="82"/>
      <c r="N85" s="82"/>
      <c r="O85" s="82"/>
      <c r="P85" s="82"/>
      <c r="Q85" s="82"/>
      <c r="R85" s="82"/>
      <c r="S85" s="82"/>
      <c r="T85" s="82"/>
      <c r="U85" s="82"/>
      <c r="V85" s="82"/>
      <c r="W85" s="82"/>
      <c r="X85" s="82"/>
      <c r="Y85" s="82"/>
      <c r="Z85" s="82"/>
      <c r="AA85" s="82"/>
      <c r="AB85" s="348"/>
      <c r="AC85" s="348"/>
      <c r="AD85" s="348"/>
      <c r="AE85" s="348"/>
      <c r="AF85" s="348"/>
      <c r="AG85" s="348"/>
      <c r="AH85" s="348"/>
      <c r="AI85" s="348"/>
      <c r="AJ85" s="348"/>
      <c r="AK85" s="348"/>
      <c r="AL85" s="348"/>
      <c r="AM85" s="82"/>
      <c r="AN85" s="82"/>
      <c r="AO85" s="82"/>
      <c r="AP85" s="82"/>
      <c r="AQ85" s="82"/>
      <c r="AR85" s="82"/>
      <c r="AS85" s="82"/>
      <c r="AT85" s="82"/>
      <c r="AU85" s="82"/>
      <c r="AV85" s="82"/>
      <c r="AW85" s="82"/>
      <c r="AX85" s="315">
        <v>4.5</v>
      </c>
      <c r="AY85" s="350">
        <f t="shared" si="13"/>
        <v>1944</v>
      </c>
      <c r="AZ85" s="350">
        <f t="shared" si="15"/>
        <v>15066</v>
      </c>
      <c r="BA85" s="116" t="str">
        <f t="shared" si="7"/>
        <v>上海</v>
      </c>
      <c r="BB85" s="116">
        <f t="shared" si="8"/>
        <v>0</v>
      </c>
    </row>
    <row r="86" s="114" customFormat="1" hidden="1" customHeight="1" spans="1:54">
      <c r="A86" s="311">
        <v>46240</v>
      </c>
      <c r="B86" s="302" t="s">
        <v>208</v>
      </c>
      <c r="C86" s="302"/>
      <c r="D86" s="302">
        <v>47982383</v>
      </c>
      <c r="E86" s="302" t="s">
        <v>212</v>
      </c>
      <c r="F86" s="302" t="s">
        <v>6</v>
      </c>
      <c r="G86" s="312">
        <v>924</v>
      </c>
      <c r="H86" s="311">
        <v>46277</v>
      </c>
      <c r="I86" s="82"/>
      <c r="J86" s="82">
        <f t="shared" si="16"/>
        <v>924</v>
      </c>
      <c r="K86" s="82"/>
      <c r="L86" s="82"/>
      <c r="M86" s="82"/>
      <c r="N86" s="82"/>
      <c r="O86" s="82"/>
      <c r="P86" s="82"/>
      <c r="Q86" s="82"/>
      <c r="R86" s="82"/>
      <c r="S86" s="82"/>
      <c r="T86" s="82"/>
      <c r="U86" s="82"/>
      <c r="V86" s="82"/>
      <c r="W86" s="82"/>
      <c r="X86" s="82"/>
      <c r="Y86" s="82"/>
      <c r="Z86" s="82"/>
      <c r="AA86" s="82"/>
      <c r="AB86" s="348"/>
      <c r="AC86" s="348"/>
      <c r="AD86" s="348"/>
      <c r="AE86" s="348"/>
      <c r="AF86" s="348"/>
      <c r="AG86" s="348"/>
      <c r="AH86" s="348"/>
      <c r="AI86" s="348"/>
      <c r="AJ86" s="348"/>
      <c r="AK86" s="348"/>
      <c r="AL86" s="348"/>
      <c r="AM86" s="82"/>
      <c r="AN86" s="82"/>
      <c r="AO86" s="82"/>
      <c r="AP86" s="82"/>
      <c r="AQ86" s="82"/>
      <c r="AR86" s="82"/>
      <c r="AS86" s="82"/>
      <c r="AT86" s="82"/>
      <c r="AU86" s="82"/>
      <c r="AV86" s="82"/>
      <c r="AW86" s="82"/>
      <c r="AX86" s="315">
        <v>4.5</v>
      </c>
      <c r="AY86" s="350">
        <f t="shared" si="13"/>
        <v>4158</v>
      </c>
      <c r="AZ86" s="350">
        <f t="shared" si="15"/>
        <v>32224.5</v>
      </c>
      <c r="BA86" s="116" t="str">
        <f t="shared" si="7"/>
        <v>上海</v>
      </c>
      <c r="BB86" s="116">
        <f t="shared" si="8"/>
        <v>0</v>
      </c>
    </row>
    <row r="87" s="337" customFormat="1" hidden="1" customHeight="1" spans="1:54">
      <c r="A87" s="319">
        <v>46245</v>
      </c>
      <c r="B87" s="320" t="s">
        <v>208</v>
      </c>
      <c r="C87" s="329"/>
      <c r="D87" s="320" t="s">
        <v>213</v>
      </c>
      <c r="E87" s="320" t="s">
        <v>214</v>
      </c>
      <c r="F87" s="320" t="s">
        <v>4</v>
      </c>
      <c r="G87" s="321">
        <v>132</v>
      </c>
      <c r="H87" s="319">
        <v>46285</v>
      </c>
      <c r="I87" s="212"/>
      <c r="J87" s="212"/>
      <c r="K87" s="212"/>
      <c r="L87" s="212">
        <f t="shared" ref="L87:L91" si="17">G87</f>
        <v>132</v>
      </c>
      <c r="M87" s="212"/>
      <c r="N87" s="212"/>
      <c r="O87" s="212"/>
      <c r="P87" s="212"/>
      <c r="Q87" s="212"/>
      <c r="R87" s="212"/>
      <c r="S87" s="212"/>
      <c r="T87" s="212"/>
      <c r="U87" s="212"/>
      <c r="V87" s="212"/>
      <c r="W87" s="212"/>
      <c r="X87" s="212"/>
      <c r="Y87" s="212"/>
      <c r="Z87" s="212"/>
      <c r="AA87" s="212"/>
      <c r="AB87" s="359"/>
      <c r="AC87" s="359"/>
      <c r="AD87" s="359"/>
      <c r="AE87" s="359"/>
      <c r="AF87" s="359"/>
      <c r="AG87" s="359"/>
      <c r="AH87" s="359"/>
      <c r="AI87" s="359"/>
      <c r="AJ87" s="359"/>
      <c r="AK87" s="359"/>
      <c r="AL87" s="359"/>
      <c r="AM87" s="212"/>
      <c r="AN87" s="212"/>
      <c r="AO87" s="212"/>
      <c r="AP87" s="212"/>
      <c r="AQ87" s="212"/>
      <c r="AR87" s="212"/>
      <c r="AS87" s="212"/>
      <c r="AT87" s="212"/>
      <c r="AU87" s="212"/>
      <c r="AV87" s="212"/>
      <c r="AW87" s="212"/>
      <c r="AX87" s="326">
        <v>2.1</v>
      </c>
      <c r="AY87" s="360">
        <f t="shared" si="13"/>
        <v>277.2</v>
      </c>
      <c r="AZ87" s="360">
        <f t="shared" si="15"/>
        <v>2148.3</v>
      </c>
      <c r="BA87" s="361" t="str">
        <f t="shared" si="7"/>
        <v>上海</v>
      </c>
      <c r="BB87" s="361">
        <f t="shared" si="8"/>
        <v>0</v>
      </c>
    </row>
    <row r="88" s="337" customFormat="1" hidden="1" customHeight="1" spans="1:54">
      <c r="A88" s="319">
        <v>46245</v>
      </c>
      <c r="B88" s="320" t="s">
        <v>208</v>
      </c>
      <c r="C88" s="329"/>
      <c r="D88" s="320" t="s">
        <v>213</v>
      </c>
      <c r="E88" s="320" t="s">
        <v>214</v>
      </c>
      <c r="F88" s="320" t="s">
        <v>18</v>
      </c>
      <c r="G88" s="321">
        <v>120</v>
      </c>
      <c r="H88" s="319">
        <v>46285</v>
      </c>
      <c r="I88" s="212"/>
      <c r="J88" s="212"/>
      <c r="K88" s="212"/>
      <c r="L88" s="212"/>
      <c r="M88" s="323">
        <f t="shared" ref="M88:M92" si="18">G88</f>
        <v>120</v>
      </c>
      <c r="N88" s="212"/>
      <c r="O88" s="212"/>
      <c r="P88" s="212"/>
      <c r="Q88" s="212"/>
      <c r="R88" s="212"/>
      <c r="S88" s="212"/>
      <c r="T88" s="212"/>
      <c r="U88" s="212"/>
      <c r="V88" s="212"/>
      <c r="W88" s="212"/>
      <c r="X88" s="212"/>
      <c r="Y88" s="212"/>
      <c r="Z88" s="212"/>
      <c r="AA88" s="212"/>
      <c r="AB88" s="359"/>
      <c r="AC88" s="359"/>
      <c r="AD88" s="359"/>
      <c r="AE88" s="359"/>
      <c r="AF88" s="359"/>
      <c r="AG88" s="359"/>
      <c r="AH88" s="359"/>
      <c r="AI88" s="359"/>
      <c r="AJ88" s="359"/>
      <c r="AK88" s="359"/>
      <c r="AL88" s="359"/>
      <c r="AM88" s="212"/>
      <c r="AN88" s="212"/>
      <c r="AO88" s="212"/>
      <c r="AP88" s="212"/>
      <c r="AQ88" s="212"/>
      <c r="AR88" s="212"/>
      <c r="AS88" s="212"/>
      <c r="AT88" s="212"/>
      <c r="AU88" s="212"/>
      <c r="AV88" s="212"/>
      <c r="AW88" s="212"/>
      <c r="AX88" s="326">
        <v>2.1</v>
      </c>
      <c r="AY88" s="360">
        <f t="shared" si="13"/>
        <v>252</v>
      </c>
      <c r="AZ88" s="360">
        <f t="shared" si="15"/>
        <v>1953</v>
      </c>
      <c r="BA88" s="361" t="str">
        <f t="shared" si="7"/>
        <v>上海</v>
      </c>
      <c r="BB88" s="361">
        <f t="shared" si="8"/>
        <v>0</v>
      </c>
    </row>
    <row r="89" s="337" customFormat="1" hidden="1" customHeight="1" spans="1:54">
      <c r="A89" s="319">
        <v>46245</v>
      </c>
      <c r="B89" s="320" t="s">
        <v>208</v>
      </c>
      <c r="C89" s="329"/>
      <c r="D89" s="320" t="s">
        <v>215</v>
      </c>
      <c r="E89" s="320" t="s">
        <v>216</v>
      </c>
      <c r="F89" s="320" t="s">
        <v>4</v>
      </c>
      <c r="G89" s="321">
        <v>144</v>
      </c>
      <c r="H89" s="319">
        <v>46265</v>
      </c>
      <c r="I89" s="212"/>
      <c r="J89" s="212"/>
      <c r="K89" s="212"/>
      <c r="L89" s="212">
        <f t="shared" si="17"/>
        <v>144</v>
      </c>
      <c r="M89" s="212"/>
      <c r="N89" s="212"/>
      <c r="O89" s="212"/>
      <c r="P89" s="212"/>
      <c r="Q89" s="212"/>
      <c r="R89" s="212"/>
      <c r="S89" s="212"/>
      <c r="T89" s="212"/>
      <c r="U89" s="212"/>
      <c r="V89" s="212"/>
      <c r="W89" s="212"/>
      <c r="X89" s="212"/>
      <c r="Y89" s="212"/>
      <c r="Z89" s="212"/>
      <c r="AA89" s="212"/>
      <c r="AB89" s="359"/>
      <c r="AC89" s="359"/>
      <c r="AD89" s="359"/>
      <c r="AE89" s="359"/>
      <c r="AF89" s="359"/>
      <c r="AG89" s="359"/>
      <c r="AH89" s="359"/>
      <c r="AI89" s="359"/>
      <c r="AJ89" s="359"/>
      <c r="AK89" s="359"/>
      <c r="AL89" s="359"/>
      <c r="AM89" s="212"/>
      <c r="AN89" s="212"/>
      <c r="AO89" s="212"/>
      <c r="AP89" s="212"/>
      <c r="AQ89" s="212"/>
      <c r="AR89" s="212"/>
      <c r="AS89" s="212"/>
      <c r="AT89" s="212"/>
      <c r="AU89" s="212"/>
      <c r="AV89" s="212"/>
      <c r="AW89" s="212"/>
      <c r="AX89" s="326">
        <v>2.1</v>
      </c>
      <c r="AY89" s="360">
        <f t="shared" si="13"/>
        <v>302.4</v>
      </c>
      <c r="AZ89" s="360">
        <f t="shared" si="15"/>
        <v>2343.6</v>
      </c>
      <c r="BA89" s="361" t="str">
        <f t="shared" si="7"/>
        <v>上海</v>
      </c>
      <c r="BB89" s="361">
        <f t="shared" si="8"/>
        <v>0</v>
      </c>
    </row>
    <row r="90" s="337" customFormat="1" hidden="1" customHeight="1" spans="1:54">
      <c r="A90" s="319">
        <v>46245</v>
      </c>
      <c r="B90" s="320" t="s">
        <v>208</v>
      </c>
      <c r="C90" s="329"/>
      <c r="D90" s="320" t="s">
        <v>215</v>
      </c>
      <c r="E90" s="320" t="s">
        <v>216</v>
      </c>
      <c r="F90" s="320" t="s">
        <v>18</v>
      </c>
      <c r="G90" s="321">
        <v>144</v>
      </c>
      <c r="H90" s="319">
        <v>46265</v>
      </c>
      <c r="I90" s="212"/>
      <c r="J90" s="212"/>
      <c r="K90" s="212"/>
      <c r="L90" s="212"/>
      <c r="M90" s="323">
        <f t="shared" si="18"/>
        <v>144</v>
      </c>
      <c r="N90" s="212"/>
      <c r="O90" s="212"/>
      <c r="P90" s="212"/>
      <c r="Q90" s="212"/>
      <c r="R90" s="212"/>
      <c r="S90" s="212"/>
      <c r="T90" s="212"/>
      <c r="U90" s="212"/>
      <c r="V90" s="212"/>
      <c r="W90" s="212"/>
      <c r="X90" s="212"/>
      <c r="Y90" s="212"/>
      <c r="Z90" s="212"/>
      <c r="AA90" s="212"/>
      <c r="AB90" s="359"/>
      <c r="AC90" s="359"/>
      <c r="AD90" s="359"/>
      <c r="AE90" s="359"/>
      <c r="AF90" s="359"/>
      <c r="AG90" s="359"/>
      <c r="AH90" s="359"/>
      <c r="AI90" s="359"/>
      <c r="AJ90" s="359"/>
      <c r="AK90" s="359"/>
      <c r="AL90" s="359"/>
      <c r="AM90" s="212"/>
      <c r="AN90" s="212"/>
      <c r="AO90" s="212"/>
      <c r="AP90" s="212"/>
      <c r="AQ90" s="212"/>
      <c r="AR90" s="212"/>
      <c r="AS90" s="212"/>
      <c r="AT90" s="212"/>
      <c r="AU90" s="212"/>
      <c r="AV90" s="212"/>
      <c r="AW90" s="212"/>
      <c r="AX90" s="326">
        <v>2.1</v>
      </c>
      <c r="AY90" s="360">
        <f t="shared" si="13"/>
        <v>302.4</v>
      </c>
      <c r="AZ90" s="360">
        <f t="shared" si="15"/>
        <v>2343.6</v>
      </c>
      <c r="BA90" s="361" t="str">
        <f t="shared" si="7"/>
        <v>上海</v>
      </c>
      <c r="BB90" s="361">
        <f t="shared" si="8"/>
        <v>0</v>
      </c>
    </row>
    <row r="91" s="337" customFormat="1" hidden="1" customHeight="1" spans="1:54">
      <c r="A91" s="319">
        <v>46245</v>
      </c>
      <c r="B91" s="320" t="s">
        <v>208</v>
      </c>
      <c r="C91" s="329"/>
      <c r="D91" s="320" t="s">
        <v>217</v>
      </c>
      <c r="E91" s="320" t="s">
        <v>218</v>
      </c>
      <c r="F91" s="320" t="s">
        <v>4</v>
      </c>
      <c r="G91" s="321">
        <v>504</v>
      </c>
      <c r="H91" s="319">
        <v>46285</v>
      </c>
      <c r="I91" s="212"/>
      <c r="J91" s="212"/>
      <c r="K91" s="212"/>
      <c r="L91" s="212">
        <f t="shared" si="17"/>
        <v>504</v>
      </c>
      <c r="M91" s="212"/>
      <c r="N91" s="212"/>
      <c r="O91" s="212"/>
      <c r="P91" s="212"/>
      <c r="Q91" s="212"/>
      <c r="R91" s="212"/>
      <c r="S91" s="212"/>
      <c r="T91" s="212"/>
      <c r="U91" s="212"/>
      <c r="V91" s="212"/>
      <c r="W91" s="212"/>
      <c r="X91" s="212"/>
      <c r="Y91" s="212"/>
      <c r="Z91" s="212"/>
      <c r="AA91" s="212"/>
      <c r="AB91" s="359"/>
      <c r="AC91" s="359"/>
      <c r="AD91" s="359"/>
      <c r="AE91" s="359"/>
      <c r="AF91" s="359"/>
      <c r="AG91" s="359"/>
      <c r="AH91" s="359"/>
      <c r="AI91" s="359"/>
      <c r="AJ91" s="359"/>
      <c r="AK91" s="359"/>
      <c r="AL91" s="359"/>
      <c r="AM91" s="212"/>
      <c r="AN91" s="212"/>
      <c r="AO91" s="212"/>
      <c r="AP91" s="212"/>
      <c r="AQ91" s="212"/>
      <c r="AR91" s="212"/>
      <c r="AS91" s="212"/>
      <c r="AT91" s="212"/>
      <c r="AU91" s="212"/>
      <c r="AV91" s="212"/>
      <c r="AW91" s="212"/>
      <c r="AX91" s="326">
        <v>2.1</v>
      </c>
      <c r="AY91" s="360">
        <f t="shared" si="13"/>
        <v>1058.4</v>
      </c>
      <c r="AZ91" s="360">
        <f t="shared" si="15"/>
        <v>8202.6</v>
      </c>
      <c r="BA91" s="361" t="str">
        <f t="shared" ref="BA91:BA99" si="19">B91</f>
        <v>上海</v>
      </c>
      <c r="BB91" s="361">
        <f t="shared" si="8"/>
        <v>0</v>
      </c>
    </row>
    <row r="92" s="337" customFormat="1" hidden="1" customHeight="1" spans="1:54">
      <c r="A92" s="319">
        <v>46245</v>
      </c>
      <c r="B92" s="320" t="s">
        <v>208</v>
      </c>
      <c r="C92" s="329"/>
      <c r="D92" s="320" t="s">
        <v>217</v>
      </c>
      <c r="E92" s="320" t="s">
        <v>218</v>
      </c>
      <c r="F92" s="320" t="s">
        <v>18</v>
      </c>
      <c r="G92" s="321">
        <v>504</v>
      </c>
      <c r="H92" s="319">
        <v>46285</v>
      </c>
      <c r="I92" s="212"/>
      <c r="J92" s="212"/>
      <c r="K92" s="212"/>
      <c r="L92" s="212"/>
      <c r="M92" s="323">
        <f t="shared" si="18"/>
        <v>504</v>
      </c>
      <c r="N92" s="212"/>
      <c r="O92" s="212"/>
      <c r="P92" s="212"/>
      <c r="Q92" s="212"/>
      <c r="R92" s="212"/>
      <c r="S92" s="212"/>
      <c r="T92" s="212"/>
      <c r="U92" s="212"/>
      <c r="V92" s="212"/>
      <c r="W92" s="212"/>
      <c r="X92" s="212"/>
      <c r="Y92" s="212"/>
      <c r="Z92" s="212"/>
      <c r="AA92" s="212"/>
      <c r="AB92" s="359"/>
      <c r="AC92" s="359"/>
      <c r="AD92" s="359"/>
      <c r="AE92" s="359"/>
      <c r="AF92" s="359"/>
      <c r="AG92" s="359"/>
      <c r="AH92" s="359"/>
      <c r="AI92" s="359"/>
      <c r="AJ92" s="359"/>
      <c r="AK92" s="359"/>
      <c r="AL92" s="359"/>
      <c r="AM92" s="212"/>
      <c r="AN92" s="212"/>
      <c r="AO92" s="212"/>
      <c r="AP92" s="212"/>
      <c r="AQ92" s="212"/>
      <c r="AR92" s="212"/>
      <c r="AS92" s="212"/>
      <c r="AT92" s="212"/>
      <c r="AU92" s="212"/>
      <c r="AV92" s="212"/>
      <c r="AW92" s="212"/>
      <c r="AX92" s="326">
        <v>2.1</v>
      </c>
      <c r="AY92" s="360">
        <f t="shared" si="13"/>
        <v>1058.4</v>
      </c>
      <c r="AZ92" s="360">
        <f t="shared" si="15"/>
        <v>8202.6</v>
      </c>
      <c r="BA92" s="361" t="str">
        <f t="shared" si="19"/>
        <v>上海</v>
      </c>
      <c r="BB92" s="361">
        <f t="shared" si="8"/>
        <v>0</v>
      </c>
    </row>
    <row r="93" s="114" customFormat="1" hidden="1" customHeight="1" spans="1:54">
      <c r="A93" s="311"/>
      <c r="B93" s="302"/>
      <c r="C93" s="302"/>
      <c r="D93" s="302"/>
      <c r="E93" s="302"/>
      <c r="F93" s="302"/>
      <c r="G93" s="312"/>
      <c r="H93" s="311"/>
      <c r="I93" s="82"/>
      <c r="J93" s="82"/>
      <c r="K93" s="82"/>
      <c r="L93" s="82"/>
      <c r="M93" s="82"/>
      <c r="N93" s="82"/>
      <c r="O93" s="82"/>
      <c r="P93" s="82"/>
      <c r="Q93" s="82"/>
      <c r="R93" s="82"/>
      <c r="S93" s="82"/>
      <c r="T93" s="82"/>
      <c r="U93" s="82"/>
      <c r="V93" s="82"/>
      <c r="W93" s="82"/>
      <c r="X93" s="82"/>
      <c r="Y93" s="82"/>
      <c r="Z93" s="82"/>
      <c r="AA93" s="82"/>
      <c r="AB93" s="348"/>
      <c r="AC93" s="348"/>
      <c r="AD93" s="348"/>
      <c r="AE93" s="348"/>
      <c r="AF93" s="348"/>
      <c r="AG93" s="348"/>
      <c r="AH93" s="348"/>
      <c r="AI93" s="348"/>
      <c r="AJ93" s="348"/>
      <c r="AK93" s="348"/>
      <c r="AL93" s="348"/>
      <c r="AM93" s="82"/>
      <c r="AN93" s="82"/>
      <c r="AO93" s="82"/>
      <c r="AP93" s="82"/>
      <c r="AQ93" s="82"/>
      <c r="AR93" s="82"/>
      <c r="AS93" s="82"/>
      <c r="AT93" s="82"/>
      <c r="AU93" s="82"/>
      <c r="AV93" s="82"/>
      <c r="AW93" s="82"/>
      <c r="AX93" s="158"/>
      <c r="AY93" s="350">
        <f t="shared" si="13"/>
        <v>0</v>
      </c>
      <c r="AZ93" s="350">
        <f t="shared" si="15"/>
        <v>0</v>
      </c>
      <c r="BA93" s="116">
        <f t="shared" si="19"/>
        <v>0</v>
      </c>
      <c r="BB93" s="116">
        <f t="shared" ref="BB93:BB99" si="20">C93</f>
        <v>0</v>
      </c>
    </row>
    <row r="94" s="114" customFormat="1" hidden="1" customHeight="1" spans="1:54">
      <c r="A94" s="311"/>
      <c r="B94" s="302"/>
      <c r="C94" s="302"/>
      <c r="D94" s="302"/>
      <c r="E94" s="302"/>
      <c r="F94" s="302"/>
      <c r="G94" s="312"/>
      <c r="H94" s="311"/>
      <c r="I94" s="82"/>
      <c r="J94" s="82"/>
      <c r="K94" s="82"/>
      <c r="L94" s="82"/>
      <c r="M94" s="82"/>
      <c r="N94" s="82"/>
      <c r="O94" s="82"/>
      <c r="P94" s="82"/>
      <c r="Q94" s="82"/>
      <c r="R94" s="82"/>
      <c r="S94" s="82"/>
      <c r="T94" s="82"/>
      <c r="U94" s="82"/>
      <c r="V94" s="82"/>
      <c r="W94" s="82"/>
      <c r="X94" s="82"/>
      <c r="Y94" s="82"/>
      <c r="Z94" s="82"/>
      <c r="AA94" s="82"/>
      <c r="AB94" s="348"/>
      <c r="AC94" s="348"/>
      <c r="AD94" s="348"/>
      <c r="AE94" s="348"/>
      <c r="AF94" s="348"/>
      <c r="AG94" s="348"/>
      <c r="AH94" s="348"/>
      <c r="AI94" s="348"/>
      <c r="AJ94" s="348"/>
      <c r="AK94" s="348"/>
      <c r="AL94" s="348"/>
      <c r="AM94" s="82"/>
      <c r="AN94" s="82"/>
      <c r="AO94" s="82"/>
      <c r="AP94" s="82"/>
      <c r="AQ94" s="82"/>
      <c r="AR94" s="82"/>
      <c r="AS94" s="82"/>
      <c r="AT94" s="82"/>
      <c r="AU94" s="82"/>
      <c r="AV94" s="82"/>
      <c r="AW94" s="82"/>
      <c r="AX94" s="158"/>
      <c r="AY94" s="350">
        <f t="shared" si="13"/>
        <v>0</v>
      </c>
      <c r="AZ94" s="350">
        <f t="shared" si="15"/>
        <v>0</v>
      </c>
      <c r="BA94" s="116">
        <f t="shared" si="19"/>
        <v>0</v>
      </c>
      <c r="BB94" s="116">
        <f t="shared" si="20"/>
        <v>0</v>
      </c>
    </row>
    <row r="95" s="114" customFormat="1" hidden="1" customHeight="1" spans="1:54">
      <c r="A95" s="311"/>
      <c r="B95" s="302"/>
      <c r="C95" s="302"/>
      <c r="D95" s="302"/>
      <c r="E95" s="302"/>
      <c r="F95" s="302"/>
      <c r="G95" s="302"/>
      <c r="H95" s="311"/>
      <c r="I95" s="82"/>
      <c r="J95" s="82"/>
      <c r="K95" s="82"/>
      <c r="L95" s="82"/>
      <c r="M95" s="82"/>
      <c r="N95" s="82"/>
      <c r="O95" s="82"/>
      <c r="P95" s="82"/>
      <c r="Q95" s="82"/>
      <c r="R95" s="82"/>
      <c r="S95" s="82"/>
      <c r="T95" s="82"/>
      <c r="U95" s="82"/>
      <c r="V95" s="82"/>
      <c r="W95" s="82"/>
      <c r="X95" s="82"/>
      <c r="Y95" s="82"/>
      <c r="Z95" s="82"/>
      <c r="AA95" s="82"/>
      <c r="AB95" s="348"/>
      <c r="AC95" s="348"/>
      <c r="AD95" s="348"/>
      <c r="AE95" s="348"/>
      <c r="AF95" s="348"/>
      <c r="AG95" s="348"/>
      <c r="AH95" s="348"/>
      <c r="AI95" s="348"/>
      <c r="AJ95" s="348"/>
      <c r="AK95" s="348"/>
      <c r="AL95" s="348"/>
      <c r="AM95" s="82"/>
      <c r="AN95" s="82"/>
      <c r="AO95" s="82"/>
      <c r="AP95" s="82"/>
      <c r="AQ95" s="82"/>
      <c r="AR95" s="82"/>
      <c r="AS95" s="82"/>
      <c r="AT95" s="82"/>
      <c r="AU95" s="82"/>
      <c r="AV95" s="82"/>
      <c r="AW95" s="82"/>
      <c r="AX95" s="158"/>
      <c r="AY95" s="350">
        <f t="shared" si="13"/>
        <v>0</v>
      </c>
      <c r="AZ95" s="350">
        <f t="shared" si="15"/>
        <v>0</v>
      </c>
      <c r="BA95" s="116">
        <f t="shared" si="19"/>
        <v>0</v>
      </c>
      <c r="BB95" s="116">
        <f t="shared" si="20"/>
        <v>0</v>
      </c>
    </row>
    <row r="96" s="114" customFormat="1" hidden="1" customHeight="1" spans="1:54">
      <c r="A96" s="311"/>
      <c r="B96" s="302"/>
      <c r="C96" s="302"/>
      <c r="D96" s="302"/>
      <c r="E96" s="302"/>
      <c r="F96" s="302"/>
      <c r="G96" s="312"/>
      <c r="H96" s="311"/>
      <c r="I96" s="82"/>
      <c r="J96" s="82"/>
      <c r="K96" s="82"/>
      <c r="L96" s="82"/>
      <c r="M96" s="82"/>
      <c r="N96" s="82"/>
      <c r="O96" s="82"/>
      <c r="P96" s="82"/>
      <c r="Q96" s="82"/>
      <c r="R96" s="82"/>
      <c r="S96" s="82"/>
      <c r="T96" s="82"/>
      <c r="U96" s="82"/>
      <c r="V96" s="82"/>
      <c r="W96" s="82"/>
      <c r="X96" s="82"/>
      <c r="Y96" s="82"/>
      <c r="Z96" s="82"/>
      <c r="AA96" s="82"/>
      <c r="AB96" s="348"/>
      <c r="AC96" s="348"/>
      <c r="AD96" s="348"/>
      <c r="AE96" s="348"/>
      <c r="AF96" s="348"/>
      <c r="AG96" s="348"/>
      <c r="AH96" s="348"/>
      <c r="AI96" s="348"/>
      <c r="AJ96" s="348"/>
      <c r="AK96" s="348"/>
      <c r="AL96" s="348"/>
      <c r="AM96" s="82"/>
      <c r="AN96" s="82"/>
      <c r="AO96" s="82"/>
      <c r="AP96" s="82"/>
      <c r="AQ96" s="82"/>
      <c r="AR96" s="82"/>
      <c r="AS96" s="82"/>
      <c r="AT96" s="82"/>
      <c r="AU96" s="82"/>
      <c r="AV96" s="82"/>
      <c r="AW96" s="82"/>
      <c r="AX96" s="158"/>
      <c r="AY96" s="350">
        <f t="shared" si="13"/>
        <v>0</v>
      </c>
      <c r="AZ96" s="350">
        <f t="shared" si="15"/>
        <v>0</v>
      </c>
      <c r="BA96" s="116">
        <f t="shared" si="19"/>
        <v>0</v>
      </c>
      <c r="BB96" s="116">
        <f t="shared" si="20"/>
        <v>0</v>
      </c>
    </row>
    <row r="97" s="114" customFormat="1" hidden="1" customHeight="1" spans="1:54">
      <c r="A97" s="311"/>
      <c r="B97" s="302"/>
      <c r="C97" s="302"/>
      <c r="D97" s="302"/>
      <c r="E97" s="302"/>
      <c r="F97" s="302"/>
      <c r="G97" s="312"/>
      <c r="H97" s="311"/>
      <c r="I97" s="82"/>
      <c r="J97" s="82"/>
      <c r="K97" s="82"/>
      <c r="L97" s="82"/>
      <c r="M97" s="82"/>
      <c r="N97" s="82"/>
      <c r="O97" s="82"/>
      <c r="P97" s="82"/>
      <c r="Q97" s="82"/>
      <c r="R97" s="82"/>
      <c r="S97" s="82"/>
      <c r="T97" s="82"/>
      <c r="U97" s="82"/>
      <c r="V97" s="82"/>
      <c r="W97" s="82"/>
      <c r="X97" s="82"/>
      <c r="Y97" s="82"/>
      <c r="Z97" s="82"/>
      <c r="AA97" s="82"/>
      <c r="AB97" s="348"/>
      <c r="AC97" s="348"/>
      <c r="AD97" s="348"/>
      <c r="AE97" s="348"/>
      <c r="AF97" s="348"/>
      <c r="AG97" s="348"/>
      <c r="AH97" s="348"/>
      <c r="AI97" s="348"/>
      <c r="AJ97" s="348"/>
      <c r="AK97" s="348"/>
      <c r="AL97" s="348"/>
      <c r="AM97" s="82"/>
      <c r="AN97" s="82"/>
      <c r="AO97" s="82"/>
      <c r="AP97" s="82"/>
      <c r="AQ97" s="82"/>
      <c r="AR97" s="82"/>
      <c r="AS97" s="82"/>
      <c r="AT97" s="82"/>
      <c r="AU97" s="82"/>
      <c r="AV97" s="82"/>
      <c r="AW97" s="82"/>
      <c r="AX97" s="158"/>
      <c r="AY97" s="350">
        <f t="shared" si="13"/>
        <v>0</v>
      </c>
      <c r="AZ97" s="350">
        <f t="shared" si="15"/>
        <v>0</v>
      </c>
      <c r="BA97" s="116">
        <f t="shared" si="19"/>
        <v>0</v>
      </c>
      <c r="BB97" s="116">
        <f t="shared" si="20"/>
        <v>0</v>
      </c>
    </row>
    <row r="98" s="114" customFormat="1" hidden="1" customHeight="1" spans="1:54">
      <c r="A98" s="311"/>
      <c r="B98" s="302"/>
      <c r="C98" s="302"/>
      <c r="D98" s="302"/>
      <c r="E98" s="302"/>
      <c r="F98" s="302"/>
      <c r="G98" s="312"/>
      <c r="H98" s="311"/>
      <c r="I98" s="82"/>
      <c r="J98" s="82"/>
      <c r="K98" s="82"/>
      <c r="L98" s="82"/>
      <c r="M98" s="82"/>
      <c r="N98" s="82"/>
      <c r="O98" s="82"/>
      <c r="P98" s="82"/>
      <c r="Q98" s="82"/>
      <c r="R98" s="82"/>
      <c r="S98" s="82"/>
      <c r="T98" s="82"/>
      <c r="U98" s="82"/>
      <c r="V98" s="82"/>
      <c r="W98" s="82"/>
      <c r="X98" s="82"/>
      <c r="Y98" s="82"/>
      <c r="Z98" s="82"/>
      <c r="AA98" s="82"/>
      <c r="AB98" s="348"/>
      <c r="AC98" s="348"/>
      <c r="AD98" s="348"/>
      <c r="AE98" s="348"/>
      <c r="AF98" s="348"/>
      <c r="AG98" s="348"/>
      <c r="AH98" s="348"/>
      <c r="AI98" s="348"/>
      <c r="AJ98" s="348"/>
      <c r="AK98" s="348"/>
      <c r="AL98" s="348"/>
      <c r="AM98" s="82"/>
      <c r="AN98" s="82"/>
      <c r="AO98" s="82"/>
      <c r="AP98" s="82"/>
      <c r="AQ98" s="82"/>
      <c r="AR98" s="82"/>
      <c r="AS98" s="82"/>
      <c r="AT98" s="82"/>
      <c r="AU98" s="82"/>
      <c r="AV98" s="82"/>
      <c r="AW98" s="82"/>
      <c r="AX98" s="158"/>
      <c r="AY98" s="350">
        <f t="shared" si="13"/>
        <v>0</v>
      </c>
      <c r="AZ98" s="350">
        <f t="shared" si="15"/>
        <v>0</v>
      </c>
      <c r="BA98" s="116">
        <f t="shared" si="19"/>
        <v>0</v>
      </c>
      <c r="BB98" s="116">
        <f t="shared" si="20"/>
        <v>0</v>
      </c>
    </row>
    <row r="99" s="114" customFormat="1" hidden="1" customHeight="1" spans="1:54">
      <c r="A99" s="311"/>
      <c r="B99" s="302"/>
      <c r="C99" s="302"/>
      <c r="D99" s="302"/>
      <c r="E99" s="302"/>
      <c r="F99" s="302"/>
      <c r="G99" s="312"/>
      <c r="H99" s="311"/>
      <c r="I99" s="82"/>
      <c r="J99" s="82"/>
      <c r="K99" s="82"/>
      <c r="L99" s="82"/>
      <c r="M99" s="82"/>
      <c r="N99" s="82"/>
      <c r="O99" s="82"/>
      <c r="P99" s="82"/>
      <c r="Q99" s="82"/>
      <c r="R99" s="82"/>
      <c r="S99" s="82"/>
      <c r="T99" s="82"/>
      <c r="U99" s="82"/>
      <c r="V99" s="82"/>
      <c r="W99" s="82"/>
      <c r="X99" s="82"/>
      <c r="Y99" s="82"/>
      <c r="Z99" s="82"/>
      <c r="AA99" s="82"/>
      <c r="AB99" s="348"/>
      <c r="AC99" s="348"/>
      <c r="AD99" s="348"/>
      <c r="AE99" s="348"/>
      <c r="AF99" s="348"/>
      <c r="AG99" s="348"/>
      <c r="AH99" s="348"/>
      <c r="AI99" s="348"/>
      <c r="AJ99" s="348"/>
      <c r="AK99" s="348"/>
      <c r="AL99" s="348"/>
      <c r="AM99" s="82"/>
      <c r="AN99" s="82"/>
      <c r="AO99" s="82"/>
      <c r="AP99" s="82"/>
      <c r="AQ99" s="82"/>
      <c r="AR99" s="82"/>
      <c r="AS99" s="82"/>
      <c r="AT99" s="82"/>
      <c r="AU99" s="82"/>
      <c r="AV99" s="82"/>
      <c r="AW99" s="82"/>
      <c r="AX99" s="158"/>
      <c r="AY99" s="350">
        <f t="shared" si="13"/>
        <v>0</v>
      </c>
      <c r="AZ99" s="350">
        <f t="shared" si="15"/>
        <v>0</v>
      </c>
      <c r="BA99" s="116">
        <f t="shared" si="19"/>
        <v>0</v>
      </c>
      <c r="BB99" s="116">
        <f t="shared" si="20"/>
        <v>0</v>
      </c>
    </row>
    <row r="100" s="114" customFormat="1" hidden="1" customHeight="1" spans="1:54">
      <c r="A100" s="362"/>
      <c r="B100" s="185"/>
      <c r="C100" s="362"/>
      <c r="D100" s="185"/>
      <c r="E100" s="182"/>
      <c r="F100" s="182"/>
      <c r="G100" s="363">
        <f>SUM(G3:G99)</f>
        <v>140258</v>
      </c>
      <c r="H100" s="185">
        <f>G100-AX100</f>
        <v>0</v>
      </c>
      <c r="I100" s="185">
        <f t="shared" ref="H100:N100" si="21">SUM(I3:I99)</f>
        <v>13524</v>
      </c>
      <c r="J100" s="185">
        <f t="shared" si="21"/>
        <v>9878</v>
      </c>
      <c r="K100" s="185">
        <f t="shared" si="21"/>
        <v>3504</v>
      </c>
      <c r="L100" s="185">
        <f t="shared" si="21"/>
        <v>1320</v>
      </c>
      <c r="M100" s="185">
        <f t="shared" si="21"/>
        <v>48312</v>
      </c>
      <c r="N100" s="185">
        <f t="shared" si="21"/>
        <v>2964</v>
      </c>
      <c r="O100" s="185">
        <f t="shared" ref="O100:AW100" si="22">SUM(O3:O99)</f>
        <v>180</v>
      </c>
      <c r="P100" s="185">
        <f t="shared" si="22"/>
        <v>0</v>
      </c>
      <c r="Q100" s="185">
        <f t="shared" si="22"/>
        <v>0</v>
      </c>
      <c r="R100" s="185">
        <f t="shared" si="22"/>
        <v>0</v>
      </c>
      <c r="S100" s="185">
        <f t="shared" si="22"/>
        <v>0</v>
      </c>
      <c r="T100" s="185">
        <f t="shared" si="22"/>
        <v>0</v>
      </c>
      <c r="U100" s="185">
        <f t="shared" si="22"/>
        <v>0</v>
      </c>
      <c r="V100" s="185">
        <f t="shared" si="22"/>
        <v>8304</v>
      </c>
      <c r="W100" s="185">
        <f t="shared" si="22"/>
        <v>0</v>
      </c>
      <c r="X100" s="185">
        <f t="shared" si="22"/>
        <v>8304</v>
      </c>
      <c r="Y100" s="185">
        <f t="shared" si="22"/>
        <v>4676</v>
      </c>
      <c r="Z100" s="185">
        <f t="shared" si="22"/>
        <v>4376</v>
      </c>
      <c r="AA100" s="185">
        <f t="shared" si="22"/>
        <v>4476</v>
      </c>
      <c r="AB100" s="185">
        <f t="shared" si="22"/>
        <v>1360</v>
      </c>
      <c r="AC100" s="185">
        <f t="shared" si="22"/>
        <v>1360</v>
      </c>
      <c r="AD100" s="185">
        <f t="shared" si="22"/>
        <v>1360</v>
      </c>
      <c r="AE100" s="185">
        <f t="shared" si="22"/>
        <v>1360</v>
      </c>
      <c r="AF100" s="185">
        <f t="shared" si="22"/>
        <v>1433</v>
      </c>
      <c r="AG100" s="185">
        <f t="shared" si="22"/>
        <v>1433</v>
      </c>
      <c r="AH100" s="185">
        <f t="shared" si="22"/>
        <v>1434</v>
      </c>
      <c r="AI100" s="185">
        <f t="shared" si="22"/>
        <v>1434</v>
      </c>
      <c r="AJ100" s="185">
        <f t="shared" si="22"/>
        <v>1434</v>
      </c>
      <c r="AK100" s="185">
        <f t="shared" si="22"/>
        <v>1434</v>
      </c>
      <c r="AL100" s="185">
        <f t="shared" si="22"/>
        <v>782</v>
      </c>
      <c r="AM100" s="185">
        <f t="shared" si="22"/>
        <v>4784</v>
      </c>
      <c r="AN100" s="185">
        <f t="shared" si="22"/>
        <v>4784</v>
      </c>
      <c r="AO100" s="185">
        <f t="shared" si="22"/>
        <v>1008</v>
      </c>
      <c r="AP100" s="185">
        <f t="shared" si="22"/>
        <v>1008</v>
      </c>
      <c r="AQ100" s="185">
        <f t="shared" si="22"/>
        <v>1008</v>
      </c>
      <c r="AR100" s="185">
        <f t="shared" si="22"/>
        <v>1008</v>
      </c>
      <c r="AS100" s="185">
        <f t="shared" si="22"/>
        <v>1008</v>
      </c>
      <c r="AT100" s="185">
        <f t="shared" si="22"/>
        <v>1008</v>
      </c>
      <c r="AU100" s="185">
        <f t="shared" si="22"/>
        <v>0</v>
      </c>
      <c r="AV100" s="185">
        <f t="shared" si="22"/>
        <v>0</v>
      </c>
      <c r="AW100" s="185">
        <f t="shared" si="22"/>
        <v>0</v>
      </c>
      <c r="AX100" s="185">
        <f>SUM(I100:AW100)</f>
        <v>140258</v>
      </c>
      <c r="AY100" s="364">
        <f>SUM(AY1:AY99)</f>
        <v>543134.96</v>
      </c>
      <c r="AZ100" s="364">
        <f>SUM(AZ1:AZ99)</f>
        <v>4209295.94</v>
      </c>
      <c r="BA100" s="116"/>
      <c r="BB100" s="116"/>
    </row>
    <row r="101" s="116" customFormat="1" hidden="1" customHeight="1" spans="1:54">
      <c r="A101" s="339"/>
      <c r="B101" s="116"/>
      <c r="C101" s="115"/>
      <c r="D101" s="116"/>
      <c r="E101" s="117"/>
      <c r="F101" s="117"/>
      <c r="G101" s="365">
        <f>G100-正在做货!I40-已出货!I68</f>
        <v>0</v>
      </c>
      <c r="H101" s="115"/>
      <c r="I101" s="117"/>
      <c r="J101" s="117"/>
      <c r="K101" s="116"/>
      <c r="L101" s="116"/>
      <c r="M101" s="116"/>
      <c r="N101" s="116"/>
      <c r="O101" s="116"/>
      <c r="P101" s="116"/>
      <c r="Q101" s="116"/>
      <c r="R101" s="116"/>
      <c r="S101" s="116"/>
      <c r="T101" s="116"/>
      <c r="U101" s="116"/>
      <c r="V101" s="116"/>
      <c r="W101" s="116"/>
      <c r="X101" s="116"/>
      <c r="Y101" s="116"/>
      <c r="Z101" s="116"/>
      <c r="AA101" s="116"/>
      <c r="AB101" s="366"/>
      <c r="AC101" s="366"/>
      <c r="AD101" s="366"/>
      <c r="AE101" s="366"/>
      <c r="AF101" s="366"/>
      <c r="AG101" s="366"/>
      <c r="AH101" s="366"/>
      <c r="AI101" s="366"/>
      <c r="AJ101" s="366"/>
      <c r="AK101" s="366"/>
      <c r="AL101" s="366"/>
      <c r="AM101" s="116"/>
      <c r="AN101" s="116"/>
      <c r="AO101" s="116"/>
      <c r="AP101" s="116"/>
      <c r="AQ101" s="116"/>
      <c r="AR101" s="116"/>
      <c r="AS101" s="116"/>
      <c r="AT101" s="116"/>
      <c r="AU101" s="116"/>
      <c r="AV101" s="116"/>
      <c r="AW101" s="116"/>
      <c r="AX101" s="366"/>
      <c r="AY101" s="367"/>
      <c r="AZ101" s="367"/>
    </row>
    <row r="102" s="338" customFormat="1" customHeight="1" spans="1:54">
      <c r="A102" s="122"/>
      <c r="B102" s="368"/>
      <c r="C102" s="368"/>
      <c r="D102" s="368"/>
      <c r="E102" s="338"/>
      <c r="F102" s="338"/>
      <c r="G102" s="338"/>
      <c r="H102" s="369"/>
      <c r="I102" s="116"/>
      <c r="J102" s="116"/>
      <c r="K102" s="116"/>
      <c r="L102" s="116"/>
      <c r="M102" s="116"/>
      <c r="N102" s="116"/>
      <c r="O102" s="116"/>
      <c r="P102" s="116"/>
      <c r="Q102" s="116"/>
      <c r="R102" s="116"/>
      <c r="S102" s="116"/>
      <c r="T102" s="116"/>
      <c r="U102" s="116"/>
      <c r="V102" s="116"/>
      <c r="W102" s="116"/>
      <c r="X102" s="116"/>
      <c r="Y102" s="116"/>
      <c r="Z102" s="116"/>
      <c r="AA102" s="116"/>
      <c r="AB102" s="366"/>
      <c r="AC102" s="366"/>
      <c r="AD102" s="366"/>
      <c r="AE102" s="366"/>
      <c r="AF102" s="366"/>
      <c r="AG102" s="366"/>
      <c r="AH102" s="366"/>
      <c r="AI102" s="366"/>
      <c r="AJ102" s="366"/>
      <c r="AK102" s="366"/>
      <c r="AL102" s="366"/>
      <c r="AM102" s="116"/>
      <c r="AN102" s="116"/>
      <c r="AO102" s="116"/>
      <c r="AP102" s="116"/>
      <c r="AQ102" s="116"/>
      <c r="AR102" s="116"/>
      <c r="AS102" s="116"/>
      <c r="AT102" s="116"/>
      <c r="AU102" s="116"/>
      <c r="AV102" s="116"/>
      <c r="AW102" s="116"/>
      <c r="AX102" s="366"/>
      <c r="AY102" s="116"/>
      <c r="AZ102" s="116"/>
      <c r="BA102" s="368"/>
      <c r="BB102" s="368"/>
    </row>
    <row r="103" s="338" customFormat="1" customHeight="1" spans="1:54">
      <c r="A103" s="370" t="s">
        <v>219</v>
      </c>
      <c r="B103" s="371">
        <v>1345343.89</v>
      </c>
      <c r="C103" s="368"/>
      <c r="D103" s="368"/>
      <c r="H103" s="369"/>
      <c r="I103" s="116"/>
      <c r="J103" s="116"/>
      <c r="K103" s="116"/>
      <c r="L103" s="116"/>
      <c r="M103" s="116"/>
      <c r="N103" s="116"/>
      <c r="O103" s="116"/>
      <c r="P103" s="116"/>
      <c r="Q103" s="116"/>
      <c r="R103" s="116"/>
      <c r="S103" s="116"/>
      <c r="T103" s="116"/>
      <c r="U103" s="116"/>
      <c r="V103" s="116"/>
      <c r="W103" s="116"/>
      <c r="X103" s="116"/>
      <c r="Y103" s="116"/>
      <c r="Z103" s="116"/>
      <c r="AA103" s="116"/>
      <c r="AB103" s="366"/>
      <c r="AC103" s="366"/>
      <c r="AD103" s="366"/>
      <c r="AE103" s="366"/>
      <c r="AF103" s="366"/>
      <c r="AG103" s="366"/>
      <c r="AH103" s="366"/>
      <c r="AI103" s="366"/>
      <c r="AJ103" s="366"/>
      <c r="AK103" s="366"/>
      <c r="AL103" s="366"/>
      <c r="AM103" s="116"/>
      <c r="AN103" s="116"/>
      <c r="AO103" s="116"/>
      <c r="AP103" s="116"/>
      <c r="AQ103" s="116"/>
      <c r="AR103" s="116"/>
      <c r="AS103" s="116"/>
      <c r="AT103" s="116"/>
      <c r="AU103" s="116"/>
      <c r="AV103" s="116"/>
      <c r="AW103" s="116"/>
      <c r="AX103" s="366"/>
      <c r="AY103" s="116"/>
      <c r="AZ103" s="116"/>
      <c r="BA103" s="368"/>
      <c r="BB103" s="368"/>
    </row>
    <row r="104" s="338" customFormat="1" customHeight="1" spans="1:54">
      <c r="A104" s="372" t="s">
        <v>220</v>
      </c>
      <c r="B104" s="371">
        <f>AZ100</f>
        <v>4209295.94</v>
      </c>
      <c r="C104" s="368"/>
      <c r="D104" s="368"/>
      <c r="H104" s="369"/>
      <c r="I104" s="116"/>
      <c r="J104" s="116"/>
      <c r="K104" s="116"/>
      <c r="L104" s="116"/>
      <c r="M104" s="116"/>
      <c r="N104" s="116"/>
      <c r="O104" s="116"/>
      <c r="P104" s="116"/>
      <c r="Q104" s="116"/>
      <c r="R104" s="116"/>
      <c r="S104" s="116"/>
      <c r="T104" s="116"/>
      <c r="U104" s="116"/>
      <c r="V104" s="116"/>
      <c r="W104" s="116"/>
      <c r="X104" s="116"/>
      <c r="Y104" s="116"/>
      <c r="Z104" s="116"/>
      <c r="AA104" s="116"/>
      <c r="AB104" s="366"/>
      <c r="AC104" s="366"/>
      <c r="AD104" s="366"/>
      <c r="AE104" s="366"/>
      <c r="AF104" s="366"/>
      <c r="AG104" s="366"/>
      <c r="AH104" s="366"/>
      <c r="AI104" s="366"/>
      <c r="AJ104" s="366"/>
      <c r="AK104" s="366"/>
      <c r="AL104" s="366"/>
      <c r="AM104" s="116"/>
      <c r="AN104" s="116"/>
      <c r="AO104" s="116"/>
      <c r="AP104" s="116"/>
      <c r="AQ104" s="116"/>
      <c r="AR104" s="116"/>
      <c r="AS104" s="116"/>
      <c r="AT104" s="116"/>
      <c r="AU104" s="116"/>
      <c r="AV104" s="116"/>
      <c r="AW104" s="116"/>
      <c r="AX104" s="366"/>
      <c r="AY104" s="116"/>
      <c r="AZ104" s="116"/>
      <c r="BA104" s="368"/>
      <c r="BB104" s="368"/>
    </row>
    <row r="105" s="338" customFormat="1" customHeight="1" spans="1:54">
      <c r="A105" s="372" t="s">
        <v>221</v>
      </c>
      <c r="B105" s="371">
        <f>正在做货!AE40</f>
        <v>438973.95</v>
      </c>
      <c r="C105" s="368"/>
      <c r="D105" s="368"/>
      <c r="H105" s="369"/>
      <c r="I105" s="116"/>
      <c r="J105" s="116"/>
      <c r="K105" s="116"/>
      <c r="L105" s="116"/>
      <c r="M105" s="116"/>
      <c r="N105" s="116"/>
      <c r="O105" s="116"/>
      <c r="P105" s="116"/>
      <c r="Q105" s="116"/>
      <c r="R105" s="116"/>
      <c r="S105" s="116"/>
      <c r="T105" s="116"/>
      <c r="U105" s="116"/>
      <c r="V105" s="116"/>
      <c r="W105" s="116"/>
      <c r="X105" s="116"/>
      <c r="Y105" s="116"/>
      <c r="Z105" s="116"/>
      <c r="AA105" s="116"/>
      <c r="AB105" s="366"/>
      <c r="AC105" s="366"/>
      <c r="AD105" s="366"/>
      <c r="AE105" s="366"/>
      <c r="AF105" s="366"/>
      <c r="AG105" s="366"/>
      <c r="AH105" s="366"/>
      <c r="AI105" s="366"/>
      <c r="AJ105" s="366"/>
      <c r="AK105" s="366"/>
      <c r="AL105" s="366"/>
      <c r="AM105" s="116"/>
      <c r="AN105" s="116"/>
      <c r="AO105" s="116"/>
      <c r="AP105" s="116"/>
      <c r="AQ105" s="116"/>
      <c r="AR105" s="116"/>
      <c r="AS105" s="116"/>
      <c r="AT105" s="116"/>
      <c r="AU105" s="116"/>
      <c r="AV105" s="116"/>
      <c r="AW105" s="116"/>
      <c r="AX105" s="366"/>
      <c r="AY105" s="116"/>
      <c r="AZ105" s="116"/>
      <c r="BA105" s="368"/>
      <c r="BB105" s="368"/>
    </row>
    <row r="106" s="338" customFormat="1" customHeight="1" spans="1:54">
      <c r="A106" s="372" t="s">
        <v>222</v>
      </c>
      <c r="B106" s="371">
        <f>已出货!AE68</f>
        <v>3770321.99</v>
      </c>
      <c r="C106" s="368"/>
      <c r="D106" s="368"/>
      <c r="H106" s="369"/>
      <c r="I106" s="116"/>
      <c r="J106" s="116"/>
      <c r="K106" s="116"/>
      <c r="L106" s="116"/>
      <c r="M106" s="116"/>
      <c r="N106" s="116"/>
      <c r="O106" s="116"/>
      <c r="P106" s="116"/>
      <c r="Q106" s="116"/>
      <c r="R106" s="116"/>
      <c r="S106" s="116"/>
      <c r="T106" s="116"/>
      <c r="U106" s="116"/>
      <c r="V106" s="116"/>
      <c r="W106" s="116"/>
      <c r="X106" s="116"/>
      <c r="Y106" s="116"/>
      <c r="Z106" s="116"/>
      <c r="AA106" s="116"/>
      <c r="AB106" s="366"/>
      <c r="AC106" s="366"/>
      <c r="AD106" s="366"/>
      <c r="AE106" s="366"/>
      <c r="AF106" s="366"/>
      <c r="AG106" s="366"/>
      <c r="AH106" s="366"/>
      <c r="AI106" s="366"/>
      <c r="AJ106" s="366"/>
      <c r="AK106" s="366"/>
      <c r="AL106" s="366"/>
      <c r="AM106" s="116"/>
      <c r="AN106" s="116"/>
      <c r="AO106" s="116"/>
      <c r="AP106" s="116"/>
      <c r="AQ106" s="116"/>
      <c r="AR106" s="116"/>
      <c r="AS106" s="116"/>
      <c r="AT106" s="116"/>
      <c r="AU106" s="116"/>
      <c r="AV106" s="116"/>
      <c r="AW106" s="116"/>
      <c r="AX106" s="366"/>
      <c r="AY106" s="116"/>
      <c r="AZ106" s="116"/>
      <c r="BA106" s="368"/>
      <c r="BB106" s="368"/>
    </row>
    <row r="107" s="338" customFormat="1" customHeight="1" spans="1:54">
      <c r="A107" s="372"/>
      <c r="B107" s="371">
        <f>B104-B105-B106</f>
        <v>0</v>
      </c>
      <c r="C107" s="368"/>
      <c r="D107" s="368"/>
      <c r="E107" s="338"/>
      <c r="F107" s="338"/>
      <c r="G107" s="338"/>
      <c r="H107" s="369"/>
      <c r="I107" s="116"/>
      <c r="J107" s="116"/>
      <c r="K107" s="116"/>
      <c r="L107" s="116"/>
      <c r="M107" s="116"/>
      <c r="N107" s="116"/>
      <c r="O107" s="116"/>
      <c r="P107" s="116"/>
      <c r="Q107" s="116"/>
      <c r="R107" s="116"/>
      <c r="S107" s="116"/>
      <c r="T107" s="116"/>
      <c r="U107" s="116"/>
      <c r="V107" s="116"/>
      <c r="W107" s="116"/>
      <c r="X107" s="116"/>
      <c r="Y107" s="116"/>
      <c r="Z107" s="116"/>
      <c r="AA107" s="116"/>
      <c r="AB107" s="366"/>
      <c r="AC107" s="366"/>
      <c r="AD107" s="366"/>
      <c r="AE107" s="366"/>
      <c r="AF107" s="366"/>
      <c r="AG107" s="366"/>
      <c r="AH107" s="366"/>
      <c r="AI107" s="366"/>
      <c r="AJ107" s="366"/>
      <c r="AK107" s="366"/>
      <c r="AL107" s="366"/>
      <c r="AM107" s="116"/>
      <c r="AN107" s="116"/>
      <c r="AO107" s="116"/>
      <c r="AP107" s="116"/>
      <c r="AQ107" s="116"/>
      <c r="AR107" s="116"/>
      <c r="AS107" s="116"/>
      <c r="AT107" s="116"/>
      <c r="AU107" s="116"/>
      <c r="AV107" s="116"/>
      <c r="AW107" s="116"/>
      <c r="AX107" s="366"/>
      <c r="AY107" s="116"/>
      <c r="AZ107" s="116"/>
      <c r="BA107" s="368"/>
      <c r="BB107" s="368"/>
    </row>
    <row r="108" s="338" customFormat="1" customHeight="1" spans="1:54">
      <c r="A108" s="122"/>
      <c r="B108" s="368"/>
      <c r="C108" s="368"/>
      <c r="D108" s="368"/>
      <c r="H108" s="369"/>
      <c r="I108" s="116"/>
      <c r="J108" s="116"/>
      <c r="K108" s="116"/>
      <c r="L108" s="116"/>
      <c r="M108" s="116"/>
      <c r="N108" s="116"/>
      <c r="O108" s="116"/>
      <c r="P108" s="116"/>
      <c r="Q108" s="116"/>
      <c r="R108" s="116"/>
      <c r="S108" s="116"/>
      <c r="T108" s="116"/>
      <c r="U108" s="116"/>
      <c r="V108" s="116"/>
      <c r="W108" s="116"/>
      <c r="X108" s="116"/>
      <c r="Y108" s="116"/>
      <c r="Z108" s="116"/>
      <c r="AA108" s="116"/>
      <c r="AB108" s="366"/>
      <c r="AC108" s="366"/>
      <c r="AD108" s="366"/>
      <c r="AE108" s="366"/>
      <c r="AF108" s="366"/>
      <c r="AG108" s="366"/>
      <c r="AH108" s="366"/>
      <c r="AI108" s="366"/>
      <c r="AJ108" s="366"/>
      <c r="AK108" s="366"/>
      <c r="AL108" s="366"/>
      <c r="AM108" s="116"/>
      <c r="AN108" s="116"/>
      <c r="AO108" s="116"/>
      <c r="AP108" s="116"/>
      <c r="AQ108" s="116"/>
      <c r="AR108" s="116"/>
      <c r="AS108" s="116"/>
      <c r="AT108" s="116"/>
      <c r="AU108" s="116"/>
      <c r="AV108" s="116"/>
      <c r="AW108" s="116"/>
      <c r="AX108" s="366"/>
      <c r="AY108" s="116"/>
      <c r="AZ108" s="116"/>
      <c r="BA108" s="368"/>
      <c r="BB108" s="368"/>
    </row>
    <row r="109" s="338" customFormat="1" customHeight="1" spans="1:54">
      <c r="A109" s="373" t="s">
        <v>223</v>
      </c>
      <c r="C109" s="374"/>
      <c r="H109" s="369"/>
      <c r="I109" s="116"/>
      <c r="J109" s="116"/>
      <c r="K109" s="116"/>
      <c r="L109" s="116"/>
      <c r="M109" s="116"/>
      <c r="N109" s="116"/>
      <c r="O109" s="116"/>
      <c r="P109" s="116"/>
      <c r="Q109" s="116"/>
      <c r="R109" s="116"/>
      <c r="S109" s="116"/>
      <c r="T109" s="116"/>
      <c r="U109" s="116"/>
      <c r="V109" s="116"/>
      <c r="W109" s="116"/>
      <c r="X109" s="116"/>
      <c r="Y109" s="116"/>
      <c r="Z109" s="116"/>
      <c r="AA109" s="116"/>
      <c r="AB109" s="366"/>
      <c r="AC109" s="366"/>
      <c r="AD109" s="366"/>
      <c r="AE109" s="366"/>
      <c r="AF109" s="366"/>
      <c r="AG109" s="366"/>
      <c r="AH109" s="366"/>
      <c r="AI109" s="366"/>
      <c r="AJ109" s="366"/>
      <c r="AK109" s="366"/>
      <c r="AL109" s="366"/>
      <c r="AM109" s="116"/>
      <c r="AN109" s="116"/>
      <c r="AO109" s="116"/>
      <c r="AP109" s="116"/>
      <c r="AQ109" s="116"/>
      <c r="AR109" s="116"/>
      <c r="AS109" s="116"/>
      <c r="AT109" s="116"/>
      <c r="AU109" s="116"/>
      <c r="AV109" s="116"/>
      <c r="AW109" s="116"/>
      <c r="AX109" s="366"/>
      <c r="AY109" s="375"/>
      <c r="AZ109" s="375"/>
    </row>
    <row r="110" s="338" customFormat="1" customHeight="1" spans="1:54">
      <c r="A110" s="376" t="s">
        <v>224</v>
      </c>
      <c r="B110" s="376" t="s">
        <v>225</v>
      </c>
      <c r="C110" s="374"/>
      <c r="I110" s="116"/>
      <c r="J110" s="116"/>
      <c r="K110" s="116"/>
      <c r="L110" s="116"/>
      <c r="M110" s="116"/>
      <c r="N110" s="116"/>
      <c r="O110" s="116"/>
      <c r="P110" s="116"/>
      <c r="Q110" s="116"/>
      <c r="R110" s="116"/>
      <c r="S110" s="116"/>
      <c r="T110" s="116"/>
      <c r="U110" s="116"/>
      <c r="V110" s="116"/>
      <c r="W110" s="116"/>
      <c r="X110" s="116"/>
      <c r="Y110" s="116"/>
      <c r="Z110" s="116"/>
      <c r="AA110" s="116"/>
      <c r="AB110" s="366"/>
      <c r="AC110" s="366"/>
      <c r="AD110" s="366"/>
      <c r="AE110" s="366"/>
      <c r="AF110" s="366"/>
      <c r="AG110" s="366"/>
      <c r="AH110" s="366"/>
      <c r="AI110" s="366"/>
      <c r="AJ110" s="366"/>
      <c r="AK110" s="366"/>
      <c r="AL110" s="366"/>
      <c r="AM110" s="116"/>
      <c r="AN110" s="116"/>
      <c r="AO110" s="116"/>
      <c r="AP110" s="116"/>
      <c r="AQ110" s="116"/>
      <c r="AR110" s="116"/>
      <c r="AS110" s="116"/>
      <c r="AT110" s="116"/>
      <c r="AU110" s="116"/>
      <c r="AV110" s="116"/>
      <c r="AW110" s="116"/>
      <c r="AX110" s="366"/>
      <c r="AY110" s="375"/>
      <c r="AZ110" s="375"/>
    </row>
    <row r="111" customHeight="1" spans="1:54">
      <c r="A111" s="377" t="s">
        <v>226</v>
      </c>
      <c r="B111" s="377" t="s">
        <v>227</v>
      </c>
      <c r="C111" s="374"/>
      <c r="I111" s="116"/>
    </row>
    <row r="112" customHeight="1" spans="1:54">
      <c r="A112" s="378" t="s">
        <v>228</v>
      </c>
      <c r="B112" s="378" t="s">
        <v>229</v>
      </c>
      <c r="C112" s="374"/>
      <c r="I112" s="116"/>
    </row>
    <row r="113" customHeight="1" spans="1:9">
      <c r="A113" s="379" t="s">
        <v>230</v>
      </c>
      <c r="B113" s="379" t="s">
        <v>231</v>
      </c>
      <c r="C113" s="374"/>
      <c r="I113" s="116"/>
    </row>
    <row r="114" customHeight="1" spans="1:9">
      <c r="A114" s="380" t="s">
        <v>232</v>
      </c>
      <c r="B114" s="380" t="s">
        <v>233</v>
      </c>
      <c r="C114" s="374"/>
      <c r="I114" s="116"/>
    </row>
    <row r="115" customHeight="1" spans="1:9">
      <c r="A115" s="381" t="s">
        <v>234</v>
      </c>
      <c r="B115" s="381" t="s">
        <v>235</v>
      </c>
      <c r="C115" s="374"/>
      <c r="I115" s="116"/>
    </row>
    <row r="116" customHeight="1" spans="1:9">
      <c r="C116" s="374"/>
      <c r="H116" s="116"/>
      <c r="I116" s="116"/>
    </row>
  </sheetData>
  <sheetProtection formatCells="0" formatColumns="0" formatRows="0" insertRows="0" insertColumns="0" insertHyperlinks="0" deleteColumns="0" deleteRows="0" sort="0" autoFilter="0" pivotTables="0"/>
  <protectedRanges>
    <protectedRange sqref="$A1:$XFD1048576" name="Range1"/>
  </protectedRanges>
  <autoFilter xmlns:etc="http://www.wps.cn/officeDocument/2017/etCustomData" ref="A2:BB107" etc:filterBottomFollowUsedRange="0">
    <filterColumn colId="5">
      <customFilters>
        <customFilter operator="equal" val="T03980"/>
      </customFilters>
    </filterColumn>
    <extLst/>
  </autoFilter>
  <mergeCells count="18">
    <mergeCell ref="Q1:T1"/>
    <mergeCell ref="AB1:AE1"/>
    <mergeCell ref="AF1:AL1"/>
    <mergeCell ref="AM1:AN1"/>
    <mergeCell ref="O2:P2"/>
    <mergeCell ref="A1:A2"/>
    <mergeCell ref="B1:B2"/>
    <mergeCell ref="C1:C2"/>
    <mergeCell ref="D1:D2"/>
    <mergeCell ref="E1:E2"/>
    <mergeCell ref="F1:F2"/>
    <mergeCell ref="G1:G2"/>
    <mergeCell ref="H1:H2"/>
    <mergeCell ref="AX1:AX2"/>
    <mergeCell ref="AY1:AY2"/>
    <mergeCell ref="AZ1:AZ2"/>
    <mergeCell ref="BA1:BA2"/>
    <mergeCell ref="BB1:BB2"/>
  </mergeCells>
  <conditionalFormatting sqref="A1">
    <cfRule type="expression" dxfId="0" priority="90">
      <formula>AND(A1&lt;&gt;"",OR(WEEKDAY(A1,2)=7))</formula>
    </cfRule>
  </conditionalFormatting>
  <conditionalFormatting sqref="C3">
    <cfRule type="containsText" dxfId="1" priority="30" operator="between" text="Wal-Mart">
      <formula>NOT(ISERROR(SEARCH("Wal-Mart",C3)))</formula>
    </cfRule>
  </conditionalFormatting>
  <conditionalFormatting sqref="C4">
    <cfRule type="containsText" dxfId="1" priority="25" operator="between" text="Wal-Mart">
      <formula>NOT(ISERROR(SEARCH("Wal-Mart",C4)))</formula>
    </cfRule>
  </conditionalFormatting>
  <conditionalFormatting sqref="C5">
    <cfRule type="containsText" dxfId="1" priority="28" operator="between" text="Wal-Mart">
      <formula>NOT(ISERROR(SEARCH("Wal-Mart",C5)))</formula>
    </cfRule>
  </conditionalFormatting>
  <conditionalFormatting sqref="C6">
    <cfRule type="containsText" dxfId="1" priority="27" operator="between" text="Wal-Mart">
      <formula>NOT(ISERROR(SEARCH("Wal-Mart",C6)))</formula>
    </cfRule>
  </conditionalFormatting>
  <conditionalFormatting sqref="C7">
    <cfRule type="containsText" dxfId="1" priority="33" operator="between" text="Wal-Mart">
      <formula>NOT(ISERROR(SEARCH("Wal-Mart",C7)))</formula>
    </cfRule>
  </conditionalFormatting>
  <conditionalFormatting sqref="C8">
    <cfRule type="containsText" dxfId="1" priority="19" operator="between" text="Wal-Mart">
      <formula>NOT(ISERROR(SEARCH("Wal-Mart",C8)))</formula>
    </cfRule>
  </conditionalFormatting>
  <conditionalFormatting sqref="C9">
    <cfRule type="containsText" dxfId="1" priority="20" operator="between" text="Wal-Mart">
      <formula>NOT(ISERROR(SEARCH("Wal-Mart",C9)))</formula>
    </cfRule>
  </conditionalFormatting>
  <conditionalFormatting sqref="C10">
    <cfRule type="containsText" dxfId="1" priority="21" operator="between" text="Wal-Mart">
      <formula>NOT(ISERROR(SEARCH("Wal-Mart",C10)))</formula>
    </cfRule>
  </conditionalFormatting>
  <conditionalFormatting sqref="C11">
    <cfRule type="containsText" dxfId="1" priority="22" operator="between" text="Wal-Mart">
      <formula>NOT(ISERROR(SEARCH("Wal-Mart",C11)))</formula>
    </cfRule>
  </conditionalFormatting>
  <conditionalFormatting sqref="C12">
    <cfRule type="containsText" dxfId="1" priority="23" operator="between" text="Wal-Mart">
      <formula>NOT(ISERROR(SEARCH("Wal-Mart",C12)))</formula>
    </cfRule>
  </conditionalFormatting>
  <conditionalFormatting sqref="C13">
    <cfRule type="containsText" dxfId="1" priority="32" operator="between" text="Wal-Mart">
      <formula>NOT(ISERROR(SEARCH("Wal-Mart",C13)))</formula>
    </cfRule>
  </conditionalFormatting>
  <conditionalFormatting sqref="C14">
    <cfRule type="containsText" dxfId="1" priority="14" operator="between" text="Wal-Mart">
      <formula>NOT(ISERROR(SEARCH("Wal-Mart",C14)))</formula>
    </cfRule>
  </conditionalFormatting>
  <conditionalFormatting sqref="C15">
    <cfRule type="containsText" dxfId="1" priority="15" operator="between" text="Wal-Mart">
      <formula>NOT(ISERROR(SEARCH("Wal-Mart",C15)))</formula>
    </cfRule>
  </conditionalFormatting>
  <conditionalFormatting sqref="C16">
    <cfRule type="containsText" dxfId="1" priority="16" operator="between" text="Wal-Mart">
      <formula>NOT(ISERROR(SEARCH("Wal-Mart",C16)))</formula>
    </cfRule>
  </conditionalFormatting>
  <conditionalFormatting sqref="C17">
    <cfRule type="containsText" dxfId="1" priority="17" operator="between" text="Wal-Mart">
      <formula>NOT(ISERROR(SEARCH("Wal-Mart",C17)))</formula>
    </cfRule>
  </conditionalFormatting>
  <conditionalFormatting sqref="C21">
    <cfRule type="containsText" dxfId="1" priority="10" operator="between" text="Wal-Mart">
      <formula>NOT(ISERROR(SEARCH("Wal-Mart",C21)))</formula>
    </cfRule>
  </conditionalFormatting>
  <conditionalFormatting sqref="C22">
    <cfRule type="containsText" dxfId="1" priority="8" operator="between" text="Wal-Mart">
      <formula>NOT(ISERROR(SEARCH("Wal-Mart",C22)))</formula>
    </cfRule>
  </conditionalFormatting>
  <conditionalFormatting sqref="C23">
    <cfRule type="containsText" dxfId="1" priority="4" operator="between" text="Wal-Mart">
      <formula>NOT(ISERROR(SEARCH("Wal-Mart",C23)))</formula>
    </cfRule>
  </conditionalFormatting>
  <conditionalFormatting sqref="C24">
    <cfRule type="containsText" dxfId="1" priority="3" operator="between" text="Wal-Mart">
      <formula>NOT(ISERROR(SEARCH("Wal-Mart",C24)))</formula>
    </cfRule>
  </conditionalFormatting>
  <conditionalFormatting sqref="C25">
    <cfRule type="containsText" dxfId="1" priority="2" operator="between" text="Wal-Mart">
      <formula>NOT(ISERROR(SEARCH("Wal-Mart",C25)))</formula>
    </cfRule>
  </conditionalFormatting>
  <conditionalFormatting sqref="C26">
    <cfRule type="containsText" dxfId="1" priority="1" operator="between" text="Wal-Mart">
      <formula>NOT(ISERROR(SEARCH("Wal-Mart",C26)))</formula>
    </cfRule>
  </conditionalFormatting>
  <conditionalFormatting sqref="G107">
    <cfRule type="expression" dxfId="0" priority="82">
      <formula>AND(G107&lt;&gt;"",OR(WEEKDAY(G107,2)=7))</formula>
    </cfRule>
  </conditionalFormatting>
  <conditionalFormatting sqref="A101:A102">
    <cfRule type="expression" dxfId="0" priority="87">
      <formula>AND(A101&lt;&gt;"",OR(WEEKDAY(A101,2)=7))</formula>
    </cfRule>
  </conditionalFormatting>
  <conditionalFormatting sqref="A116:A1048576">
    <cfRule type="expression" dxfId="0" priority="91">
      <formula>AND(#REF!&lt;&gt;"",OR(WEEKDAY(#REF!,2)=7))</formula>
    </cfRule>
  </conditionalFormatting>
  <conditionalFormatting sqref="C18:C20">
    <cfRule type="containsText" dxfId="1" priority="9" operator="between" text="Wal-Mart">
      <formula>NOT(ISERROR(SEARCH("Wal-Mart",C18)))</formula>
    </cfRule>
  </conditionalFormatting>
  <conditionalFormatting sqref="H1 C117:C1048576 H117:H1048576">
    <cfRule type="expression" dxfId="0" priority="88">
      <formula>AND(C1&lt;&gt;"",OR(WEEKDAY(C1,2)=7))</formula>
    </cfRule>
  </conditionalFormatting>
  <conditionalFormatting sqref="C1 C100:C1048576">
    <cfRule type="containsText" dxfId="1" priority="81" operator="between" text="Wal-Mart">
      <formula>NOT(ISERROR(SEARCH("Wal-Mart",C1)))</formula>
    </cfRule>
  </conditionalFormatting>
  <conditionalFormatting sqref="G1 G104:G106 G108:G1048576">
    <cfRule type="expression" dxfId="0" priority="89">
      <formula>AND(G1&lt;&gt;"",OR(WEEKDAY(G1,2)=7))</formula>
    </cfRule>
  </conditionalFormatting>
  <pageMargins left="0.75" right="0.75" top="1" bottom="1" header="0.5" footer="0.5"/>
  <pageSetup paperSize="9" orientation="portrait"/>
  <headerFooter/>
  <ignoredErrors>
    <ignoredError sqref="H100" formula="1"/>
    <ignoredError sqref="D42 D31"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43"/>
  <sheetViews>
    <sheetView tabSelected="1" workbookViewId="0">
      <pane xSplit="14" ySplit="1" topLeftCell="O17" activePane="bottomRight" state="frozen"/>
      <selection/>
      <selection pane="topRight"/>
      <selection pane="bottomLeft"/>
      <selection pane="bottomRight" activeCell="Q22" sqref="Q22:Q24"/>
    </sheetView>
  </sheetViews>
  <sheetFormatPr defaultColWidth="8.8" defaultRowHeight="25" customHeight="1"/>
  <cols>
    <col min="1" max="1" width="12.625" style="148" customWidth="1"/>
    <col min="2" max="3" width="8.625" style="145" customWidth="1"/>
    <col min="4" max="4" width="12.625" style="149" customWidth="1"/>
    <col min="5" max="7" width="10.625" style="145" customWidth="1"/>
    <col min="8" max="8" width="17.3" style="145" customWidth="1"/>
    <col min="9" max="9" width="6.625" style="278" customWidth="1"/>
    <col min="10" max="11" width="5.625" style="145" customWidth="1"/>
    <col min="12" max="14" width="12.625" style="145" customWidth="1"/>
    <col min="15" max="15" width="8.625" style="145" customWidth="1"/>
    <col min="16" max="16" width="12.625" style="145" customWidth="1"/>
    <col min="17" max="17" width="11.7" style="148" customWidth="1"/>
    <col min="18" max="18" width="8.625" style="148" customWidth="1"/>
    <col min="19" max="19" width="6.625" style="145" customWidth="1"/>
    <col min="20" max="21" width="12" style="145" customWidth="1"/>
    <col min="22" max="22" width="6.625" style="145" customWidth="1"/>
    <col min="23" max="23" width="8.625" style="145" customWidth="1"/>
    <col min="24" max="24" width="12" style="279" customWidth="1"/>
    <col min="25" max="27" width="12" style="145" customWidth="1"/>
    <col min="28" max="28" width="18.4" style="145" customWidth="1"/>
    <col min="29" max="29" width="8.625" style="151" customWidth="1"/>
    <col min="30" max="31" width="12.6" style="152" customWidth="1"/>
    <col min="32" max="32" width="10.625" style="153" customWidth="1"/>
    <col min="33" max="33" width="8.625" style="145" customWidth="1"/>
    <col min="34" max="34" width="12.625" style="148" customWidth="1"/>
    <col min="35" max="35" width="10.6" style="145" customWidth="1"/>
    <col min="36" max="37" width="8.625" style="145" customWidth="1"/>
    <col min="38" max="38" width="12.6" style="152" customWidth="1"/>
    <col min="39" max="16384" width="8.8" style="280"/>
  </cols>
  <sheetData>
    <row r="1" s="145" customFormat="1" customHeight="1" spans="1:38">
      <c r="A1" s="154" t="s">
        <v>53</v>
      </c>
      <c r="B1" s="155" t="s">
        <v>54</v>
      </c>
      <c r="C1" s="155" t="s">
        <v>236</v>
      </c>
      <c r="D1" s="156" t="s">
        <v>55</v>
      </c>
      <c r="E1" s="155" t="s">
        <v>237</v>
      </c>
      <c r="F1" s="155" t="s">
        <v>57</v>
      </c>
      <c r="G1" s="155" t="s">
        <v>58</v>
      </c>
      <c r="H1" s="155" t="s">
        <v>238</v>
      </c>
      <c r="I1" s="281" t="s">
        <v>59</v>
      </c>
      <c r="J1" s="155" t="s">
        <v>2</v>
      </c>
      <c r="K1" s="155" t="s">
        <v>239</v>
      </c>
      <c r="L1" s="155" t="s">
        <v>240</v>
      </c>
      <c r="M1" s="155" t="s">
        <v>241</v>
      </c>
      <c r="N1" s="155" t="s">
        <v>242</v>
      </c>
      <c r="O1" s="155" t="s">
        <v>243</v>
      </c>
      <c r="P1" s="155" t="s">
        <v>244</v>
      </c>
      <c r="Q1" s="154" t="s">
        <v>245</v>
      </c>
      <c r="R1" s="154" t="s">
        <v>246</v>
      </c>
      <c r="S1" s="155" t="s">
        <v>247</v>
      </c>
      <c r="T1" s="155" t="s">
        <v>248</v>
      </c>
      <c r="U1" s="155" t="s">
        <v>249</v>
      </c>
      <c r="V1" s="155" t="s">
        <v>250</v>
      </c>
      <c r="W1" s="155" t="s">
        <v>251</v>
      </c>
      <c r="X1" s="282" t="s">
        <v>3</v>
      </c>
      <c r="Y1" s="155" t="s">
        <v>252</v>
      </c>
      <c r="Z1" s="155" t="s">
        <v>253</v>
      </c>
      <c r="AA1" s="155" t="s">
        <v>254</v>
      </c>
      <c r="AB1" s="155" t="s">
        <v>255</v>
      </c>
      <c r="AC1" s="158" t="s">
        <v>256</v>
      </c>
      <c r="AD1" s="129" t="s">
        <v>257</v>
      </c>
      <c r="AE1" s="159" t="s">
        <v>258</v>
      </c>
      <c r="AF1" s="160" t="s">
        <v>259</v>
      </c>
      <c r="AG1" s="155" t="s">
        <v>260</v>
      </c>
      <c r="AH1" s="154" t="s">
        <v>60</v>
      </c>
      <c r="AI1" s="155" t="s">
        <v>261</v>
      </c>
      <c r="AJ1" s="155" t="s">
        <v>262</v>
      </c>
      <c r="AK1" s="155" t="s">
        <v>263</v>
      </c>
      <c r="AL1" s="283" t="s">
        <v>264</v>
      </c>
    </row>
    <row r="2" s="275" customFormat="1" ht="23" customHeight="1" spans="1:38">
      <c r="A2" s="284">
        <v>46101</v>
      </c>
      <c r="B2" s="285" t="s">
        <v>113</v>
      </c>
      <c r="C2" s="285" t="s">
        <v>265</v>
      </c>
      <c r="D2" s="285" t="s">
        <v>154</v>
      </c>
      <c r="E2" s="285">
        <v>2617379</v>
      </c>
      <c r="F2" s="285" t="s">
        <v>158</v>
      </c>
      <c r="G2" s="285" t="s">
        <v>18</v>
      </c>
      <c r="H2" s="285" t="str">
        <f>VLOOKUP(G2,名称!A:B,2,0)</f>
        <v>恐龙公园二代</v>
      </c>
      <c r="I2" s="286">
        <v>1500</v>
      </c>
      <c r="J2" s="287">
        <f>VLOOKUP(G2,名称!A:C,3,FALSE)</f>
        <v>12</v>
      </c>
      <c r="K2" s="287">
        <f>I2/J2</f>
        <v>125</v>
      </c>
      <c r="L2" s="284">
        <v>46247</v>
      </c>
      <c r="M2" s="284">
        <v>46241</v>
      </c>
      <c r="N2" s="284">
        <v>46241</v>
      </c>
      <c r="O2" s="284" t="s">
        <v>266</v>
      </c>
      <c r="P2" s="287" t="s">
        <v>267</v>
      </c>
      <c r="Q2" s="284" t="s">
        <v>268</v>
      </c>
      <c r="R2" s="284"/>
      <c r="S2" s="287"/>
      <c r="T2" s="288" t="s">
        <v>269</v>
      </c>
      <c r="U2" s="289" t="s">
        <v>270</v>
      </c>
      <c r="V2" s="288"/>
      <c r="W2" s="288"/>
      <c r="X2" s="290" t="s">
        <v>271</v>
      </c>
      <c r="Y2" s="285" t="s">
        <v>272</v>
      </c>
      <c r="Z2" s="287" t="s">
        <v>273</v>
      </c>
      <c r="AA2" s="291">
        <v>46260</v>
      </c>
      <c r="AB2" s="287" t="s">
        <v>274</v>
      </c>
      <c r="AC2" s="292">
        <v>2.1</v>
      </c>
      <c r="AD2" s="293">
        <f>AC2*I2</f>
        <v>3150</v>
      </c>
      <c r="AE2" s="293">
        <f>AD2*7.75</f>
        <v>24412.5</v>
      </c>
      <c r="AF2" s="294"/>
      <c r="AG2" s="285"/>
      <c r="AH2" s="284"/>
      <c r="AI2" s="287" t="s">
        <v>275</v>
      </c>
      <c r="AJ2" s="287"/>
      <c r="AK2" s="287" t="s">
        <v>276</v>
      </c>
      <c r="AL2" s="293">
        <f>IFERROR(VLOOKUP(G2,'已打发票扣数（26年5月开始）'!$A$1:$C$17,3,0)*I2*0.3,"")</f>
        <v>945</v>
      </c>
    </row>
    <row r="3" s="146" customFormat="1" ht="36.35" customHeight="1" spans="1:38">
      <c r="A3" s="154">
        <v>46101</v>
      </c>
      <c r="B3" s="156" t="s">
        <v>113</v>
      </c>
      <c r="C3" s="156" t="s">
        <v>265</v>
      </c>
      <c r="D3" s="156" t="s">
        <v>154</v>
      </c>
      <c r="E3" s="156">
        <v>2617380</v>
      </c>
      <c r="F3" s="156" t="s">
        <v>159</v>
      </c>
      <c r="G3" s="156" t="s">
        <v>18</v>
      </c>
      <c r="H3" s="156" t="str">
        <f>VLOOKUP(G3,名称!A:B,2,0)</f>
        <v>恐龙公园二代</v>
      </c>
      <c r="I3" s="295">
        <v>1200</v>
      </c>
      <c r="J3" s="155">
        <f>VLOOKUP(G3,名称!A:C,3,FALSE)</f>
        <v>12</v>
      </c>
      <c r="K3" s="155">
        <f>I3/J3</f>
        <v>100</v>
      </c>
      <c r="L3" s="154">
        <v>46274</v>
      </c>
      <c r="M3" s="154">
        <f>L3-7</f>
        <v>46267</v>
      </c>
      <c r="N3" s="154">
        <f>M3</f>
        <v>46267</v>
      </c>
      <c r="O3" s="154"/>
      <c r="P3" s="155"/>
      <c r="Q3" s="154" t="s">
        <v>277</v>
      </c>
      <c r="R3" s="154"/>
      <c r="S3" s="155"/>
      <c r="T3" s="296" t="s">
        <v>269</v>
      </c>
      <c r="U3" s="289" t="s">
        <v>270</v>
      </c>
      <c r="V3" s="296"/>
      <c r="W3" s="296"/>
      <c r="X3" s="282" t="s">
        <v>271</v>
      </c>
      <c r="Y3" s="156" t="s">
        <v>272</v>
      </c>
      <c r="Z3" s="155" t="s">
        <v>273</v>
      </c>
      <c r="AA3" s="297">
        <v>46291</v>
      </c>
      <c r="AB3" s="155" t="s">
        <v>274</v>
      </c>
      <c r="AC3" s="158">
        <v>2.1</v>
      </c>
      <c r="AD3" s="159">
        <f>AC3*I3</f>
        <v>2520</v>
      </c>
      <c r="AE3" s="159">
        <f>AD3*7.75</f>
        <v>19530</v>
      </c>
      <c r="AF3" s="160"/>
      <c r="AG3" s="156"/>
      <c r="AH3" s="154"/>
      <c r="AI3" s="155" t="s">
        <v>275</v>
      </c>
      <c r="AJ3" s="155"/>
      <c r="AK3" s="155" t="s">
        <v>276</v>
      </c>
      <c r="AL3" s="159">
        <f>IFERROR(VLOOKUP(G3,'已打发票扣数（26年5月开始）'!$A$1:$C$17,3,0)*I3*0.3,"")</f>
        <v>756</v>
      </c>
    </row>
    <row r="4" s="275" customFormat="1" customHeight="1" spans="1:38">
      <c r="A4" s="284">
        <v>46114</v>
      </c>
      <c r="B4" s="285" t="s">
        <v>278</v>
      </c>
      <c r="C4" s="285" t="s">
        <v>279</v>
      </c>
      <c r="D4" s="285" t="s">
        <v>145</v>
      </c>
      <c r="E4" s="285" t="s">
        <v>164</v>
      </c>
      <c r="F4" s="285" t="s">
        <v>165</v>
      </c>
      <c r="G4" s="285" t="s">
        <v>14</v>
      </c>
      <c r="H4" s="285" t="str">
        <f>VLOOKUP(G4,名称!A:B,2,0)</f>
        <v>恐龙游戏盘(邮包盒装)</v>
      </c>
      <c r="I4" s="286">
        <v>1002</v>
      </c>
      <c r="J4" s="287">
        <f>VLOOKUP(G4,名称!A:C,3,FALSE)</f>
        <v>6</v>
      </c>
      <c r="K4" s="287">
        <f>I4/J4</f>
        <v>167</v>
      </c>
      <c r="L4" s="284">
        <v>46167</v>
      </c>
      <c r="M4" s="284">
        <v>46163</v>
      </c>
      <c r="N4" s="284">
        <v>46163</v>
      </c>
      <c r="O4" s="284" t="s">
        <v>266</v>
      </c>
      <c r="P4" s="298" t="s">
        <v>267</v>
      </c>
      <c r="Q4" s="284" t="s">
        <v>280</v>
      </c>
      <c r="R4" s="284"/>
      <c r="S4" s="287"/>
      <c r="T4" s="288" t="s">
        <v>269</v>
      </c>
      <c r="U4" s="288"/>
      <c r="V4" s="288"/>
      <c r="W4" s="288"/>
      <c r="X4" s="388" t="s">
        <v>281</v>
      </c>
      <c r="Y4" s="285" t="s">
        <v>282</v>
      </c>
      <c r="Z4" s="287" t="s">
        <v>273</v>
      </c>
      <c r="AA4" s="299">
        <v>46235</v>
      </c>
      <c r="AB4" s="287" t="s">
        <v>283</v>
      </c>
      <c r="AC4" s="292">
        <v>4.9</v>
      </c>
      <c r="AD4" s="293">
        <f>AC4*I4</f>
        <v>4909.8</v>
      </c>
      <c r="AE4" s="293">
        <f>AD4*7.75</f>
        <v>38050.95</v>
      </c>
      <c r="AF4" s="294"/>
      <c r="AG4" s="285"/>
      <c r="AH4" s="284"/>
      <c r="AI4" s="287" t="s">
        <v>275</v>
      </c>
      <c r="AJ4" s="287"/>
      <c r="AK4" s="287" t="s">
        <v>284</v>
      </c>
      <c r="AL4" s="293">
        <f>IFERROR(VLOOKUP(G4,'已打发票扣数（26年5月开始）'!$A$1:$C$17,3,0)*I4*0.3,"")</f>
        <v>1352.7</v>
      </c>
    </row>
    <row r="5" s="275" customFormat="1" customHeight="1" spans="1:38">
      <c r="A5" s="284">
        <v>46167</v>
      </c>
      <c r="B5" s="285" t="s">
        <v>278</v>
      </c>
      <c r="C5" s="285" t="s">
        <v>279</v>
      </c>
      <c r="D5" s="285" t="s">
        <v>145</v>
      </c>
      <c r="E5" s="285" t="s">
        <v>191</v>
      </c>
      <c r="F5" s="285" t="s">
        <v>192</v>
      </c>
      <c r="G5" s="285" t="s">
        <v>41</v>
      </c>
      <c r="H5" s="285" t="str">
        <f>VLOOKUP(G5,名称!A:B,2,0)</f>
        <v>恐龙公园一代--陆地</v>
      </c>
      <c r="I5" s="286">
        <f t="shared" ref="I5:I10" si="0">408-144</f>
        <v>264</v>
      </c>
      <c r="J5" s="287">
        <f>VLOOKUP(G5,名称!A:C,3,FALSE)</f>
        <v>12</v>
      </c>
      <c r="K5" s="287">
        <f>I5/J5</f>
        <v>22</v>
      </c>
      <c r="L5" s="284">
        <v>46232</v>
      </c>
      <c r="M5" s="284">
        <f t="shared" ref="M5:M10" si="1">L5-5</f>
        <v>46227</v>
      </c>
      <c r="N5" s="284">
        <v>46232</v>
      </c>
      <c r="O5" s="284" t="s">
        <v>266</v>
      </c>
      <c r="P5" s="298" t="s">
        <v>267</v>
      </c>
      <c r="Q5" s="284"/>
      <c r="R5" s="284"/>
      <c r="S5" s="287"/>
      <c r="T5" s="289" t="s">
        <v>269</v>
      </c>
      <c r="U5" s="288"/>
      <c r="V5" s="288"/>
      <c r="W5" s="288"/>
      <c r="X5" s="388" t="s">
        <v>285</v>
      </c>
      <c r="Y5" s="285" t="s">
        <v>286</v>
      </c>
      <c r="Z5" s="287" t="s">
        <v>273</v>
      </c>
      <c r="AA5" s="287" t="s">
        <v>287</v>
      </c>
      <c r="AB5" s="287" t="s">
        <v>288</v>
      </c>
      <c r="AC5" s="292">
        <v>2.1</v>
      </c>
      <c r="AD5" s="293">
        <f>AC5*I5</f>
        <v>554.4</v>
      </c>
      <c r="AE5" s="293">
        <f>AD5*7.75</f>
        <v>4296.6</v>
      </c>
      <c r="AF5" s="294"/>
      <c r="AG5" s="285"/>
      <c r="AH5" s="284"/>
      <c r="AI5" s="287"/>
      <c r="AJ5" s="287"/>
      <c r="AK5" s="287" t="s">
        <v>289</v>
      </c>
      <c r="AL5" s="293">
        <f t="shared" ref="AL5:AL16" si="2">(I5*AC5)*0.3</f>
        <v>166.32</v>
      </c>
    </row>
    <row r="6" s="275" customFormat="1" customHeight="1" spans="1:38">
      <c r="A6" s="284">
        <v>46167</v>
      </c>
      <c r="B6" s="300" t="s">
        <v>278</v>
      </c>
      <c r="C6" s="285" t="s">
        <v>279</v>
      </c>
      <c r="D6" s="285" t="s">
        <v>145</v>
      </c>
      <c r="E6" s="285" t="s">
        <v>191</v>
      </c>
      <c r="F6" s="285" t="s">
        <v>192</v>
      </c>
      <c r="G6" s="285" t="s">
        <v>43</v>
      </c>
      <c r="H6" s="285" t="str">
        <f>VLOOKUP(G6,名称!A:B,2,0)</f>
        <v>恐龙公园一代--海洋</v>
      </c>
      <c r="I6" s="286">
        <f t="shared" si="0"/>
        <v>264</v>
      </c>
      <c r="J6" s="287">
        <f>VLOOKUP(G6,名称!A:C,3,FALSE)</f>
        <v>12</v>
      </c>
      <c r="K6" s="287">
        <f>I6/J6</f>
        <v>22</v>
      </c>
      <c r="L6" s="284">
        <v>46232</v>
      </c>
      <c r="M6" s="284">
        <f t="shared" si="1"/>
        <v>46227</v>
      </c>
      <c r="N6" s="301">
        <v>46232</v>
      </c>
      <c r="O6" s="284" t="s">
        <v>266</v>
      </c>
      <c r="P6" s="298" t="s">
        <v>267</v>
      </c>
      <c r="Q6" s="284"/>
      <c r="R6" s="284"/>
      <c r="S6" s="287"/>
      <c r="T6" s="289" t="s">
        <v>269</v>
      </c>
      <c r="U6" s="288"/>
      <c r="V6" s="288"/>
      <c r="W6" s="288"/>
      <c r="X6" s="388" t="s">
        <v>290</v>
      </c>
      <c r="Y6" s="285" t="s">
        <v>286</v>
      </c>
      <c r="Z6" s="287" t="s">
        <v>273</v>
      </c>
      <c r="AA6" s="287" t="s">
        <v>287</v>
      </c>
      <c r="AB6" s="287" t="s">
        <v>288</v>
      </c>
      <c r="AC6" s="292">
        <v>2.1</v>
      </c>
      <c r="AD6" s="293">
        <f>AC6*I6</f>
        <v>554.4</v>
      </c>
      <c r="AE6" s="293">
        <f>AD6*7.75</f>
        <v>4296.6</v>
      </c>
      <c r="AF6" s="294"/>
      <c r="AG6" s="285"/>
      <c r="AH6" s="284"/>
      <c r="AI6" s="287"/>
      <c r="AJ6" s="287"/>
      <c r="AK6" s="287" t="s">
        <v>289</v>
      </c>
      <c r="AL6" s="293">
        <f t="shared" si="2"/>
        <v>166.32</v>
      </c>
    </row>
    <row r="7" s="275" customFormat="1" customHeight="1" spans="1:38">
      <c r="A7" s="284">
        <v>46167</v>
      </c>
      <c r="B7" s="300" t="s">
        <v>278</v>
      </c>
      <c r="C7" s="285" t="s">
        <v>279</v>
      </c>
      <c r="D7" s="285" t="s">
        <v>145</v>
      </c>
      <c r="E7" s="285" t="s">
        <v>191</v>
      </c>
      <c r="F7" s="285" t="s">
        <v>192</v>
      </c>
      <c r="G7" s="285" t="s">
        <v>45</v>
      </c>
      <c r="H7" s="285" t="str">
        <f>VLOOKUP(G7,名称!A:B,2,0)</f>
        <v>恐龙公园一代--天空</v>
      </c>
      <c r="I7" s="286">
        <f t="shared" si="0"/>
        <v>264</v>
      </c>
      <c r="J7" s="287">
        <f>VLOOKUP(G7,名称!A:C,3,FALSE)</f>
        <v>12</v>
      </c>
      <c r="K7" s="287">
        <f>I7/J7</f>
        <v>22</v>
      </c>
      <c r="L7" s="284">
        <v>46232</v>
      </c>
      <c r="M7" s="284">
        <f t="shared" si="1"/>
        <v>46227</v>
      </c>
      <c r="N7" s="301">
        <v>46232</v>
      </c>
      <c r="O7" s="284" t="s">
        <v>266</v>
      </c>
      <c r="P7" s="298" t="s">
        <v>267</v>
      </c>
      <c r="Q7" s="284"/>
      <c r="R7" s="284"/>
      <c r="S7" s="287"/>
      <c r="T7" s="289" t="s">
        <v>269</v>
      </c>
      <c r="U7" s="288"/>
      <c r="V7" s="288"/>
      <c r="W7" s="288"/>
      <c r="X7" s="388" t="s">
        <v>291</v>
      </c>
      <c r="Y7" s="285" t="s">
        <v>286</v>
      </c>
      <c r="Z7" s="287" t="s">
        <v>273</v>
      </c>
      <c r="AA7" s="287" t="s">
        <v>287</v>
      </c>
      <c r="AB7" s="287" t="s">
        <v>288</v>
      </c>
      <c r="AC7" s="292">
        <v>2.1</v>
      </c>
      <c r="AD7" s="293">
        <f>AC7*I7</f>
        <v>554.4</v>
      </c>
      <c r="AE7" s="293">
        <f>AD7*7.75</f>
        <v>4296.6</v>
      </c>
      <c r="AF7" s="294"/>
      <c r="AG7" s="285"/>
      <c r="AH7" s="284"/>
      <c r="AI7" s="287"/>
      <c r="AJ7" s="287"/>
      <c r="AK7" s="287" t="s">
        <v>289</v>
      </c>
      <c r="AL7" s="293">
        <f t="shared" si="2"/>
        <v>166.32</v>
      </c>
    </row>
    <row r="8" s="275" customFormat="1" customHeight="1" spans="1:38">
      <c r="A8" s="284">
        <v>46167</v>
      </c>
      <c r="B8" s="300" t="s">
        <v>278</v>
      </c>
      <c r="C8" s="285" t="s">
        <v>279</v>
      </c>
      <c r="D8" s="285" t="s">
        <v>145</v>
      </c>
      <c r="E8" s="285" t="s">
        <v>191</v>
      </c>
      <c r="F8" s="285" t="s">
        <v>192</v>
      </c>
      <c r="G8" s="285" t="s">
        <v>47</v>
      </c>
      <c r="H8" s="285" t="str">
        <f>VLOOKUP(G8,名称!A:B,2,0)</f>
        <v>恐龙公园二代--海滩</v>
      </c>
      <c r="I8" s="286">
        <f t="shared" si="0"/>
        <v>264</v>
      </c>
      <c r="J8" s="287">
        <f>VLOOKUP(G8,名称!A:C,3,FALSE)</f>
        <v>12</v>
      </c>
      <c r="K8" s="287">
        <f>I8/J8</f>
        <v>22</v>
      </c>
      <c r="L8" s="284">
        <v>46232</v>
      </c>
      <c r="M8" s="284">
        <f t="shared" si="1"/>
        <v>46227</v>
      </c>
      <c r="N8" s="301">
        <v>46232</v>
      </c>
      <c r="O8" s="284" t="s">
        <v>266</v>
      </c>
      <c r="P8" s="298" t="s">
        <v>267</v>
      </c>
      <c r="Q8" s="284"/>
      <c r="R8" s="284"/>
      <c r="S8" s="287"/>
      <c r="T8" s="289" t="s">
        <v>269</v>
      </c>
      <c r="U8" s="288"/>
      <c r="V8" s="288"/>
      <c r="W8" s="288"/>
      <c r="X8" s="388" t="s">
        <v>292</v>
      </c>
      <c r="Y8" s="285" t="s">
        <v>286</v>
      </c>
      <c r="Z8" s="287" t="s">
        <v>273</v>
      </c>
      <c r="AA8" s="287" t="s">
        <v>287</v>
      </c>
      <c r="AB8" s="287" t="s">
        <v>293</v>
      </c>
      <c r="AC8" s="292">
        <v>2.1</v>
      </c>
      <c r="AD8" s="293">
        <f>AC8*I8</f>
        <v>554.4</v>
      </c>
      <c r="AE8" s="293">
        <f>AD8*7.75</f>
        <v>4296.6</v>
      </c>
      <c r="AF8" s="294"/>
      <c r="AG8" s="285"/>
      <c r="AH8" s="284"/>
      <c r="AI8" s="287"/>
      <c r="AJ8" s="287"/>
      <c r="AK8" s="287" t="s">
        <v>289</v>
      </c>
      <c r="AL8" s="293">
        <f t="shared" si="2"/>
        <v>166.32</v>
      </c>
    </row>
    <row r="9" s="275" customFormat="1" customHeight="1" spans="1:38">
      <c r="A9" s="284">
        <v>46167</v>
      </c>
      <c r="B9" s="300" t="s">
        <v>278</v>
      </c>
      <c r="C9" s="285" t="s">
        <v>279</v>
      </c>
      <c r="D9" s="285" t="s">
        <v>145</v>
      </c>
      <c r="E9" s="285" t="s">
        <v>191</v>
      </c>
      <c r="F9" s="285" t="s">
        <v>192</v>
      </c>
      <c r="G9" s="285" t="s">
        <v>49</v>
      </c>
      <c r="H9" s="285" t="str">
        <f>VLOOKUP(G9,名称!A:B,2,0)</f>
        <v>恐龙公园二代--雨林</v>
      </c>
      <c r="I9" s="286">
        <f t="shared" si="0"/>
        <v>264</v>
      </c>
      <c r="J9" s="287">
        <f>VLOOKUP(G9,名称!A:C,3,FALSE)</f>
        <v>12</v>
      </c>
      <c r="K9" s="287">
        <f>I9/J9</f>
        <v>22</v>
      </c>
      <c r="L9" s="284">
        <v>46232</v>
      </c>
      <c r="M9" s="284">
        <f t="shared" si="1"/>
        <v>46227</v>
      </c>
      <c r="N9" s="301">
        <v>46232</v>
      </c>
      <c r="O9" s="284" t="s">
        <v>266</v>
      </c>
      <c r="P9" s="298" t="s">
        <v>267</v>
      </c>
      <c r="Q9" s="284"/>
      <c r="R9" s="284"/>
      <c r="S9" s="287"/>
      <c r="T9" s="289" t="s">
        <v>269</v>
      </c>
      <c r="U9" s="288"/>
      <c r="V9" s="288"/>
      <c r="W9" s="288"/>
      <c r="X9" s="388" t="s">
        <v>294</v>
      </c>
      <c r="Y9" s="285" t="s">
        <v>286</v>
      </c>
      <c r="Z9" s="287" t="s">
        <v>273</v>
      </c>
      <c r="AA9" s="287" t="s">
        <v>287</v>
      </c>
      <c r="AB9" s="287" t="s">
        <v>293</v>
      </c>
      <c r="AC9" s="292">
        <v>2.1</v>
      </c>
      <c r="AD9" s="293">
        <f>AC9*I9</f>
        <v>554.4</v>
      </c>
      <c r="AE9" s="293">
        <f>AD9*7.75</f>
        <v>4296.6</v>
      </c>
      <c r="AF9" s="294"/>
      <c r="AG9" s="285"/>
      <c r="AH9" s="284"/>
      <c r="AI9" s="287"/>
      <c r="AJ9" s="287"/>
      <c r="AK9" s="287" t="s">
        <v>289</v>
      </c>
      <c r="AL9" s="293">
        <f t="shared" si="2"/>
        <v>166.32</v>
      </c>
    </row>
    <row r="10" s="275" customFormat="1" customHeight="1" spans="1:38">
      <c r="A10" s="284">
        <v>46167</v>
      </c>
      <c r="B10" s="300" t="s">
        <v>278</v>
      </c>
      <c r="C10" s="285" t="s">
        <v>279</v>
      </c>
      <c r="D10" s="285" t="s">
        <v>145</v>
      </c>
      <c r="E10" s="285" t="s">
        <v>191</v>
      </c>
      <c r="F10" s="285" t="s">
        <v>192</v>
      </c>
      <c r="G10" s="285" t="s">
        <v>51</v>
      </c>
      <c r="H10" s="285" t="str">
        <f>VLOOKUP(G10,名称!A:B,2,0)</f>
        <v>恐龙公园二代--实验室</v>
      </c>
      <c r="I10" s="286">
        <f t="shared" si="0"/>
        <v>264</v>
      </c>
      <c r="J10" s="287">
        <f>VLOOKUP(G10,名称!A:C,3,FALSE)</f>
        <v>12</v>
      </c>
      <c r="K10" s="287">
        <f>I10/J10</f>
        <v>22</v>
      </c>
      <c r="L10" s="284">
        <v>46232</v>
      </c>
      <c r="M10" s="284">
        <f t="shared" si="1"/>
        <v>46227</v>
      </c>
      <c r="N10" s="301">
        <v>46232</v>
      </c>
      <c r="O10" s="284" t="s">
        <v>266</v>
      </c>
      <c r="P10" s="298" t="s">
        <v>267</v>
      </c>
      <c r="Q10" s="284"/>
      <c r="R10" s="284"/>
      <c r="S10" s="287"/>
      <c r="T10" s="289" t="s">
        <v>269</v>
      </c>
      <c r="U10" s="288"/>
      <c r="V10" s="288"/>
      <c r="W10" s="288"/>
      <c r="X10" s="388" t="s">
        <v>295</v>
      </c>
      <c r="Y10" s="285" t="s">
        <v>286</v>
      </c>
      <c r="Z10" s="287" t="s">
        <v>273</v>
      </c>
      <c r="AA10" s="287" t="s">
        <v>287</v>
      </c>
      <c r="AB10" s="287" t="s">
        <v>293</v>
      </c>
      <c r="AC10" s="292">
        <v>2.1</v>
      </c>
      <c r="AD10" s="293">
        <f>AC10*I10</f>
        <v>554.4</v>
      </c>
      <c r="AE10" s="293">
        <f>AD10*7.75</f>
        <v>4296.6</v>
      </c>
      <c r="AF10" s="294"/>
      <c r="AG10" s="285"/>
      <c r="AH10" s="284"/>
      <c r="AI10" s="287"/>
      <c r="AJ10" s="287"/>
      <c r="AK10" s="287" t="s">
        <v>289</v>
      </c>
      <c r="AL10" s="293">
        <f t="shared" si="2"/>
        <v>166.32</v>
      </c>
    </row>
    <row r="11" s="146" customFormat="1" customHeight="1" spans="1:38">
      <c r="A11" s="154">
        <v>46167</v>
      </c>
      <c r="B11" s="302" t="s">
        <v>278</v>
      </c>
      <c r="C11" s="156" t="s">
        <v>279</v>
      </c>
      <c r="D11" s="156" t="s">
        <v>145</v>
      </c>
      <c r="E11" s="156" t="s">
        <v>193</v>
      </c>
      <c r="F11" s="156" t="s">
        <v>194</v>
      </c>
      <c r="G11" s="156" t="s">
        <v>41</v>
      </c>
      <c r="H11" s="156" t="str">
        <f>VLOOKUP(G11,名称!A:B,2,0)</f>
        <v>恐龙公园一代--陆地</v>
      </c>
      <c r="I11" s="295">
        <v>600</v>
      </c>
      <c r="J11" s="155">
        <f>VLOOKUP(G11,名称!A:C,3,FALSE)</f>
        <v>12</v>
      </c>
      <c r="K11" s="155">
        <f>I11/J11</f>
        <v>50</v>
      </c>
      <c r="L11" s="154">
        <v>46262</v>
      </c>
      <c r="M11" s="154">
        <f t="shared" ref="M11:M16" si="3">L11-3</f>
        <v>46259</v>
      </c>
      <c r="N11" s="154">
        <f t="shared" ref="N11:N16" si="4">L11-3</f>
        <v>46259</v>
      </c>
      <c r="O11" s="154"/>
      <c r="P11" s="155"/>
      <c r="Q11" s="154" t="s">
        <v>296</v>
      </c>
      <c r="R11" s="154"/>
      <c r="S11" s="155"/>
      <c r="T11" s="303" t="s">
        <v>269</v>
      </c>
      <c r="U11" s="296"/>
      <c r="V11" s="296"/>
      <c r="W11" s="296"/>
      <c r="X11" s="389" t="s">
        <v>285</v>
      </c>
      <c r="Y11" s="156" t="s">
        <v>286</v>
      </c>
      <c r="Z11" s="155" t="s">
        <v>273</v>
      </c>
      <c r="AA11" s="155" t="s">
        <v>287</v>
      </c>
      <c r="AB11" s="304" t="s">
        <v>297</v>
      </c>
      <c r="AC11" s="158">
        <v>2.1</v>
      </c>
      <c r="AD11" s="159">
        <f>AC11*I11</f>
        <v>1260</v>
      </c>
      <c r="AE11" s="159">
        <f>AD11*7.75</f>
        <v>9765</v>
      </c>
      <c r="AF11" s="160"/>
      <c r="AG11" s="156"/>
      <c r="AH11" s="154"/>
      <c r="AI11" s="155"/>
      <c r="AJ11" s="155"/>
      <c r="AK11" s="304" t="s">
        <v>289</v>
      </c>
      <c r="AL11" s="159">
        <f t="shared" si="2"/>
        <v>378</v>
      </c>
    </row>
    <row r="12" s="146" customFormat="1" customHeight="1" spans="1:38">
      <c r="A12" s="154">
        <v>46167</v>
      </c>
      <c r="B12" s="302" t="s">
        <v>278</v>
      </c>
      <c r="C12" s="156" t="s">
        <v>279</v>
      </c>
      <c r="D12" s="156" t="s">
        <v>145</v>
      </c>
      <c r="E12" s="156" t="s">
        <v>193</v>
      </c>
      <c r="F12" s="156" t="s">
        <v>194</v>
      </c>
      <c r="G12" s="156" t="s">
        <v>43</v>
      </c>
      <c r="H12" s="156" t="str">
        <f>VLOOKUP(G12,名称!A:B,2,0)</f>
        <v>恐龙公园一代--海洋</v>
      </c>
      <c r="I12" s="295">
        <v>600</v>
      </c>
      <c r="J12" s="155">
        <f>VLOOKUP(G12,名称!A:C,3,FALSE)</f>
        <v>12</v>
      </c>
      <c r="K12" s="155">
        <f>I12/J12</f>
        <v>50</v>
      </c>
      <c r="L12" s="154">
        <v>46262</v>
      </c>
      <c r="M12" s="154">
        <f t="shared" si="3"/>
        <v>46259</v>
      </c>
      <c r="N12" s="154">
        <f t="shared" si="4"/>
        <v>46259</v>
      </c>
      <c r="O12" s="154"/>
      <c r="P12" s="155"/>
      <c r="Q12" s="154"/>
      <c r="R12" s="154"/>
      <c r="S12" s="155"/>
      <c r="T12" s="303" t="s">
        <v>269</v>
      </c>
      <c r="U12" s="296"/>
      <c r="V12" s="296"/>
      <c r="W12" s="296"/>
      <c r="X12" s="389" t="s">
        <v>290</v>
      </c>
      <c r="Y12" s="156" t="s">
        <v>286</v>
      </c>
      <c r="Z12" s="155" t="s">
        <v>273</v>
      </c>
      <c r="AA12" s="155" t="s">
        <v>287</v>
      </c>
      <c r="AB12" s="304" t="s">
        <v>297</v>
      </c>
      <c r="AC12" s="158">
        <v>2.1</v>
      </c>
      <c r="AD12" s="159">
        <f>AC12*I12</f>
        <v>1260</v>
      </c>
      <c r="AE12" s="159">
        <f>AD12*7.75</f>
        <v>9765</v>
      </c>
      <c r="AF12" s="160"/>
      <c r="AG12" s="156"/>
      <c r="AH12" s="154"/>
      <c r="AI12" s="155"/>
      <c r="AJ12" s="155"/>
      <c r="AK12" s="304" t="s">
        <v>289</v>
      </c>
      <c r="AL12" s="159">
        <f t="shared" si="2"/>
        <v>378</v>
      </c>
    </row>
    <row r="13" s="146" customFormat="1" customHeight="1" spans="1:38">
      <c r="A13" s="154">
        <v>46167</v>
      </c>
      <c r="B13" s="302" t="s">
        <v>278</v>
      </c>
      <c r="C13" s="156" t="s">
        <v>279</v>
      </c>
      <c r="D13" s="156" t="s">
        <v>145</v>
      </c>
      <c r="E13" s="156" t="s">
        <v>193</v>
      </c>
      <c r="F13" s="156" t="s">
        <v>194</v>
      </c>
      <c r="G13" s="156" t="s">
        <v>45</v>
      </c>
      <c r="H13" s="156" t="str">
        <f>VLOOKUP(G13,名称!A:B,2,0)</f>
        <v>恐龙公园一代--天空</v>
      </c>
      <c r="I13" s="295">
        <v>600</v>
      </c>
      <c r="J13" s="155">
        <f>VLOOKUP(G13,名称!A:C,3,FALSE)</f>
        <v>12</v>
      </c>
      <c r="K13" s="155">
        <f>I13/J13</f>
        <v>50</v>
      </c>
      <c r="L13" s="154">
        <v>46262</v>
      </c>
      <c r="M13" s="154">
        <f t="shared" si="3"/>
        <v>46259</v>
      </c>
      <c r="N13" s="154">
        <f t="shared" si="4"/>
        <v>46259</v>
      </c>
      <c r="O13" s="154"/>
      <c r="P13" s="155"/>
      <c r="Q13" s="154"/>
      <c r="R13" s="154"/>
      <c r="S13" s="155"/>
      <c r="T13" s="303" t="s">
        <v>269</v>
      </c>
      <c r="U13" s="296"/>
      <c r="V13" s="296"/>
      <c r="W13" s="296"/>
      <c r="X13" s="389" t="s">
        <v>291</v>
      </c>
      <c r="Y13" s="156" t="s">
        <v>286</v>
      </c>
      <c r="Z13" s="155" t="s">
        <v>273</v>
      </c>
      <c r="AA13" s="155" t="s">
        <v>287</v>
      </c>
      <c r="AB13" s="304" t="s">
        <v>297</v>
      </c>
      <c r="AC13" s="158">
        <v>2.1</v>
      </c>
      <c r="AD13" s="159">
        <f>AC13*I13</f>
        <v>1260</v>
      </c>
      <c r="AE13" s="159">
        <f>AD13*7.75</f>
        <v>9765</v>
      </c>
      <c r="AF13" s="160"/>
      <c r="AG13" s="156"/>
      <c r="AH13" s="154"/>
      <c r="AI13" s="155"/>
      <c r="AJ13" s="155"/>
      <c r="AK13" s="304" t="s">
        <v>289</v>
      </c>
      <c r="AL13" s="159">
        <f t="shared" si="2"/>
        <v>378</v>
      </c>
    </row>
    <row r="14" s="146" customFormat="1" customHeight="1" spans="1:38">
      <c r="A14" s="154">
        <v>46167</v>
      </c>
      <c r="B14" s="302" t="s">
        <v>278</v>
      </c>
      <c r="C14" s="156" t="s">
        <v>279</v>
      </c>
      <c r="D14" s="156" t="s">
        <v>145</v>
      </c>
      <c r="E14" s="156" t="s">
        <v>193</v>
      </c>
      <c r="F14" s="156" t="s">
        <v>194</v>
      </c>
      <c r="G14" s="156" t="s">
        <v>47</v>
      </c>
      <c r="H14" s="156" t="str">
        <f>VLOOKUP(G14,名称!A:B,2,0)</f>
        <v>恐龙公园二代--海滩</v>
      </c>
      <c r="I14" s="295">
        <v>600</v>
      </c>
      <c r="J14" s="155">
        <f>VLOOKUP(G14,名称!A:C,3,FALSE)</f>
        <v>12</v>
      </c>
      <c r="K14" s="155">
        <f>I14/J14</f>
        <v>50</v>
      </c>
      <c r="L14" s="154">
        <v>46262</v>
      </c>
      <c r="M14" s="154">
        <f t="shared" si="3"/>
        <v>46259</v>
      </c>
      <c r="N14" s="154">
        <f t="shared" si="4"/>
        <v>46259</v>
      </c>
      <c r="O14" s="154"/>
      <c r="P14" s="155"/>
      <c r="Q14" s="154"/>
      <c r="R14" s="154"/>
      <c r="S14" s="155"/>
      <c r="T14" s="303" t="s">
        <v>269</v>
      </c>
      <c r="U14" s="296"/>
      <c r="V14" s="296"/>
      <c r="W14" s="296"/>
      <c r="X14" s="389" t="s">
        <v>292</v>
      </c>
      <c r="Y14" s="156" t="s">
        <v>286</v>
      </c>
      <c r="Z14" s="155" t="s">
        <v>273</v>
      </c>
      <c r="AA14" s="155" t="s">
        <v>287</v>
      </c>
      <c r="AB14" s="155" t="s">
        <v>293</v>
      </c>
      <c r="AC14" s="158">
        <v>2.1</v>
      </c>
      <c r="AD14" s="159">
        <f>AC14*I14</f>
        <v>1260</v>
      </c>
      <c r="AE14" s="159">
        <f>AD14*7.75</f>
        <v>9765</v>
      </c>
      <c r="AF14" s="160"/>
      <c r="AG14" s="156"/>
      <c r="AH14" s="154"/>
      <c r="AI14" s="155"/>
      <c r="AJ14" s="155"/>
      <c r="AK14" s="304" t="s">
        <v>289</v>
      </c>
      <c r="AL14" s="159">
        <f t="shared" si="2"/>
        <v>378</v>
      </c>
    </row>
    <row r="15" s="146" customFormat="1" customHeight="1" spans="1:38">
      <c r="A15" s="154">
        <v>46167</v>
      </c>
      <c r="B15" s="302" t="s">
        <v>278</v>
      </c>
      <c r="C15" s="156" t="s">
        <v>279</v>
      </c>
      <c r="D15" s="156" t="s">
        <v>145</v>
      </c>
      <c r="E15" s="156" t="s">
        <v>193</v>
      </c>
      <c r="F15" s="156" t="s">
        <v>194</v>
      </c>
      <c r="G15" s="156" t="s">
        <v>49</v>
      </c>
      <c r="H15" s="156" t="str">
        <f>VLOOKUP(G15,名称!A:B,2,0)</f>
        <v>恐龙公园二代--雨林</v>
      </c>
      <c r="I15" s="295">
        <v>600</v>
      </c>
      <c r="J15" s="155">
        <f>VLOOKUP(G15,名称!A:C,3,FALSE)</f>
        <v>12</v>
      </c>
      <c r="K15" s="155">
        <f>I15/J15</f>
        <v>50</v>
      </c>
      <c r="L15" s="154">
        <v>46262</v>
      </c>
      <c r="M15" s="154">
        <f t="shared" si="3"/>
        <v>46259</v>
      </c>
      <c r="N15" s="154">
        <f t="shared" si="4"/>
        <v>46259</v>
      </c>
      <c r="O15" s="154"/>
      <c r="P15" s="155"/>
      <c r="Q15" s="154"/>
      <c r="R15" s="154"/>
      <c r="S15" s="155"/>
      <c r="T15" s="303" t="s">
        <v>269</v>
      </c>
      <c r="U15" s="296"/>
      <c r="V15" s="296"/>
      <c r="W15" s="296"/>
      <c r="X15" s="389" t="s">
        <v>294</v>
      </c>
      <c r="Y15" s="156" t="s">
        <v>286</v>
      </c>
      <c r="Z15" s="155" t="s">
        <v>273</v>
      </c>
      <c r="AA15" s="155" t="s">
        <v>287</v>
      </c>
      <c r="AB15" s="155" t="s">
        <v>293</v>
      </c>
      <c r="AC15" s="158">
        <v>2.1</v>
      </c>
      <c r="AD15" s="159">
        <f>AC15*I15</f>
        <v>1260</v>
      </c>
      <c r="AE15" s="159">
        <f>AD15*7.75</f>
        <v>9765</v>
      </c>
      <c r="AF15" s="160"/>
      <c r="AG15" s="156"/>
      <c r="AH15" s="154"/>
      <c r="AI15" s="155"/>
      <c r="AJ15" s="155"/>
      <c r="AK15" s="304" t="s">
        <v>289</v>
      </c>
      <c r="AL15" s="159">
        <f t="shared" si="2"/>
        <v>378</v>
      </c>
    </row>
    <row r="16" s="146" customFormat="1" customHeight="1" spans="1:38">
      <c r="A16" s="154">
        <v>46167</v>
      </c>
      <c r="B16" s="302" t="s">
        <v>278</v>
      </c>
      <c r="C16" s="156" t="s">
        <v>279</v>
      </c>
      <c r="D16" s="156" t="s">
        <v>145</v>
      </c>
      <c r="E16" s="156" t="s">
        <v>193</v>
      </c>
      <c r="F16" s="156" t="s">
        <v>194</v>
      </c>
      <c r="G16" s="156" t="s">
        <v>51</v>
      </c>
      <c r="H16" s="156" t="str">
        <f>VLOOKUP(G16,名称!A:B,2,0)</f>
        <v>恐龙公园二代--实验室</v>
      </c>
      <c r="I16" s="295">
        <v>600</v>
      </c>
      <c r="J16" s="155">
        <f>VLOOKUP(G16,名称!A:C,3,FALSE)</f>
        <v>12</v>
      </c>
      <c r="K16" s="155">
        <f>I16/J16</f>
        <v>50</v>
      </c>
      <c r="L16" s="154">
        <v>46262</v>
      </c>
      <c r="M16" s="154">
        <f t="shared" si="3"/>
        <v>46259</v>
      </c>
      <c r="N16" s="154">
        <f t="shared" si="4"/>
        <v>46259</v>
      </c>
      <c r="O16" s="154"/>
      <c r="P16" s="155"/>
      <c r="Q16" s="154"/>
      <c r="R16" s="154"/>
      <c r="S16" s="155"/>
      <c r="T16" s="303" t="s">
        <v>269</v>
      </c>
      <c r="U16" s="296"/>
      <c r="V16" s="296"/>
      <c r="W16" s="296"/>
      <c r="X16" s="389" t="s">
        <v>295</v>
      </c>
      <c r="Y16" s="156" t="s">
        <v>286</v>
      </c>
      <c r="Z16" s="155" t="s">
        <v>273</v>
      </c>
      <c r="AA16" s="155" t="s">
        <v>287</v>
      </c>
      <c r="AB16" s="155" t="s">
        <v>293</v>
      </c>
      <c r="AC16" s="158">
        <v>2.1</v>
      </c>
      <c r="AD16" s="159">
        <f>AC16*I16</f>
        <v>1260</v>
      </c>
      <c r="AE16" s="159">
        <f>AD16*7.75</f>
        <v>9765</v>
      </c>
      <c r="AF16" s="160"/>
      <c r="AG16" s="156"/>
      <c r="AH16" s="154"/>
      <c r="AI16" s="155"/>
      <c r="AJ16" s="155"/>
      <c r="AK16" s="304" t="s">
        <v>289</v>
      </c>
      <c r="AL16" s="159">
        <f t="shared" si="2"/>
        <v>378</v>
      </c>
    </row>
    <row r="17" s="275" customFormat="1" customHeight="1" spans="1:38">
      <c r="A17" s="301">
        <v>46195</v>
      </c>
      <c r="B17" s="285" t="s">
        <v>278</v>
      </c>
      <c r="C17" s="285" t="s">
        <v>279</v>
      </c>
      <c r="D17" s="285" t="s">
        <v>145</v>
      </c>
      <c r="E17" s="285" t="s">
        <v>200</v>
      </c>
      <c r="F17" s="285" t="s">
        <v>201</v>
      </c>
      <c r="G17" s="285" t="s">
        <v>14</v>
      </c>
      <c r="H17" s="300" t="str">
        <f>VLOOKUP(G17,名称!A:B,2,0)</f>
        <v>恐龙游戏盘(邮包盒装)</v>
      </c>
      <c r="I17" s="286">
        <v>1002</v>
      </c>
      <c r="J17" s="298">
        <f>VLOOKUP(G17,名称!A:C,3,FALSE)</f>
        <v>6</v>
      </c>
      <c r="K17" s="298">
        <f>I17/J17</f>
        <v>167</v>
      </c>
      <c r="L17" s="284">
        <v>46248</v>
      </c>
      <c r="M17" s="301">
        <v>46247</v>
      </c>
      <c r="N17" s="284">
        <v>46247</v>
      </c>
      <c r="O17" s="284" t="s">
        <v>266</v>
      </c>
      <c r="P17" s="298" t="s">
        <v>267</v>
      </c>
      <c r="Q17" s="284" t="s">
        <v>298</v>
      </c>
      <c r="R17" s="284"/>
      <c r="S17" s="287"/>
      <c r="T17" s="288" t="s">
        <v>269</v>
      </c>
      <c r="U17" s="288" t="s">
        <v>299</v>
      </c>
      <c r="V17" s="288"/>
      <c r="W17" s="288"/>
      <c r="X17" s="290" t="s">
        <v>281</v>
      </c>
      <c r="Y17" s="285" t="s">
        <v>282</v>
      </c>
      <c r="Z17" s="287" t="s">
        <v>273</v>
      </c>
      <c r="AA17" s="299">
        <v>46235</v>
      </c>
      <c r="AB17" s="287" t="s">
        <v>283</v>
      </c>
      <c r="AC17" s="292">
        <v>4.9</v>
      </c>
      <c r="AD17" s="293">
        <f>AC17*I17</f>
        <v>4909.8</v>
      </c>
      <c r="AE17" s="293">
        <f>AD17*7.75</f>
        <v>38050.95</v>
      </c>
      <c r="AF17" s="294"/>
      <c r="AG17" s="285"/>
      <c r="AH17" s="284"/>
      <c r="AI17" s="287" t="s">
        <v>275</v>
      </c>
      <c r="AJ17" s="287"/>
      <c r="AK17" s="287"/>
      <c r="AL17" s="293">
        <f>IFERROR(VLOOKUP(G17,'已打发票扣数（26年5月开始）'!$A$1:$C$17,3,0)*I17*0.3,"")</f>
        <v>1352.7</v>
      </c>
    </row>
    <row r="18" s="275" customFormat="1" customHeight="1" spans="1:38">
      <c r="A18" s="301">
        <v>46195</v>
      </c>
      <c r="B18" s="300" t="s">
        <v>278</v>
      </c>
      <c r="C18" s="300" t="s">
        <v>279</v>
      </c>
      <c r="D18" s="300" t="s">
        <v>145</v>
      </c>
      <c r="E18" s="300" t="s">
        <v>202</v>
      </c>
      <c r="F18" s="300" t="s">
        <v>203</v>
      </c>
      <c r="G18" s="300" t="s">
        <v>14</v>
      </c>
      <c r="H18" s="300" t="str">
        <f>VLOOKUP(G18,名称!A:B,2,0)</f>
        <v>恐龙游戏盘(邮包盒装)</v>
      </c>
      <c r="I18" s="305">
        <v>1002</v>
      </c>
      <c r="J18" s="298">
        <f>VLOOKUP(G18,名称!A:C,3,FALSE)</f>
        <v>6</v>
      </c>
      <c r="K18" s="298">
        <f>I18/J18</f>
        <v>167</v>
      </c>
      <c r="L18" s="301">
        <v>46248</v>
      </c>
      <c r="M18" s="301">
        <v>46247</v>
      </c>
      <c r="N18" s="301">
        <v>46247</v>
      </c>
      <c r="O18" s="301" t="s">
        <v>266</v>
      </c>
      <c r="P18" s="298" t="s">
        <v>267</v>
      </c>
      <c r="Q18" s="301" t="s">
        <v>300</v>
      </c>
      <c r="R18" s="301"/>
      <c r="S18" s="298"/>
      <c r="T18" s="289" t="s">
        <v>269</v>
      </c>
      <c r="U18" s="289" t="s">
        <v>299</v>
      </c>
      <c r="V18" s="289"/>
      <c r="W18" s="289"/>
      <c r="X18" s="306" t="s">
        <v>281</v>
      </c>
      <c r="Y18" s="300" t="s">
        <v>282</v>
      </c>
      <c r="Z18" s="298" t="s">
        <v>273</v>
      </c>
      <c r="AA18" s="307">
        <v>46235</v>
      </c>
      <c r="AB18" s="298" t="s">
        <v>283</v>
      </c>
      <c r="AC18" s="308">
        <v>4.9</v>
      </c>
      <c r="AD18" s="309">
        <f>AC18*I18</f>
        <v>4909.8</v>
      </c>
      <c r="AE18" s="309">
        <f>AD18*7.75</f>
        <v>38050.95</v>
      </c>
      <c r="AF18" s="310"/>
      <c r="AG18" s="300"/>
      <c r="AH18" s="301"/>
      <c r="AI18" s="298" t="s">
        <v>275</v>
      </c>
      <c r="AJ18" s="298"/>
      <c r="AK18" s="298"/>
      <c r="AL18" s="309">
        <f>IFERROR(VLOOKUP(G18,'已打发票扣数（26年5月开始）'!$A$1:$C$17,3,0)*I18*0.3,"")</f>
        <v>1352.7</v>
      </c>
    </row>
    <row r="19" s="275" customFormat="1" customHeight="1" spans="1:38">
      <c r="A19" s="301">
        <v>46195</v>
      </c>
      <c r="B19" s="300" t="s">
        <v>278</v>
      </c>
      <c r="C19" s="300" t="s">
        <v>279</v>
      </c>
      <c r="D19" s="300" t="s">
        <v>145</v>
      </c>
      <c r="E19" s="300" t="s">
        <v>204</v>
      </c>
      <c r="F19" s="300" t="s">
        <v>205</v>
      </c>
      <c r="G19" s="300" t="s">
        <v>14</v>
      </c>
      <c r="H19" s="300" t="str">
        <f>VLOOKUP(G19,名称!A:B,2,0)</f>
        <v>恐龙游戏盘(邮包盒装)</v>
      </c>
      <c r="I19" s="305">
        <v>498</v>
      </c>
      <c r="J19" s="298">
        <f>VLOOKUP(G19,名称!A:C,3,FALSE)</f>
        <v>6</v>
      </c>
      <c r="K19" s="298">
        <f>I19/J19</f>
        <v>83</v>
      </c>
      <c r="L19" s="301">
        <v>46248</v>
      </c>
      <c r="M19" s="301">
        <v>46247</v>
      </c>
      <c r="N19" s="301">
        <v>46247</v>
      </c>
      <c r="O19" s="301" t="s">
        <v>266</v>
      </c>
      <c r="P19" s="298" t="s">
        <v>267</v>
      </c>
      <c r="Q19" s="301" t="s">
        <v>301</v>
      </c>
      <c r="R19" s="301"/>
      <c r="S19" s="298"/>
      <c r="T19" s="289" t="s">
        <v>269</v>
      </c>
      <c r="U19" s="289" t="s">
        <v>299</v>
      </c>
      <c r="V19" s="289"/>
      <c r="W19" s="289"/>
      <c r="X19" s="306" t="s">
        <v>281</v>
      </c>
      <c r="Y19" s="300" t="s">
        <v>282</v>
      </c>
      <c r="Z19" s="298" t="s">
        <v>273</v>
      </c>
      <c r="AA19" s="307">
        <v>46235</v>
      </c>
      <c r="AB19" s="298" t="s">
        <v>283</v>
      </c>
      <c r="AC19" s="308">
        <v>4.9</v>
      </c>
      <c r="AD19" s="309">
        <f>AC19*I19</f>
        <v>2440.2</v>
      </c>
      <c r="AE19" s="309">
        <f>AD19*7.75</f>
        <v>18911.55</v>
      </c>
      <c r="AF19" s="310"/>
      <c r="AG19" s="300"/>
      <c r="AH19" s="301"/>
      <c r="AI19" s="298" t="s">
        <v>275</v>
      </c>
      <c r="AJ19" s="298"/>
      <c r="AK19" s="298"/>
      <c r="AL19" s="309">
        <f>IFERROR(VLOOKUP(G19,'已打发票扣数（26年5月开始）'!$A$1:$C$17,3,0)*I19*0.3,"")</f>
        <v>672.3</v>
      </c>
    </row>
    <row r="20" s="276" customFormat="1" customHeight="1" spans="1:38">
      <c r="A20" s="311">
        <v>46226</v>
      </c>
      <c r="B20" s="302" t="s">
        <v>108</v>
      </c>
      <c r="C20" s="302" t="s">
        <v>302</v>
      </c>
      <c r="D20" s="302" t="s">
        <v>130</v>
      </c>
      <c r="E20" s="302">
        <v>219664389</v>
      </c>
      <c r="F20" s="302" t="s">
        <v>206</v>
      </c>
      <c r="G20" s="302" t="s">
        <v>8</v>
      </c>
      <c r="H20" s="302" t="str">
        <f>VLOOKUP(G20,名称!A:B,2,0)</f>
        <v>恐龙游戏盘</v>
      </c>
      <c r="I20" s="312">
        <v>574</v>
      </c>
      <c r="J20" s="313">
        <f>VLOOKUP(G20,名称!A:C,3,FALSE)</f>
        <v>2</v>
      </c>
      <c r="K20" s="313">
        <f>I20/J20</f>
        <v>287</v>
      </c>
      <c r="L20" s="311">
        <v>46269</v>
      </c>
      <c r="M20" s="311">
        <f t="shared" ref="M20:M25" si="5">L20-7</f>
        <v>46262</v>
      </c>
      <c r="N20" s="311">
        <v>46262</v>
      </c>
      <c r="O20" s="311"/>
      <c r="P20" s="313"/>
      <c r="Q20" s="311"/>
      <c r="R20" s="311"/>
      <c r="S20" s="313"/>
      <c r="T20" s="303" t="s">
        <v>269</v>
      </c>
      <c r="U20" s="303"/>
      <c r="V20" s="303"/>
      <c r="W20" s="303"/>
      <c r="X20" s="314" t="s">
        <v>303</v>
      </c>
      <c r="Y20" s="302" t="s">
        <v>304</v>
      </c>
      <c r="Z20" s="313" t="s">
        <v>305</v>
      </c>
      <c r="AA20" s="313" t="s">
        <v>306</v>
      </c>
      <c r="AB20" s="313" t="s">
        <v>307</v>
      </c>
      <c r="AC20" s="315">
        <v>4.5</v>
      </c>
      <c r="AD20" s="316">
        <f>AC20*I20</f>
        <v>2583</v>
      </c>
      <c r="AE20" s="316">
        <f>AD20*7.75</f>
        <v>20018.25</v>
      </c>
      <c r="AF20" s="317"/>
      <c r="AG20" s="302"/>
      <c r="AH20" s="311"/>
      <c r="AI20" s="126" t="s">
        <v>275</v>
      </c>
      <c r="AJ20" s="313"/>
      <c r="AK20" s="313"/>
      <c r="AL20" s="316">
        <f>IFERROR(VLOOKUP(G20,'已打发票扣数（26年5月开始）'!$A$1:$C$17,3,0)*I20*0.3,"")</f>
        <v>774.9</v>
      </c>
    </row>
    <row r="21" s="276" customFormat="1" customHeight="1" spans="1:38">
      <c r="A21" s="311">
        <v>46226</v>
      </c>
      <c r="B21" s="302" t="s">
        <v>108</v>
      </c>
      <c r="C21" s="302" t="s">
        <v>302</v>
      </c>
      <c r="D21" s="302" t="s">
        <v>130</v>
      </c>
      <c r="E21" s="302">
        <v>219664388</v>
      </c>
      <c r="F21" s="302" t="s">
        <v>207</v>
      </c>
      <c r="G21" s="302" t="s">
        <v>8</v>
      </c>
      <c r="H21" s="302" t="str">
        <f>VLOOKUP(G21,名称!A:B,2,0)</f>
        <v>恐龙游戏盘</v>
      </c>
      <c r="I21" s="312">
        <v>1300</v>
      </c>
      <c r="J21" s="313">
        <f>VLOOKUP(G21,名称!A:C,3,FALSE)</f>
        <v>2</v>
      </c>
      <c r="K21" s="313">
        <f>I21/J21</f>
        <v>650</v>
      </c>
      <c r="L21" s="311">
        <v>46269</v>
      </c>
      <c r="M21" s="311">
        <f t="shared" si="5"/>
        <v>46262</v>
      </c>
      <c r="N21" s="311">
        <v>46262</v>
      </c>
      <c r="O21" s="311"/>
      <c r="P21" s="313"/>
      <c r="Q21" s="311"/>
      <c r="R21" s="311"/>
      <c r="S21" s="313"/>
      <c r="T21" s="303" t="s">
        <v>269</v>
      </c>
      <c r="U21" s="303"/>
      <c r="V21" s="303"/>
      <c r="W21" s="303"/>
      <c r="X21" s="314" t="s">
        <v>303</v>
      </c>
      <c r="Y21" s="302" t="s">
        <v>304</v>
      </c>
      <c r="Z21" s="313" t="s">
        <v>305</v>
      </c>
      <c r="AA21" s="313" t="s">
        <v>306</v>
      </c>
      <c r="AB21" s="313" t="s">
        <v>307</v>
      </c>
      <c r="AC21" s="315">
        <v>4.5</v>
      </c>
      <c r="AD21" s="316">
        <f>AC21*I21</f>
        <v>5850</v>
      </c>
      <c r="AE21" s="316">
        <f>AD21*7.75</f>
        <v>45337.5</v>
      </c>
      <c r="AF21" s="317"/>
      <c r="AG21" s="302"/>
      <c r="AH21" s="311"/>
      <c r="AI21" s="126" t="s">
        <v>275</v>
      </c>
      <c r="AJ21" s="313"/>
      <c r="AK21" s="313"/>
      <c r="AL21" s="316">
        <f>IFERROR(VLOOKUP(G21,'已打发票扣数（26年5月开始）'!$A$1:$C$17,3,0)*I21*0.3,"")</f>
        <v>1755</v>
      </c>
    </row>
    <row r="22" s="276" customFormat="1" customHeight="1" spans="1:38">
      <c r="A22" s="311">
        <v>46240</v>
      </c>
      <c r="B22" s="302" t="s">
        <v>208</v>
      </c>
      <c r="C22" s="302" t="s">
        <v>308</v>
      </c>
      <c r="D22" s="302" t="s">
        <v>309</v>
      </c>
      <c r="E22" s="302">
        <v>47981637</v>
      </c>
      <c r="F22" s="302" t="s">
        <v>209</v>
      </c>
      <c r="G22" s="302" t="s">
        <v>6</v>
      </c>
      <c r="H22" s="302" t="str">
        <f>VLOOKUP(G22,名称!A:B,2,0)</f>
        <v>恐龙游戏盘</v>
      </c>
      <c r="I22" s="312">
        <v>198</v>
      </c>
      <c r="J22" s="313">
        <f>VLOOKUP(G22,名称!A:C,3,FALSE)</f>
        <v>6</v>
      </c>
      <c r="K22" s="313">
        <f>I22/J22</f>
        <v>33</v>
      </c>
      <c r="L22" s="311">
        <v>46280</v>
      </c>
      <c r="M22" s="311">
        <f t="shared" si="5"/>
        <v>46273</v>
      </c>
      <c r="N22" s="311">
        <v>46273</v>
      </c>
      <c r="O22" s="311"/>
      <c r="P22" s="313"/>
      <c r="Q22" s="318" t="s">
        <v>310</v>
      </c>
      <c r="R22" s="311"/>
      <c r="S22" s="313"/>
      <c r="T22" s="303" t="s">
        <v>269</v>
      </c>
      <c r="U22" s="303"/>
      <c r="V22" s="303"/>
      <c r="W22" s="303"/>
      <c r="X22" s="314" t="s">
        <v>311</v>
      </c>
      <c r="Y22" s="302" t="s">
        <v>272</v>
      </c>
      <c r="Z22" s="313" t="s">
        <v>273</v>
      </c>
      <c r="AA22" s="313">
        <v>150926</v>
      </c>
      <c r="AB22" s="126" t="s">
        <v>283</v>
      </c>
      <c r="AC22" s="315">
        <v>4.5</v>
      </c>
      <c r="AD22" s="316">
        <f>AC22*I22</f>
        <v>891</v>
      </c>
      <c r="AE22" s="316">
        <f>AD22*7.75</f>
        <v>6905.25</v>
      </c>
      <c r="AF22" s="317"/>
      <c r="AG22" s="302"/>
      <c r="AH22" s="311"/>
      <c r="AI22" s="126" t="s">
        <v>275</v>
      </c>
      <c r="AJ22" s="313"/>
      <c r="AK22" s="313"/>
      <c r="AL22" s="316">
        <f>IFERROR(VLOOKUP(G22,'已打发票扣数（26年5月开始）'!$A$1:$C$17,3,0)*I22*0.3,"")</f>
        <v>267.3</v>
      </c>
    </row>
    <row r="23" s="276" customFormat="1" customHeight="1" spans="1:38">
      <c r="A23" s="311">
        <v>46240</v>
      </c>
      <c r="B23" s="302" t="s">
        <v>208</v>
      </c>
      <c r="C23" s="302" t="s">
        <v>308</v>
      </c>
      <c r="D23" s="302" t="s">
        <v>309</v>
      </c>
      <c r="E23" s="302">
        <v>47981746</v>
      </c>
      <c r="F23" s="302" t="s">
        <v>210</v>
      </c>
      <c r="G23" s="302" t="s">
        <v>6</v>
      </c>
      <c r="H23" s="302" t="str">
        <f>VLOOKUP(G23,名称!A:B,2,0)</f>
        <v>恐龙游戏盘</v>
      </c>
      <c r="I23" s="312">
        <v>942</v>
      </c>
      <c r="J23" s="313">
        <f>VLOOKUP(G23,名称!A:C,3,FALSE)</f>
        <v>6</v>
      </c>
      <c r="K23" s="313">
        <f>I23/J23</f>
        <v>157</v>
      </c>
      <c r="L23" s="311">
        <v>46280</v>
      </c>
      <c r="M23" s="311">
        <f t="shared" si="5"/>
        <v>46273</v>
      </c>
      <c r="N23" s="311">
        <v>46273</v>
      </c>
      <c r="O23" s="311"/>
      <c r="P23" s="313"/>
      <c r="Q23" s="311"/>
      <c r="R23" s="311"/>
      <c r="S23" s="313"/>
      <c r="T23" s="303" t="s">
        <v>269</v>
      </c>
      <c r="U23" s="303"/>
      <c r="V23" s="303"/>
      <c r="W23" s="303"/>
      <c r="X23" s="314" t="s">
        <v>311</v>
      </c>
      <c r="Y23" s="302" t="s">
        <v>272</v>
      </c>
      <c r="Z23" s="313" t="s">
        <v>273</v>
      </c>
      <c r="AA23" s="313">
        <v>150926</v>
      </c>
      <c r="AB23" s="126" t="s">
        <v>283</v>
      </c>
      <c r="AC23" s="315">
        <v>4.5</v>
      </c>
      <c r="AD23" s="316">
        <f>AC23*I23</f>
        <v>4239</v>
      </c>
      <c r="AE23" s="316">
        <f>AD23*7.75</f>
        <v>32852.25</v>
      </c>
      <c r="AF23" s="317"/>
      <c r="AG23" s="302"/>
      <c r="AH23" s="311"/>
      <c r="AI23" s="126" t="s">
        <v>275</v>
      </c>
      <c r="AJ23" s="313"/>
      <c r="AK23" s="313"/>
      <c r="AL23" s="316">
        <f>IFERROR(VLOOKUP(G23,'已打发票扣数（26年5月开始）'!$A$1:$C$17,3,0)*I23*0.3,"")</f>
        <v>1271.7</v>
      </c>
    </row>
    <row r="24" s="276" customFormat="1" customHeight="1" spans="1:38">
      <c r="A24" s="311">
        <v>46240</v>
      </c>
      <c r="B24" s="302" t="s">
        <v>208</v>
      </c>
      <c r="C24" s="302" t="s">
        <v>308</v>
      </c>
      <c r="D24" s="302" t="s">
        <v>309</v>
      </c>
      <c r="E24" s="302">
        <v>47982010</v>
      </c>
      <c r="F24" s="302" t="s">
        <v>211</v>
      </c>
      <c r="G24" s="302" t="s">
        <v>6</v>
      </c>
      <c r="H24" s="302" t="str">
        <f>VLOOKUP(G24,名称!A:B,2,0)</f>
        <v>恐龙游戏盘</v>
      </c>
      <c r="I24" s="312">
        <v>432</v>
      </c>
      <c r="J24" s="313">
        <f>VLOOKUP(G24,名称!A:C,3,FALSE)</f>
        <v>6</v>
      </c>
      <c r="K24" s="313">
        <f>I24/J24</f>
        <v>72</v>
      </c>
      <c r="L24" s="311">
        <v>46280</v>
      </c>
      <c r="M24" s="311">
        <f t="shared" si="5"/>
        <v>46273</v>
      </c>
      <c r="N24" s="311">
        <v>46273</v>
      </c>
      <c r="O24" s="311"/>
      <c r="P24" s="313"/>
      <c r="Q24" s="318" t="s">
        <v>310</v>
      </c>
      <c r="R24" s="311"/>
      <c r="S24" s="313"/>
      <c r="T24" s="303" t="s">
        <v>269</v>
      </c>
      <c r="U24" s="303"/>
      <c r="V24" s="303"/>
      <c r="W24" s="303"/>
      <c r="X24" s="314" t="s">
        <v>311</v>
      </c>
      <c r="Y24" s="302" t="s">
        <v>272</v>
      </c>
      <c r="Z24" s="313" t="s">
        <v>273</v>
      </c>
      <c r="AA24" s="313">
        <v>150926</v>
      </c>
      <c r="AB24" s="126" t="s">
        <v>283</v>
      </c>
      <c r="AC24" s="315">
        <v>4.5</v>
      </c>
      <c r="AD24" s="316">
        <f>AC24*I24</f>
        <v>1944</v>
      </c>
      <c r="AE24" s="316">
        <f>AD24*7.75</f>
        <v>15066</v>
      </c>
      <c r="AF24" s="317"/>
      <c r="AG24" s="302"/>
      <c r="AH24" s="311"/>
      <c r="AI24" s="126" t="s">
        <v>275</v>
      </c>
      <c r="AJ24" s="313"/>
      <c r="AK24" s="313"/>
      <c r="AL24" s="316">
        <f>IFERROR(VLOOKUP(G24,'已打发票扣数（26年5月开始）'!$A$1:$C$17,3,0)*I24*0.3,"")</f>
        <v>583.2</v>
      </c>
    </row>
    <row r="25" s="276" customFormat="1" customHeight="1" spans="1:38">
      <c r="A25" s="311">
        <v>46240</v>
      </c>
      <c r="B25" s="302" t="s">
        <v>208</v>
      </c>
      <c r="C25" s="302" t="s">
        <v>308</v>
      </c>
      <c r="D25" s="302" t="s">
        <v>309</v>
      </c>
      <c r="E25" s="302">
        <v>47982383</v>
      </c>
      <c r="F25" s="302" t="s">
        <v>212</v>
      </c>
      <c r="G25" s="302" t="s">
        <v>6</v>
      </c>
      <c r="H25" s="302" t="str">
        <f>VLOOKUP(G25,名称!A:B,2,0)</f>
        <v>恐龙游戏盘</v>
      </c>
      <c r="I25" s="312">
        <v>924</v>
      </c>
      <c r="J25" s="313">
        <f>VLOOKUP(G25,名称!A:C,3,FALSE)</f>
        <v>6</v>
      </c>
      <c r="K25" s="313">
        <f>I25/J25</f>
        <v>154</v>
      </c>
      <c r="L25" s="311">
        <v>46280</v>
      </c>
      <c r="M25" s="311">
        <f t="shared" si="5"/>
        <v>46273</v>
      </c>
      <c r="N25" s="311">
        <f>M25</f>
        <v>46273</v>
      </c>
      <c r="O25" s="311"/>
      <c r="P25" s="313"/>
      <c r="Q25" s="311"/>
      <c r="R25" s="311"/>
      <c r="S25" s="313"/>
      <c r="T25" s="303" t="s">
        <v>269</v>
      </c>
      <c r="U25" s="303"/>
      <c r="V25" s="303"/>
      <c r="W25" s="303"/>
      <c r="X25" s="314" t="s">
        <v>311</v>
      </c>
      <c r="Y25" s="302" t="s">
        <v>272</v>
      </c>
      <c r="Z25" s="313" t="s">
        <v>273</v>
      </c>
      <c r="AA25" s="313">
        <v>150926</v>
      </c>
      <c r="AB25" s="126" t="s">
        <v>283</v>
      </c>
      <c r="AC25" s="315">
        <v>4.5</v>
      </c>
      <c r="AD25" s="316">
        <f>AC25*I25</f>
        <v>4158</v>
      </c>
      <c r="AE25" s="316">
        <f>AD25*7.75</f>
        <v>32224.5</v>
      </c>
      <c r="AF25" s="317"/>
      <c r="AG25" s="302"/>
      <c r="AH25" s="311"/>
      <c r="AI25" s="126" t="s">
        <v>275</v>
      </c>
      <c r="AJ25" s="313"/>
      <c r="AK25" s="313"/>
      <c r="AL25" s="316">
        <f>IFERROR(VLOOKUP(G25,'已打发票扣数（26年5月开始）'!$A$1:$C$17,3,0)*I25*0.3,"")</f>
        <v>1247.4</v>
      </c>
    </row>
    <row r="26" s="277" customFormat="1" customHeight="1" spans="1:38">
      <c r="A26" s="319">
        <v>46245</v>
      </c>
      <c r="B26" s="320" t="s">
        <v>208</v>
      </c>
      <c r="C26" s="320" t="s">
        <v>279</v>
      </c>
      <c r="D26" s="320" t="s">
        <v>312</v>
      </c>
      <c r="E26" s="320" t="s">
        <v>213</v>
      </c>
      <c r="F26" s="320" t="s">
        <v>214</v>
      </c>
      <c r="G26" s="320" t="s">
        <v>4</v>
      </c>
      <c r="H26" s="320" t="str">
        <f>VLOOKUP(G26,名称!A:B,2,0)</f>
        <v>恐龙公园</v>
      </c>
      <c r="I26" s="321">
        <v>132</v>
      </c>
      <c r="J26" s="322">
        <f>VLOOKUP(G26,名称!A:C,3,FALSE)</f>
        <v>12</v>
      </c>
      <c r="K26" s="322">
        <f t="shared" ref="K26:K31" si="6">I26/J26</f>
        <v>11</v>
      </c>
      <c r="L26" s="319">
        <v>46286</v>
      </c>
      <c r="M26" s="318">
        <f t="shared" ref="M26:M29" si="7">L26-7</f>
        <v>46279</v>
      </c>
      <c r="N26" s="318">
        <f t="shared" ref="N26:N31" si="8">M26</f>
        <v>46279</v>
      </c>
      <c r="O26" s="319"/>
      <c r="P26" s="323"/>
      <c r="Q26" s="318" t="s">
        <v>313</v>
      </c>
      <c r="R26" s="319"/>
      <c r="S26" s="323"/>
      <c r="T26" s="324"/>
      <c r="U26" s="324"/>
      <c r="V26" s="324"/>
      <c r="W26" s="324"/>
      <c r="X26" s="325" t="s">
        <v>314</v>
      </c>
      <c r="Y26" s="320" t="s">
        <v>272</v>
      </c>
      <c r="Z26" s="322" t="s">
        <v>273</v>
      </c>
      <c r="AA26" s="322" t="s">
        <v>315</v>
      </c>
      <c r="AB26" s="323" t="s">
        <v>283</v>
      </c>
      <c r="AC26" s="326">
        <v>2.1</v>
      </c>
      <c r="AD26" s="327">
        <f>AC26*I26</f>
        <v>277.2</v>
      </c>
      <c r="AE26" s="327">
        <f>AD26*7.75</f>
        <v>2148.3</v>
      </c>
      <c r="AF26" s="328"/>
      <c r="AG26" s="329"/>
      <c r="AH26" s="319"/>
      <c r="AI26" s="323" t="s">
        <v>275</v>
      </c>
      <c r="AJ26" s="323"/>
      <c r="AK26" s="323"/>
      <c r="AL26" s="327">
        <f>IFERROR(VLOOKUP(G26,'已打发票扣数（26年5月开始）'!$A$1:$C$17,3,0)*I26*0.3,"")</f>
        <v>83.16</v>
      </c>
    </row>
    <row r="27" s="277" customFormat="1" customHeight="1" spans="1:38">
      <c r="A27" s="319">
        <v>46245</v>
      </c>
      <c r="B27" s="320" t="s">
        <v>208</v>
      </c>
      <c r="C27" s="320" t="s">
        <v>279</v>
      </c>
      <c r="D27" s="320" t="s">
        <v>312</v>
      </c>
      <c r="E27" s="320" t="s">
        <v>213</v>
      </c>
      <c r="F27" s="320" t="s">
        <v>214</v>
      </c>
      <c r="G27" s="320" t="s">
        <v>18</v>
      </c>
      <c r="H27" s="320" t="str">
        <f>VLOOKUP(G27,名称!A:B,2,0)</f>
        <v>恐龙公园二代</v>
      </c>
      <c r="I27" s="321">
        <v>120</v>
      </c>
      <c r="J27" s="322">
        <f>VLOOKUP(G27,名称!A:C,3,FALSE)</f>
        <v>12</v>
      </c>
      <c r="K27" s="322">
        <f t="shared" si="6"/>
        <v>10</v>
      </c>
      <c r="L27" s="319">
        <v>46286</v>
      </c>
      <c r="M27" s="318">
        <f t="shared" si="7"/>
        <v>46279</v>
      </c>
      <c r="N27" s="318">
        <f t="shared" si="8"/>
        <v>46279</v>
      </c>
      <c r="O27" s="319"/>
      <c r="P27" s="323"/>
      <c r="Q27" s="319"/>
      <c r="R27" s="319"/>
      <c r="S27" s="323"/>
      <c r="T27" s="324"/>
      <c r="U27" s="324"/>
      <c r="V27" s="324"/>
      <c r="W27" s="324"/>
      <c r="X27" s="390" t="s">
        <v>316</v>
      </c>
      <c r="Y27" s="320" t="s">
        <v>272</v>
      </c>
      <c r="Z27" s="322" t="s">
        <v>273</v>
      </c>
      <c r="AA27" s="322" t="s">
        <v>315</v>
      </c>
      <c r="AB27" s="323" t="s">
        <v>283</v>
      </c>
      <c r="AC27" s="326">
        <v>2.1</v>
      </c>
      <c r="AD27" s="327">
        <f>AC27*I27</f>
        <v>252</v>
      </c>
      <c r="AE27" s="327">
        <f>AD27*7.75</f>
        <v>1953</v>
      </c>
      <c r="AF27" s="328"/>
      <c r="AG27" s="329"/>
      <c r="AH27" s="319"/>
      <c r="AI27" s="323" t="s">
        <v>275</v>
      </c>
      <c r="AJ27" s="323"/>
      <c r="AK27" s="323"/>
      <c r="AL27" s="327">
        <f>IFERROR(VLOOKUP(G27,'已打发票扣数（26年5月开始）'!$A$1:$C$17,3,0)*I27*0.3,"")</f>
        <v>75.6</v>
      </c>
    </row>
    <row r="28" s="277" customFormat="1" customHeight="1" spans="1:38">
      <c r="A28" s="319">
        <v>46245</v>
      </c>
      <c r="B28" s="320" t="s">
        <v>208</v>
      </c>
      <c r="C28" s="320" t="s">
        <v>279</v>
      </c>
      <c r="D28" s="320" t="s">
        <v>312</v>
      </c>
      <c r="E28" s="320" t="s">
        <v>215</v>
      </c>
      <c r="F28" s="320" t="s">
        <v>216</v>
      </c>
      <c r="G28" s="320" t="s">
        <v>4</v>
      </c>
      <c r="H28" s="320" t="str">
        <f>VLOOKUP(G28,名称!A:B,2,0)</f>
        <v>恐龙公园</v>
      </c>
      <c r="I28" s="321">
        <v>144</v>
      </c>
      <c r="J28" s="322">
        <f>VLOOKUP(G28,名称!A:C,3,FALSE)</f>
        <v>12</v>
      </c>
      <c r="K28" s="322">
        <f t="shared" si="6"/>
        <v>12</v>
      </c>
      <c r="L28" s="319">
        <v>46286</v>
      </c>
      <c r="M28" s="318">
        <f t="shared" si="7"/>
        <v>46279</v>
      </c>
      <c r="N28" s="318">
        <f t="shared" si="8"/>
        <v>46279</v>
      </c>
      <c r="O28" s="319"/>
      <c r="P28" s="323"/>
      <c r="Q28" s="318" t="s">
        <v>317</v>
      </c>
      <c r="R28" s="319"/>
      <c r="S28" s="323"/>
      <c r="T28" s="324"/>
      <c r="U28" s="324"/>
      <c r="V28" s="324"/>
      <c r="W28" s="324"/>
      <c r="X28" s="325" t="s">
        <v>314</v>
      </c>
      <c r="Y28" s="320" t="s">
        <v>272</v>
      </c>
      <c r="Z28" s="322" t="s">
        <v>273</v>
      </c>
      <c r="AA28" s="322" t="s">
        <v>315</v>
      </c>
      <c r="AB28" s="323" t="s">
        <v>283</v>
      </c>
      <c r="AC28" s="326">
        <v>2.1</v>
      </c>
      <c r="AD28" s="327">
        <f t="shared" ref="AD27:AD39" si="9">AC28*I28</f>
        <v>302.4</v>
      </c>
      <c r="AE28" s="327">
        <f t="shared" ref="AE27:AE39" si="10">AD28*7.75</f>
        <v>2343.6</v>
      </c>
      <c r="AF28" s="328"/>
      <c r="AG28" s="329"/>
      <c r="AH28" s="319"/>
      <c r="AI28" s="323" t="s">
        <v>275</v>
      </c>
      <c r="AJ28" s="323"/>
      <c r="AK28" s="323"/>
      <c r="AL28" s="327">
        <f>IFERROR(VLOOKUP(G28,'已打发票扣数（26年5月开始）'!$A$1:$C$17,3,0)*I28*0.3,"")</f>
        <v>90.72</v>
      </c>
    </row>
    <row r="29" s="277" customFormat="1" customHeight="1" spans="1:38">
      <c r="A29" s="319">
        <v>46245</v>
      </c>
      <c r="B29" s="320" t="s">
        <v>208</v>
      </c>
      <c r="C29" s="320" t="s">
        <v>279</v>
      </c>
      <c r="D29" s="320" t="s">
        <v>312</v>
      </c>
      <c r="E29" s="320" t="s">
        <v>215</v>
      </c>
      <c r="F29" s="320" t="s">
        <v>216</v>
      </c>
      <c r="G29" s="320" t="s">
        <v>18</v>
      </c>
      <c r="H29" s="320" t="str">
        <f>VLOOKUP(G29,名称!A:B,2,0)</f>
        <v>恐龙公园二代</v>
      </c>
      <c r="I29" s="321">
        <v>144</v>
      </c>
      <c r="J29" s="322">
        <f>VLOOKUP(G29,名称!A:C,3,FALSE)</f>
        <v>12</v>
      </c>
      <c r="K29" s="322">
        <f t="shared" si="6"/>
        <v>12</v>
      </c>
      <c r="L29" s="319">
        <v>46286</v>
      </c>
      <c r="M29" s="318">
        <f t="shared" ref="M29:M31" si="11">L29-7</f>
        <v>46279</v>
      </c>
      <c r="N29" s="318">
        <f t="shared" si="8"/>
        <v>46279</v>
      </c>
      <c r="O29" s="319"/>
      <c r="P29" s="323"/>
      <c r="Q29" s="319"/>
      <c r="R29" s="319"/>
      <c r="S29" s="323"/>
      <c r="T29" s="324"/>
      <c r="U29" s="324"/>
      <c r="V29" s="324"/>
      <c r="W29" s="324"/>
      <c r="X29" s="390" t="s">
        <v>316</v>
      </c>
      <c r="Y29" s="320" t="s">
        <v>272</v>
      </c>
      <c r="Z29" s="322" t="s">
        <v>273</v>
      </c>
      <c r="AA29" s="322" t="s">
        <v>315</v>
      </c>
      <c r="AB29" s="323" t="s">
        <v>283</v>
      </c>
      <c r="AC29" s="326">
        <v>2.1</v>
      </c>
      <c r="AD29" s="327">
        <f t="shared" si="9"/>
        <v>302.4</v>
      </c>
      <c r="AE29" s="327">
        <f t="shared" si="10"/>
        <v>2343.6</v>
      </c>
      <c r="AF29" s="328"/>
      <c r="AG29" s="329"/>
      <c r="AH29" s="319"/>
      <c r="AI29" s="323" t="s">
        <v>275</v>
      </c>
      <c r="AJ29" s="323"/>
      <c r="AK29" s="323"/>
      <c r="AL29" s="327">
        <f>IFERROR(VLOOKUP(G29,'已打发票扣数（26年5月开始）'!$A$1:$C$17,3,0)*I29*0.3,"")</f>
        <v>90.72</v>
      </c>
    </row>
    <row r="30" s="277" customFormat="1" customHeight="1" spans="1:38">
      <c r="A30" s="319">
        <v>46245</v>
      </c>
      <c r="B30" s="320" t="s">
        <v>208</v>
      </c>
      <c r="C30" s="320" t="s">
        <v>279</v>
      </c>
      <c r="D30" s="320" t="s">
        <v>312</v>
      </c>
      <c r="E30" s="320" t="s">
        <v>217</v>
      </c>
      <c r="F30" s="320" t="s">
        <v>218</v>
      </c>
      <c r="G30" s="320" t="s">
        <v>4</v>
      </c>
      <c r="H30" s="320" t="str">
        <f>VLOOKUP(G30,名称!A:B,2,0)</f>
        <v>恐龙公园</v>
      </c>
      <c r="I30" s="321">
        <v>504</v>
      </c>
      <c r="J30" s="322">
        <f>VLOOKUP(G30,名称!A:C,3,FALSE)</f>
        <v>12</v>
      </c>
      <c r="K30" s="322">
        <f t="shared" si="6"/>
        <v>42</v>
      </c>
      <c r="L30" s="319">
        <v>46286</v>
      </c>
      <c r="M30" s="318">
        <f t="shared" si="11"/>
        <v>46279</v>
      </c>
      <c r="N30" s="318">
        <f t="shared" si="8"/>
        <v>46279</v>
      </c>
      <c r="O30" s="319"/>
      <c r="P30" s="323"/>
      <c r="Q30" s="318" t="s">
        <v>318</v>
      </c>
      <c r="R30" s="319"/>
      <c r="S30" s="323"/>
      <c r="T30" s="324"/>
      <c r="U30" s="324"/>
      <c r="V30" s="324"/>
      <c r="W30" s="324"/>
      <c r="X30" s="325" t="s">
        <v>314</v>
      </c>
      <c r="Y30" s="320" t="s">
        <v>272</v>
      </c>
      <c r="Z30" s="322" t="s">
        <v>273</v>
      </c>
      <c r="AA30" s="322" t="s">
        <v>315</v>
      </c>
      <c r="AB30" s="323" t="s">
        <v>283</v>
      </c>
      <c r="AC30" s="326">
        <v>2.1</v>
      </c>
      <c r="AD30" s="327">
        <f t="shared" si="9"/>
        <v>1058.4</v>
      </c>
      <c r="AE30" s="327">
        <f t="shared" si="10"/>
        <v>8202.6</v>
      </c>
      <c r="AF30" s="328"/>
      <c r="AG30" s="329"/>
      <c r="AH30" s="319"/>
      <c r="AI30" s="323" t="s">
        <v>275</v>
      </c>
      <c r="AJ30" s="323"/>
      <c r="AK30" s="323"/>
      <c r="AL30" s="327">
        <f>IFERROR(VLOOKUP(G30,'已打发票扣数（26年5月开始）'!$A$1:$C$17,3,0)*I30*0.3,"")</f>
        <v>317.52</v>
      </c>
    </row>
    <row r="31" s="277" customFormat="1" customHeight="1" spans="1:38">
      <c r="A31" s="319">
        <v>46245</v>
      </c>
      <c r="B31" s="320" t="s">
        <v>208</v>
      </c>
      <c r="C31" s="320" t="s">
        <v>279</v>
      </c>
      <c r="D31" s="320" t="s">
        <v>312</v>
      </c>
      <c r="E31" s="320" t="s">
        <v>217</v>
      </c>
      <c r="F31" s="320" t="s">
        <v>218</v>
      </c>
      <c r="G31" s="320" t="s">
        <v>18</v>
      </c>
      <c r="H31" s="320" t="str">
        <f>VLOOKUP(G31,名称!A:B,2,0)</f>
        <v>恐龙公园二代</v>
      </c>
      <c r="I31" s="321">
        <v>504</v>
      </c>
      <c r="J31" s="322">
        <f>VLOOKUP(G31,名称!A:C,3,FALSE)</f>
        <v>12</v>
      </c>
      <c r="K31" s="322">
        <f t="shared" si="6"/>
        <v>42</v>
      </c>
      <c r="L31" s="319">
        <v>46286</v>
      </c>
      <c r="M31" s="318">
        <f t="shared" si="11"/>
        <v>46279</v>
      </c>
      <c r="N31" s="318">
        <f t="shared" si="8"/>
        <v>46279</v>
      </c>
      <c r="O31" s="319"/>
      <c r="P31" s="323"/>
      <c r="Q31" s="319"/>
      <c r="R31" s="319"/>
      <c r="S31" s="323"/>
      <c r="T31" s="324"/>
      <c r="U31" s="324"/>
      <c r="V31" s="324"/>
      <c r="W31" s="324"/>
      <c r="X31" s="390" t="s">
        <v>316</v>
      </c>
      <c r="Y31" s="320" t="s">
        <v>272</v>
      </c>
      <c r="Z31" s="322" t="s">
        <v>273</v>
      </c>
      <c r="AA31" s="322" t="s">
        <v>315</v>
      </c>
      <c r="AB31" s="323" t="s">
        <v>283</v>
      </c>
      <c r="AC31" s="326">
        <v>2.1</v>
      </c>
      <c r="AD31" s="327">
        <f t="shared" si="9"/>
        <v>1058.4</v>
      </c>
      <c r="AE31" s="327">
        <f t="shared" si="10"/>
        <v>8202.6</v>
      </c>
      <c r="AF31" s="328"/>
      <c r="AG31" s="329"/>
      <c r="AH31" s="319"/>
      <c r="AI31" s="323" t="s">
        <v>275</v>
      </c>
      <c r="AJ31" s="323"/>
      <c r="AK31" s="323"/>
      <c r="AL31" s="327">
        <f>IFERROR(VLOOKUP(G31,'已打发票扣数（26年5月开始）'!$A$1:$C$17,3,0)*I31*0.3,"")</f>
        <v>317.52</v>
      </c>
    </row>
    <row r="32" s="146" customFormat="1" customHeight="1" spans="1:38">
      <c r="A32" s="132"/>
      <c r="B32" s="330"/>
      <c r="C32" s="330"/>
      <c r="D32" s="330"/>
      <c r="E32" s="330"/>
      <c r="F32" s="330"/>
      <c r="G32" s="330"/>
      <c r="H32" s="330"/>
      <c r="I32" s="331"/>
      <c r="J32" s="126"/>
      <c r="K32" s="126"/>
      <c r="L32" s="132"/>
      <c r="M32" s="132"/>
      <c r="N32" s="132"/>
      <c r="O32" s="132"/>
      <c r="P32" s="126"/>
      <c r="Q32" s="132"/>
      <c r="R32" s="132"/>
      <c r="S32" s="126"/>
      <c r="T32" s="133"/>
      <c r="U32" s="133"/>
      <c r="V32" s="133"/>
      <c r="W32" s="133"/>
      <c r="X32" s="127"/>
      <c r="Y32" s="300"/>
      <c r="Z32" s="298"/>
      <c r="AA32" s="126"/>
      <c r="AB32" s="126"/>
      <c r="AC32" s="332"/>
      <c r="AD32" s="333">
        <f t="shared" si="9"/>
        <v>0</v>
      </c>
      <c r="AE32" s="333">
        <f t="shared" si="10"/>
        <v>0</v>
      </c>
      <c r="AF32" s="334"/>
      <c r="AG32" s="330"/>
      <c r="AH32" s="132"/>
      <c r="AI32" s="126"/>
      <c r="AJ32" s="126"/>
      <c r="AK32" s="126"/>
      <c r="AL32" s="333" t="str">
        <f>IFERROR(VLOOKUP(G32,'已打发票扣数（26年5月开始）'!$A$1:$C$17,3,0)*I32*0.3,"")</f>
        <v/>
      </c>
    </row>
    <row r="33" s="146" customFormat="1" customHeight="1" spans="1:38">
      <c r="A33" s="132"/>
      <c r="B33" s="330"/>
      <c r="C33" s="330"/>
      <c r="D33" s="330"/>
      <c r="E33" s="330"/>
      <c r="F33" s="330"/>
      <c r="G33" s="330"/>
      <c r="H33" s="330"/>
      <c r="I33" s="331"/>
      <c r="J33" s="126"/>
      <c r="K33" s="126"/>
      <c r="L33" s="132"/>
      <c r="M33" s="132"/>
      <c r="N33" s="132"/>
      <c r="O33" s="132"/>
      <c r="P33" s="126"/>
      <c r="Q33" s="132"/>
      <c r="R33" s="132"/>
      <c r="S33" s="126"/>
      <c r="T33" s="133"/>
      <c r="U33" s="133"/>
      <c r="V33" s="133"/>
      <c r="W33" s="133"/>
      <c r="X33" s="127"/>
      <c r="Y33" s="300"/>
      <c r="Z33" s="298"/>
      <c r="AA33" s="126"/>
      <c r="AB33" s="126"/>
      <c r="AC33" s="332"/>
      <c r="AD33" s="333">
        <f t="shared" si="9"/>
        <v>0</v>
      </c>
      <c r="AE33" s="333">
        <f t="shared" si="10"/>
        <v>0</v>
      </c>
      <c r="AF33" s="334"/>
      <c r="AG33" s="330"/>
      <c r="AH33" s="132"/>
      <c r="AI33" s="126"/>
      <c r="AJ33" s="126"/>
      <c r="AK33" s="126"/>
      <c r="AL33" s="333" t="str">
        <f>IFERROR(VLOOKUP(G33,'已打发票扣数（26年5月开始）'!$A$1:$C$17,3,0)*I33*0.3,"")</f>
        <v/>
      </c>
    </row>
    <row r="34" s="146" customFormat="1" customHeight="1" spans="1:38">
      <c r="A34" s="132"/>
      <c r="B34" s="330"/>
      <c r="C34" s="330"/>
      <c r="D34" s="330"/>
      <c r="E34" s="330"/>
      <c r="F34" s="330"/>
      <c r="G34" s="330"/>
      <c r="H34" s="330"/>
      <c r="I34" s="331"/>
      <c r="J34" s="126"/>
      <c r="K34" s="126"/>
      <c r="L34" s="132"/>
      <c r="M34" s="132"/>
      <c r="N34" s="132"/>
      <c r="O34" s="132"/>
      <c r="P34" s="126"/>
      <c r="Q34" s="132"/>
      <c r="R34" s="132"/>
      <c r="S34" s="126"/>
      <c r="T34" s="133"/>
      <c r="U34" s="133"/>
      <c r="V34" s="133"/>
      <c r="W34" s="133"/>
      <c r="X34" s="127"/>
      <c r="Y34" s="300"/>
      <c r="Z34" s="298"/>
      <c r="AA34" s="126"/>
      <c r="AB34" s="126"/>
      <c r="AC34" s="332"/>
      <c r="AD34" s="333">
        <f t="shared" si="9"/>
        <v>0</v>
      </c>
      <c r="AE34" s="333">
        <f t="shared" si="10"/>
        <v>0</v>
      </c>
      <c r="AF34" s="334"/>
      <c r="AG34" s="330"/>
      <c r="AH34" s="132"/>
      <c r="AI34" s="126"/>
      <c r="AJ34" s="126"/>
      <c r="AK34" s="126"/>
      <c r="AL34" s="333" t="str">
        <f>IFERROR(VLOOKUP(G34,'已打发票扣数（26年5月开始）'!$A$1:$C$17,3,0)*I34*0.3,"")</f>
        <v/>
      </c>
    </row>
    <row r="35" s="146" customFormat="1" customHeight="1" spans="1:38">
      <c r="A35" s="132"/>
      <c r="B35" s="330"/>
      <c r="C35" s="330"/>
      <c r="D35" s="330"/>
      <c r="E35" s="330"/>
      <c r="F35" s="330"/>
      <c r="G35" s="330"/>
      <c r="H35" s="330"/>
      <c r="I35" s="331"/>
      <c r="J35" s="126"/>
      <c r="K35" s="126"/>
      <c r="L35" s="132"/>
      <c r="M35" s="132"/>
      <c r="N35" s="132"/>
      <c r="O35" s="132"/>
      <c r="P35" s="126"/>
      <c r="Q35" s="132"/>
      <c r="R35" s="132"/>
      <c r="S35" s="126"/>
      <c r="T35" s="133"/>
      <c r="U35" s="133"/>
      <c r="V35" s="133"/>
      <c r="W35" s="133"/>
      <c r="X35" s="127"/>
      <c r="Y35" s="300"/>
      <c r="Z35" s="298"/>
      <c r="AA35" s="126"/>
      <c r="AB35" s="126"/>
      <c r="AC35" s="332"/>
      <c r="AD35" s="333">
        <f t="shared" si="9"/>
        <v>0</v>
      </c>
      <c r="AE35" s="333">
        <f t="shared" si="10"/>
        <v>0</v>
      </c>
      <c r="AF35" s="334"/>
      <c r="AG35" s="330"/>
      <c r="AH35" s="132"/>
      <c r="AI35" s="126"/>
      <c r="AJ35" s="126"/>
      <c r="AK35" s="126"/>
      <c r="AL35" s="333" t="str">
        <f>IFERROR(VLOOKUP(G35,'已打发票扣数（26年5月开始）'!$A$1:$C$17,3,0)*I35*0.3,"")</f>
        <v/>
      </c>
    </row>
    <row r="36" s="146" customFormat="1" customHeight="1" spans="1:38">
      <c r="A36" s="132"/>
      <c r="B36" s="330"/>
      <c r="C36" s="330"/>
      <c r="D36" s="330"/>
      <c r="E36" s="330"/>
      <c r="F36" s="330"/>
      <c r="G36" s="330"/>
      <c r="H36" s="330"/>
      <c r="I36" s="331"/>
      <c r="J36" s="126"/>
      <c r="K36" s="126"/>
      <c r="L36" s="132"/>
      <c r="M36" s="132"/>
      <c r="N36" s="132"/>
      <c r="O36" s="132"/>
      <c r="P36" s="126"/>
      <c r="Q36" s="132"/>
      <c r="R36" s="132"/>
      <c r="S36" s="126"/>
      <c r="T36" s="133"/>
      <c r="U36" s="133"/>
      <c r="V36" s="133"/>
      <c r="W36" s="133"/>
      <c r="X36" s="127"/>
      <c r="Y36" s="300"/>
      <c r="Z36" s="298"/>
      <c r="AA36" s="126"/>
      <c r="AB36" s="126"/>
      <c r="AC36" s="332"/>
      <c r="AD36" s="333">
        <f t="shared" si="9"/>
        <v>0</v>
      </c>
      <c r="AE36" s="333">
        <f t="shared" si="10"/>
        <v>0</v>
      </c>
      <c r="AF36" s="334"/>
      <c r="AG36" s="330"/>
      <c r="AH36" s="132"/>
      <c r="AI36" s="126"/>
      <c r="AJ36" s="126"/>
      <c r="AK36" s="126"/>
      <c r="AL36" s="333" t="str">
        <f>IFERROR(VLOOKUP(G36,'已打发票扣数（26年5月开始）'!$A$1:$C$17,3,0)*I36*0.3,"")</f>
        <v/>
      </c>
    </row>
    <row r="37" s="146" customFormat="1" customHeight="1" spans="1:38">
      <c r="A37" s="132"/>
      <c r="B37" s="330"/>
      <c r="C37" s="330"/>
      <c r="D37" s="330"/>
      <c r="E37" s="330"/>
      <c r="F37" s="330"/>
      <c r="G37" s="330"/>
      <c r="H37" s="330"/>
      <c r="I37" s="331"/>
      <c r="J37" s="126"/>
      <c r="K37" s="126"/>
      <c r="L37" s="132"/>
      <c r="M37" s="132"/>
      <c r="N37" s="132"/>
      <c r="O37" s="132"/>
      <c r="P37" s="126"/>
      <c r="Q37" s="132"/>
      <c r="R37" s="132"/>
      <c r="S37" s="126"/>
      <c r="T37" s="133"/>
      <c r="U37" s="133"/>
      <c r="V37" s="133"/>
      <c r="W37" s="133"/>
      <c r="X37" s="127"/>
      <c r="Y37" s="300"/>
      <c r="Z37" s="298"/>
      <c r="AA37" s="126"/>
      <c r="AB37" s="126"/>
      <c r="AC37" s="332"/>
      <c r="AD37" s="333">
        <f t="shared" si="9"/>
        <v>0</v>
      </c>
      <c r="AE37" s="333">
        <f t="shared" si="10"/>
        <v>0</v>
      </c>
      <c r="AF37" s="334"/>
      <c r="AG37" s="330"/>
      <c r="AH37" s="132"/>
      <c r="AI37" s="126"/>
      <c r="AJ37" s="126"/>
      <c r="AK37" s="126"/>
      <c r="AL37" s="333" t="str">
        <f>IFERROR(VLOOKUP(G37,'已打发票扣数（26年5月开始）'!$A$1:$C$17,3,0)*I37*0.3,"")</f>
        <v/>
      </c>
    </row>
    <row r="38" s="146" customFormat="1" customHeight="1" spans="1:38">
      <c r="A38" s="154"/>
      <c r="B38" s="156"/>
      <c r="C38" s="156"/>
      <c r="D38" s="156"/>
      <c r="E38" s="156"/>
      <c r="F38" s="156"/>
      <c r="G38" s="156"/>
      <c r="H38" s="156"/>
      <c r="I38" s="295"/>
      <c r="J38" s="155"/>
      <c r="K38" s="155"/>
      <c r="L38" s="154"/>
      <c r="M38" s="154"/>
      <c r="N38" s="154"/>
      <c r="O38" s="154"/>
      <c r="P38" s="155"/>
      <c r="Q38" s="154"/>
      <c r="R38" s="154"/>
      <c r="S38" s="155"/>
      <c r="T38" s="296"/>
      <c r="U38" s="296"/>
      <c r="V38" s="296"/>
      <c r="W38" s="296"/>
      <c r="X38" s="282"/>
      <c r="Y38" s="285"/>
      <c r="Z38" s="287"/>
      <c r="AA38" s="155"/>
      <c r="AB38" s="155"/>
      <c r="AC38" s="158"/>
      <c r="AD38" s="159">
        <f t="shared" si="9"/>
        <v>0</v>
      </c>
      <c r="AE38" s="159">
        <f t="shared" si="10"/>
        <v>0</v>
      </c>
      <c r="AF38" s="160"/>
      <c r="AG38" s="156"/>
      <c r="AH38" s="154"/>
      <c r="AI38" s="155"/>
      <c r="AJ38" s="155"/>
      <c r="AK38" s="155"/>
      <c r="AL38" s="159" t="str">
        <f>IFERROR(VLOOKUP(G38,'已打发票扣数（26年5月开始）'!$A$1:$C$17,3,0)*I38*0.3,"")</f>
        <v/>
      </c>
    </row>
    <row r="39" s="146" customFormat="1" customHeight="1" spans="1:38">
      <c r="A39" s="154"/>
      <c r="B39" s="156"/>
      <c r="C39" s="156"/>
      <c r="D39" s="156"/>
      <c r="E39" s="156"/>
      <c r="F39" s="156"/>
      <c r="G39" s="156"/>
      <c r="H39" s="156"/>
      <c r="I39" s="295"/>
      <c r="J39" s="155"/>
      <c r="K39" s="155"/>
      <c r="L39" s="154"/>
      <c r="M39" s="154"/>
      <c r="N39" s="154"/>
      <c r="O39" s="154"/>
      <c r="P39" s="155"/>
      <c r="Q39" s="154"/>
      <c r="R39" s="154"/>
      <c r="S39" s="155"/>
      <c r="T39" s="296"/>
      <c r="U39" s="296"/>
      <c r="V39" s="296"/>
      <c r="W39" s="296"/>
      <c r="X39" s="282"/>
      <c r="Y39" s="285"/>
      <c r="Z39" s="287"/>
      <c r="AA39" s="155"/>
      <c r="AB39" s="155"/>
      <c r="AC39" s="158"/>
      <c r="AD39" s="159">
        <f t="shared" si="9"/>
        <v>0</v>
      </c>
      <c r="AE39" s="159">
        <f t="shared" si="10"/>
        <v>0</v>
      </c>
      <c r="AF39" s="160"/>
      <c r="AG39" s="156"/>
      <c r="AH39" s="154"/>
      <c r="AI39" s="155"/>
      <c r="AJ39" s="155"/>
      <c r="AK39" s="155"/>
      <c r="AL39" s="159" t="str">
        <f>IFERROR(VLOOKUP(G39,'已打发票扣数（26年5月开始）'!$A$1:$C$17,3,0)*I39*0.3,"")</f>
        <v/>
      </c>
    </row>
    <row r="40" s="145" customFormat="1" customHeight="1" spans="1:38">
      <c r="A40" s="154"/>
      <c r="B40" s="155"/>
      <c r="C40" s="155"/>
      <c r="D40" s="156"/>
      <c r="E40" s="155"/>
      <c r="F40" s="155"/>
      <c r="G40" s="155"/>
      <c r="H40" s="155"/>
      <c r="I40" s="281">
        <f>SUM(I2:I39)</f>
        <v>17306</v>
      </c>
      <c r="J40" s="155"/>
      <c r="K40" s="155"/>
      <c r="L40" s="154"/>
      <c r="M40" s="155"/>
      <c r="N40" s="155"/>
      <c r="O40" s="155"/>
      <c r="P40" s="155"/>
      <c r="Q40" s="154"/>
      <c r="R40" s="154"/>
      <c r="S40" s="155"/>
      <c r="T40" s="155"/>
      <c r="U40" s="155"/>
      <c r="V40" s="155"/>
      <c r="W40" s="155"/>
      <c r="X40" s="282"/>
      <c r="Y40" s="155"/>
      <c r="Z40" s="155"/>
      <c r="AA40" s="155"/>
      <c r="AB40" s="155"/>
      <c r="AC40" s="158"/>
      <c r="AD40" s="159">
        <f>SUM(AD2:AD39)</f>
        <v>56641.8</v>
      </c>
      <c r="AE40" s="159">
        <f>SUM(AE2:AE39)</f>
        <v>438973.95</v>
      </c>
      <c r="AF40" s="160"/>
      <c r="AG40" s="155"/>
      <c r="AH40" s="154"/>
      <c r="AI40" s="155"/>
      <c r="AJ40" s="155"/>
      <c r="AK40" s="155"/>
      <c r="AL40" s="159"/>
    </row>
    <row r="41" customHeight="1" spans="1:38">
      <c r="E41" s="335"/>
    </row>
    <row r="43" customHeight="1" spans="1:38">
      <c r="S43" s="336"/>
    </row>
  </sheetData>
  <sheetProtection sheet="1" formatCells="0" formatColumns="0" formatRows="0" insertRows="0" insertColumns="0" insertHyperlinks="0" deleteColumns="0" deleteRows="0" autoFilter="0" pivotTables="0"/>
  <protectedRanges>
    <protectedRange sqref="$A1:$XFD1048576" name="Range1"/>
  </protectedRanges>
  <autoFilter xmlns:etc="http://www.wps.cn/officeDocument/2017/etCustomData" ref="A1:AL40" etc:filterBottomFollowUsedRange="0">
    <sortState ref="A1:AL40">
      <sortCondition ref="A1"/>
    </sortState>
    <extLst/>
  </autoFilter>
  <sortState ref="A2:AZ91">
    <sortCondition ref="N2:N91"/>
  </sortState>
  <conditionalFormatting sqref="D1 D40:D1048576">
    <cfRule type="containsText" dxfId="1" priority="54" operator="between" text="Wal-Mart">
      <formula>NOT(ISERROR(SEARCH("Wal-Mart",D1)))</formula>
    </cfRule>
  </conditionalFormatting>
  <pageMargins left="0.0784722222222222" right="0.0784722222222222" top="0.236111111111111" bottom="0.156944444444444" header="0.156944444444444" footer="0.118055555555556"/>
  <pageSetup paperSize="9" scale="50" orientation="landscape"/>
  <headerFooter/>
  <ignoredErrors>
    <ignoredError sqref="N1" unlockedFormula="1"/>
    <ignoredError sqref="Z1 W1" numberStoredAsText="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FF"/>
  </sheetPr>
  <dimension ref="A1:AL122"/>
  <sheetViews>
    <sheetView workbookViewId="0">
      <pane xSplit="9" ySplit="1" topLeftCell="AC42" activePane="bottomRight" state="frozen"/>
      <selection/>
      <selection pane="topRight"/>
      <selection pane="bottomLeft"/>
      <selection pane="bottomRight" activeCell="N2" sqref="N2"/>
    </sheetView>
  </sheetViews>
  <sheetFormatPr defaultColWidth="8.8" defaultRowHeight="25" customHeight="1"/>
  <cols>
    <col min="1" max="1" width="12.6" style="233" customWidth="1"/>
    <col min="2" max="3" width="8.6" style="233" customWidth="1"/>
    <col min="4" max="4" width="12.625" style="233" customWidth="1"/>
    <col min="5" max="7" width="10.625" style="233" customWidth="1"/>
    <col min="8" max="8" width="12.625" style="233" customWidth="1"/>
    <col min="9" max="9" width="6.625" style="236" customWidth="1"/>
    <col min="10" max="11" width="5.625" style="233" customWidth="1"/>
    <col min="12" max="12" width="12.6" style="233" hidden="1" customWidth="1"/>
    <col min="13" max="13" width="12.6" style="233" customWidth="1"/>
    <col min="14" max="15" width="12.6" style="233" hidden="1" customWidth="1"/>
    <col min="16" max="16" width="9.3" style="233" hidden="1" customWidth="1"/>
    <col min="17" max="17" width="12.6" style="233" customWidth="1"/>
    <col min="18" max="18" width="8.625" style="233" hidden="1" customWidth="1"/>
    <col min="19" max="20" width="10.6" style="233" hidden="1" customWidth="1"/>
    <col min="21" max="21" width="10.625" style="233" hidden="1" customWidth="1"/>
    <col min="22" max="23" width="5.625" style="233" hidden="1" customWidth="1"/>
    <col min="24" max="24" width="15.6" style="233" hidden="1" customWidth="1"/>
    <col min="25" max="25" width="15.625" style="233" customWidth="1"/>
    <col min="26" max="26" width="15.625" style="233" hidden="1" customWidth="1"/>
    <col min="27" max="27" width="10.6" style="233" hidden="1" customWidth="1"/>
    <col min="28" max="28" width="15.625" style="233" customWidth="1"/>
    <col min="29" max="29" width="8.6" style="233" customWidth="1"/>
    <col min="30" max="31" width="12.625" style="233" customWidth="1"/>
    <col min="32" max="32" width="10.625" style="233" customWidth="1"/>
    <col min="33" max="33" width="8.6" style="233" customWidth="1"/>
    <col min="34" max="34" width="12.6" style="233" customWidth="1"/>
    <col min="35" max="35" width="10.6" style="233" customWidth="1"/>
    <col min="36" max="37" width="8.625" style="237" customWidth="1"/>
    <col min="38" max="38" width="12.625" style="233" customWidth="1"/>
    <col min="39" max="16377" width="23.5" style="233"/>
    <col min="16378" max="16384" width="8.8" style="233"/>
  </cols>
  <sheetData>
    <row r="1" s="233" customFormat="1" customHeight="1" spans="1:38">
      <c r="A1" s="123" t="s">
        <v>53</v>
      </c>
      <c r="B1" s="82" t="s">
        <v>54</v>
      </c>
      <c r="C1" s="82" t="s">
        <v>236</v>
      </c>
      <c r="D1" s="87" t="s">
        <v>55</v>
      </c>
      <c r="E1" s="82" t="s">
        <v>56</v>
      </c>
      <c r="F1" s="82" t="s">
        <v>57</v>
      </c>
      <c r="G1" s="82" t="s">
        <v>58</v>
      </c>
      <c r="H1" s="124" t="s">
        <v>238</v>
      </c>
      <c r="I1" s="238" t="s">
        <v>59</v>
      </c>
      <c r="J1" s="82" t="s">
        <v>2</v>
      </c>
      <c r="K1" s="82" t="s">
        <v>239</v>
      </c>
      <c r="L1" s="82" t="s">
        <v>240</v>
      </c>
      <c r="M1" s="82" t="s">
        <v>241</v>
      </c>
      <c r="N1" s="125" t="s">
        <v>242</v>
      </c>
      <c r="O1" s="125" t="s">
        <v>319</v>
      </c>
      <c r="P1" s="126" t="s">
        <v>244</v>
      </c>
      <c r="Q1" s="123" t="s">
        <v>245</v>
      </c>
      <c r="R1" s="123" t="s">
        <v>246</v>
      </c>
      <c r="S1" s="126" t="s">
        <v>247</v>
      </c>
      <c r="T1" s="126" t="s">
        <v>248</v>
      </c>
      <c r="U1" s="126" t="s">
        <v>249</v>
      </c>
      <c r="V1" s="126" t="s">
        <v>250</v>
      </c>
      <c r="W1" s="126" t="s">
        <v>251</v>
      </c>
      <c r="X1" s="127" t="s">
        <v>3</v>
      </c>
      <c r="Y1" s="126" t="s">
        <v>252</v>
      </c>
      <c r="Z1" s="126" t="s">
        <v>253</v>
      </c>
      <c r="AA1" s="126" t="s">
        <v>254</v>
      </c>
      <c r="AB1" s="126" t="s">
        <v>255</v>
      </c>
      <c r="AC1" s="128" t="s">
        <v>256</v>
      </c>
      <c r="AD1" s="129" t="s">
        <v>257</v>
      </c>
      <c r="AE1" s="129" t="s">
        <v>258</v>
      </c>
      <c r="AF1" s="130" t="s">
        <v>320</v>
      </c>
      <c r="AG1" s="82" t="s">
        <v>260</v>
      </c>
      <c r="AH1" s="123" t="s">
        <v>60</v>
      </c>
      <c r="AI1" s="82" t="s">
        <v>261</v>
      </c>
      <c r="AJ1" s="82" t="s">
        <v>262</v>
      </c>
      <c r="AK1" s="82" t="s">
        <v>263</v>
      </c>
      <c r="AL1" s="129" t="s">
        <v>321</v>
      </c>
    </row>
    <row r="2" s="234" customFormat="1" customHeight="1" spans="1:38">
      <c r="A2" s="239">
        <v>45967</v>
      </c>
      <c r="B2" s="240" t="s">
        <v>100</v>
      </c>
      <c r="C2" s="240" t="s">
        <v>279</v>
      </c>
      <c r="D2" s="240" t="s">
        <v>101</v>
      </c>
      <c r="E2" s="241" t="s">
        <v>102</v>
      </c>
      <c r="F2" s="240" t="s">
        <v>103</v>
      </c>
      <c r="G2" s="240" t="s">
        <v>18</v>
      </c>
      <c r="H2" s="240" t="str">
        <f>VLOOKUP(G2,名称!A:B,2,0)</f>
        <v>恐龙公园二代</v>
      </c>
      <c r="I2" s="242">
        <v>1680</v>
      </c>
      <c r="J2" s="243">
        <f>VLOOKUP(G2,名称!A:C,3,FALSE)</f>
        <v>12</v>
      </c>
      <c r="K2" s="241">
        <f t="shared" ref="K2:K26" si="0">I2/J2</f>
        <v>140</v>
      </c>
      <c r="L2" s="239">
        <v>46021</v>
      </c>
      <c r="M2" s="239">
        <v>46021</v>
      </c>
      <c r="N2" s="239">
        <v>46021</v>
      </c>
      <c r="O2" s="244" t="s">
        <v>266</v>
      </c>
      <c r="P2" s="245"/>
      <c r="Q2" s="239" t="s">
        <v>322</v>
      </c>
      <c r="R2" s="245" t="s">
        <v>323</v>
      </c>
      <c r="S2" s="245"/>
      <c r="T2" s="246" t="s">
        <v>269</v>
      </c>
      <c r="U2" s="246"/>
      <c r="V2" s="246"/>
      <c r="W2" s="246"/>
      <c r="X2" s="247" t="s">
        <v>271</v>
      </c>
      <c r="Y2" s="240" t="s">
        <v>272</v>
      </c>
      <c r="Z2" s="245" t="s">
        <v>273</v>
      </c>
      <c r="AA2" s="245" t="s">
        <v>324</v>
      </c>
      <c r="AB2" s="245"/>
      <c r="AC2" s="248">
        <v>2.1</v>
      </c>
      <c r="AD2" s="249">
        <f t="shared" ref="AD2:AD54" si="1">AC2*I2</f>
        <v>3528</v>
      </c>
      <c r="AE2" s="249">
        <f t="shared" ref="AE2:AE54" si="2">AD2*7.75</f>
        <v>27342</v>
      </c>
      <c r="AF2" s="76">
        <v>83213</v>
      </c>
      <c r="AG2" s="240" t="str">
        <f>VLOOKUP(AF2,'[2]Toy Monster'!$L:$M,2,0)</f>
        <v>RR02车</v>
      </c>
      <c r="AH2" s="239">
        <f>VLOOKUP(AF2,'[2]Toy Monster'!$L:$T,9,FALSE)</f>
        <v>46027</v>
      </c>
      <c r="AI2" s="241" t="s">
        <v>275</v>
      </c>
      <c r="AJ2" s="241"/>
      <c r="AK2" s="241"/>
      <c r="AL2" s="249">
        <f>IFERROR(VLOOKUP(G2,'已打发票扣数（26年5月开始）'!$A$1:$C$17,3,0)*I2*0.3,"")</f>
        <v>1058.4</v>
      </c>
    </row>
    <row r="3" s="234" customFormat="1" customHeight="1" spans="1:38">
      <c r="A3" s="239">
        <v>45989</v>
      </c>
      <c r="B3" s="240" t="s">
        <v>113</v>
      </c>
      <c r="C3" s="240" t="s">
        <v>265</v>
      </c>
      <c r="D3" s="240" t="s">
        <v>114</v>
      </c>
      <c r="E3" s="241">
        <v>47895690</v>
      </c>
      <c r="F3" s="240" t="s">
        <v>115</v>
      </c>
      <c r="G3" s="240" t="s">
        <v>6</v>
      </c>
      <c r="H3" s="240" t="str">
        <f>VLOOKUP(G3,名称!A:B,2,0)</f>
        <v>恐龙游戏盘</v>
      </c>
      <c r="I3" s="242">
        <v>1014</v>
      </c>
      <c r="J3" s="243">
        <f>VLOOKUP(G3,名称!A:C,3,FALSE)</f>
        <v>6</v>
      </c>
      <c r="K3" s="241">
        <f t="shared" si="0"/>
        <v>169</v>
      </c>
      <c r="L3" s="239">
        <v>46041</v>
      </c>
      <c r="M3" s="239">
        <v>46036</v>
      </c>
      <c r="N3" s="239">
        <v>46036</v>
      </c>
      <c r="O3" s="244" t="s">
        <v>266</v>
      </c>
      <c r="P3" s="245" t="s">
        <v>269</v>
      </c>
      <c r="Q3" s="239"/>
      <c r="R3" s="245"/>
      <c r="S3" s="245"/>
      <c r="T3" s="246" t="s">
        <v>269</v>
      </c>
      <c r="U3" s="246"/>
      <c r="V3" s="246"/>
      <c r="W3" s="246"/>
      <c r="X3" s="247" t="s">
        <v>311</v>
      </c>
      <c r="Y3" s="240" t="s">
        <v>272</v>
      </c>
      <c r="Z3" s="245" t="s">
        <v>273</v>
      </c>
      <c r="AA3" s="245" t="s">
        <v>325</v>
      </c>
      <c r="AB3" s="245"/>
      <c r="AC3" s="248">
        <v>4.5</v>
      </c>
      <c r="AD3" s="249">
        <f t="shared" si="1"/>
        <v>4563</v>
      </c>
      <c r="AE3" s="249">
        <f t="shared" si="2"/>
        <v>35363.25</v>
      </c>
      <c r="AF3" s="76">
        <v>83218</v>
      </c>
      <c r="AG3" s="240" t="str">
        <f>VLOOKUP(AF3,'[2]Toy Monster'!$L:$M,2,0)</f>
        <v>RR19车</v>
      </c>
      <c r="AH3" s="239">
        <f>VLOOKUP(AF3,'[2]Toy Monster'!$L:$T,9,FALSE)</f>
        <v>46048</v>
      </c>
      <c r="AI3" s="241" t="s">
        <v>275</v>
      </c>
      <c r="AJ3" s="241"/>
      <c r="AK3" s="241"/>
      <c r="AL3" s="249">
        <f>IFERROR(VLOOKUP(G3,'已打发票扣数（26年5月开始）'!$A$1:$C$17,3,0)*I3*0.3,"")</f>
        <v>1368.9</v>
      </c>
    </row>
    <row r="4" s="234" customFormat="1" customHeight="1" spans="1:38">
      <c r="A4" s="239">
        <v>45989</v>
      </c>
      <c r="B4" s="240" t="s">
        <v>113</v>
      </c>
      <c r="C4" s="240" t="s">
        <v>265</v>
      </c>
      <c r="D4" s="240" t="s">
        <v>114</v>
      </c>
      <c r="E4" s="241">
        <v>47896520</v>
      </c>
      <c r="F4" s="240" t="s">
        <v>116</v>
      </c>
      <c r="G4" s="240" t="s">
        <v>6</v>
      </c>
      <c r="H4" s="240" t="str">
        <f>VLOOKUP(G4,名称!A:B,2,0)</f>
        <v>恐龙游戏盘</v>
      </c>
      <c r="I4" s="242">
        <v>624</v>
      </c>
      <c r="J4" s="243">
        <f>VLOOKUP(G4,名称!A:C,3,FALSE)</f>
        <v>6</v>
      </c>
      <c r="K4" s="241">
        <f t="shared" si="0"/>
        <v>104</v>
      </c>
      <c r="L4" s="239">
        <v>46041</v>
      </c>
      <c r="M4" s="239">
        <v>46036</v>
      </c>
      <c r="N4" s="239">
        <v>46036</v>
      </c>
      <c r="O4" s="244" t="s">
        <v>266</v>
      </c>
      <c r="P4" s="245" t="s">
        <v>269</v>
      </c>
      <c r="Q4" s="239" t="s">
        <v>326</v>
      </c>
      <c r="R4" s="245"/>
      <c r="S4" s="245"/>
      <c r="T4" s="246" t="s">
        <v>269</v>
      </c>
      <c r="U4" s="246"/>
      <c r="V4" s="246"/>
      <c r="W4" s="246"/>
      <c r="X4" s="247" t="s">
        <v>311</v>
      </c>
      <c r="Y4" s="240" t="s">
        <v>272</v>
      </c>
      <c r="Z4" s="245" t="s">
        <v>273</v>
      </c>
      <c r="AA4" s="245" t="s">
        <v>325</v>
      </c>
      <c r="AB4" s="245"/>
      <c r="AC4" s="248">
        <v>4.5</v>
      </c>
      <c r="AD4" s="249">
        <f t="shared" si="1"/>
        <v>2808</v>
      </c>
      <c r="AE4" s="249">
        <f t="shared" si="2"/>
        <v>21762</v>
      </c>
      <c r="AF4" s="76">
        <v>83219</v>
      </c>
      <c r="AG4" s="240" t="str">
        <f>VLOOKUP(AF4,'[2]Toy Monster'!$L:$M,2,0)</f>
        <v>RR19车</v>
      </c>
      <c r="AH4" s="239">
        <f>VLOOKUP(AF4,'[2]Toy Monster'!$L:$T,9,FALSE)</f>
        <v>46048</v>
      </c>
      <c r="AI4" s="241" t="s">
        <v>275</v>
      </c>
      <c r="AJ4" s="241"/>
      <c r="AK4" s="241"/>
      <c r="AL4" s="249">
        <f>IFERROR(VLOOKUP(G4,'已打发票扣数（26年5月开始）'!$A$1:$C$17,3,0)*I4*0.3,"")</f>
        <v>842.4</v>
      </c>
    </row>
    <row r="5" s="234" customFormat="1" customHeight="1" spans="1:38">
      <c r="A5" s="239">
        <v>46010</v>
      </c>
      <c r="B5" s="240" t="s">
        <v>113</v>
      </c>
      <c r="C5" s="240" t="s">
        <v>265</v>
      </c>
      <c r="D5" s="240" t="s">
        <v>114</v>
      </c>
      <c r="E5" s="241">
        <v>47905042</v>
      </c>
      <c r="F5" s="240" t="s">
        <v>126</v>
      </c>
      <c r="G5" s="240" t="s">
        <v>6</v>
      </c>
      <c r="H5" s="240" t="str">
        <f>VLOOKUP(G5,名称!A:B,2,0)</f>
        <v>恐龙游戏盘</v>
      </c>
      <c r="I5" s="242">
        <v>1200</v>
      </c>
      <c r="J5" s="243">
        <f>VLOOKUP(G5,名称!A:C,3,FALSE)</f>
        <v>6</v>
      </c>
      <c r="K5" s="241">
        <f t="shared" si="0"/>
        <v>200</v>
      </c>
      <c r="L5" s="239">
        <v>46041</v>
      </c>
      <c r="M5" s="239">
        <v>46036</v>
      </c>
      <c r="N5" s="239">
        <v>46036</v>
      </c>
      <c r="O5" s="244" t="s">
        <v>266</v>
      </c>
      <c r="P5" s="245" t="s">
        <v>269</v>
      </c>
      <c r="Q5" s="239"/>
      <c r="R5" s="245"/>
      <c r="S5" s="245"/>
      <c r="T5" s="246" t="s">
        <v>269</v>
      </c>
      <c r="U5" s="246"/>
      <c r="V5" s="246"/>
      <c r="W5" s="246"/>
      <c r="X5" s="247" t="s">
        <v>311</v>
      </c>
      <c r="Y5" s="240" t="s">
        <v>272</v>
      </c>
      <c r="Z5" s="245" t="s">
        <v>273</v>
      </c>
      <c r="AA5" s="245" t="s">
        <v>325</v>
      </c>
      <c r="AB5" s="245"/>
      <c r="AC5" s="248">
        <v>4.5</v>
      </c>
      <c r="AD5" s="249">
        <f t="shared" si="1"/>
        <v>5400</v>
      </c>
      <c r="AE5" s="249">
        <f t="shared" si="2"/>
        <v>41850</v>
      </c>
      <c r="AF5" s="76">
        <v>83220</v>
      </c>
      <c r="AG5" s="240" t="str">
        <f>VLOOKUP(AF5,'[2]Toy Monster'!$L:$M,2,0)</f>
        <v>RR19车</v>
      </c>
      <c r="AH5" s="239">
        <f>VLOOKUP(AF5,'[2]Toy Monster'!$L:$T,9,FALSE)</f>
        <v>46048</v>
      </c>
      <c r="AI5" s="241" t="s">
        <v>275</v>
      </c>
      <c r="AJ5" s="241"/>
      <c r="AK5" s="241"/>
      <c r="AL5" s="249">
        <f>IFERROR(VLOOKUP(G5,'已打发票扣数（26年5月开始）'!$A$1:$C$17,3,0)*I5*0.3,"")</f>
        <v>1620</v>
      </c>
    </row>
    <row r="6" s="234" customFormat="1" customHeight="1" spans="1:38">
      <c r="A6" s="239">
        <v>45996</v>
      </c>
      <c r="B6" s="240" t="s">
        <v>121</v>
      </c>
      <c r="C6" s="240" t="s">
        <v>279</v>
      </c>
      <c r="D6" s="240" t="s">
        <v>122</v>
      </c>
      <c r="E6" s="241" t="s">
        <v>123</v>
      </c>
      <c r="F6" s="240" t="s">
        <v>124</v>
      </c>
      <c r="G6" s="240" t="s">
        <v>18</v>
      </c>
      <c r="H6" s="240" t="str">
        <f>VLOOKUP(G6,名称!A:B,2,0)</f>
        <v>恐龙公园二代</v>
      </c>
      <c r="I6" s="242">
        <v>720</v>
      </c>
      <c r="J6" s="243">
        <f>VLOOKUP(G6,名称!A:C,3,FALSE)</f>
        <v>12</v>
      </c>
      <c r="K6" s="241">
        <f t="shared" si="0"/>
        <v>60</v>
      </c>
      <c r="L6" s="239">
        <v>46043</v>
      </c>
      <c r="M6" s="239">
        <v>46043</v>
      </c>
      <c r="N6" s="239">
        <v>46043</v>
      </c>
      <c r="O6" s="244" t="s">
        <v>266</v>
      </c>
      <c r="P6" s="245" t="s">
        <v>269</v>
      </c>
      <c r="Q6" s="239"/>
      <c r="R6" s="245" t="s">
        <v>327</v>
      </c>
      <c r="S6" s="245"/>
      <c r="T6" s="246" t="s">
        <v>269</v>
      </c>
      <c r="U6" s="246"/>
      <c r="V6" s="246"/>
      <c r="W6" s="246"/>
      <c r="X6" s="247" t="s">
        <v>271</v>
      </c>
      <c r="Y6" s="240" t="s">
        <v>272</v>
      </c>
      <c r="Z6" s="245" t="s">
        <v>273</v>
      </c>
      <c r="AA6" s="245" t="s">
        <v>324</v>
      </c>
      <c r="AB6" s="245"/>
      <c r="AC6" s="248">
        <v>2.1</v>
      </c>
      <c r="AD6" s="249">
        <f t="shared" si="1"/>
        <v>1512</v>
      </c>
      <c r="AE6" s="249">
        <f t="shared" si="2"/>
        <v>11718</v>
      </c>
      <c r="AF6" s="76">
        <v>83221</v>
      </c>
      <c r="AG6" s="240" t="str">
        <f>VLOOKUP(AF6,'[2]Toy Monster'!$L:$M,2,0)</f>
        <v>RR27客上车</v>
      </c>
      <c r="AH6" s="239">
        <f>VLOOKUP(AF6,'[2]Toy Monster'!$L:$T,9,FALSE)</f>
        <v>46052</v>
      </c>
      <c r="AI6" s="241" t="s">
        <v>275</v>
      </c>
      <c r="AJ6" s="241"/>
      <c r="AK6" s="241" t="s">
        <v>328</v>
      </c>
      <c r="AL6" s="249">
        <f>IFERROR(VLOOKUP(G6,'已打发票扣数（26年5月开始）'!$A$1:$C$17,3,0)*I6*0.3,"")</f>
        <v>453.6</v>
      </c>
    </row>
    <row r="7" s="234" customFormat="1" customHeight="1" spans="1:38">
      <c r="A7" s="239">
        <v>45981</v>
      </c>
      <c r="B7" s="240" t="s">
        <v>104</v>
      </c>
      <c r="C7" s="240" t="s">
        <v>329</v>
      </c>
      <c r="D7" s="240" t="s">
        <v>105</v>
      </c>
      <c r="E7" s="241" t="s">
        <v>106</v>
      </c>
      <c r="F7" s="240" t="s">
        <v>107</v>
      </c>
      <c r="G7" s="240" t="s">
        <v>20</v>
      </c>
      <c r="H7" s="240" t="str">
        <f>VLOOKUP(G7,名称!A:B,2,0)</f>
        <v>9.5寸粉红熊公仔（移印）</v>
      </c>
      <c r="I7" s="242">
        <v>800</v>
      </c>
      <c r="J7" s="243">
        <f>VLOOKUP(G7,名称!A:C,3,FALSE)</f>
        <v>2</v>
      </c>
      <c r="K7" s="241">
        <f t="shared" si="0"/>
        <v>400</v>
      </c>
      <c r="L7" s="239">
        <v>46045</v>
      </c>
      <c r="M7" s="239">
        <v>46036</v>
      </c>
      <c r="N7" s="239">
        <v>46036</v>
      </c>
      <c r="O7" s="244" t="s">
        <v>266</v>
      </c>
      <c r="P7" s="245" t="s">
        <v>269</v>
      </c>
      <c r="Q7" s="239" t="s">
        <v>330</v>
      </c>
      <c r="R7" s="245" t="s">
        <v>331</v>
      </c>
      <c r="S7" s="245"/>
      <c r="T7" s="246" t="s">
        <v>269</v>
      </c>
      <c r="U7" s="246"/>
      <c r="V7" s="246"/>
      <c r="W7" s="246"/>
      <c r="X7" s="247" t="s">
        <v>332</v>
      </c>
      <c r="Y7" s="240" t="s">
        <v>286</v>
      </c>
      <c r="Z7" s="245" t="s">
        <v>287</v>
      </c>
      <c r="AA7" s="245" t="s">
        <v>333</v>
      </c>
      <c r="AB7" s="245"/>
      <c r="AC7" s="248">
        <v>6.2</v>
      </c>
      <c r="AD7" s="249">
        <f t="shared" si="1"/>
        <v>4960</v>
      </c>
      <c r="AE7" s="249">
        <f t="shared" si="2"/>
        <v>38440</v>
      </c>
      <c r="AF7" s="76">
        <v>83222</v>
      </c>
      <c r="AG7" s="240" t="str">
        <f>VLOOKUP(AF7,'[2]Toy Monster'!$L:$M,2,0)</f>
        <v>RR103柜</v>
      </c>
      <c r="AH7" s="239">
        <f>VLOOKUP(AF7,'[2]Toy Monster'!$L:$T,9,FALSE)</f>
        <v>46052</v>
      </c>
      <c r="AI7" s="241" t="s">
        <v>275</v>
      </c>
      <c r="AJ7" s="241"/>
      <c r="AK7" s="241" t="s">
        <v>334</v>
      </c>
      <c r="AL7" s="249">
        <f>IFERROR(VLOOKUP(G7,'已打发票扣数（26年5月开始）'!$A$1:$C$17,3,0)*I7*0.3,"")</f>
        <v>1521.6</v>
      </c>
    </row>
    <row r="8" s="234" customFormat="1" customHeight="1" spans="1:38">
      <c r="A8" s="239">
        <v>45981</v>
      </c>
      <c r="B8" s="240" t="s">
        <v>104</v>
      </c>
      <c r="C8" s="240" t="s">
        <v>329</v>
      </c>
      <c r="D8" s="240" t="s">
        <v>105</v>
      </c>
      <c r="E8" s="241" t="s">
        <v>106</v>
      </c>
      <c r="F8" s="240" t="s">
        <v>107</v>
      </c>
      <c r="G8" s="240" t="s">
        <v>23</v>
      </c>
      <c r="H8" s="240" t="str">
        <f>VLOOKUP(G8,名称!A:B,2,0)</f>
        <v>9.5寸格力奇公仔
（移印）</v>
      </c>
      <c r="I8" s="242">
        <v>800</v>
      </c>
      <c r="J8" s="243">
        <f>VLOOKUP(G8,名称!A:C,3,FALSE)</f>
        <v>2</v>
      </c>
      <c r="K8" s="241">
        <f t="shared" si="0"/>
        <v>400</v>
      </c>
      <c r="L8" s="239">
        <v>46045</v>
      </c>
      <c r="M8" s="239">
        <v>46036</v>
      </c>
      <c r="N8" s="239">
        <v>46036</v>
      </c>
      <c r="O8" s="244" t="s">
        <v>266</v>
      </c>
      <c r="P8" s="245" t="s">
        <v>269</v>
      </c>
      <c r="Q8" s="239" t="s">
        <v>330</v>
      </c>
      <c r="R8" s="245" t="s">
        <v>331</v>
      </c>
      <c r="S8" s="245"/>
      <c r="T8" s="246" t="s">
        <v>269</v>
      </c>
      <c r="U8" s="246"/>
      <c r="V8" s="246"/>
      <c r="W8" s="246"/>
      <c r="X8" s="247" t="s">
        <v>335</v>
      </c>
      <c r="Y8" s="240" t="s">
        <v>286</v>
      </c>
      <c r="Z8" s="245" t="s">
        <v>287</v>
      </c>
      <c r="AA8" s="245" t="s">
        <v>333</v>
      </c>
      <c r="AB8" s="245"/>
      <c r="AC8" s="248">
        <v>6.5</v>
      </c>
      <c r="AD8" s="249">
        <f t="shared" si="1"/>
        <v>5200</v>
      </c>
      <c r="AE8" s="249">
        <f t="shared" si="2"/>
        <v>40300</v>
      </c>
      <c r="AF8" s="76">
        <v>83222</v>
      </c>
      <c r="AG8" s="240" t="str">
        <f>VLOOKUP(AF8,'[2]Toy Monster'!$L:$M,2,0)</f>
        <v>RR103柜</v>
      </c>
      <c r="AH8" s="239">
        <f>VLOOKUP(AF8,'[2]Toy Monster'!$L:$T,9,FALSE)</f>
        <v>46052</v>
      </c>
      <c r="AI8" s="241" t="s">
        <v>275</v>
      </c>
      <c r="AJ8" s="241"/>
      <c r="AK8" s="241" t="s">
        <v>334</v>
      </c>
      <c r="AL8" s="249">
        <f>IFERROR(VLOOKUP(G8,'已打发票扣数（26年5月开始）'!$A$1:$C$17,3,0)*I8*0.3,"")</f>
        <v>1593.6</v>
      </c>
    </row>
    <row r="9" s="234" customFormat="1" customHeight="1" spans="1:38">
      <c r="A9" s="239">
        <v>45986</v>
      </c>
      <c r="B9" s="240" t="s">
        <v>108</v>
      </c>
      <c r="C9" s="240" t="s">
        <v>302</v>
      </c>
      <c r="D9" s="240" t="s">
        <v>109</v>
      </c>
      <c r="E9" s="241" t="s">
        <v>110</v>
      </c>
      <c r="F9" s="240" t="s">
        <v>111</v>
      </c>
      <c r="G9" s="240" t="s">
        <v>20</v>
      </c>
      <c r="H9" s="240" t="str">
        <f>VLOOKUP(G9,名称!A:B,2,0)</f>
        <v>9.5寸粉红熊公仔（移印）</v>
      </c>
      <c r="I9" s="242">
        <v>2304</v>
      </c>
      <c r="J9" s="243">
        <f>VLOOKUP(G9,名称!A:C,3,FALSE)</f>
        <v>2</v>
      </c>
      <c r="K9" s="241">
        <f t="shared" si="0"/>
        <v>1152</v>
      </c>
      <c r="L9" s="239">
        <v>46037</v>
      </c>
      <c r="M9" s="239">
        <v>46036</v>
      </c>
      <c r="N9" s="239">
        <v>46036</v>
      </c>
      <c r="O9" s="244" t="s">
        <v>266</v>
      </c>
      <c r="P9" s="245" t="s">
        <v>269</v>
      </c>
      <c r="Q9" s="239">
        <v>46053</v>
      </c>
      <c r="R9" s="245" t="s">
        <v>336</v>
      </c>
      <c r="S9" s="245"/>
      <c r="T9" s="246" t="s">
        <v>269</v>
      </c>
      <c r="U9" s="246"/>
      <c r="V9" s="246"/>
      <c r="W9" s="246"/>
      <c r="X9" s="247" t="s">
        <v>332</v>
      </c>
      <c r="Y9" s="240" t="s">
        <v>286</v>
      </c>
      <c r="Z9" s="245" t="s">
        <v>287</v>
      </c>
      <c r="AA9" s="245" t="s">
        <v>333</v>
      </c>
      <c r="AB9" s="245" t="s">
        <v>337</v>
      </c>
      <c r="AC9" s="250">
        <v>6.2</v>
      </c>
      <c r="AD9" s="249">
        <f t="shared" si="1"/>
        <v>14284.8</v>
      </c>
      <c r="AE9" s="249">
        <f t="shared" si="2"/>
        <v>110707.2</v>
      </c>
      <c r="AF9" s="76">
        <v>83223</v>
      </c>
      <c r="AG9" s="240" t="str">
        <f>VLOOKUP(AF9,'[2]Toy Monster'!$L:$M,2,0)</f>
        <v>RR21车</v>
      </c>
      <c r="AH9" s="239">
        <f>VLOOKUP(AF9,'[2]Toy Monster'!$L:$T,9,FALSE)</f>
        <v>46059</v>
      </c>
      <c r="AI9" s="241" t="s">
        <v>275</v>
      </c>
      <c r="AJ9" s="241"/>
      <c r="AK9" s="241" t="s">
        <v>338</v>
      </c>
      <c r="AL9" s="249">
        <f>IFERROR(VLOOKUP(G9,'已打发票扣数（26年5月开始）'!$A$1:$C$17,3,0)*I9*0.3,"")</f>
        <v>4382.21</v>
      </c>
    </row>
    <row r="10" s="234" customFormat="1" customHeight="1" spans="1:38">
      <c r="A10" s="239">
        <v>45986</v>
      </c>
      <c r="B10" s="240" t="s">
        <v>108</v>
      </c>
      <c r="C10" s="240" t="s">
        <v>302</v>
      </c>
      <c r="D10" s="240" t="s">
        <v>109</v>
      </c>
      <c r="E10" s="241" t="s">
        <v>110</v>
      </c>
      <c r="F10" s="240" t="s">
        <v>111</v>
      </c>
      <c r="G10" s="240" t="s">
        <v>23</v>
      </c>
      <c r="H10" s="240" t="str">
        <f>VLOOKUP(G10,名称!A:B,2,0)</f>
        <v>9.5寸格力奇公仔
（移印）</v>
      </c>
      <c r="I10" s="242">
        <v>2304</v>
      </c>
      <c r="J10" s="243">
        <f>VLOOKUP(G10,名称!A:C,3,FALSE)</f>
        <v>2</v>
      </c>
      <c r="K10" s="241">
        <f t="shared" si="0"/>
        <v>1152</v>
      </c>
      <c r="L10" s="239">
        <v>46037</v>
      </c>
      <c r="M10" s="239">
        <v>46036</v>
      </c>
      <c r="N10" s="239">
        <v>46036</v>
      </c>
      <c r="O10" s="244" t="s">
        <v>266</v>
      </c>
      <c r="P10" s="245" t="s">
        <v>269</v>
      </c>
      <c r="Q10" s="239">
        <v>46053</v>
      </c>
      <c r="R10" s="245" t="s">
        <v>336</v>
      </c>
      <c r="S10" s="245"/>
      <c r="T10" s="246" t="s">
        <v>269</v>
      </c>
      <c r="U10" s="246"/>
      <c r="V10" s="246"/>
      <c r="W10" s="246"/>
      <c r="X10" s="247" t="s">
        <v>335</v>
      </c>
      <c r="Y10" s="240" t="s">
        <v>286</v>
      </c>
      <c r="Z10" s="245" t="s">
        <v>287</v>
      </c>
      <c r="AA10" s="245" t="s">
        <v>333</v>
      </c>
      <c r="AB10" s="245" t="s">
        <v>337</v>
      </c>
      <c r="AC10" s="250">
        <v>6.5</v>
      </c>
      <c r="AD10" s="249">
        <f t="shared" si="1"/>
        <v>14976</v>
      </c>
      <c r="AE10" s="249">
        <f t="shared" si="2"/>
        <v>116064</v>
      </c>
      <c r="AF10" s="76">
        <v>83223</v>
      </c>
      <c r="AG10" s="240" t="str">
        <f>VLOOKUP(AF10,'[2]Toy Monster'!$L:$M,2,0)</f>
        <v>RR21车</v>
      </c>
      <c r="AH10" s="239">
        <f>VLOOKUP(AF10,'[2]Toy Monster'!$L:$T,9,FALSE)</f>
        <v>46059</v>
      </c>
      <c r="AI10" s="241" t="s">
        <v>275</v>
      </c>
      <c r="AJ10" s="241"/>
      <c r="AK10" s="241" t="s">
        <v>338</v>
      </c>
      <c r="AL10" s="249">
        <f>IFERROR(VLOOKUP(G10,'已打发票扣数（26年5月开始）'!$A$1:$C$17,3,0)*I10*0.3,"")</f>
        <v>4589.57</v>
      </c>
    </row>
    <row r="11" s="234" customFormat="1" customHeight="1" spans="1:38">
      <c r="A11" s="239">
        <v>46010</v>
      </c>
      <c r="B11" s="240" t="s">
        <v>108</v>
      </c>
      <c r="C11" s="240" t="s">
        <v>302</v>
      </c>
      <c r="D11" s="240" t="s">
        <v>109</v>
      </c>
      <c r="E11" s="241" t="s">
        <v>110</v>
      </c>
      <c r="F11" s="240" t="s">
        <v>125</v>
      </c>
      <c r="G11" s="240" t="s">
        <v>26</v>
      </c>
      <c r="H11" s="240" t="str">
        <f>VLOOKUP(G11,名称!A:B,2,0)</f>
        <v>FLiar</v>
      </c>
      <c r="I11" s="242">
        <v>4676</v>
      </c>
      <c r="J11" s="243">
        <f>VLOOKUP(G11,名称!A:C,3,FALSE)</f>
        <v>2</v>
      </c>
      <c r="K11" s="241">
        <f t="shared" si="0"/>
        <v>2338</v>
      </c>
      <c r="L11" s="239">
        <v>46052</v>
      </c>
      <c r="M11" s="239">
        <f t="shared" ref="M11:M13" si="3">L11-4</f>
        <v>46048</v>
      </c>
      <c r="N11" s="239">
        <v>46056</v>
      </c>
      <c r="O11" s="244" t="s">
        <v>266</v>
      </c>
      <c r="P11" s="245" t="s">
        <v>269</v>
      </c>
      <c r="Q11" s="239" t="s">
        <v>339</v>
      </c>
      <c r="R11" s="245" t="s">
        <v>340</v>
      </c>
      <c r="S11" s="245"/>
      <c r="T11" s="246" t="s">
        <v>269</v>
      </c>
      <c r="U11" s="246"/>
      <c r="V11" s="246"/>
      <c r="W11" s="246"/>
      <c r="X11" s="247" t="s">
        <v>341</v>
      </c>
      <c r="Y11" s="240" t="s">
        <v>286</v>
      </c>
      <c r="Z11" s="245" t="s">
        <v>287</v>
      </c>
      <c r="AA11" s="245" t="s">
        <v>342</v>
      </c>
      <c r="AB11" s="245"/>
      <c r="AC11" s="248">
        <v>6.15</v>
      </c>
      <c r="AD11" s="249">
        <f t="shared" si="1"/>
        <v>28757.4</v>
      </c>
      <c r="AE11" s="249">
        <f t="shared" si="2"/>
        <v>222869.85</v>
      </c>
      <c r="AF11" s="76">
        <v>83224</v>
      </c>
      <c r="AG11" s="240" t="str">
        <f>VLOOKUP(AF11,'[2]Toy Monster'!$L:$M,2,0)</f>
        <v>RR131-132柜</v>
      </c>
      <c r="AH11" s="239">
        <f>VLOOKUP(AF11,'[2]Toy Monster'!$L:$T,9,FALSE)</f>
        <v>46062</v>
      </c>
      <c r="AI11" s="241" t="s">
        <v>275</v>
      </c>
      <c r="AJ11" s="241"/>
      <c r="AK11" s="241" t="s">
        <v>343</v>
      </c>
      <c r="AL11" s="249" t="str">
        <f>IFERROR(VLOOKUP(G11,'已打发票扣数（26年5月开始）'!$A$1:$C$17,3,0)*I11*0.3,"")</f>
        <v/>
      </c>
    </row>
    <row r="12" s="234" customFormat="1" customHeight="1" spans="1:38">
      <c r="A12" s="239">
        <v>46010</v>
      </c>
      <c r="B12" s="240" t="s">
        <v>108</v>
      </c>
      <c r="C12" s="240" t="s">
        <v>302</v>
      </c>
      <c r="D12" s="240" t="s">
        <v>109</v>
      </c>
      <c r="E12" s="241" t="s">
        <v>110</v>
      </c>
      <c r="F12" s="240" t="s">
        <v>125</v>
      </c>
      <c r="G12" s="240" t="s">
        <v>28</v>
      </c>
      <c r="H12" s="240" t="str">
        <f>VLOOKUP(G12,名称!A:B,2,0)</f>
        <v>Striker</v>
      </c>
      <c r="I12" s="242">
        <v>4376</v>
      </c>
      <c r="J12" s="243">
        <f>VLOOKUP(G12,名称!A:C,3,FALSE)</f>
        <v>2</v>
      </c>
      <c r="K12" s="241">
        <f t="shared" si="0"/>
        <v>2188</v>
      </c>
      <c r="L12" s="239">
        <v>46052</v>
      </c>
      <c r="M12" s="239">
        <f t="shared" si="3"/>
        <v>46048</v>
      </c>
      <c r="N12" s="239">
        <v>46056</v>
      </c>
      <c r="O12" s="244" t="s">
        <v>266</v>
      </c>
      <c r="P12" s="245" t="s">
        <v>269</v>
      </c>
      <c r="Q12" s="239" t="s">
        <v>339</v>
      </c>
      <c r="R12" s="245" t="s">
        <v>340</v>
      </c>
      <c r="S12" s="245"/>
      <c r="T12" s="246" t="s">
        <v>269</v>
      </c>
      <c r="U12" s="246"/>
      <c r="V12" s="246"/>
      <c r="W12" s="246"/>
      <c r="X12" s="247" t="s">
        <v>344</v>
      </c>
      <c r="Y12" s="240" t="s">
        <v>286</v>
      </c>
      <c r="Z12" s="245" t="s">
        <v>287</v>
      </c>
      <c r="AA12" s="245" t="s">
        <v>342</v>
      </c>
      <c r="AB12" s="245"/>
      <c r="AC12" s="248">
        <v>6.47</v>
      </c>
      <c r="AD12" s="249">
        <f t="shared" si="1"/>
        <v>28312.72</v>
      </c>
      <c r="AE12" s="249">
        <f t="shared" si="2"/>
        <v>219423.58</v>
      </c>
      <c r="AF12" s="76">
        <v>83224</v>
      </c>
      <c r="AG12" s="240" t="str">
        <f>VLOOKUP(AF12,'[2]Toy Monster'!$L:$M,2,0)</f>
        <v>RR131-132柜</v>
      </c>
      <c r="AH12" s="239">
        <f>VLOOKUP(AF12,'[2]Toy Monster'!$L:$T,9,FALSE)</f>
        <v>46062</v>
      </c>
      <c r="AI12" s="241" t="s">
        <v>275</v>
      </c>
      <c r="AJ12" s="241"/>
      <c r="AK12" s="241" t="s">
        <v>343</v>
      </c>
      <c r="AL12" s="249" t="str">
        <f>IFERROR(VLOOKUP(G12,'已打发票扣数（26年5月开始）'!$A$1:$C$17,3,0)*I12*0.3,"")</f>
        <v/>
      </c>
    </row>
    <row r="13" s="234" customFormat="1" customHeight="1" spans="1:38">
      <c r="A13" s="239">
        <v>46010</v>
      </c>
      <c r="B13" s="240" t="s">
        <v>108</v>
      </c>
      <c r="C13" s="240" t="s">
        <v>302</v>
      </c>
      <c r="D13" s="240" t="s">
        <v>109</v>
      </c>
      <c r="E13" s="241" t="s">
        <v>110</v>
      </c>
      <c r="F13" s="240" t="s">
        <v>125</v>
      </c>
      <c r="G13" s="240" t="s">
        <v>30</v>
      </c>
      <c r="H13" s="240" t="str">
        <f>VLOOKUP(G13,名称!A:B,2,0)</f>
        <v>Clutch</v>
      </c>
      <c r="I13" s="242">
        <v>4476</v>
      </c>
      <c r="J13" s="243">
        <f>VLOOKUP(G13,名称!A:C,3,FALSE)</f>
        <v>2</v>
      </c>
      <c r="K13" s="241">
        <f t="shared" si="0"/>
        <v>2238</v>
      </c>
      <c r="L13" s="239">
        <v>46052</v>
      </c>
      <c r="M13" s="239">
        <f t="shared" si="3"/>
        <v>46048</v>
      </c>
      <c r="N13" s="239">
        <v>46056</v>
      </c>
      <c r="O13" s="244" t="s">
        <v>266</v>
      </c>
      <c r="P13" s="245" t="s">
        <v>269</v>
      </c>
      <c r="Q13" s="239" t="s">
        <v>339</v>
      </c>
      <c r="R13" s="245" t="s">
        <v>340</v>
      </c>
      <c r="S13" s="245"/>
      <c r="T13" s="246" t="s">
        <v>269</v>
      </c>
      <c r="U13" s="246"/>
      <c r="V13" s="246"/>
      <c r="W13" s="246"/>
      <c r="X13" s="247" t="s">
        <v>345</v>
      </c>
      <c r="Y13" s="240" t="s">
        <v>286</v>
      </c>
      <c r="Z13" s="245" t="s">
        <v>287</v>
      </c>
      <c r="AA13" s="245" t="s">
        <v>342</v>
      </c>
      <c r="AB13" s="245"/>
      <c r="AC13" s="248">
        <v>5.59</v>
      </c>
      <c r="AD13" s="249">
        <f t="shared" si="1"/>
        <v>25020.84</v>
      </c>
      <c r="AE13" s="249">
        <f t="shared" si="2"/>
        <v>193911.51</v>
      </c>
      <c r="AF13" s="76">
        <v>83224</v>
      </c>
      <c r="AG13" s="240" t="str">
        <f>VLOOKUP(AF13,'[2]Toy Monster'!$L:$M,2,0)</f>
        <v>RR131-132柜</v>
      </c>
      <c r="AH13" s="239">
        <f>VLOOKUP(AF13,'[2]Toy Monster'!$L:$T,9,FALSE)</f>
        <v>46062</v>
      </c>
      <c r="AI13" s="241" t="s">
        <v>275</v>
      </c>
      <c r="AJ13" s="241"/>
      <c r="AK13" s="241" t="s">
        <v>343</v>
      </c>
      <c r="AL13" s="249" t="str">
        <f>IFERROR(VLOOKUP(G13,'已打发票扣数（26年5月开始）'!$A$1:$C$17,3,0)*I13*0.3,"")</f>
        <v/>
      </c>
    </row>
    <row r="14" s="234" customFormat="1" customHeight="1" spans="1:38">
      <c r="A14" s="239">
        <v>45993</v>
      </c>
      <c r="B14" s="240" t="s">
        <v>117</v>
      </c>
      <c r="C14" s="240" t="s">
        <v>279</v>
      </c>
      <c r="D14" s="241" t="s">
        <v>118</v>
      </c>
      <c r="E14" s="240" t="s">
        <v>119</v>
      </c>
      <c r="F14" s="240" t="s">
        <v>120</v>
      </c>
      <c r="G14" s="240" t="s">
        <v>18</v>
      </c>
      <c r="H14" s="240" t="str">
        <f>VLOOKUP(G14,名称!A:B,2,0)</f>
        <v>恐龙公园二代</v>
      </c>
      <c r="I14" s="242">
        <v>1200</v>
      </c>
      <c r="J14" s="243">
        <f>VLOOKUP(G14,名称!A:C,3,FALSE)</f>
        <v>12</v>
      </c>
      <c r="K14" s="241">
        <f t="shared" si="0"/>
        <v>100</v>
      </c>
      <c r="L14" s="239">
        <v>46087</v>
      </c>
      <c r="M14" s="239">
        <v>46087</v>
      </c>
      <c r="N14" s="239">
        <v>46087</v>
      </c>
      <c r="O14" s="244" t="s">
        <v>266</v>
      </c>
      <c r="P14" s="245" t="s">
        <v>269</v>
      </c>
      <c r="Q14" s="239" t="s">
        <v>346</v>
      </c>
      <c r="R14" s="245" t="s">
        <v>331</v>
      </c>
      <c r="S14" s="245"/>
      <c r="T14" s="246" t="s">
        <v>269</v>
      </c>
      <c r="U14" s="246"/>
      <c r="V14" s="246"/>
      <c r="W14" s="246"/>
      <c r="X14" s="247" t="s">
        <v>271</v>
      </c>
      <c r="Y14" s="240" t="s">
        <v>272</v>
      </c>
      <c r="Z14" s="245" t="s">
        <v>273</v>
      </c>
      <c r="AA14" s="245" t="s">
        <v>324</v>
      </c>
      <c r="AB14" s="245"/>
      <c r="AC14" s="248">
        <v>2.1</v>
      </c>
      <c r="AD14" s="249">
        <f t="shared" si="1"/>
        <v>2520</v>
      </c>
      <c r="AE14" s="249">
        <f t="shared" si="2"/>
        <v>19530</v>
      </c>
      <c r="AF14" s="76" t="s">
        <v>347</v>
      </c>
      <c r="AG14" s="240" t="str">
        <f>VLOOKUP(AF14,'[2]Toy Monster'!$L:$M,2,0)</f>
        <v>RR155柜</v>
      </c>
      <c r="AH14" s="239">
        <f>VLOOKUP(AF14,'[2]Toy Monster'!$L:$T,9,FALSE)</f>
        <v>46094</v>
      </c>
      <c r="AI14" s="241" t="s">
        <v>275</v>
      </c>
      <c r="AJ14" s="241"/>
      <c r="AK14" s="241"/>
      <c r="AL14" s="249">
        <f>IFERROR(VLOOKUP(G14,'已打发票扣数（26年5月开始）'!$A$1:$C$17,3,0)*I14*0.3,"")</f>
        <v>756</v>
      </c>
    </row>
    <row r="15" s="234" customFormat="1" customHeight="1" spans="1:38">
      <c r="A15" s="239">
        <v>46049</v>
      </c>
      <c r="B15" s="240" t="s">
        <v>113</v>
      </c>
      <c r="C15" s="240" t="s">
        <v>265</v>
      </c>
      <c r="D15" s="240" t="s">
        <v>114</v>
      </c>
      <c r="E15" s="241">
        <v>47908798</v>
      </c>
      <c r="F15" s="240" t="s">
        <v>133</v>
      </c>
      <c r="G15" s="240" t="s">
        <v>6</v>
      </c>
      <c r="H15" s="240" t="str">
        <f>VLOOKUP(G15,名称!A:B,2,0)</f>
        <v>恐龙游戏盘</v>
      </c>
      <c r="I15" s="242">
        <v>1200</v>
      </c>
      <c r="J15" s="243">
        <f>VLOOKUP(G15,名称!A:C,3,FALSE)</f>
        <v>6</v>
      </c>
      <c r="K15" s="241">
        <f t="shared" si="0"/>
        <v>200</v>
      </c>
      <c r="L15" s="239">
        <v>46107</v>
      </c>
      <c r="M15" s="239">
        <v>46107</v>
      </c>
      <c r="N15" s="239">
        <v>46107</v>
      </c>
      <c r="O15" s="244" t="s">
        <v>266</v>
      </c>
      <c r="P15" s="245" t="s">
        <v>269</v>
      </c>
      <c r="Q15" s="239">
        <v>46109</v>
      </c>
      <c r="R15" s="245"/>
      <c r="S15" s="245"/>
      <c r="T15" s="246" t="s">
        <v>269</v>
      </c>
      <c r="U15" s="246"/>
      <c r="V15" s="246"/>
      <c r="W15" s="246"/>
      <c r="X15" s="247" t="s">
        <v>311</v>
      </c>
      <c r="Y15" s="240" t="s">
        <v>272</v>
      </c>
      <c r="Z15" s="245" t="s">
        <v>273</v>
      </c>
      <c r="AA15" s="245">
        <v>170326</v>
      </c>
      <c r="AB15" s="245" t="s">
        <v>348</v>
      </c>
      <c r="AC15" s="248">
        <v>4.5</v>
      </c>
      <c r="AD15" s="249">
        <f t="shared" si="1"/>
        <v>5400</v>
      </c>
      <c r="AE15" s="249">
        <f t="shared" si="2"/>
        <v>41850</v>
      </c>
      <c r="AF15" s="76">
        <v>83230</v>
      </c>
      <c r="AG15" s="240" t="str">
        <f>VLOOKUP(AF15,'[2]Toy Monster'!$L:$M,2,0)</f>
        <v>RR80车</v>
      </c>
      <c r="AH15" s="239">
        <f>VLOOKUP(AF15,'[2]Toy Monster'!$L:$T,9,FALSE)</f>
        <v>46111</v>
      </c>
      <c r="AI15" s="241" t="s">
        <v>275</v>
      </c>
      <c r="AJ15" s="241"/>
      <c r="AK15" s="241"/>
      <c r="AL15" s="249">
        <f>IFERROR(VLOOKUP(G15,'已打发票扣数（26年5月开始）'!$A$1:$C$17,3,0)*I15*0.3,"")</f>
        <v>1620</v>
      </c>
    </row>
    <row r="16" s="234" customFormat="1" customHeight="1" spans="1:38">
      <c r="A16" s="239">
        <v>46038</v>
      </c>
      <c r="B16" s="240" t="s">
        <v>108</v>
      </c>
      <c r="C16" s="240" t="s">
        <v>302</v>
      </c>
      <c r="D16" s="240" t="s">
        <v>130</v>
      </c>
      <c r="E16" s="240">
        <v>218955615</v>
      </c>
      <c r="F16" s="240" t="s">
        <v>131</v>
      </c>
      <c r="G16" s="240" t="s">
        <v>8</v>
      </c>
      <c r="H16" s="240" t="str">
        <f>VLOOKUP(G16,名称!A:B,2,0)</f>
        <v>恐龙游戏盘</v>
      </c>
      <c r="I16" s="242">
        <v>1000</v>
      </c>
      <c r="J16" s="243">
        <f>VLOOKUP(G16,名称!A:C,3,FALSE)</f>
        <v>2</v>
      </c>
      <c r="K16" s="241">
        <f t="shared" si="0"/>
        <v>500</v>
      </c>
      <c r="L16" s="239">
        <v>46099</v>
      </c>
      <c r="M16" s="239">
        <v>46099</v>
      </c>
      <c r="N16" s="239">
        <f>M16</f>
        <v>46099</v>
      </c>
      <c r="O16" s="244" t="s">
        <v>266</v>
      </c>
      <c r="P16" s="245" t="s">
        <v>269</v>
      </c>
      <c r="Q16" s="239">
        <v>46100</v>
      </c>
      <c r="R16" s="245"/>
      <c r="S16" s="245"/>
      <c r="T16" s="246" t="s">
        <v>269</v>
      </c>
      <c r="U16" s="246"/>
      <c r="V16" s="246"/>
      <c r="W16" s="246"/>
      <c r="X16" s="247" t="s">
        <v>303</v>
      </c>
      <c r="Y16" s="240" t="s">
        <v>286</v>
      </c>
      <c r="Z16" s="245" t="s">
        <v>305</v>
      </c>
      <c r="AA16" s="245" t="s">
        <v>349</v>
      </c>
      <c r="AB16" s="245" t="s">
        <v>307</v>
      </c>
      <c r="AC16" s="248">
        <v>4.5</v>
      </c>
      <c r="AD16" s="249">
        <f t="shared" si="1"/>
        <v>4500</v>
      </c>
      <c r="AE16" s="249">
        <f t="shared" si="2"/>
        <v>34875</v>
      </c>
      <c r="AF16" s="76">
        <v>83231</v>
      </c>
      <c r="AG16" s="240" t="str">
        <f>VLOOKUP(AF16,'[2]Toy Monster'!$L:$M,2,0)</f>
        <v>RR70车</v>
      </c>
      <c r="AH16" s="239">
        <f>VLOOKUP(AF16,'[2]Toy Monster'!$L:$T,9,FALSE)</f>
        <v>46111</v>
      </c>
      <c r="AI16" s="241" t="s">
        <v>275</v>
      </c>
      <c r="AJ16" s="241"/>
      <c r="AK16" s="241"/>
      <c r="AL16" s="249">
        <f>IFERROR(VLOOKUP(G16,'已打发票扣数（26年5月开始）'!$A$1:$C$17,3,0)*I16*0.3,"")</f>
        <v>1350</v>
      </c>
    </row>
    <row r="17" s="234" customFormat="1" customHeight="1" spans="1:38">
      <c r="A17" s="239">
        <v>46038</v>
      </c>
      <c r="B17" s="240" t="s">
        <v>108</v>
      </c>
      <c r="C17" s="240" t="s">
        <v>302</v>
      </c>
      <c r="D17" s="240" t="s">
        <v>130</v>
      </c>
      <c r="E17" s="241">
        <v>218955627</v>
      </c>
      <c r="F17" s="240" t="s">
        <v>132</v>
      </c>
      <c r="G17" s="240" t="s">
        <v>8</v>
      </c>
      <c r="H17" s="240" t="str">
        <f>VLOOKUP(G17,名称!A:B,2,0)</f>
        <v>恐龙游戏盘</v>
      </c>
      <c r="I17" s="242">
        <v>500</v>
      </c>
      <c r="J17" s="243">
        <f>VLOOKUP(G17,名称!A:C,3,FALSE)</f>
        <v>2</v>
      </c>
      <c r="K17" s="241">
        <f t="shared" si="0"/>
        <v>250</v>
      </c>
      <c r="L17" s="239">
        <v>46099</v>
      </c>
      <c r="M17" s="239">
        <v>46099</v>
      </c>
      <c r="N17" s="239">
        <f>M17</f>
        <v>46099</v>
      </c>
      <c r="O17" s="244" t="s">
        <v>266</v>
      </c>
      <c r="P17" s="245" t="s">
        <v>269</v>
      </c>
      <c r="Q17" s="239">
        <v>46100</v>
      </c>
      <c r="R17" s="245"/>
      <c r="S17" s="245"/>
      <c r="T17" s="246" t="s">
        <v>269</v>
      </c>
      <c r="U17" s="246"/>
      <c r="V17" s="246"/>
      <c r="W17" s="246"/>
      <c r="X17" s="247" t="s">
        <v>303</v>
      </c>
      <c r="Y17" s="240" t="s">
        <v>286</v>
      </c>
      <c r="Z17" s="245" t="s">
        <v>305</v>
      </c>
      <c r="AA17" s="245" t="s">
        <v>349</v>
      </c>
      <c r="AB17" s="245" t="s">
        <v>307</v>
      </c>
      <c r="AC17" s="248">
        <v>4.5</v>
      </c>
      <c r="AD17" s="249">
        <f t="shared" si="1"/>
        <v>2250</v>
      </c>
      <c r="AE17" s="249">
        <f t="shared" si="2"/>
        <v>17437.5</v>
      </c>
      <c r="AF17" s="76">
        <v>83232</v>
      </c>
      <c r="AG17" s="240" t="str">
        <f>VLOOKUP(AF17,'[2]Toy Monster'!$L:$M,2,0)</f>
        <v>RR70车</v>
      </c>
      <c r="AH17" s="239">
        <f>VLOOKUP(AF17,'[2]Toy Monster'!$L:$T,9,FALSE)</f>
        <v>46111</v>
      </c>
      <c r="AI17" s="241" t="s">
        <v>275</v>
      </c>
      <c r="AJ17" s="241"/>
      <c r="AK17" s="241"/>
      <c r="AL17" s="249">
        <f>IFERROR(VLOOKUP(G17,'已打发票扣数（26年5月开始）'!$A$1:$C$17,3,0)*I17*0.3,"")</f>
        <v>675</v>
      </c>
    </row>
    <row r="18" s="234" customFormat="1" customHeight="1" spans="1:38">
      <c r="A18" s="239">
        <v>45986</v>
      </c>
      <c r="B18" s="240" t="s">
        <v>108</v>
      </c>
      <c r="C18" s="240" t="s">
        <v>302</v>
      </c>
      <c r="D18" s="240" t="s">
        <v>109</v>
      </c>
      <c r="E18" s="241" t="s">
        <v>110</v>
      </c>
      <c r="F18" s="240" t="s">
        <v>112</v>
      </c>
      <c r="G18" s="240" t="s">
        <v>20</v>
      </c>
      <c r="H18" s="240" t="str">
        <f>VLOOKUP(G18,名称!A:B,2,0)</f>
        <v>9.5寸粉红熊公仔（移印）</v>
      </c>
      <c r="I18" s="242">
        <v>2500</v>
      </c>
      <c r="J18" s="243">
        <f>VLOOKUP(G18,名称!A:C,3,FALSE)</f>
        <v>2</v>
      </c>
      <c r="K18" s="241">
        <f t="shared" si="0"/>
        <v>1250</v>
      </c>
      <c r="L18" s="239">
        <v>46086</v>
      </c>
      <c r="M18" s="239">
        <f>L18-7</f>
        <v>46079</v>
      </c>
      <c r="N18" s="239">
        <v>46056</v>
      </c>
      <c r="O18" s="244" t="s">
        <v>266</v>
      </c>
      <c r="P18" s="245" t="s">
        <v>269</v>
      </c>
      <c r="Q18" s="239" t="s">
        <v>350</v>
      </c>
      <c r="R18" s="245" t="s">
        <v>336</v>
      </c>
      <c r="S18" s="245"/>
      <c r="T18" s="246" t="s">
        <v>269</v>
      </c>
      <c r="U18" s="246"/>
      <c r="V18" s="246"/>
      <c r="W18" s="246"/>
      <c r="X18" s="247" t="s">
        <v>332</v>
      </c>
      <c r="Y18" s="240" t="s">
        <v>286</v>
      </c>
      <c r="Z18" s="245" t="s">
        <v>287</v>
      </c>
      <c r="AA18" s="245" t="s">
        <v>333</v>
      </c>
      <c r="AB18" s="245" t="s">
        <v>351</v>
      </c>
      <c r="AC18" s="248">
        <v>6.2</v>
      </c>
      <c r="AD18" s="249">
        <f t="shared" si="1"/>
        <v>15500</v>
      </c>
      <c r="AE18" s="249">
        <f t="shared" si="2"/>
        <v>120125</v>
      </c>
      <c r="AF18" s="76">
        <v>83233</v>
      </c>
      <c r="AG18" s="240" t="str">
        <f>VLOOKUP(AF18,'[2]Toy Monster'!$L:$M,2,0)</f>
        <v>RR86-87车</v>
      </c>
      <c r="AH18" s="239">
        <f>VLOOKUP(AF18,'[2]Toy Monster'!$L:$T,9,FALSE)</f>
        <v>46112</v>
      </c>
      <c r="AI18" s="241" t="s">
        <v>275</v>
      </c>
      <c r="AJ18" s="241"/>
      <c r="AK18" s="241" t="s">
        <v>338</v>
      </c>
      <c r="AL18" s="249">
        <f>IFERROR(VLOOKUP(G18,'已打发票扣数（26年5月开始）'!$A$1:$C$17,3,0)*I18*0.3,"")</f>
        <v>4755</v>
      </c>
    </row>
    <row r="19" s="234" customFormat="1" customHeight="1" spans="1:38">
      <c r="A19" s="239">
        <v>45986</v>
      </c>
      <c r="B19" s="240" t="s">
        <v>108</v>
      </c>
      <c r="C19" s="240" t="s">
        <v>302</v>
      </c>
      <c r="D19" s="240" t="s">
        <v>109</v>
      </c>
      <c r="E19" s="241" t="s">
        <v>110</v>
      </c>
      <c r="F19" s="240" t="s">
        <v>112</v>
      </c>
      <c r="G19" s="240" t="s">
        <v>23</v>
      </c>
      <c r="H19" s="240" t="str">
        <f>VLOOKUP(G19,名称!A:B,2,0)</f>
        <v>9.5寸格力奇公仔
（移印）</v>
      </c>
      <c r="I19" s="242">
        <v>2500</v>
      </c>
      <c r="J19" s="243">
        <f>VLOOKUP(G19,名称!A:C,3,FALSE)</f>
        <v>2</v>
      </c>
      <c r="K19" s="241">
        <f t="shared" si="0"/>
        <v>1250</v>
      </c>
      <c r="L19" s="239">
        <v>46086</v>
      </c>
      <c r="M19" s="239">
        <f>L19-7</f>
        <v>46079</v>
      </c>
      <c r="N19" s="239">
        <v>46056</v>
      </c>
      <c r="O19" s="244" t="s">
        <v>266</v>
      </c>
      <c r="P19" s="245" t="s">
        <v>269</v>
      </c>
      <c r="Q19" s="239" t="s">
        <v>350</v>
      </c>
      <c r="R19" s="245" t="s">
        <v>336</v>
      </c>
      <c r="S19" s="245"/>
      <c r="T19" s="246" t="s">
        <v>269</v>
      </c>
      <c r="U19" s="246"/>
      <c r="V19" s="246"/>
      <c r="W19" s="246"/>
      <c r="X19" s="247" t="s">
        <v>335</v>
      </c>
      <c r="Y19" s="240" t="s">
        <v>286</v>
      </c>
      <c r="Z19" s="245" t="s">
        <v>287</v>
      </c>
      <c r="AA19" s="245" t="s">
        <v>333</v>
      </c>
      <c r="AB19" s="245" t="s">
        <v>351</v>
      </c>
      <c r="AC19" s="248">
        <v>6.5</v>
      </c>
      <c r="AD19" s="249">
        <f t="shared" si="1"/>
        <v>16250</v>
      </c>
      <c r="AE19" s="249">
        <f t="shared" si="2"/>
        <v>125937.5</v>
      </c>
      <c r="AF19" s="76">
        <v>83233</v>
      </c>
      <c r="AG19" s="240" t="str">
        <f>VLOOKUP(AF19,'[2]Toy Monster'!$L:$M,2,0)</f>
        <v>RR86-87车</v>
      </c>
      <c r="AH19" s="239">
        <f>VLOOKUP(AF19,'[2]Toy Monster'!$L:$T,9,FALSE)</f>
        <v>46112</v>
      </c>
      <c r="AI19" s="241" t="s">
        <v>275</v>
      </c>
      <c r="AJ19" s="241"/>
      <c r="AK19" s="241" t="s">
        <v>338</v>
      </c>
      <c r="AL19" s="249">
        <f>IFERROR(VLOOKUP(G19,'已打发票扣数（26年5月开始）'!$A$1:$C$17,3,0)*I19*0.3,"")</f>
        <v>4980</v>
      </c>
    </row>
    <row r="20" s="234" customFormat="1" customHeight="1" spans="1:38">
      <c r="A20" s="239">
        <v>46051</v>
      </c>
      <c r="B20" s="240" t="s">
        <v>108</v>
      </c>
      <c r="C20" s="240" t="s">
        <v>302</v>
      </c>
      <c r="D20" s="240" t="s">
        <v>130</v>
      </c>
      <c r="E20" s="241">
        <v>219021251</v>
      </c>
      <c r="F20" s="240" t="s">
        <v>134</v>
      </c>
      <c r="G20" s="240" t="s">
        <v>8</v>
      </c>
      <c r="H20" s="240" t="str">
        <f>VLOOKUP(G20,名称!A:B,2,0)</f>
        <v>恐龙游戏盘</v>
      </c>
      <c r="I20" s="242">
        <v>1000</v>
      </c>
      <c r="J20" s="243">
        <f>VLOOKUP(G20,名称!A:C,3,FALSE)</f>
        <v>2</v>
      </c>
      <c r="K20" s="241">
        <f t="shared" si="0"/>
        <v>500</v>
      </c>
      <c r="L20" s="239">
        <v>46113</v>
      </c>
      <c r="M20" s="239">
        <v>46107</v>
      </c>
      <c r="N20" s="239">
        <v>46107</v>
      </c>
      <c r="O20" s="244" t="s">
        <v>266</v>
      </c>
      <c r="P20" s="245" t="s">
        <v>269</v>
      </c>
      <c r="Q20" s="239">
        <v>46112</v>
      </c>
      <c r="R20" s="245"/>
      <c r="S20" s="245"/>
      <c r="T20" s="246" t="s">
        <v>269</v>
      </c>
      <c r="U20" s="246"/>
      <c r="V20" s="246"/>
      <c r="W20" s="246"/>
      <c r="X20" s="247" t="s">
        <v>303</v>
      </c>
      <c r="Y20" s="240" t="s">
        <v>286</v>
      </c>
      <c r="Z20" s="245" t="s">
        <v>305</v>
      </c>
      <c r="AA20" s="245" t="s">
        <v>352</v>
      </c>
      <c r="AB20" s="245" t="s">
        <v>307</v>
      </c>
      <c r="AC20" s="248">
        <v>4.5</v>
      </c>
      <c r="AD20" s="249">
        <f t="shared" si="1"/>
        <v>4500</v>
      </c>
      <c r="AE20" s="249">
        <f t="shared" si="2"/>
        <v>34875</v>
      </c>
      <c r="AF20" s="76">
        <v>83234</v>
      </c>
      <c r="AG20" s="240" t="str">
        <f>VLOOKUP(AF20,'[2]Toy Monster'!$L:$M,2,0)</f>
        <v>RR82车</v>
      </c>
      <c r="AH20" s="239">
        <f>VLOOKUP(AF20,'[2]Toy Monster'!$L:$T,9,FALSE)</f>
        <v>46112</v>
      </c>
      <c r="AI20" s="241" t="s">
        <v>275</v>
      </c>
      <c r="AJ20" s="241"/>
      <c r="AK20" s="241"/>
      <c r="AL20" s="249">
        <f>IFERROR(VLOOKUP(G20,'已打发票扣数（26年5月开始）'!$A$1:$C$17,3,0)*I20*0.3,"")</f>
        <v>1350</v>
      </c>
    </row>
    <row r="21" s="234" customFormat="1" customHeight="1" spans="1:38">
      <c r="A21" s="239">
        <v>46051</v>
      </c>
      <c r="B21" s="240" t="s">
        <v>108</v>
      </c>
      <c r="C21" s="240" t="s">
        <v>302</v>
      </c>
      <c r="D21" s="240" t="s">
        <v>130</v>
      </c>
      <c r="E21" s="241">
        <v>219021257</v>
      </c>
      <c r="F21" s="240" t="s">
        <v>135</v>
      </c>
      <c r="G21" s="240" t="s">
        <v>8</v>
      </c>
      <c r="H21" s="240" t="str">
        <f>VLOOKUP(G21,名称!A:B,2,0)</f>
        <v>恐龙游戏盘</v>
      </c>
      <c r="I21" s="242">
        <v>500</v>
      </c>
      <c r="J21" s="243">
        <f>VLOOKUP(G21,名称!A:C,3,FALSE)</f>
        <v>2</v>
      </c>
      <c r="K21" s="241">
        <f t="shared" si="0"/>
        <v>250</v>
      </c>
      <c r="L21" s="239">
        <v>46113</v>
      </c>
      <c r="M21" s="239">
        <v>46107</v>
      </c>
      <c r="N21" s="239">
        <v>46107</v>
      </c>
      <c r="O21" s="244" t="s">
        <v>266</v>
      </c>
      <c r="P21" s="245" t="s">
        <v>269</v>
      </c>
      <c r="Q21" s="239">
        <v>46112</v>
      </c>
      <c r="R21" s="245"/>
      <c r="S21" s="245"/>
      <c r="T21" s="246" t="s">
        <v>269</v>
      </c>
      <c r="U21" s="246"/>
      <c r="V21" s="246"/>
      <c r="W21" s="246"/>
      <c r="X21" s="247" t="s">
        <v>303</v>
      </c>
      <c r="Y21" s="240" t="s">
        <v>286</v>
      </c>
      <c r="Z21" s="245" t="s">
        <v>305</v>
      </c>
      <c r="AA21" s="245" t="s">
        <v>352</v>
      </c>
      <c r="AB21" s="245" t="s">
        <v>307</v>
      </c>
      <c r="AC21" s="248">
        <v>4.5</v>
      </c>
      <c r="AD21" s="249">
        <f t="shared" si="1"/>
        <v>2250</v>
      </c>
      <c r="AE21" s="249">
        <f t="shared" si="2"/>
        <v>17437.5</v>
      </c>
      <c r="AF21" s="76">
        <v>83235</v>
      </c>
      <c r="AG21" s="240" t="str">
        <f>VLOOKUP(AF21,'[2]Toy Monster'!$L:$M,2,0)</f>
        <v>RR82车</v>
      </c>
      <c r="AH21" s="239">
        <f>VLOOKUP(AF21,'[2]Toy Monster'!$L:$T,9,FALSE)</f>
        <v>46112</v>
      </c>
      <c r="AI21" s="241" t="s">
        <v>275</v>
      </c>
      <c r="AJ21" s="241"/>
      <c r="AK21" s="241"/>
      <c r="AL21" s="249">
        <f>IFERROR(VLOOKUP(G21,'已打发票扣数（26年5月开始）'!$A$1:$C$17,3,0)*I21*0.3,"")</f>
        <v>675</v>
      </c>
    </row>
    <row r="22" s="234" customFormat="1" customHeight="1" spans="1:38">
      <c r="A22" s="239">
        <v>46062</v>
      </c>
      <c r="B22" s="240" t="s">
        <v>136</v>
      </c>
      <c r="C22" s="240" t="s">
        <v>353</v>
      </c>
      <c r="D22" s="240" t="s">
        <v>137</v>
      </c>
      <c r="E22" s="241">
        <v>4400542038</v>
      </c>
      <c r="F22" s="240" t="s">
        <v>138</v>
      </c>
      <c r="G22" s="240" t="s">
        <v>6</v>
      </c>
      <c r="H22" s="240" t="str">
        <f>VLOOKUP(G22,名称!A:B,2,0)</f>
        <v>恐龙游戏盘</v>
      </c>
      <c r="I22" s="242">
        <v>6306</v>
      </c>
      <c r="J22" s="243">
        <f>VLOOKUP(G22,名称!A:C,3,FALSE)</f>
        <v>6</v>
      </c>
      <c r="K22" s="241">
        <f t="shared" si="0"/>
        <v>1051</v>
      </c>
      <c r="L22" s="239">
        <v>46118</v>
      </c>
      <c r="M22" s="239">
        <v>46113</v>
      </c>
      <c r="N22" s="239">
        <f>M22</f>
        <v>46113</v>
      </c>
      <c r="O22" s="244" t="s">
        <v>266</v>
      </c>
      <c r="P22" s="245" t="s">
        <v>269</v>
      </c>
      <c r="Q22" s="239">
        <v>46120</v>
      </c>
      <c r="R22" s="239" t="s">
        <v>354</v>
      </c>
      <c r="S22" s="245"/>
      <c r="T22" s="246" t="s">
        <v>269</v>
      </c>
      <c r="U22" s="246"/>
      <c r="V22" s="246"/>
      <c r="W22" s="246"/>
      <c r="X22" s="247" t="s">
        <v>311</v>
      </c>
      <c r="Y22" s="240" t="s">
        <v>355</v>
      </c>
      <c r="Z22" s="245" t="s">
        <v>356</v>
      </c>
      <c r="AA22" s="245" t="s">
        <v>357</v>
      </c>
      <c r="AB22" s="245" t="s">
        <v>358</v>
      </c>
      <c r="AC22" s="248">
        <v>4.5</v>
      </c>
      <c r="AD22" s="249">
        <f t="shared" si="1"/>
        <v>28377</v>
      </c>
      <c r="AE22" s="249">
        <f t="shared" si="2"/>
        <v>219921.75</v>
      </c>
      <c r="AF22" s="76">
        <v>83236</v>
      </c>
      <c r="AG22" s="240" t="str">
        <f>VLOOKUP(AF22,'[2]Toy Monster'!$L:$M,2,0)</f>
        <v>RR169柜</v>
      </c>
      <c r="AH22" s="239">
        <f>VLOOKUP(AF22,'[2]Toy Monster'!$L:$T,9,FALSE)</f>
        <v>46122</v>
      </c>
      <c r="AI22" s="241" t="s">
        <v>275</v>
      </c>
      <c r="AJ22" s="241"/>
      <c r="AK22" s="241"/>
      <c r="AL22" s="249">
        <f>IFERROR(VLOOKUP(G22,'已打发票扣数（26年5月开始）'!$A$1:$C$17,3,0)*I22*0.3,"")</f>
        <v>8513.1</v>
      </c>
    </row>
    <row r="23" s="234" customFormat="1" customHeight="1" spans="1:38">
      <c r="A23" s="239">
        <v>46083</v>
      </c>
      <c r="B23" s="240" t="s">
        <v>141</v>
      </c>
      <c r="C23" s="240" t="s">
        <v>265</v>
      </c>
      <c r="D23" s="240" t="s">
        <v>142</v>
      </c>
      <c r="E23" s="240">
        <v>21559600</v>
      </c>
      <c r="F23" s="240" t="s">
        <v>143</v>
      </c>
      <c r="G23" s="240" t="s">
        <v>18</v>
      </c>
      <c r="H23" s="240" t="str">
        <f>VLOOKUP(G23,名称!A:B,2,0)</f>
        <v>恐龙公园二代</v>
      </c>
      <c r="I23" s="242">
        <v>564</v>
      </c>
      <c r="J23" s="243">
        <f>VLOOKUP(G23,名称!A:C,3,FALSE)</f>
        <v>12</v>
      </c>
      <c r="K23" s="241">
        <f t="shared" si="0"/>
        <v>47</v>
      </c>
      <c r="L23" s="239">
        <v>46122</v>
      </c>
      <c r="M23" s="239">
        <v>46122</v>
      </c>
      <c r="N23" s="239">
        <v>46122</v>
      </c>
      <c r="O23" s="244" t="s">
        <v>266</v>
      </c>
      <c r="P23" s="245"/>
      <c r="Q23" s="239" t="s">
        <v>359</v>
      </c>
      <c r="R23" s="239" t="s">
        <v>323</v>
      </c>
      <c r="S23" s="245"/>
      <c r="T23" s="246" t="s">
        <v>269</v>
      </c>
      <c r="U23" s="246"/>
      <c r="V23" s="246"/>
      <c r="W23" s="246"/>
      <c r="X23" s="247" t="s">
        <v>271</v>
      </c>
      <c r="Y23" s="240" t="s">
        <v>272</v>
      </c>
      <c r="Z23" s="245" t="s">
        <v>273</v>
      </c>
      <c r="AA23" s="251">
        <v>46138</v>
      </c>
      <c r="AB23" s="245" t="s">
        <v>360</v>
      </c>
      <c r="AC23" s="248">
        <v>2.1</v>
      </c>
      <c r="AD23" s="249">
        <f t="shared" si="1"/>
        <v>1184.4</v>
      </c>
      <c r="AE23" s="249">
        <f t="shared" si="2"/>
        <v>9179.1</v>
      </c>
      <c r="AF23" s="76">
        <v>83237</v>
      </c>
      <c r="AG23" s="240" t="str">
        <f>VLOOKUP(AF23,'[2]Toy Monster'!$L:$M,2,0)</f>
        <v>RR94车</v>
      </c>
      <c r="AH23" s="239">
        <f>VLOOKUP(AF23,'[2]Toy Monster'!$L:$T,9,FALSE)</f>
        <v>46127</v>
      </c>
      <c r="AI23" s="241" t="s">
        <v>275</v>
      </c>
      <c r="AJ23" s="241"/>
      <c r="AK23" s="241" t="s">
        <v>361</v>
      </c>
      <c r="AL23" s="249">
        <f>IFERROR(VLOOKUP(G23,'已打发票扣数（26年5月开始）'!$A$1:$C$17,3,0)*I23*0.3,"")</f>
        <v>355.32</v>
      </c>
    </row>
    <row r="24" s="234" customFormat="1" customHeight="1" spans="1:38">
      <c r="A24" s="239">
        <v>46083</v>
      </c>
      <c r="B24" s="240" t="s">
        <v>113</v>
      </c>
      <c r="C24" s="240" t="s">
        <v>265</v>
      </c>
      <c r="D24" s="240" t="s">
        <v>142</v>
      </c>
      <c r="E24" s="240">
        <v>21559598</v>
      </c>
      <c r="F24" s="240" t="s">
        <v>144</v>
      </c>
      <c r="G24" s="240" t="s">
        <v>18</v>
      </c>
      <c r="H24" s="240" t="str">
        <f>VLOOKUP(G24,名称!A:B,2,0)</f>
        <v>恐龙公园二代</v>
      </c>
      <c r="I24" s="242">
        <v>6156</v>
      </c>
      <c r="J24" s="243">
        <f>VLOOKUP(G24,名称!A:C,3,FALSE)</f>
        <v>12</v>
      </c>
      <c r="K24" s="241">
        <f t="shared" si="0"/>
        <v>513</v>
      </c>
      <c r="L24" s="239">
        <v>46122</v>
      </c>
      <c r="M24" s="239">
        <v>46122</v>
      </c>
      <c r="N24" s="239">
        <v>46122</v>
      </c>
      <c r="O24" s="244" t="s">
        <v>266</v>
      </c>
      <c r="P24" s="245"/>
      <c r="Q24" s="239" t="s">
        <v>362</v>
      </c>
      <c r="R24" s="239" t="s">
        <v>323</v>
      </c>
      <c r="S24" s="245"/>
      <c r="T24" s="246" t="s">
        <v>269</v>
      </c>
      <c r="U24" s="246"/>
      <c r="V24" s="246"/>
      <c r="W24" s="246"/>
      <c r="X24" s="247" t="s">
        <v>271</v>
      </c>
      <c r="Y24" s="240" t="s">
        <v>272</v>
      </c>
      <c r="Z24" s="245" t="s">
        <v>273</v>
      </c>
      <c r="AA24" s="251">
        <v>46138</v>
      </c>
      <c r="AB24" s="245" t="s">
        <v>360</v>
      </c>
      <c r="AC24" s="248">
        <v>2.1</v>
      </c>
      <c r="AD24" s="249">
        <f t="shared" si="1"/>
        <v>12927.6</v>
      </c>
      <c r="AE24" s="249">
        <f t="shared" si="2"/>
        <v>100188.9</v>
      </c>
      <c r="AF24" s="76">
        <v>83238</v>
      </c>
      <c r="AG24" s="240" t="str">
        <f>VLOOKUP(AF24,'[2]Toy Monster'!$L:$M,2,0)</f>
        <v>RR94车</v>
      </c>
      <c r="AH24" s="239">
        <f>VLOOKUP(AF24,'[2]Toy Monster'!$L:$T,9,FALSE)</f>
        <v>46127</v>
      </c>
      <c r="AI24" s="241" t="s">
        <v>275</v>
      </c>
      <c r="AJ24" s="241"/>
      <c r="AK24" s="241" t="s">
        <v>361</v>
      </c>
      <c r="AL24" s="249">
        <f>IFERROR(VLOOKUP(G24,'已打发票扣数（26年5月开始）'!$A$1:$C$17,3,0)*I24*0.3,"")</f>
        <v>3878.28</v>
      </c>
    </row>
    <row r="25" s="234" customFormat="1" customHeight="1" spans="1:38">
      <c r="A25" s="239">
        <v>46030</v>
      </c>
      <c r="B25" s="240" t="s">
        <v>127</v>
      </c>
      <c r="C25" s="240" t="s">
        <v>279</v>
      </c>
      <c r="D25" s="240" t="s">
        <v>122</v>
      </c>
      <c r="E25" s="240" t="s">
        <v>128</v>
      </c>
      <c r="F25" s="240" t="s">
        <v>129</v>
      </c>
      <c r="G25" s="240" t="s">
        <v>18</v>
      </c>
      <c r="H25" s="240" t="str">
        <f>VLOOKUP(G25,名称!A:B,2,0)</f>
        <v>恐龙公园二代</v>
      </c>
      <c r="I25" s="242">
        <v>780</v>
      </c>
      <c r="J25" s="243">
        <f>VLOOKUP(G25,名称!A:C,3,FALSE)</f>
        <v>12</v>
      </c>
      <c r="K25" s="241">
        <f t="shared" si="0"/>
        <v>65</v>
      </c>
      <c r="L25" s="239">
        <v>46108</v>
      </c>
      <c r="M25" s="239">
        <v>46107</v>
      </c>
      <c r="N25" s="239">
        <v>46107</v>
      </c>
      <c r="O25" s="244" t="s">
        <v>266</v>
      </c>
      <c r="P25" s="245" t="s">
        <v>269</v>
      </c>
      <c r="Q25" s="239">
        <v>46125</v>
      </c>
      <c r="R25" s="239" t="s">
        <v>363</v>
      </c>
      <c r="S25" s="245"/>
      <c r="T25" s="246" t="s">
        <v>269</v>
      </c>
      <c r="U25" s="246"/>
      <c r="V25" s="246"/>
      <c r="W25" s="246"/>
      <c r="X25" s="247" t="s">
        <v>271</v>
      </c>
      <c r="Y25" s="240" t="s">
        <v>272</v>
      </c>
      <c r="Z25" s="245" t="s">
        <v>273</v>
      </c>
      <c r="AA25" s="245" t="s">
        <v>324</v>
      </c>
      <c r="AB25" s="245"/>
      <c r="AC25" s="248">
        <v>2.1</v>
      </c>
      <c r="AD25" s="249">
        <f t="shared" si="1"/>
        <v>1638</v>
      </c>
      <c r="AE25" s="249">
        <f t="shared" si="2"/>
        <v>12694.5</v>
      </c>
      <c r="AF25" s="76">
        <v>83239</v>
      </c>
      <c r="AG25" s="240" t="str">
        <f>VLOOKUP(AF25,'[2]Toy Monster'!$L:$M,2,0)</f>
        <v>RR103车</v>
      </c>
      <c r="AH25" s="239">
        <f>VLOOKUP(AF25,'[2]Toy Monster'!$L:$T,9,FALSE)</f>
        <v>46127</v>
      </c>
      <c r="AI25" s="241" t="s">
        <v>275</v>
      </c>
      <c r="AJ25" s="241"/>
      <c r="AK25" s="241" t="s">
        <v>364</v>
      </c>
      <c r="AL25" s="249">
        <f>IFERROR(VLOOKUP(G25,'已打发票扣数（26年5月开始）'!$A$1:$C$17,3,0)*I25*0.3,"")</f>
        <v>491.4</v>
      </c>
    </row>
    <row r="26" s="234" customFormat="1" customHeight="1" spans="1:38">
      <c r="A26" s="239">
        <v>46030</v>
      </c>
      <c r="B26" s="240" t="s">
        <v>127</v>
      </c>
      <c r="C26" s="240" t="s">
        <v>279</v>
      </c>
      <c r="D26" s="240" t="s">
        <v>122</v>
      </c>
      <c r="E26" s="240" t="s">
        <v>128</v>
      </c>
      <c r="F26" s="240" t="s">
        <v>129</v>
      </c>
      <c r="G26" s="240" t="s">
        <v>6</v>
      </c>
      <c r="H26" s="240" t="str">
        <f>VLOOKUP(G26,名称!A:B,2,0)</f>
        <v>恐龙游戏盘</v>
      </c>
      <c r="I26" s="242">
        <v>180</v>
      </c>
      <c r="J26" s="243">
        <f>VLOOKUP(G26,名称!A:C,3,FALSE)</f>
        <v>6</v>
      </c>
      <c r="K26" s="241">
        <f t="shared" si="0"/>
        <v>30</v>
      </c>
      <c r="L26" s="239">
        <v>46108</v>
      </c>
      <c r="M26" s="239">
        <v>46107</v>
      </c>
      <c r="N26" s="239">
        <v>46107</v>
      </c>
      <c r="O26" s="244" t="s">
        <v>266</v>
      </c>
      <c r="P26" s="245" t="s">
        <v>269</v>
      </c>
      <c r="Q26" s="239">
        <v>46125</v>
      </c>
      <c r="R26" s="239" t="s">
        <v>363</v>
      </c>
      <c r="S26" s="245"/>
      <c r="T26" s="246" t="s">
        <v>269</v>
      </c>
      <c r="U26" s="246"/>
      <c r="V26" s="246"/>
      <c r="W26" s="246"/>
      <c r="X26" s="247" t="s">
        <v>311</v>
      </c>
      <c r="Y26" s="240" t="s">
        <v>272</v>
      </c>
      <c r="Z26" s="245" t="s">
        <v>273</v>
      </c>
      <c r="AA26" s="245" t="s">
        <v>325</v>
      </c>
      <c r="AB26" s="245"/>
      <c r="AC26" s="248">
        <v>4.5</v>
      </c>
      <c r="AD26" s="249">
        <f t="shared" si="1"/>
        <v>810</v>
      </c>
      <c r="AE26" s="249">
        <f t="shared" si="2"/>
        <v>6277.5</v>
      </c>
      <c r="AF26" s="76">
        <v>83239</v>
      </c>
      <c r="AG26" s="240" t="str">
        <f>VLOOKUP(AF26,'[2]Toy Monster'!$L:$M,2,0)</f>
        <v>RR103车</v>
      </c>
      <c r="AH26" s="239">
        <f>VLOOKUP(AF26,'[2]Toy Monster'!$L:$T,9,FALSE)</f>
        <v>46127</v>
      </c>
      <c r="AI26" s="241" t="s">
        <v>275</v>
      </c>
      <c r="AJ26" s="241"/>
      <c r="AK26" s="241" t="s">
        <v>364</v>
      </c>
      <c r="AL26" s="249">
        <f>IFERROR(VLOOKUP(G26,'已打发票扣数（26年5月开始）'!$A$1:$C$17,3,0)*I26*0.3,"")</f>
        <v>243</v>
      </c>
    </row>
    <row r="27" s="234" customFormat="1" customHeight="1" spans="1:38">
      <c r="A27" s="239">
        <v>46030</v>
      </c>
      <c r="B27" s="240" t="s">
        <v>127</v>
      </c>
      <c r="C27" s="240" t="s">
        <v>279</v>
      </c>
      <c r="D27" s="240" t="s">
        <v>122</v>
      </c>
      <c r="E27" s="240" t="s">
        <v>128</v>
      </c>
      <c r="F27" s="240" t="s">
        <v>129</v>
      </c>
      <c r="G27" s="240" t="s">
        <v>9</v>
      </c>
      <c r="H27" s="240" t="str">
        <f>VLOOKUP(G27,名称!A:B,2,0)</f>
        <v>手术游戏盘</v>
      </c>
      <c r="I27" s="242">
        <v>180</v>
      </c>
      <c r="J27" s="243">
        <f>VLOOKUP(G27,名称!A:C,3,FALSE)</f>
        <v>6</v>
      </c>
      <c r="K27" s="241">
        <f t="shared" ref="K27:K61" si="4">I27/J27</f>
        <v>30</v>
      </c>
      <c r="L27" s="239">
        <v>46108</v>
      </c>
      <c r="M27" s="239">
        <v>46107</v>
      </c>
      <c r="N27" s="239">
        <v>46107</v>
      </c>
      <c r="O27" s="244" t="s">
        <v>266</v>
      </c>
      <c r="P27" s="245" t="s">
        <v>269</v>
      </c>
      <c r="Q27" s="239" t="s">
        <v>365</v>
      </c>
      <c r="R27" s="239" t="s">
        <v>363</v>
      </c>
      <c r="S27" s="245"/>
      <c r="T27" s="246" t="s">
        <v>269</v>
      </c>
      <c r="U27" s="246"/>
      <c r="V27" s="246"/>
      <c r="W27" s="246"/>
      <c r="X27" s="247" t="s">
        <v>366</v>
      </c>
      <c r="Y27" s="240" t="s">
        <v>272</v>
      </c>
      <c r="Z27" s="245" t="s">
        <v>273</v>
      </c>
      <c r="AA27" s="245" t="s">
        <v>367</v>
      </c>
      <c r="AB27" s="245"/>
      <c r="AC27" s="248">
        <v>4.43</v>
      </c>
      <c r="AD27" s="249">
        <f t="shared" si="1"/>
        <v>797.4</v>
      </c>
      <c r="AE27" s="249">
        <f t="shared" si="2"/>
        <v>6179.85</v>
      </c>
      <c r="AF27" s="76">
        <v>83239</v>
      </c>
      <c r="AG27" s="240" t="str">
        <f>VLOOKUP(AF27,'[2]Toy Monster'!$L:$M,2,0)</f>
        <v>RR103车</v>
      </c>
      <c r="AH27" s="239">
        <f>VLOOKUP(AF27,'[2]Toy Monster'!$L:$T,9,FALSE)</f>
        <v>46127</v>
      </c>
      <c r="AI27" s="241" t="s">
        <v>275</v>
      </c>
      <c r="AJ27" s="241"/>
      <c r="AK27" s="241" t="s">
        <v>364</v>
      </c>
      <c r="AL27" s="249">
        <f>IFERROR(VLOOKUP(G27,'已打发票扣数（26年5月开始）'!$A$1:$C$17,3,0)*I27*0.3,"")</f>
        <v>244.08</v>
      </c>
    </row>
    <row r="28" s="235" customFormat="1" customHeight="1" spans="1:38">
      <c r="A28" s="252">
        <v>46086</v>
      </c>
      <c r="B28" s="253" t="s">
        <v>108</v>
      </c>
      <c r="C28" s="253" t="s">
        <v>279</v>
      </c>
      <c r="D28" s="253" t="s">
        <v>145</v>
      </c>
      <c r="E28" s="253" t="s">
        <v>146</v>
      </c>
      <c r="F28" s="253" t="s">
        <v>147</v>
      </c>
      <c r="G28" s="253" t="s">
        <v>14</v>
      </c>
      <c r="H28" s="253" t="str">
        <f>VLOOKUP(G28,名称!A:B,2,0)</f>
        <v>恐龙游戏盘(邮包盒装)</v>
      </c>
      <c r="I28" s="254">
        <v>504</v>
      </c>
      <c r="J28" s="243">
        <f>VLOOKUP(G28,名称!A:C,3,FALSE)</f>
        <v>6</v>
      </c>
      <c r="K28" s="243">
        <f t="shared" si="4"/>
        <v>84</v>
      </c>
      <c r="L28" s="252">
        <v>46134</v>
      </c>
      <c r="M28" s="252">
        <v>46122</v>
      </c>
      <c r="N28" s="252">
        <v>46122</v>
      </c>
      <c r="O28" s="252" t="s">
        <v>266</v>
      </c>
      <c r="P28" s="243" t="s">
        <v>269</v>
      </c>
      <c r="Q28" s="252" t="s">
        <v>368</v>
      </c>
      <c r="R28" s="252" t="s">
        <v>354</v>
      </c>
      <c r="S28" s="243"/>
      <c r="T28" s="255" t="s">
        <v>269</v>
      </c>
      <c r="U28" s="255"/>
      <c r="V28" s="255"/>
      <c r="W28" s="255"/>
      <c r="X28" s="256" t="s">
        <v>281</v>
      </c>
      <c r="Y28" s="253" t="s">
        <v>369</v>
      </c>
      <c r="Z28" s="243" t="s">
        <v>273</v>
      </c>
      <c r="AA28" s="257">
        <v>46113</v>
      </c>
      <c r="AB28" s="243"/>
      <c r="AC28" s="258">
        <v>4.9</v>
      </c>
      <c r="AD28" s="259">
        <f t="shared" si="1"/>
        <v>2469.6</v>
      </c>
      <c r="AE28" s="259">
        <f t="shared" si="2"/>
        <v>19139.4</v>
      </c>
      <c r="AF28" s="76">
        <v>83240</v>
      </c>
      <c r="AG28" s="240" t="str">
        <f>VLOOKUP(AF28,'[2]Toy Monster'!$L:$M,2,0)</f>
        <v>RR201柜</v>
      </c>
      <c r="AH28" s="239">
        <f>VLOOKUP(AF28,'[2]Toy Monster'!$L:$T,9,FALSE)</f>
        <v>46141</v>
      </c>
      <c r="AI28" s="243" t="s">
        <v>275</v>
      </c>
      <c r="AJ28" s="243"/>
      <c r="AK28" s="243" t="s">
        <v>370</v>
      </c>
      <c r="AL28" s="249">
        <f>IFERROR(VLOOKUP(G28,'已打发票扣数（26年5月开始）'!$A$1:$C$17,3,0)*I28*0.3,"")</f>
        <v>680.4</v>
      </c>
    </row>
    <row r="29" s="235" customFormat="1" customHeight="1" spans="1:38">
      <c r="A29" s="252">
        <v>46101</v>
      </c>
      <c r="B29" s="253" t="s">
        <v>113</v>
      </c>
      <c r="C29" s="253" t="s">
        <v>265</v>
      </c>
      <c r="D29" s="253" t="s">
        <v>142</v>
      </c>
      <c r="E29" s="253">
        <v>21657135</v>
      </c>
      <c r="F29" s="253" t="s">
        <v>152</v>
      </c>
      <c r="G29" s="253" t="s">
        <v>18</v>
      </c>
      <c r="H29" s="253" t="str">
        <f>VLOOKUP(G29,名称!A:B,2,0)</f>
        <v>恐龙公园二代</v>
      </c>
      <c r="I29" s="254">
        <v>6288</v>
      </c>
      <c r="J29" s="243">
        <f>VLOOKUP(G29,名称!A:C,3,FALSE)</f>
        <v>12</v>
      </c>
      <c r="K29" s="243">
        <f t="shared" si="4"/>
        <v>524</v>
      </c>
      <c r="L29" s="252">
        <v>46142</v>
      </c>
      <c r="M29" s="252">
        <v>46135</v>
      </c>
      <c r="N29" s="252">
        <v>46135</v>
      </c>
      <c r="O29" s="252" t="s">
        <v>266</v>
      </c>
      <c r="P29" s="243" t="s">
        <v>269</v>
      </c>
      <c r="Q29" s="252" t="s">
        <v>371</v>
      </c>
      <c r="R29" s="252" t="s">
        <v>323</v>
      </c>
      <c r="S29" s="243"/>
      <c r="T29" s="255" t="s">
        <v>269</v>
      </c>
      <c r="U29" s="255"/>
      <c r="V29" s="255"/>
      <c r="W29" s="255"/>
      <c r="X29" s="256" t="s">
        <v>271</v>
      </c>
      <c r="Y29" s="253" t="s">
        <v>272</v>
      </c>
      <c r="Z29" s="243" t="s">
        <v>273</v>
      </c>
      <c r="AA29" s="260">
        <v>46138</v>
      </c>
      <c r="AB29" s="243" t="s">
        <v>372</v>
      </c>
      <c r="AC29" s="258">
        <v>2.1</v>
      </c>
      <c r="AD29" s="259">
        <f t="shared" si="1"/>
        <v>13204.8</v>
      </c>
      <c r="AE29" s="259">
        <f t="shared" si="2"/>
        <v>102337.2</v>
      </c>
      <c r="AF29" s="76">
        <v>83241</v>
      </c>
      <c r="AG29" s="240" t="str">
        <f>VLOOKUP(AF29,'[2]Toy Monster'!$L:$M,2,0)</f>
        <v>RR128车</v>
      </c>
      <c r="AH29" s="239">
        <f>VLOOKUP(AF29,'[2]Toy Monster'!$L:$T,9,FALSE)</f>
        <v>46141</v>
      </c>
      <c r="AI29" s="243" t="s">
        <v>275</v>
      </c>
      <c r="AJ29" s="243"/>
      <c r="AK29" s="243" t="s">
        <v>373</v>
      </c>
      <c r="AL29" s="249">
        <f>IFERROR(VLOOKUP(G29,'已打发票扣数（26年5月开始）'!$A$1:$C$17,3,0)*I29*0.3,"")</f>
        <v>3961.44</v>
      </c>
    </row>
    <row r="30" s="235" customFormat="1" customHeight="1" spans="1:38">
      <c r="A30" s="252">
        <v>46101</v>
      </c>
      <c r="B30" s="253" t="s">
        <v>113</v>
      </c>
      <c r="C30" s="253" t="s">
        <v>265</v>
      </c>
      <c r="D30" s="253" t="s">
        <v>142</v>
      </c>
      <c r="E30" s="253">
        <v>21602319</v>
      </c>
      <c r="F30" s="253" t="s">
        <v>153</v>
      </c>
      <c r="G30" s="253" t="s">
        <v>18</v>
      </c>
      <c r="H30" s="253" t="str">
        <f>VLOOKUP(G30,名称!A:B,2,0)</f>
        <v>恐龙公园二代</v>
      </c>
      <c r="I30" s="254">
        <v>432</v>
      </c>
      <c r="J30" s="243">
        <f>VLOOKUP(G30,名称!A:C,3,FALSE)</f>
        <v>12</v>
      </c>
      <c r="K30" s="243">
        <f t="shared" si="4"/>
        <v>36</v>
      </c>
      <c r="L30" s="252">
        <v>46136</v>
      </c>
      <c r="M30" s="252">
        <v>46135</v>
      </c>
      <c r="N30" s="252">
        <v>46135</v>
      </c>
      <c r="O30" s="252" t="s">
        <v>266</v>
      </c>
      <c r="P30" s="243" t="s">
        <v>269</v>
      </c>
      <c r="Q30" s="252" t="s">
        <v>374</v>
      </c>
      <c r="R30" s="252" t="s">
        <v>323</v>
      </c>
      <c r="S30" s="243"/>
      <c r="T30" s="255" t="s">
        <v>269</v>
      </c>
      <c r="U30" s="255"/>
      <c r="V30" s="255"/>
      <c r="W30" s="255"/>
      <c r="X30" s="256" t="s">
        <v>271</v>
      </c>
      <c r="Y30" s="253" t="s">
        <v>272</v>
      </c>
      <c r="Z30" s="243" t="s">
        <v>273</v>
      </c>
      <c r="AA30" s="260">
        <v>46138</v>
      </c>
      <c r="AB30" s="243" t="s">
        <v>372</v>
      </c>
      <c r="AC30" s="258">
        <v>2.1</v>
      </c>
      <c r="AD30" s="259">
        <f t="shared" si="1"/>
        <v>907.2</v>
      </c>
      <c r="AE30" s="259">
        <f t="shared" si="2"/>
        <v>7030.8</v>
      </c>
      <c r="AF30" s="76">
        <v>83242</v>
      </c>
      <c r="AG30" s="240" t="str">
        <f>VLOOKUP(AF30,'[2]Toy Monster'!$L:$M,2,0)</f>
        <v>RR128车</v>
      </c>
      <c r="AH30" s="239">
        <f>VLOOKUP(AF30,'[2]Toy Monster'!$L:$T,9,FALSE)</f>
        <v>46141</v>
      </c>
      <c r="AI30" s="243" t="s">
        <v>275</v>
      </c>
      <c r="AJ30" s="243"/>
      <c r="AK30" s="243" t="s">
        <v>373</v>
      </c>
      <c r="AL30" s="249">
        <f>IFERROR(VLOOKUP(G30,'已打发票扣数（26年5月开始）'!$A$1:$C$17,3,0)*I30*0.3,"")</f>
        <v>272.16</v>
      </c>
    </row>
    <row r="31" s="235" customFormat="1" customHeight="1" spans="1:38">
      <c r="A31" s="252">
        <v>46077</v>
      </c>
      <c r="B31" s="253" t="s">
        <v>108</v>
      </c>
      <c r="C31" s="253" t="s">
        <v>302</v>
      </c>
      <c r="D31" s="253" t="s">
        <v>109</v>
      </c>
      <c r="E31" s="253" t="s">
        <v>139</v>
      </c>
      <c r="F31" s="253" t="s">
        <v>140</v>
      </c>
      <c r="G31" s="253" t="s">
        <v>32</v>
      </c>
      <c r="H31" s="253" t="str">
        <f>VLOOKUP(G31,名称!A:B,2,0)</f>
        <v>9.5寸粉红熊公仔+格力奇熊仔混装</v>
      </c>
      <c r="I31" s="254">
        <v>5400</v>
      </c>
      <c r="J31" s="243">
        <f>VLOOKUP(G31,名称!A:C,3,FALSE)</f>
        <v>2</v>
      </c>
      <c r="K31" s="243">
        <f t="shared" si="4"/>
        <v>2700</v>
      </c>
      <c r="L31" s="252">
        <v>46157</v>
      </c>
      <c r="M31" s="252">
        <v>46153</v>
      </c>
      <c r="N31" s="252">
        <v>46153</v>
      </c>
      <c r="O31" s="252" t="s">
        <v>266</v>
      </c>
      <c r="P31" s="255" t="s">
        <v>269</v>
      </c>
      <c r="Q31" s="252">
        <v>46160</v>
      </c>
      <c r="R31" s="252" t="s">
        <v>323</v>
      </c>
      <c r="S31" s="243"/>
      <c r="T31" s="255" t="s">
        <v>269</v>
      </c>
      <c r="U31" s="255"/>
      <c r="V31" s="255"/>
      <c r="W31" s="255"/>
      <c r="X31" s="256" t="s">
        <v>375</v>
      </c>
      <c r="Y31" s="253" t="s">
        <v>286</v>
      </c>
      <c r="Z31" s="243" t="s">
        <v>287</v>
      </c>
      <c r="AA31" s="243" t="s">
        <v>376</v>
      </c>
      <c r="AB31" s="243" t="s">
        <v>377</v>
      </c>
      <c r="AC31" s="258">
        <v>6.67</v>
      </c>
      <c r="AD31" s="259">
        <f t="shared" si="1"/>
        <v>36018</v>
      </c>
      <c r="AE31" s="259">
        <f t="shared" si="2"/>
        <v>279139.5</v>
      </c>
      <c r="AF31" s="76" t="s">
        <v>378</v>
      </c>
      <c r="AG31" s="240" t="str">
        <f>VLOOKUP(AF31,'[2]Toy Monster'!$L:$M,2,0)</f>
        <v>RR170-171车</v>
      </c>
      <c r="AH31" s="239">
        <f>VLOOKUP(AF31,'[2]Toy Monster'!$L:$T,9,FALSE)</f>
        <v>46161</v>
      </c>
      <c r="AI31" s="243" t="s">
        <v>275</v>
      </c>
      <c r="AJ31" s="243"/>
      <c r="AK31" s="243" t="s">
        <v>379</v>
      </c>
      <c r="AL31" s="249">
        <f>((896*6.34)+(896*6.64))*0.3</f>
        <v>3489.02</v>
      </c>
    </row>
    <row r="32" s="235" customFormat="1" customHeight="1" spans="1:38">
      <c r="A32" s="252">
        <v>46101</v>
      </c>
      <c r="B32" s="253" t="s">
        <v>113</v>
      </c>
      <c r="C32" s="253" t="s">
        <v>265</v>
      </c>
      <c r="D32" s="253" t="s">
        <v>154</v>
      </c>
      <c r="E32" s="253">
        <v>2617376</v>
      </c>
      <c r="F32" s="253" t="s">
        <v>155</v>
      </c>
      <c r="G32" s="253" t="s">
        <v>18</v>
      </c>
      <c r="H32" s="253" t="str">
        <f>VLOOKUP(G32,名称!A:B,2,0)</f>
        <v>恐龙公园二代</v>
      </c>
      <c r="I32" s="254">
        <v>1800</v>
      </c>
      <c r="J32" s="243">
        <f>VLOOKUP(G32,名称!A:C,3,FALSE)</f>
        <v>12</v>
      </c>
      <c r="K32" s="243">
        <f t="shared" si="4"/>
        <v>150</v>
      </c>
      <c r="L32" s="252">
        <v>46156</v>
      </c>
      <c r="M32" s="252">
        <v>46156</v>
      </c>
      <c r="N32" s="252">
        <v>46156</v>
      </c>
      <c r="O32" s="252" t="s">
        <v>266</v>
      </c>
      <c r="P32" s="243" t="s">
        <v>269</v>
      </c>
      <c r="Q32" s="252" t="s">
        <v>380</v>
      </c>
      <c r="R32" s="252" t="s">
        <v>323</v>
      </c>
      <c r="S32" s="243"/>
      <c r="T32" s="255" t="s">
        <v>269</v>
      </c>
      <c r="U32" s="255"/>
      <c r="V32" s="255"/>
      <c r="W32" s="255"/>
      <c r="X32" s="256" t="s">
        <v>271</v>
      </c>
      <c r="Y32" s="253" t="s">
        <v>272</v>
      </c>
      <c r="Z32" s="243" t="s">
        <v>273</v>
      </c>
      <c r="AA32" s="260">
        <v>46138</v>
      </c>
      <c r="AB32" s="243" t="s">
        <v>274</v>
      </c>
      <c r="AC32" s="258">
        <v>2.1</v>
      </c>
      <c r="AD32" s="259">
        <f t="shared" si="1"/>
        <v>3780</v>
      </c>
      <c r="AE32" s="259">
        <f t="shared" si="2"/>
        <v>29295</v>
      </c>
      <c r="AF32" s="76">
        <v>83248</v>
      </c>
      <c r="AG32" s="240" t="str">
        <f>VLOOKUP(AF32,'[2]Toy Monster'!$L:$M,2,0)</f>
        <v>RR187车</v>
      </c>
      <c r="AH32" s="239">
        <f>VLOOKUP(AF32,'[2]Toy Monster'!$L:$T,9,FALSE)</f>
        <v>46172</v>
      </c>
      <c r="AI32" s="243" t="s">
        <v>275</v>
      </c>
      <c r="AJ32" s="243"/>
      <c r="AK32" s="243" t="s">
        <v>276</v>
      </c>
      <c r="AL32" s="259">
        <f>IFERROR(VLOOKUP(G32,'已打发票扣数（26年5月开始）'!$A$1:$C$17,3,0)*I32*0.3,"")</f>
        <v>1134</v>
      </c>
    </row>
    <row r="33" s="235" customFormat="1" customHeight="1" spans="1:38">
      <c r="A33" s="252">
        <v>46114</v>
      </c>
      <c r="B33" s="253" t="s">
        <v>108</v>
      </c>
      <c r="C33" s="253" t="s">
        <v>279</v>
      </c>
      <c r="D33" s="253" t="s">
        <v>145</v>
      </c>
      <c r="E33" s="253" t="s">
        <v>160</v>
      </c>
      <c r="F33" s="253" t="s">
        <v>161</v>
      </c>
      <c r="G33" s="253" t="s">
        <v>14</v>
      </c>
      <c r="H33" s="253" t="str">
        <f>VLOOKUP(G33,名称!A:B,2,0)</f>
        <v>恐龙游戏盘(邮包盒装)</v>
      </c>
      <c r="I33" s="254">
        <v>1002</v>
      </c>
      <c r="J33" s="243">
        <f>VLOOKUP(G33,名称!A:C,3,FALSE)</f>
        <v>6</v>
      </c>
      <c r="K33" s="243">
        <f t="shared" si="4"/>
        <v>167</v>
      </c>
      <c r="L33" s="252">
        <v>46167</v>
      </c>
      <c r="M33" s="252">
        <v>46163</v>
      </c>
      <c r="N33" s="252">
        <v>46163</v>
      </c>
      <c r="O33" s="252" t="s">
        <v>266</v>
      </c>
      <c r="P33" s="243" t="s">
        <v>269</v>
      </c>
      <c r="Q33" s="252" t="s">
        <v>381</v>
      </c>
      <c r="R33" s="252" t="s">
        <v>340</v>
      </c>
      <c r="S33" s="243"/>
      <c r="T33" s="255" t="s">
        <v>269</v>
      </c>
      <c r="U33" s="255"/>
      <c r="V33" s="255"/>
      <c r="W33" s="255"/>
      <c r="X33" s="256" t="s">
        <v>281</v>
      </c>
      <c r="Y33" s="253" t="s">
        <v>282</v>
      </c>
      <c r="Z33" s="243" t="s">
        <v>273</v>
      </c>
      <c r="AA33" s="257">
        <v>46174</v>
      </c>
      <c r="AB33" s="243" t="s">
        <v>283</v>
      </c>
      <c r="AC33" s="258">
        <v>4.9</v>
      </c>
      <c r="AD33" s="259">
        <f t="shared" si="1"/>
        <v>4909.8</v>
      </c>
      <c r="AE33" s="259">
        <f t="shared" si="2"/>
        <v>38050.95</v>
      </c>
      <c r="AF33" s="76">
        <v>83249</v>
      </c>
      <c r="AG33" s="240" t="str">
        <f>VLOOKUP(AF33,'[2]Toy Monster'!$L:$M,2,0)</f>
        <v>RR293柜</v>
      </c>
      <c r="AH33" s="239">
        <f>VLOOKUP(AF33,'[2]Toy Monster'!$L:$T,9,FALSE)</f>
        <v>46172</v>
      </c>
      <c r="AI33" s="243" t="s">
        <v>275</v>
      </c>
      <c r="AJ33" s="243"/>
      <c r="AK33" s="243" t="s">
        <v>284</v>
      </c>
      <c r="AL33" s="259">
        <f>IFERROR(VLOOKUP(G33,'已打发票扣数（26年5月开始）'!$A$1:$C$17,3,0)*I33*0.3,"")+(I33*3.55-I33*1.35)</f>
        <v>3557.1</v>
      </c>
    </row>
    <row r="34" s="235" customFormat="1" customHeight="1" spans="1:38">
      <c r="A34" s="252">
        <v>46119</v>
      </c>
      <c r="B34" s="253" t="s">
        <v>148</v>
      </c>
      <c r="C34" s="253" t="s">
        <v>302</v>
      </c>
      <c r="D34" s="253" t="s">
        <v>166</v>
      </c>
      <c r="E34" s="391" t="s">
        <v>167</v>
      </c>
      <c r="F34" s="253" t="s">
        <v>168</v>
      </c>
      <c r="G34" s="253" t="s">
        <v>6</v>
      </c>
      <c r="H34" s="253" t="str">
        <f>VLOOKUP(G34,名称!A:B,2,0)</f>
        <v>恐龙游戏盘</v>
      </c>
      <c r="I34" s="254">
        <v>1800</v>
      </c>
      <c r="J34" s="243">
        <f>VLOOKUP(G34,名称!A:C,3,FALSE)</f>
        <v>6</v>
      </c>
      <c r="K34" s="243">
        <f t="shared" si="4"/>
        <v>300</v>
      </c>
      <c r="L34" s="252">
        <v>46171</v>
      </c>
      <c r="M34" s="252">
        <v>46167</v>
      </c>
      <c r="N34" s="252">
        <v>46167</v>
      </c>
      <c r="O34" s="252" t="s">
        <v>266</v>
      </c>
      <c r="P34" s="243"/>
      <c r="Q34" s="252" t="s">
        <v>382</v>
      </c>
      <c r="R34" s="252" t="s">
        <v>323</v>
      </c>
      <c r="S34" s="243"/>
      <c r="T34" s="255" t="s">
        <v>269</v>
      </c>
      <c r="U34" s="255"/>
      <c r="V34" s="255"/>
      <c r="W34" s="255"/>
      <c r="X34" s="256" t="s">
        <v>311</v>
      </c>
      <c r="Y34" s="253" t="s">
        <v>383</v>
      </c>
      <c r="Z34" s="243" t="s">
        <v>384</v>
      </c>
      <c r="AA34" s="243" t="s">
        <v>385</v>
      </c>
      <c r="AB34" s="243" t="s">
        <v>283</v>
      </c>
      <c r="AC34" s="258">
        <v>4.5</v>
      </c>
      <c r="AD34" s="259">
        <f t="shared" si="1"/>
        <v>8100</v>
      </c>
      <c r="AE34" s="259">
        <f t="shared" si="2"/>
        <v>62775</v>
      </c>
      <c r="AF34" s="76">
        <v>83250</v>
      </c>
      <c r="AG34" s="240" t="str">
        <f>VLOOKUP(AF34,'[2]Toy Monster'!$L:$M,2,0)</f>
        <v>RR172车</v>
      </c>
      <c r="AH34" s="239">
        <f>VLOOKUP(AF34,'[2]Toy Monster'!$L:$T,9,FALSE)</f>
        <v>46177</v>
      </c>
      <c r="AI34" s="243" t="s">
        <v>275</v>
      </c>
      <c r="AJ34" s="243"/>
      <c r="AK34" s="243"/>
      <c r="AL34" s="259">
        <f>IFERROR(VLOOKUP(G34,'已打发票扣数（26年5月开始）'!$A$1:$C$17,3,0)*I34*0.3,"")+(I34*3.55-I34*1.35)</f>
        <v>6390</v>
      </c>
    </row>
    <row r="35" s="235" customFormat="1" customHeight="1" spans="1:38">
      <c r="A35" s="252">
        <v>46102</v>
      </c>
      <c r="B35" s="253" t="s">
        <v>148</v>
      </c>
      <c r="C35" s="253" t="s">
        <v>302</v>
      </c>
      <c r="D35" s="253" t="s">
        <v>149</v>
      </c>
      <c r="E35" s="391" t="s">
        <v>150</v>
      </c>
      <c r="F35" s="253" t="s">
        <v>151</v>
      </c>
      <c r="G35" s="253" t="s">
        <v>36</v>
      </c>
      <c r="H35" s="253" t="str">
        <f>VLOOKUP(G35,名称!A:B,2,0)</f>
        <v>恐龙公园二代</v>
      </c>
      <c r="I35" s="254">
        <v>2964</v>
      </c>
      <c r="J35" s="243">
        <f>VLOOKUP(G35,名称!A:C,3,FALSE)</f>
        <v>12</v>
      </c>
      <c r="K35" s="243">
        <f t="shared" si="4"/>
        <v>247</v>
      </c>
      <c r="L35" s="252">
        <v>46164</v>
      </c>
      <c r="M35" s="252">
        <v>46167</v>
      </c>
      <c r="N35" s="252">
        <v>46167</v>
      </c>
      <c r="O35" s="252" t="s">
        <v>266</v>
      </c>
      <c r="P35" s="243" t="s">
        <v>269</v>
      </c>
      <c r="Q35" s="252" t="s">
        <v>386</v>
      </c>
      <c r="R35" s="252" t="s">
        <v>323</v>
      </c>
      <c r="S35" s="243"/>
      <c r="T35" s="255" t="s">
        <v>269</v>
      </c>
      <c r="U35" s="255"/>
      <c r="V35" s="255"/>
      <c r="W35" s="255"/>
      <c r="X35" s="256" t="s">
        <v>387</v>
      </c>
      <c r="Y35" s="253" t="s">
        <v>388</v>
      </c>
      <c r="Z35" s="243" t="s">
        <v>389</v>
      </c>
      <c r="AA35" s="243" t="s">
        <v>390</v>
      </c>
      <c r="AB35" s="243" t="s">
        <v>391</v>
      </c>
      <c r="AC35" s="258">
        <v>2.1</v>
      </c>
      <c r="AD35" s="259">
        <f t="shared" si="1"/>
        <v>6224.4</v>
      </c>
      <c r="AE35" s="259">
        <f t="shared" si="2"/>
        <v>48239.1</v>
      </c>
      <c r="AF35" s="76">
        <v>95751</v>
      </c>
      <c r="AG35" s="240" t="str">
        <f>VLOOKUP(AF35,'[2]Toy Monster'!$L:$M,2,0)</f>
        <v>RR172车</v>
      </c>
      <c r="AH35" s="239">
        <f>VLOOKUP(AF35,'[2]Toy Monster'!$L:$T,9,FALSE)</f>
        <v>46177</v>
      </c>
      <c r="AI35" s="243" t="s">
        <v>275</v>
      </c>
      <c r="AJ35" s="243"/>
      <c r="AK35" s="243"/>
      <c r="AL35" s="259">
        <f>IFERROR(VLOOKUP(G35,'已打发票扣数（26年5月开始）'!$A$1:$C$17,3,0)*I35*0.3,"")</f>
        <v>1867.32</v>
      </c>
    </row>
    <row r="36" s="235" customFormat="1" customHeight="1" spans="1:38">
      <c r="A36" s="252">
        <v>46121</v>
      </c>
      <c r="B36" s="253" t="s">
        <v>100</v>
      </c>
      <c r="C36" s="253" t="s">
        <v>279</v>
      </c>
      <c r="D36" s="253" t="s">
        <v>101</v>
      </c>
      <c r="E36" s="253" t="s">
        <v>170</v>
      </c>
      <c r="F36" s="253" t="s">
        <v>171</v>
      </c>
      <c r="G36" s="253" t="s">
        <v>18</v>
      </c>
      <c r="H36" s="253" t="str">
        <f>VLOOKUP(G36,名称!A:B,2,0)</f>
        <v>恐龙公园二代</v>
      </c>
      <c r="I36" s="254">
        <v>1656</v>
      </c>
      <c r="J36" s="243">
        <f>VLOOKUP(G36,名称!A:C,3,FALSE)</f>
        <v>12</v>
      </c>
      <c r="K36" s="243">
        <f t="shared" si="4"/>
        <v>138</v>
      </c>
      <c r="L36" s="252">
        <v>46175</v>
      </c>
      <c r="M36" s="252">
        <v>46174</v>
      </c>
      <c r="N36" s="252">
        <v>46174</v>
      </c>
      <c r="O36" s="252" t="s">
        <v>266</v>
      </c>
      <c r="P36" s="243" t="s">
        <v>269</v>
      </c>
      <c r="Q36" s="252" t="s">
        <v>392</v>
      </c>
      <c r="R36" s="252" t="s">
        <v>323</v>
      </c>
      <c r="S36" s="243"/>
      <c r="T36" s="255" t="s">
        <v>269</v>
      </c>
      <c r="U36" s="255"/>
      <c r="V36" s="255"/>
      <c r="W36" s="255"/>
      <c r="X36" s="256" t="s">
        <v>271</v>
      </c>
      <c r="Y36" s="253" t="s">
        <v>272</v>
      </c>
      <c r="Z36" s="243" t="s">
        <v>273</v>
      </c>
      <c r="AA36" s="261">
        <v>46162</v>
      </c>
      <c r="AB36" s="243"/>
      <c r="AC36" s="258">
        <v>2.1</v>
      </c>
      <c r="AD36" s="259">
        <f t="shared" si="1"/>
        <v>3477.6</v>
      </c>
      <c r="AE36" s="259">
        <f t="shared" si="2"/>
        <v>26951.4</v>
      </c>
      <c r="AF36" s="76">
        <v>95752</v>
      </c>
      <c r="AG36" s="240" t="str">
        <f>VLOOKUP(AF36,'[2]Toy Monster'!$L:$M,2,0)</f>
        <v>RR245柜</v>
      </c>
      <c r="AH36" s="239">
        <f>VLOOKUP(AF36,'[2]Toy Monster'!$L:$T,9,FALSE)</f>
        <v>46183</v>
      </c>
      <c r="AI36" s="243" t="s">
        <v>275</v>
      </c>
      <c r="AJ36" s="243"/>
      <c r="AK36" s="243"/>
      <c r="AL36" s="259">
        <f>IFERROR(VLOOKUP(G36,'已打发票扣数（26年5月开始）'!$A$1:$C$17,3,0)*I36*0.3,"")</f>
        <v>1043.28</v>
      </c>
    </row>
    <row r="37" s="235" customFormat="1" customHeight="1" spans="1:38">
      <c r="A37" s="252">
        <v>46134</v>
      </c>
      <c r="B37" s="253" t="s">
        <v>181</v>
      </c>
      <c r="C37" s="253" t="s">
        <v>279</v>
      </c>
      <c r="D37" s="253" t="s">
        <v>182</v>
      </c>
      <c r="E37" s="253" t="s">
        <v>183</v>
      </c>
      <c r="F37" s="253" t="s">
        <v>184</v>
      </c>
      <c r="G37" s="253" t="s">
        <v>4</v>
      </c>
      <c r="H37" s="253" t="str">
        <f>VLOOKUP(G37,名称!A:B,2,0)</f>
        <v>恐龙公园</v>
      </c>
      <c r="I37" s="254">
        <v>540</v>
      </c>
      <c r="J37" s="243">
        <f>VLOOKUP(G37,名称!A:C,3,FALSE)</f>
        <v>12</v>
      </c>
      <c r="K37" s="243">
        <f t="shared" si="4"/>
        <v>45</v>
      </c>
      <c r="L37" s="252">
        <v>46181</v>
      </c>
      <c r="M37" s="252">
        <f>L37-7</f>
        <v>46174</v>
      </c>
      <c r="N37" s="252">
        <f>L37-7</f>
        <v>46174</v>
      </c>
      <c r="O37" s="252" t="s">
        <v>266</v>
      </c>
      <c r="P37" s="243" t="s">
        <v>269</v>
      </c>
      <c r="Q37" s="252" t="s">
        <v>393</v>
      </c>
      <c r="R37" s="252" t="s">
        <v>323</v>
      </c>
      <c r="S37" s="243"/>
      <c r="T37" s="255" t="s">
        <v>269</v>
      </c>
      <c r="U37" s="255" t="s">
        <v>394</v>
      </c>
      <c r="V37" s="255"/>
      <c r="W37" s="255"/>
      <c r="X37" s="256" t="s">
        <v>314</v>
      </c>
      <c r="Y37" s="253" t="s">
        <v>272</v>
      </c>
      <c r="Z37" s="243" t="s">
        <v>273</v>
      </c>
      <c r="AA37" s="261">
        <v>46162</v>
      </c>
      <c r="AB37" s="243" t="s">
        <v>395</v>
      </c>
      <c r="AC37" s="258">
        <v>2.1</v>
      </c>
      <c r="AD37" s="259">
        <f t="shared" si="1"/>
        <v>1134</v>
      </c>
      <c r="AE37" s="259">
        <f t="shared" si="2"/>
        <v>8788.5</v>
      </c>
      <c r="AF37" s="76">
        <v>95753</v>
      </c>
      <c r="AG37" s="240" t="str">
        <f>VLOOKUP(AF37,'[2]Toy Monster'!$L:$M,2,0)</f>
        <v>RR254车</v>
      </c>
      <c r="AH37" s="239">
        <f>VLOOKUP(AF37,'[2]Toy Monster'!$L:$T,9,FALSE)</f>
        <v>46183</v>
      </c>
      <c r="AI37" s="243" t="s">
        <v>275</v>
      </c>
      <c r="AJ37" s="243"/>
      <c r="AK37" s="243" t="s">
        <v>396</v>
      </c>
      <c r="AL37" s="259">
        <f>IFERROR(VLOOKUP(G37,'已打发票扣数（26年5月开始）'!$A$1:$C$17,3,0)*I37*0.3,"")</f>
        <v>340.2</v>
      </c>
    </row>
    <row r="38" s="235" customFormat="1" customHeight="1" spans="1:38">
      <c r="A38" s="252">
        <v>46122</v>
      </c>
      <c r="B38" s="253" t="s">
        <v>113</v>
      </c>
      <c r="C38" s="253" t="s">
        <v>265</v>
      </c>
      <c r="D38" s="253" t="s">
        <v>142</v>
      </c>
      <c r="E38" s="253">
        <v>21688246</v>
      </c>
      <c r="F38" s="253" t="s">
        <v>173</v>
      </c>
      <c r="G38" s="253" t="s">
        <v>18</v>
      </c>
      <c r="H38" s="253" t="str">
        <f>VLOOKUP(G38,名称!A:B,2,0)</f>
        <v>恐龙公园二代</v>
      </c>
      <c r="I38" s="254">
        <v>1224</v>
      </c>
      <c r="J38" s="243">
        <f>VLOOKUP(G38,名称!A:C,3,FALSE)</f>
        <v>12</v>
      </c>
      <c r="K38" s="243">
        <f t="shared" si="4"/>
        <v>102</v>
      </c>
      <c r="L38" s="252">
        <v>46174</v>
      </c>
      <c r="M38" s="252">
        <v>46174</v>
      </c>
      <c r="N38" s="252">
        <v>46174</v>
      </c>
      <c r="O38" s="252" t="s">
        <v>266</v>
      </c>
      <c r="P38" s="243" t="s">
        <v>269</v>
      </c>
      <c r="Q38" s="252" t="s">
        <v>397</v>
      </c>
      <c r="R38" s="252" t="s">
        <v>323</v>
      </c>
      <c r="S38" s="243"/>
      <c r="T38" s="255" t="s">
        <v>269</v>
      </c>
      <c r="U38" s="255"/>
      <c r="V38" s="255"/>
      <c r="W38" s="255"/>
      <c r="X38" s="256" t="s">
        <v>271</v>
      </c>
      <c r="Y38" s="253" t="s">
        <v>272</v>
      </c>
      <c r="Z38" s="243" t="s">
        <v>273</v>
      </c>
      <c r="AA38" s="260">
        <v>46138</v>
      </c>
      <c r="AB38" s="243" t="s">
        <v>372</v>
      </c>
      <c r="AC38" s="258">
        <v>2.1</v>
      </c>
      <c r="AD38" s="259">
        <f t="shared" si="1"/>
        <v>2570.4</v>
      </c>
      <c r="AE38" s="259">
        <f t="shared" si="2"/>
        <v>19920.6</v>
      </c>
      <c r="AF38" s="76">
        <v>95754</v>
      </c>
      <c r="AG38" s="240" t="str">
        <f>VLOOKUP(AF38,'[2]Toy Monster'!$L:$M,2,0)</f>
        <v>RR256车</v>
      </c>
      <c r="AH38" s="239">
        <f>VLOOKUP(AF38,'[2]Toy Monster'!$L:$T,9,FALSE)</f>
        <v>46184</v>
      </c>
      <c r="AI38" s="243" t="s">
        <v>275</v>
      </c>
      <c r="AJ38" s="243"/>
      <c r="AK38" s="243" t="s">
        <v>398</v>
      </c>
      <c r="AL38" s="259">
        <f>IFERROR(VLOOKUP(G38,'已打发票扣数（26年5月开始）'!$A$1:$C$17,3,0)*I38*0.3,"")</f>
        <v>771.12</v>
      </c>
    </row>
    <row r="39" s="235" customFormat="1" customHeight="1" spans="1:38">
      <c r="A39" s="252">
        <v>46122</v>
      </c>
      <c r="B39" s="253" t="s">
        <v>141</v>
      </c>
      <c r="C39" s="253" t="s">
        <v>265</v>
      </c>
      <c r="D39" s="253" t="s">
        <v>142</v>
      </c>
      <c r="E39" s="253">
        <v>21688244</v>
      </c>
      <c r="F39" s="253" t="s">
        <v>172</v>
      </c>
      <c r="G39" s="253" t="s">
        <v>18</v>
      </c>
      <c r="H39" s="253" t="str">
        <f>VLOOKUP(G39,名称!A:B,2,0)</f>
        <v>恐龙公园二代</v>
      </c>
      <c r="I39" s="254">
        <v>5496</v>
      </c>
      <c r="J39" s="243">
        <f>VLOOKUP(G39,名称!A:C,3,FALSE)</f>
        <v>12</v>
      </c>
      <c r="K39" s="243">
        <f t="shared" si="4"/>
        <v>458</v>
      </c>
      <c r="L39" s="252">
        <v>46174</v>
      </c>
      <c r="M39" s="252">
        <v>46174</v>
      </c>
      <c r="N39" s="252">
        <v>46174</v>
      </c>
      <c r="O39" s="252" t="s">
        <v>266</v>
      </c>
      <c r="P39" s="243" t="s">
        <v>269</v>
      </c>
      <c r="Q39" s="252" t="s">
        <v>399</v>
      </c>
      <c r="R39" s="252" t="s">
        <v>323</v>
      </c>
      <c r="S39" s="243"/>
      <c r="T39" s="255" t="s">
        <v>269</v>
      </c>
      <c r="U39" s="255"/>
      <c r="V39" s="255"/>
      <c r="W39" s="255"/>
      <c r="X39" s="256" t="s">
        <v>271</v>
      </c>
      <c r="Y39" s="253" t="s">
        <v>272</v>
      </c>
      <c r="Z39" s="243" t="s">
        <v>273</v>
      </c>
      <c r="AA39" s="260">
        <v>46138</v>
      </c>
      <c r="AB39" s="243" t="s">
        <v>372</v>
      </c>
      <c r="AC39" s="258">
        <v>2.1</v>
      </c>
      <c r="AD39" s="259">
        <f t="shared" si="1"/>
        <v>11541.6</v>
      </c>
      <c r="AE39" s="259">
        <f t="shared" si="2"/>
        <v>89447.4</v>
      </c>
      <c r="AF39" s="76">
        <v>95755</v>
      </c>
      <c r="AG39" s="240" t="str">
        <f>VLOOKUP(AF39,'[2]Toy Monster'!$L:$M,2,0)</f>
        <v>RR256车</v>
      </c>
      <c r="AH39" s="239">
        <f>VLOOKUP(AF39,'[2]Toy Monster'!$L:$T,9,FALSE)</f>
        <v>46184</v>
      </c>
      <c r="AI39" s="243" t="s">
        <v>275</v>
      </c>
      <c r="AJ39" s="243"/>
      <c r="AK39" s="243" t="s">
        <v>398</v>
      </c>
      <c r="AL39" s="259">
        <f>IFERROR(VLOOKUP(G39,'已打发票扣数（26年5月开始）'!$A$1:$C$17,3,0)*I39*0.3,"")</f>
        <v>3462.48</v>
      </c>
    </row>
    <row r="40" s="235" customFormat="1" customHeight="1" spans="1:38">
      <c r="A40" s="252">
        <v>46134</v>
      </c>
      <c r="B40" s="253" t="s">
        <v>177</v>
      </c>
      <c r="C40" s="253" t="s">
        <v>279</v>
      </c>
      <c r="D40" s="253" t="s">
        <v>178</v>
      </c>
      <c r="E40" s="253" t="s">
        <v>179</v>
      </c>
      <c r="F40" s="253" t="s">
        <v>180</v>
      </c>
      <c r="G40" s="253" t="s">
        <v>18</v>
      </c>
      <c r="H40" s="253" t="str">
        <f>VLOOKUP(G40,名称!A:B,2,0)</f>
        <v>恐龙公园二代</v>
      </c>
      <c r="I40" s="254">
        <v>1404</v>
      </c>
      <c r="J40" s="243">
        <f>VLOOKUP(G40,名称!A:C,3,FALSE)</f>
        <v>12</v>
      </c>
      <c r="K40" s="243">
        <f t="shared" si="4"/>
        <v>117</v>
      </c>
      <c r="L40" s="252">
        <v>46175</v>
      </c>
      <c r="M40" s="252">
        <v>46174</v>
      </c>
      <c r="N40" s="252">
        <v>46174</v>
      </c>
      <c r="O40" s="252" t="s">
        <v>266</v>
      </c>
      <c r="P40" s="243" t="s">
        <v>269</v>
      </c>
      <c r="Q40" s="252" t="s">
        <v>400</v>
      </c>
      <c r="R40" s="252" t="s">
        <v>323</v>
      </c>
      <c r="S40" s="243"/>
      <c r="T40" s="255" t="s">
        <v>269</v>
      </c>
      <c r="U40" s="255" t="s">
        <v>394</v>
      </c>
      <c r="V40" s="255"/>
      <c r="W40" s="255"/>
      <c r="X40" s="256" t="s">
        <v>271</v>
      </c>
      <c r="Y40" s="253" t="s">
        <v>272</v>
      </c>
      <c r="Z40" s="243" t="s">
        <v>273</v>
      </c>
      <c r="AA40" s="261">
        <v>46162</v>
      </c>
      <c r="AB40" s="243"/>
      <c r="AC40" s="258">
        <v>2.1</v>
      </c>
      <c r="AD40" s="259">
        <f t="shared" si="1"/>
        <v>2948.4</v>
      </c>
      <c r="AE40" s="259">
        <f t="shared" si="2"/>
        <v>22850.1</v>
      </c>
      <c r="AF40" s="76">
        <v>95756</v>
      </c>
      <c r="AG40" s="240" t="str">
        <f>VLOOKUP(AF40,'[2]Toy Monster'!$L:$M,2,0)</f>
        <v>RR258车</v>
      </c>
      <c r="AH40" s="239">
        <f>VLOOKUP(AF40,'[2]Toy Monster'!$L:$T,9,FALSE)</f>
        <v>46184</v>
      </c>
      <c r="AI40" s="243" t="s">
        <v>275</v>
      </c>
      <c r="AJ40" s="243"/>
      <c r="AK40" s="243" t="s">
        <v>401</v>
      </c>
      <c r="AL40" s="259">
        <f>IFERROR(VLOOKUP(G40,'已打发票扣数（26年5月开始）'!$A$1:$C$17,3,0)*I40*0.3,"")</f>
        <v>884.52</v>
      </c>
    </row>
    <row r="41" s="235" customFormat="1" customHeight="1" spans="1:38">
      <c r="A41" s="252">
        <v>46119</v>
      </c>
      <c r="B41" s="253" t="s">
        <v>113</v>
      </c>
      <c r="C41" s="253" t="s">
        <v>308</v>
      </c>
      <c r="D41" s="253" t="s">
        <v>114</v>
      </c>
      <c r="E41" s="253">
        <v>47946690</v>
      </c>
      <c r="F41" s="253" t="s">
        <v>169</v>
      </c>
      <c r="G41" s="253" t="s">
        <v>6</v>
      </c>
      <c r="H41" s="253" t="str">
        <f>VLOOKUP(G41,名称!A:B,2,0)</f>
        <v>恐龙游戏盘</v>
      </c>
      <c r="I41" s="254">
        <v>1200</v>
      </c>
      <c r="J41" s="243">
        <f>VLOOKUP(G41,名称!A:C,3,FALSE)</f>
        <v>6</v>
      </c>
      <c r="K41" s="243">
        <f t="shared" si="4"/>
        <v>200</v>
      </c>
      <c r="L41" s="252">
        <v>46178</v>
      </c>
      <c r="M41" s="252">
        <v>46174</v>
      </c>
      <c r="N41" s="252">
        <v>46174</v>
      </c>
      <c r="O41" s="252" t="s">
        <v>266</v>
      </c>
      <c r="P41" s="243" t="s">
        <v>269</v>
      </c>
      <c r="Q41" s="252"/>
      <c r="R41" s="252"/>
      <c r="S41" s="243"/>
      <c r="T41" s="255" t="s">
        <v>269</v>
      </c>
      <c r="U41" s="255"/>
      <c r="V41" s="255"/>
      <c r="W41" s="255"/>
      <c r="X41" s="256" t="s">
        <v>311</v>
      </c>
      <c r="Y41" s="253" t="s">
        <v>272</v>
      </c>
      <c r="Z41" s="243" t="s">
        <v>273</v>
      </c>
      <c r="AA41" s="243" t="s">
        <v>402</v>
      </c>
      <c r="AB41" s="243" t="s">
        <v>283</v>
      </c>
      <c r="AC41" s="258">
        <v>4.5</v>
      </c>
      <c r="AD41" s="259">
        <f t="shared" si="1"/>
        <v>5400</v>
      </c>
      <c r="AE41" s="259">
        <f t="shared" si="2"/>
        <v>41850</v>
      </c>
      <c r="AF41" s="76">
        <v>95757</v>
      </c>
      <c r="AG41" s="240" t="str">
        <f>VLOOKUP(AF41,'[2]Toy Monster'!$L:$M,2,0)</f>
        <v>RR242车</v>
      </c>
      <c r="AH41" s="239">
        <f>VLOOKUP(AF41,'[2]Toy Monster'!$L:$T,9,FALSE)</f>
        <v>46185</v>
      </c>
      <c r="AI41" s="243" t="s">
        <v>275</v>
      </c>
      <c r="AJ41" s="243"/>
      <c r="AK41" s="243"/>
      <c r="AL41" s="259">
        <f>IFERROR(VLOOKUP(G41,'已打发票扣数（26年5月开始）'!$A$1:$C$17,3,0)*I41*0.3,"")+(I41*3.55-I41*1.35)</f>
        <v>4260</v>
      </c>
    </row>
    <row r="42" s="235" customFormat="1" customHeight="1" spans="1:38">
      <c r="A42" s="252">
        <v>46129</v>
      </c>
      <c r="B42" s="253" t="s">
        <v>113</v>
      </c>
      <c r="C42" s="253" t="s">
        <v>265</v>
      </c>
      <c r="D42" s="253" t="s">
        <v>142</v>
      </c>
      <c r="E42" s="253">
        <v>21711859</v>
      </c>
      <c r="F42" s="253" t="s">
        <v>176</v>
      </c>
      <c r="G42" s="253" t="s">
        <v>18</v>
      </c>
      <c r="H42" s="253" t="str">
        <f>VLOOKUP(G42,名称!A:B,2,0)</f>
        <v>恐龙公园二代</v>
      </c>
      <c r="I42" s="254">
        <v>6720</v>
      </c>
      <c r="J42" s="243">
        <f>VLOOKUP(G42,名称!A:C,3,FALSE)</f>
        <v>12</v>
      </c>
      <c r="K42" s="243">
        <f t="shared" si="4"/>
        <v>560</v>
      </c>
      <c r="L42" s="252">
        <v>46175</v>
      </c>
      <c r="M42" s="252">
        <v>46174</v>
      </c>
      <c r="N42" s="252">
        <v>46174</v>
      </c>
      <c r="O42" s="252" t="s">
        <v>266</v>
      </c>
      <c r="P42" s="243" t="s">
        <v>269</v>
      </c>
      <c r="Q42" s="252" t="s">
        <v>403</v>
      </c>
      <c r="R42" s="252"/>
      <c r="S42" s="243"/>
      <c r="T42" s="255" t="s">
        <v>269</v>
      </c>
      <c r="U42" s="255"/>
      <c r="V42" s="255"/>
      <c r="W42" s="255"/>
      <c r="X42" s="256" t="s">
        <v>271</v>
      </c>
      <c r="Y42" s="253" t="s">
        <v>272</v>
      </c>
      <c r="Z42" s="243" t="s">
        <v>273</v>
      </c>
      <c r="AA42" s="243">
        <v>46174</v>
      </c>
      <c r="AB42" s="243" t="s">
        <v>372</v>
      </c>
      <c r="AC42" s="258">
        <v>2.1</v>
      </c>
      <c r="AD42" s="259">
        <f t="shared" si="1"/>
        <v>14112</v>
      </c>
      <c r="AE42" s="259">
        <f t="shared" si="2"/>
        <v>109368</v>
      </c>
      <c r="AF42" s="76">
        <v>95758</v>
      </c>
      <c r="AG42" s="240" t="s">
        <v>404</v>
      </c>
      <c r="AH42" s="239">
        <v>46191</v>
      </c>
      <c r="AI42" s="243" t="s">
        <v>275</v>
      </c>
      <c r="AJ42" s="243"/>
      <c r="AK42" s="243" t="s">
        <v>398</v>
      </c>
      <c r="AL42" s="259">
        <f>IFERROR(VLOOKUP(G42,'已打发票扣数（26年5月开始）'!$A$1:$C$17,3,0)*I42*0.3,"")</f>
        <v>4233.6</v>
      </c>
    </row>
    <row r="43" s="235" customFormat="1" customHeight="1" spans="1:38">
      <c r="A43" s="252">
        <v>46101</v>
      </c>
      <c r="B43" s="253" t="s">
        <v>113</v>
      </c>
      <c r="C43" s="253" t="s">
        <v>265</v>
      </c>
      <c r="D43" s="253" t="s">
        <v>154</v>
      </c>
      <c r="E43" s="253">
        <v>2617377</v>
      </c>
      <c r="F43" s="253" t="s">
        <v>156</v>
      </c>
      <c r="G43" s="253" t="s">
        <v>18</v>
      </c>
      <c r="H43" s="253" t="str">
        <f>VLOOKUP(G43,名称!A:B,2,0)</f>
        <v>恐龙公园二代</v>
      </c>
      <c r="I43" s="254">
        <v>1800</v>
      </c>
      <c r="J43" s="243">
        <f>VLOOKUP(G43,名称!A:C,3,FALSE)</f>
        <v>12</v>
      </c>
      <c r="K43" s="243">
        <f t="shared" si="4"/>
        <v>150</v>
      </c>
      <c r="L43" s="252">
        <v>46177</v>
      </c>
      <c r="M43" s="252">
        <v>46174</v>
      </c>
      <c r="N43" s="252">
        <v>46174</v>
      </c>
      <c r="O43" s="252" t="s">
        <v>266</v>
      </c>
      <c r="P43" s="243" t="s">
        <v>269</v>
      </c>
      <c r="Q43" s="252" t="s">
        <v>405</v>
      </c>
      <c r="R43" s="252" t="s">
        <v>323</v>
      </c>
      <c r="S43" s="243"/>
      <c r="T43" s="255" t="s">
        <v>269</v>
      </c>
      <c r="U43" s="255"/>
      <c r="V43" s="255"/>
      <c r="W43" s="255"/>
      <c r="X43" s="256" t="s">
        <v>271</v>
      </c>
      <c r="Y43" s="253" t="s">
        <v>272</v>
      </c>
      <c r="Z43" s="243" t="s">
        <v>273</v>
      </c>
      <c r="AA43" s="243">
        <v>46199</v>
      </c>
      <c r="AB43" s="243" t="s">
        <v>274</v>
      </c>
      <c r="AC43" s="258">
        <v>2.1</v>
      </c>
      <c r="AD43" s="259">
        <f t="shared" si="1"/>
        <v>3780</v>
      </c>
      <c r="AE43" s="259">
        <f t="shared" si="2"/>
        <v>29295</v>
      </c>
      <c r="AF43" s="76">
        <v>95759</v>
      </c>
      <c r="AG43" s="240" t="s">
        <v>406</v>
      </c>
      <c r="AH43" s="239">
        <v>46203</v>
      </c>
      <c r="AI43" s="243" t="s">
        <v>275</v>
      </c>
      <c r="AJ43" s="243"/>
      <c r="AK43" s="243" t="s">
        <v>276</v>
      </c>
      <c r="AL43" s="259">
        <f>IFERROR(VLOOKUP(G43,'已打发票扣数（26年5月开始）'!$A$1:$C$17,3,0)*I43*0.3,"")</f>
        <v>1134</v>
      </c>
    </row>
    <row r="44" s="235" customFormat="1" customHeight="1" spans="1:38">
      <c r="A44" s="252">
        <v>46154</v>
      </c>
      <c r="B44" s="253" t="s">
        <v>185</v>
      </c>
      <c r="C44" s="253" t="s">
        <v>279</v>
      </c>
      <c r="D44" s="253" t="s">
        <v>186</v>
      </c>
      <c r="E44" s="253" t="s">
        <v>187</v>
      </c>
      <c r="F44" s="253" t="s">
        <v>188</v>
      </c>
      <c r="G44" s="253" t="s">
        <v>37</v>
      </c>
      <c r="H44" s="253" t="str">
        <f>VLOOKUP(G44,名称!A:B,2,0)</f>
        <v>9.5寸漫画系列</v>
      </c>
      <c r="I44" s="254">
        <v>1440</v>
      </c>
      <c r="J44" s="243">
        <f>VLOOKUP(G44,名称!A:C,3,FALSE)</f>
        <v>8</v>
      </c>
      <c r="K44" s="243">
        <f t="shared" si="4"/>
        <v>180</v>
      </c>
      <c r="L44" s="252">
        <v>46198</v>
      </c>
      <c r="M44" s="252">
        <v>46202</v>
      </c>
      <c r="N44" s="252">
        <v>46202</v>
      </c>
      <c r="O44" s="252" t="s">
        <v>266</v>
      </c>
      <c r="P44" s="243" t="s">
        <v>269</v>
      </c>
      <c r="Q44" s="252" t="s">
        <v>407</v>
      </c>
      <c r="R44" s="252"/>
      <c r="S44" s="243"/>
      <c r="T44" s="255" t="s">
        <v>269</v>
      </c>
      <c r="U44" s="255"/>
      <c r="V44" s="255"/>
      <c r="W44" s="255"/>
      <c r="X44" s="392" t="s">
        <v>408</v>
      </c>
      <c r="Y44" s="253" t="s">
        <v>272</v>
      </c>
      <c r="Z44" s="243" t="s">
        <v>287</v>
      </c>
      <c r="AA44" s="243">
        <v>46174</v>
      </c>
      <c r="AB44" s="243" t="s">
        <v>409</v>
      </c>
      <c r="AC44" s="258">
        <v>6.35</v>
      </c>
      <c r="AD44" s="259">
        <f t="shared" si="1"/>
        <v>9144</v>
      </c>
      <c r="AE44" s="259">
        <f t="shared" si="2"/>
        <v>70866</v>
      </c>
      <c r="AF44" s="76">
        <v>95762</v>
      </c>
      <c r="AG44" s="240" t="s">
        <v>410</v>
      </c>
      <c r="AH44" s="239">
        <v>46206</v>
      </c>
      <c r="AI44" s="243" t="s">
        <v>275</v>
      </c>
      <c r="AJ44" s="243"/>
      <c r="AK44" s="243" t="s">
        <v>411</v>
      </c>
      <c r="AL44" s="259" t="str">
        <f>IFERROR(VLOOKUP(G44,'已打发票扣数（26年5月开始）'!$A$1:$C$17,3,0)*I44*0.3,"")</f>
        <v/>
      </c>
    </row>
    <row r="45" s="235" customFormat="1" customHeight="1" spans="1:38">
      <c r="A45" s="252">
        <v>46154</v>
      </c>
      <c r="B45" s="253" t="s">
        <v>185</v>
      </c>
      <c r="C45" s="253" t="s">
        <v>279</v>
      </c>
      <c r="D45" s="253" t="s">
        <v>186</v>
      </c>
      <c r="E45" s="253" t="s">
        <v>187</v>
      </c>
      <c r="F45" s="253" t="s">
        <v>188</v>
      </c>
      <c r="G45" s="253" t="s">
        <v>34</v>
      </c>
      <c r="H45" s="253" t="str">
        <f>VLOOKUP(G45,名称!A:B,2,0)</f>
        <v>3寸可爱系列</v>
      </c>
      <c r="I45" s="254">
        <v>1392</v>
      </c>
      <c r="J45" s="243">
        <f>VLOOKUP(G45,名称!A:C,3,FALSE)</f>
        <v>12</v>
      </c>
      <c r="K45" s="243">
        <f t="shared" si="4"/>
        <v>116</v>
      </c>
      <c r="L45" s="252">
        <v>46198</v>
      </c>
      <c r="M45" s="252">
        <v>46202</v>
      </c>
      <c r="N45" s="252">
        <v>46202</v>
      </c>
      <c r="O45" s="252" t="s">
        <v>266</v>
      </c>
      <c r="P45" s="243" t="s">
        <v>269</v>
      </c>
      <c r="Q45" s="252" t="s">
        <v>412</v>
      </c>
      <c r="R45" s="252"/>
      <c r="S45" s="243"/>
      <c r="T45" s="255" t="s">
        <v>269</v>
      </c>
      <c r="U45" s="255"/>
      <c r="V45" s="255"/>
      <c r="W45" s="255"/>
      <c r="X45" s="392" t="s">
        <v>413</v>
      </c>
      <c r="Y45" s="253" t="s">
        <v>272</v>
      </c>
      <c r="Z45" s="243" t="s">
        <v>287</v>
      </c>
      <c r="AA45" s="243">
        <v>46174</v>
      </c>
      <c r="AB45" s="243"/>
      <c r="AC45" s="258">
        <v>1.95</v>
      </c>
      <c r="AD45" s="259">
        <f t="shared" si="1"/>
        <v>2714.4</v>
      </c>
      <c r="AE45" s="259">
        <f t="shared" si="2"/>
        <v>21036.6</v>
      </c>
      <c r="AF45" s="76">
        <v>95762</v>
      </c>
      <c r="AG45" s="240" t="s">
        <v>410</v>
      </c>
      <c r="AH45" s="239">
        <v>46206</v>
      </c>
      <c r="AI45" s="243" t="s">
        <v>275</v>
      </c>
      <c r="AJ45" s="243"/>
      <c r="AK45" s="243" t="s">
        <v>411</v>
      </c>
      <c r="AL45" s="259" t="str">
        <f>IFERROR(VLOOKUP(G45,'已打发票扣数（26年5月开始）'!$A$1:$C$17,3,0)*I45*0.3,"")</f>
        <v/>
      </c>
    </row>
    <row r="46" s="235" customFormat="1" customHeight="1" spans="1:38">
      <c r="A46" s="252">
        <v>46127</v>
      </c>
      <c r="B46" s="253" t="s">
        <v>113</v>
      </c>
      <c r="C46" s="253" t="s">
        <v>265</v>
      </c>
      <c r="D46" s="253" t="s">
        <v>142</v>
      </c>
      <c r="E46" s="253">
        <v>21700273</v>
      </c>
      <c r="F46" s="253" t="s">
        <v>174</v>
      </c>
      <c r="G46" s="253" t="s">
        <v>37</v>
      </c>
      <c r="H46" s="253" t="str">
        <f>VLOOKUP(G46,名称!A:B,2,0)</f>
        <v>9.5寸漫画系列</v>
      </c>
      <c r="I46" s="254">
        <v>3600</v>
      </c>
      <c r="J46" s="243">
        <f>VLOOKUP(G46,名称!A:C,3,FALSE)</f>
        <v>8</v>
      </c>
      <c r="K46" s="243">
        <f t="shared" si="4"/>
        <v>450</v>
      </c>
      <c r="L46" s="252">
        <v>46188</v>
      </c>
      <c r="M46" s="252">
        <v>46202</v>
      </c>
      <c r="N46" s="252">
        <v>46202</v>
      </c>
      <c r="O46" s="252" t="s">
        <v>266</v>
      </c>
      <c r="P46" s="245" t="s">
        <v>267</v>
      </c>
      <c r="Q46" s="252">
        <v>46212</v>
      </c>
      <c r="R46" s="252"/>
      <c r="S46" s="243"/>
      <c r="T46" s="255" t="s">
        <v>269</v>
      </c>
      <c r="U46" s="243"/>
      <c r="V46" s="255"/>
      <c r="W46" s="255"/>
      <c r="X46" s="392" t="s">
        <v>408</v>
      </c>
      <c r="Y46" s="253" t="s">
        <v>272</v>
      </c>
      <c r="Z46" s="243" t="s">
        <v>287</v>
      </c>
      <c r="AA46" s="260">
        <v>46174</v>
      </c>
      <c r="AB46" s="243" t="s">
        <v>414</v>
      </c>
      <c r="AC46" s="258">
        <v>6.35</v>
      </c>
      <c r="AD46" s="259">
        <f t="shared" si="1"/>
        <v>22860</v>
      </c>
      <c r="AE46" s="259">
        <f t="shared" si="2"/>
        <v>177165</v>
      </c>
      <c r="AF46" s="262">
        <v>95763</v>
      </c>
      <c r="AG46" s="263" t="s">
        <v>415</v>
      </c>
      <c r="AH46" s="264">
        <v>46218</v>
      </c>
      <c r="AI46" s="243" t="s">
        <v>275</v>
      </c>
      <c r="AJ46" s="243"/>
      <c r="AK46" s="243" t="s">
        <v>416</v>
      </c>
      <c r="AL46" s="259" t="str">
        <f>IFERROR(VLOOKUP(G46,'已打发票扣数（26年5月开始）'!$A$1:$C$17,3,0)*I46*0.3,"")</f>
        <v/>
      </c>
    </row>
    <row r="47" s="235" customFormat="1" customHeight="1" spans="1:38">
      <c r="A47" s="252">
        <v>46127</v>
      </c>
      <c r="B47" s="253" t="s">
        <v>113</v>
      </c>
      <c r="C47" s="253" t="s">
        <v>265</v>
      </c>
      <c r="D47" s="253" t="s">
        <v>142</v>
      </c>
      <c r="E47" s="253">
        <v>21700273</v>
      </c>
      <c r="F47" s="253" t="s">
        <v>174</v>
      </c>
      <c r="G47" s="253" t="s">
        <v>34</v>
      </c>
      <c r="H47" s="253" t="str">
        <f>VLOOKUP(G47,名称!A:B,2,0)</f>
        <v>3寸可爱系列</v>
      </c>
      <c r="I47" s="254">
        <v>7200</v>
      </c>
      <c r="J47" s="243">
        <f>VLOOKUP(G47,名称!A:C,3,FALSE)</f>
        <v>12</v>
      </c>
      <c r="K47" s="243">
        <f t="shared" si="4"/>
        <v>600</v>
      </c>
      <c r="L47" s="252">
        <v>46188</v>
      </c>
      <c r="M47" s="252">
        <v>46202</v>
      </c>
      <c r="N47" s="252">
        <v>46202</v>
      </c>
      <c r="O47" s="252" t="s">
        <v>266</v>
      </c>
      <c r="P47" s="245" t="s">
        <v>267</v>
      </c>
      <c r="Q47" s="244">
        <v>46212</v>
      </c>
      <c r="R47" s="252"/>
      <c r="S47" s="243"/>
      <c r="T47" s="255" t="s">
        <v>269</v>
      </c>
      <c r="U47" s="243"/>
      <c r="V47" s="255"/>
      <c r="W47" s="255"/>
      <c r="X47" s="392" t="s">
        <v>413</v>
      </c>
      <c r="Y47" s="253" t="s">
        <v>272</v>
      </c>
      <c r="Z47" s="243" t="s">
        <v>287</v>
      </c>
      <c r="AA47" s="260">
        <v>46174</v>
      </c>
      <c r="AB47" s="243" t="s">
        <v>417</v>
      </c>
      <c r="AC47" s="258">
        <v>1.95</v>
      </c>
      <c r="AD47" s="259">
        <f t="shared" si="1"/>
        <v>14040</v>
      </c>
      <c r="AE47" s="259">
        <f t="shared" si="2"/>
        <v>108810</v>
      </c>
      <c r="AF47" s="262">
        <v>95763</v>
      </c>
      <c r="AG47" s="263" t="s">
        <v>415</v>
      </c>
      <c r="AH47" s="264">
        <v>46218</v>
      </c>
      <c r="AI47" s="243" t="s">
        <v>275</v>
      </c>
      <c r="AJ47" s="243"/>
      <c r="AK47" s="243" t="s">
        <v>416</v>
      </c>
      <c r="AL47" s="259" t="str">
        <f>IFERROR(VLOOKUP(G47,'已打发票扣数（26年5月开始）'!$A$1:$C$17,3,0)*I47*0.3,"")</f>
        <v/>
      </c>
    </row>
    <row r="48" s="235" customFormat="1" customHeight="1" spans="1:38">
      <c r="A48" s="252">
        <v>46127</v>
      </c>
      <c r="B48" s="253" t="s">
        <v>141</v>
      </c>
      <c r="C48" s="253" t="s">
        <v>265</v>
      </c>
      <c r="D48" s="253" t="s">
        <v>142</v>
      </c>
      <c r="E48" s="253">
        <v>21700276</v>
      </c>
      <c r="F48" s="253" t="s">
        <v>175</v>
      </c>
      <c r="G48" s="240" t="s">
        <v>37</v>
      </c>
      <c r="H48" s="253" t="str">
        <f>VLOOKUP(G48,名称!A:B,2,0)</f>
        <v>9.5寸漫画系列</v>
      </c>
      <c r="I48" s="254">
        <v>400</v>
      </c>
      <c r="J48" s="243">
        <f>VLOOKUP(G48,名称!A:C,3,FALSE)</f>
        <v>8</v>
      </c>
      <c r="K48" s="243">
        <f t="shared" si="4"/>
        <v>50</v>
      </c>
      <c r="L48" s="252">
        <v>46188</v>
      </c>
      <c r="M48" s="252">
        <v>46202</v>
      </c>
      <c r="N48" s="252">
        <v>46202</v>
      </c>
      <c r="O48" s="252" t="s">
        <v>266</v>
      </c>
      <c r="P48" s="245" t="s">
        <v>267</v>
      </c>
      <c r="Q48" s="244">
        <v>46212</v>
      </c>
      <c r="R48" s="252"/>
      <c r="S48" s="243"/>
      <c r="T48" s="255" t="s">
        <v>269</v>
      </c>
      <c r="U48" s="243"/>
      <c r="V48" s="255"/>
      <c r="W48" s="255"/>
      <c r="X48" s="392" t="s">
        <v>408</v>
      </c>
      <c r="Y48" s="253" t="s">
        <v>272</v>
      </c>
      <c r="Z48" s="243" t="s">
        <v>287</v>
      </c>
      <c r="AA48" s="260">
        <v>46174</v>
      </c>
      <c r="AB48" s="243" t="s">
        <v>418</v>
      </c>
      <c r="AC48" s="258">
        <v>6.35</v>
      </c>
      <c r="AD48" s="259">
        <f t="shared" si="1"/>
        <v>2540</v>
      </c>
      <c r="AE48" s="259">
        <f t="shared" si="2"/>
        <v>19685</v>
      </c>
      <c r="AF48" s="262">
        <v>95764</v>
      </c>
      <c r="AG48" s="263" t="s">
        <v>415</v>
      </c>
      <c r="AH48" s="264">
        <v>46218</v>
      </c>
      <c r="AI48" s="243" t="s">
        <v>275</v>
      </c>
      <c r="AJ48" s="243"/>
      <c r="AK48" s="243" t="s">
        <v>416</v>
      </c>
      <c r="AL48" s="259" t="str">
        <f>IFERROR(VLOOKUP(G48,'已打发票扣数（26年5月开始）'!$A$1:$C$17,3,0)*I48*0.3,"")</f>
        <v/>
      </c>
    </row>
    <row r="49" s="235" customFormat="1" customHeight="1" spans="1:38">
      <c r="A49" s="252">
        <v>46127</v>
      </c>
      <c r="B49" s="253" t="s">
        <v>141</v>
      </c>
      <c r="C49" s="253" t="s">
        <v>265</v>
      </c>
      <c r="D49" s="253" t="s">
        <v>142</v>
      </c>
      <c r="E49" s="253">
        <v>21700276</v>
      </c>
      <c r="F49" s="253" t="s">
        <v>175</v>
      </c>
      <c r="G49" s="240" t="s">
        <v>34</v>
      </c>
      <c r="H49" s="253" t="str">
        <f>VLOOKUP(G49,名称!A:B,2,0)</f>
        <v>3寸可爱系列</v>
      </c>
      <c r="I49" s="254">
        <v>792</v>
      </c>
      <c r="J49" s="243">
        <f>VLOOKUP(G49,名称!A:C,3,FALSE)</f>
        <v>12</v>
      </c>
      <c r="K49" s="243">
        <f t="shared" si="4"/>
        <v>66</v>
      </c>
      <c r="L49" s="252">
        <v>46188</v>
      </c>
      <c r="M49" s="252">
        <v>46202</v>
      </c>
      <c r="N49" s="252">
        <v>46202</v>
      </c>
      <c r="O49" s="252" t="s">
        <v>266</v>
      </c>
      <c r="P49" s="245" t="s">
        <v>267</v>
      </c>
      <c r="Q49" s="244">
        <v>46212</v>
      </c>
      <c r="R49" s="252"/>
      <c r="S49" s="243"/>
      <c r="T49" s="255" t="s">
        <v>269</v>
      </c>
      <c r="U49" s="243"/>
      <c r="V49" s="255"/>
      <c r="W49" s="255"/>
      <c r="X49" s="392" t="s">
        <v>413</v>
      </c>
      <c r="Y49" s="253" t="s">
        <v>272</v>
      </c>
      <c r="Z49" s="243" t="s">
        <v>287</v>
      </c>
      <c r="AA49" s="260">
        <v>46174</v>
      </c>
      <c r="AB49" s="243" t="s">
        <v>372</v>
      </c>
      <c r="AC49" s="258">
        <v>1.95</v>
      </c>
      <c r="AD49" s="259">
        <f t="shared" si="1"/>
        <v>1544.4</v>
      </c>
      <c r="AE49" s="259">
        <f t="shared" si="2"/>
        <v>11969.1</v>
      </c>
      <c r="AF49" s="262">
        <v>95764</v>
      </c>
      <c r="AG49" s="263" t="s">
        <v>415</v>
      </c>
      <c r="AH49" s="264">
        <v>46218</v>
      </c>
      <c r="AI49" s="243" t="s">
        <v>275</v>
      </c>
      <c r="AJ49" s="243"/>
      <c r="AK49" s="243" t="s">
        <v>416</v>
      </c>
      <c r="AL49" s="259" t="str">
        <f>IFERROR(VLOOKUP(G49,'已打发票扣数（26年5月开始）'!$A$1:$C$17,3,0)*I49*0.3,"")</f>
        <v/>
      </c>
    </row>
    <row r="50" s="235" customFormat="1" customHeight="1" spans="1:38">
      <c r="A50" s="252">
        <v>46164</v>
      </c>
      <c r="B50" s="253" t="s">
        <v>108</v>
      </c>
      <c r="C50" s="253" t="s">
        <v>302</v>
      </c>
      <c r="D50" s="253" t="s">
        <v>109</v>
      </c>
      <c r="E50" s="253" t="s">
        <v>189</v>
      </c>
      <c r="F50" s="253" t="s">
        <v>190</v>
      </c>
      <c r="G50" s="253" t="s">
        <v>39</v>
      </c>
      <c r="H50" s="253" t="str">
        <f>VLOOKUP(G50,名称!A:B,2,0)</f>
        <v>9.5寸绿色淋油公仔+涂鸦公仔混装</v>
      </c>
      <c r="I50" s="254">
        <v>2474</v>
      </c>
      <c r="J50" s="243">
        <f>VLOOKUP(G50,名称!A:C,3,FALSE)</f>
        <v>2</v>
      </c>
      <c r="K50" s="243">
        <f t="shared" si="4"/>
        <v>1237</v>
      </c>
      <c r="L50" s="252">
        <v>46213</v>
      </c>
      <c r="M50" s="252">
        <f>L50-3</f>
        <v>46210</v>
      </c>
      <c r="N50" s="252">
        <f>L50-3</f>
        <v>46210</v>
      </c>
      <c r="O50" s="252" t="s">
        <v>266</v>
      </c>
      <c r="P50" s="245" t="s">
        <v>267</v>
      </c>
      <c r="Q50" s="252">
        <v>46216</v>
      </c>
      <c r="R50" s="252"/>
      <c r="S50" s="243"/>
      <c r="T50" s="255" t="s">
        <v>269</v>
      </c>
      <c r="U50" s="255"/>
      <c r="V50" s="255"/>
      <c r="W50" s="255"/>
      <c r="X50" s="392" t="s">
        <v>419</v>
      </c>
      <c r="Y50" s="253" t="s">
        <v>286</v>
      </c>
      <c r="Z50" s="243" t="s">
        <v>287</v>
      </c>
      <c r="AA50" s="243" t="s">
        <v>420</v>
      </c>
      <c r="AB50" s="243" t="s">
        <v>421</v>
      </c>
      <c r="AC50" s="258">
        <v>5.6</v>
      </c>
      <c r="AD50" s="259">
        <f t="shared" si="1"/>
        <v>13854.4</v>
      </c>
      <c r="AE50" s="259">
        <f t="shared" si="2"/>
        <v>107371.6</v>
      </c>
      <c r="AF50" s="262" t="s">
        <v>422</v>
      </c>
      <c r="AG50" s="263" t="s">
        <v>423</v>
      </c>
      <c r="AH50" s="264">
        <v>46218</v>
      </c>
      <c r="AI50" s="243" t="s">
        <v>275</v>
      </c>
      <c r="AJ50" s="243"/>
      <c r="AK50" s="243" t="s">
        <v>424</v>
      </c>
      <c r="AL50" s="259">
        <f>IFERROR(VLOOKUP(G50,'已打发票扣数（26年5月开始）'!$A$1:$C$17,3,0)*I50*0.3,"")</f>
        <v>4156.32</v>
      </c>
    </row>
    <row r="51" s="235" customFormat="1" customHeight="1" spans="1:38">
      <c r="A51" s="252">
        <v>46164</v>
      </c>
      <c r="B51" s="253" t="s">
        <v>108</v>
      </c>
      <c r="C51" s="253" t="s">
        <v>302</v>
      </c>
      <c r="D51" s="253" t="s">
        <v>109</v>
      </c>
      <c r="E51" s="253" t="s">
        <v>189</v>
      </c>
      <c r="F51" s="253" t="s">
        <v>190</v>
      </c>
      <c r="G51" s="253" t="s">
        <v>39</v>
      </c>
      <c r="H51" s="253" t="str">
        <f>VLOOKUP(G51,名称!A:B,2,0)</f>
        <v>9.5寸绿色淋油公仔+涂鸦公仔混装</v>
      </c>
      <c r="I51" s="254">
        <f>9568-2474</f>
        <v>7094</v>
      </c>
      <c r="J51" s="243">
        <f>VLOOKUP(G51,名称!A:C,3,FALSE)</f>
        <v>2</v>
      </c>
      <c r="K51" s="243">
        <f t="shared" si="4"/>
        <v>3547</v>
      </c>
      <c r="L51" s="252">
        <v>46213</v>
      </c>
      <c r="M51" s="252">
        <f>L51-3</f>
        <v>46210</v>
      </c>
      <c r="N51" s="252">
        <f>L51-3</f>
        <v>46210</v>
      </c>
      <c r="O51" s="252" t="s">
        <v>266</v>
      </c>
      <c r="P51" s="245" t="s">
        <v>267</v>
      </c>
      <c r="Q51" s="252">
        <v>46216</v>
      </c>
      <c r="R51" s="252"/>
      <c r="S51" s="243"/>
      <c r="T51" s="255" t="s">
        <v>269</v>
      </c>
      <c r="U51" s="255"/>
      <c r="V51" s="255"/>
      <c r="W51" s="255"/>
      <c r="X51" s="392" t="s">
        <v>419</v>
      </c>
      <c r="Y51" s="253" t="s">
        <v>286</v>
      </c>
      <c r="Z51" s="243" t="s">
        <v>287</v>
      </c>
      <c r="AA51" s="243" t="s">
        <v>420</v>
      </c>
      <c r="AB51" s="243" t="s">
        <v>421</v>
      </c>
      <c r="AC51" s="258">
        <v>5.6</v>
      </c>
      <c r="AD51" s="259">
        <f t="shared" si="1"/>
        <v>39726.4</v>
      </c>
      <c r="AE51" s="259">
        <f t="shared" si="2"/>
        <v>307879.6</v>
      </c>
      <c r="AF51" s="262" t="s">
        <v>422</v>
      </c>
      <c r="AG51" s="263" t="s">
        <v>423</v>
      </c>
      <c r="AH51" s="264">
        <v>46218</v>
      </c>
      <c r="AI51" s="243" t="s">
        <v>275</v>
      </c>
      <c r="AJ51" s="243"/>
      <c r="AK51" s="243" t="s">
        <v>424</v>
      </c>
      <c r="AL51" s="259">
        <f>IFERROR(VLOOKUP(G51,'已打发票扣数（26年5月开始）'!$A$1:$C$17,3,0)*I51*0.3,"")</f>
        <v>11917.92</v>
      </c>
    </row>
    <row r="52" s="235" customFormat="1" customHeight="1" spans="1:38">
      <c r="A52" s="252">
        <v>46114</v>
      </c>
      <c r="B52" s="253" t="s">
        <v>278</v>
      </c>
      <c r="C52" s="253" t="s">
        <v>279</v>
      </c>
      <c r="D52" s="253" t="s">
        <v>145</v>
      </c>
      <c r="E52" s="253" t="s">
        <v>162</v>
      </c>
      <c r="F52" s="253" t="s">
        <v>163</v>
      </c>
      <c r="G52" s="253" t="s">
        <v>14</v>
      </c>
      <c r="H52" s="253" t="str">
        <f>VLOOKUP(G52,名称!A:B,2,0)</f>
        <v>恐龙游戏盘(邮包盒装)</v>
      </c>
      <c r="I52" s="254">
        <v>1002</v>
      </c>
      <c r="J52" s="243">
        <f>VLOOKUP(G52,名称!A:C,3,FALSE)</f>
        <v>6</v>
      </c>
      <c r="K52" s="243">
        <f t="shared" si="4"/>
        <v>167</v>
      </c>
      <c r="L52" s="252">
        <v>46167</v>
      </c>
      <c r="M52" s="252">
        <v>46163</v>
      </c>
      <c r="N52" s="252">
        <v>46163</v>
      </c>
      <c r="O52" s="252" t="s">
        <v>266</v>
      </c>
      <c r="P52" s="243" t="s">
        <v>267</v>
      </c>
      <c r="Q52" s="252" t="s">
        <v>425</v>
      </c>
      <c r="R52" s="252"/>
      <c r="S52" s="243"/>
      <c r="T52" s="255" t="s">
        <v>269</v>
      </c>
      <c r="U52" s="255"/>
      <c r="V52" s="255"/>
      <c r="W52" s="255"/>
      <c r="X52" s="392" t="s">
        <v>281</v>
      </c>
      <c r="Y52" s="253" t="s">
        <v>282</v>
      </c>
      <c r="Z52" s="243" t="s">
        <v>273</v>
      </c>
      <c r="AA52" s="257">
        <v>46204</v>
      </c>
      <c r="AB52" s="243" t="s">
        <v>283</v>
      </c>
      <c r="AC52" s="258">
        <v>4.9</v>
      </c>
      <c r="AD52" s="259">
        <f t="shared" si="1"/>
        <v>4909.8</v>
      </c>
      <c r="AE52" s="259">
        <f t="shared" si="2"/>
        <v>38050.95</v>
      </c>
      <c r="AF52" s="262">
        <v>95766</v>
      </c>
      <c r="AG52" s="263" t="s">
        <v>426</v>
      </c>
      <c r="AH52" s="264">
        <v>46220</v>
      </c>
      <c r="AI52" s="243" t="s">
        <v>275</v>
      </c>
      <c r="AJ52" s="243"/>
      <c r="AK52" s="243" t="s">
        <v>284</v>
      </c>
      <c r="AL52" s="259">
        <f>IFERROR(VLOOKUP(G52,'已打发票扣数（26年5月开始）'!$A$1:$C$17,3,0)*I52*0.3,"")</f>
        <v>1352.7</v>
      </c>
    </row>
    <row r="53" s="235" customFormat="1" customHeight="1" spans="1:38">
      <c r="A53" s="252">
        <v>46101</v>
      </c>
      <c r="B53" s="253" t="s">
        <v>113</v>
      </c>
      <c r="C53" s="253" t="s">
        <v>265</v>
      </c>
      <c r="D53" s="253" t="s">
        <v>154</v>
      </c>
      <c r="E53" s="253">
        <v>2617378</v>
      </c>
      <c r="F53" s="253" t="s">
        <v>157</v>
      </c>
      <c r="G53" s="253" t="s">
        <v>18</v>
      </c>
      <c r="H53" s="253" t="str">
        <f>VLOOKUP(G53,名称!A:B,2,0)</f>
        <v>恐龙公园二代</v>
      </c>
      <c r="I53" s="254">
        <v>1200</v>
      </c>
      <c r="J53" s="243">
        <f>VLOOKUP(G53,名称!A:C,3,FALSE)</f>
        <v>12</v>
      </c>
      <c r="K53" s="243">
        <f t="shared" si="4"/>
        <v>100</v>
      </c>
      <c r="L53" s="252">
        <v>46212</v>
      </c>
      <c r="M53" s="252">
        <f>L53-7</f>
        <v>46205</v>
      </c>
      <c r="N53" s="252">
        <v>46212</v>
      </c>
      <c r="O53" s="252" t="s">
        <v>266</v>
      </c>
      <c r="P53" s="243" t="s">
        <v>267</v>
      </c>
      <c r="Q53" s="252" t="s">
        <v>277</v>
      </c>
      <c r="R53" s="252"/>
      <c r="S53" s="243"/>
      <c r="T53" s="255" t="s">
        <v>269</v>
      </c>
      <c r="U53" s="255" t="s">
        <v>270</v>
      </c>
      <c r="V53" s="255"/>
      <c r="W53" s="255"/>
      <c r="X53" s="256" t="s">
        <v>271</v>
      </c>
      <c r="Y53" s="253" t="s">
        <v>272</v>
      </c>
      <c r="Z53" s="243" t="s">
        <v>273</v>
      </c>
      <c r="AA53" s="260">
        <v>46229</v>
      </c>
      <c r="AB53" s="243" t="s">
        <v>274</v>
      </c>
      <c r="AC53" s="258">
        <v>2.1</v>
      </c>
      <c r="AD53" s="259">
        <f t="shared" si="1"/>
        <v>2520</v>
      </c>
      <c r="AE53" s="259">
        <f t="shared" si="2"/>
        <v>19530</v>
      </c>
      <c r="AF53" s="262">
        <v>95767</v>
      </c>
      <c r="AG53" s="263" t="s">
        <v>427</v>
      </c>
      <c r="AH53" s="264">
        <v>46233</v>
      </c>
      <c r="AI53" s="243" t="s">
        <v>275</v>
      </c>
      <c r="AJ53" s="243"/>
      <c r="AK53" s="243" t="s">
        <v>276</v>
      </c>
      <c r="AL53" s="259">
        <f>IFERROR(VLOOKUP(G53,'已打发票扣数（26年5月开始）'!$A$1:$C$17,3,0)*I53*0.3,"")</f>
        <v>756</v>
      </c>
    </row>
    <row r="54" s="235" customFormat="1" customHeight="1" spans="1:38">
      <c r="A54" s="252">
        <v>46167</v>
      </c>
      <c r="B54" s="253" t="s">
        <v>278</v>
      </c>
      <c r="C54" s="253" t="s">
        <v>279</v>
      </c>
      <c r="D54" s="253" t="s">
        <v>145</v>
      </c>
      <c r="E54" s="253" t="s">
        <v>191</v>
      </c>
      <c r="F54" s="253" t="s">
        <v>192</v>
      </c>
      <c r="G54" s="253" t="s">
        <v>41</v>
      </c>
      <c r="H54" s="253" t="str">
        <f>VLOOKUP(G54,名称!A:B,2,0)</f>
        <v>恐龙公园一代--陆地</v>
      </c>
      <c r="I54" s="254">
        <v>144</v>
      </c>
      <c r="J54" s="243">
        <f>VLOOKUP(G54,名称!A:C,3,FALSE)</f>
        <v>12</v>
      </c>
      <c r="K54" s="243">
        <f t="shared" si="4"/>
        <v>12</v>
      </c>
      <c r="L54" s="252">
        <v>46232</v>
      </c>
      <c r="M54" s="252">
        <f t="shared" ref="M54:M59" si="5">L54-5</f>
        <v>46227</v>
      </c>
      <c r="N54" s="265">
        <v>46232</v>
      </c>
      <c r="O54" s="252" t="s">
        <v>266</v>
      </c>
      <c r="P54" s="245" t="s">
        <v>267</v>
      </c>
      <c r="Q54" s="252" t="s">
        <v>428</v>
      </c>
      <c r="R54" s="252"/>
      <c r="S54" s="243"/>
      <c r="T54" s="246" t="s">
        <v>269</v>
      </c>
      <c r="U54" s="255"/>
      <c r="V54" s="255"/>
      <c r="W54" s="255"/>
      <c r="X54" s="392" t="s">
        <v>285</v>
      </c>
      <c r="Y54" s="253" t="s">
        <v>286</v>
      </c>
      <c r="Z54" s="243" t="s">
        <v>273</v>
      </c>
      <c r="AA54" s="243" t="s">
        <v>287</v>
      </c>
      <c r="AB54" s="243" t="s">
        <v>288</v>
      </c>
      <c r="AC54" s="258">
        <v>2.1</v>
      </c>
      <c r="AD54" s="259">
        <f t="shared" si="1"/>
        <v>302.4</v>
      </c>
      <c r="AE54" s="259">
        <f t="shared" si="2"/>
        <v>2343.6</v>
      </c>
      <c r="AF54" s="262">
        <v>95768</v>
      </c>
      <c r="AG54" s="263" t="s">
        <v>429</v>
      </c>
      <c r="AH54" s="264">
        <v>46238</v>
      </c>
      <c r="AI54" s="243"/>
      <c r="AJ54" s="243"/>
      <c r="AK54" s="243" t="s">
        <v>289</v>
      </c>
      <c r="AL54" s="259">
        <f t="shared" ref="AL54:AL59" si="6">(I54*AC54)*0.3</f>
        <v>90.72</v>
      </c>
    </row>
    <row r="55" s="235" customFormat="1" customHeight="1" spans="1:38">
      <c r="A55" s="252">
        <v>46167</v>
      </c>
      <c r="B55" s="266" t="s">
        <v>278</v>
      </c>
      <c r="C55" s="253" t="s">
        <v>279</v>
      </c>
      <c r="D55" s="253" t="s">
        <v>145</v>
      </c>
      <c r="E55" s="253" t="s">
        <v>191</v>
      </c>
      <c r="F55" s="253" t="s">
        <v>192</v>
      </c>
      <c r="G55" s="253" t="s">
        <v>43</v>
      </c>
      <c r="H55" s="253" t="str">
        <f>VLOOKUP(G55,名称!A:B,2,0)</f>
        <v>恐龙公园一代--海洋</v>
      </c>
      <c r="I55" s="254">
        <v>144</v>
      </c>
      <c r="J55" s="243">
        <f>VLOOKUP(G55,名称!A:C,3,FALSE)</f>
        <v>12</v>
      </c>
      <c r="K55" s="243">
        <f t="shared" si="4"/>
        <v>12</v>
      </c>
      <c r="L55" s="252">
        <v>46232</v>
      </c>
      <c r="M55" s="252">
        <f t="shared" si="5"/>
        <v>46227</v>
      </c>
      <c r="N55" s="267">
        <v>46232</v>
      </c>
      <c r="O55" s="252" t="s">
        <v>266</v>
      </c>
      <c r="P55" s="245" t="s">
        <v>267</v>
      </c>
      <c r="Q55" s="252"/>
      <c r="R55" s="252"/>
      <c r="S55" s="243"/>
      <c r="T55" s="246" t="s">
        <v>269</v>
      </c>
      <c r="U55" s="255"/>
      <c r="V55" s="255"/>
      <c r="W55" s="255"/>
      <c r="X55" s="392" t="s">
        <v>290</v>
      </c>
      <c r="Y55" s="253" t="s">
        <v>286</v>
      </c>
      <c r="Z55" s="243" t="s">
        <v>273</v>
      </c>
      <c r="AA55" s="243" t="s">
        <v>287</v>
      </c>
      <c r="AB55" s="243" t="s">
        <v>288</v>
      </c>
      <c r="AC55" s="258">
        <v>2.1</v>
      </c>
      <c r="AD55" s="259">
        <f>AC55*I55</f>
        <v>302.4</v>
      </c>
      <c r="AE55" s="259">
        <f>AD55*7.75</f>
        <v>2343.6</v>
      </c>
      <c r="AF55" s="262">
        <v>95768</v>
      </c>
      <c r="AG55" s="263" t="s">
        <v>429</v>
      </c>
      <c r="AH55" s="264">
        <v>46238</v>
      </c>
      <c r="AI55" s="243"/>
      <c r="AJ55" s="243"/>
      <c r="AK55" s="243" t="s">
        <v>289</v>
      </c>
      <c r="AL55" s="259">
        <f t="shared" si="6"/>
        <v>90.72</v>
      </c>
    </row>
    <row r="56" s="235" customFormat="1" customHeight="1" spans="1:38">
      <c r="A56" s="252">
        <v>46167</v>
      </c>
      <c r="B56" s="266" t="s">
        <v>278</v>
      </c>
      <c r="C56" s="253" t="s">
        <v>279</v>
      </c>
      <c r="D56" s="253" t="s">
        <v>145</v>
      </c>
      <c r="E56" s="253" t="s">
        <v>191</v>
      </c>
      <c r="F56" s="253" t="s">
        <v>192</v>
      </c>
      <c r="G56" s="253" t="s">
        <v>45</v>
      </c>
      <c r="H56" s="253" t="str">
        <f>VLOOKUP(G56,名称!A:B,2,0)</f>
        <v>恐龙公园一代--天空</v>
      </c>
      <c r="I56" s="254">
        <v>144</v>
      </c>
      <c r="J56" s="243">
        <f>VLOOKUP(G56,名称!A:C,3,FALSE)</f>
        <v>12</v>
      </c>
      <c r="K56" s="243">
        <f t="shared" si="4"/>
        <v>12</v>
      </c>
      <c r="L56" s="252">
        <v>46232</v>
      </c>
      <c r="M56" s="252">
        <f t="shared" si="5"/>
        <v>46227</v>
      </c>
      <c r="N56" s="267">
        <v>46232</v>
      </c>
      <c r="O56" s="252" t="s">
        <v>266</v>
      </c>
      <c r="P56" s="245" t="s">
        <v>267</v>
      </c>
      <c r="Q56" s="252"/>
      <c r="R56" s="252"/>
      <c r="S56" s="243"/>
      <c r="T56" s="246" t="s">
        <v>269</v>
      </c>
      <c r="U56" s="255"/>
      <c r="V56" s="255"/>
      <c r="W56" s="255"/>
      <c r="X56" s="392" t="s">
        <v>291</v>
      </c>
      <c r="Y56" s="253" t="s">
        <v>286</v>
      </c>
      <c r="Z56" s="243" t="s">
        <v>273</v>
      </c>
      <c r="AA56" s="243" t="s">
        <v>287</v>
      </c>
      <c r="AB56" s="243" t="s">
        <v>288</v>
      </c>
      <c r="AC56" s="258">
        <v>2.1</v>
      </c>
      <c r="AD56" s="259">
        <f t="shared" ref="AD56:AD61" si="7">AC56*I56</f>
        <v>302.4</v>
      </c>
      <c r="AE56" s="259">
        <f t="shared" ref="AE56:AE61" si="8">AD56*7.75</f>
        <v>2343.6</v>
      </c>
      <c r="AF56" s="262">
        <v>95768</v>
      </c>
      <c r="AG56" s="263" t="s">
        <v>429</v>
      </c>
      <c r="AH56" s="264">
        <v>46238</v>
      </c>
      <c r="AI56" s="243"/>
      <c r="AJ56" s="243"/>
      <c r="AK56" s="243" t="s">
        <v>289</v>
      </c>
      <c r="AL56" s="259">
        <f t="shared" si="6"/>
        <v>90.72</v>
      </c>
    </row>
    <row r="57" s="235" customFormat="1" customHeight="1" spans="1:38">
      <c r="A57" s="252">
        <v>46167</v>
      </c>
      <c r="B57" s="266" t="s">
        <v>278</v>
      </c>
      <c r="C57" s="253" t="s">
        <v>279</v>
      </c>
      <c r="D57" s="253" t="s">
        <v>145</v>
      </c>
      <c r="E57" s="253" t="s">
        <v>191</v>
      </c>
      <c r="F57" s="253" t="s">
        <v>192</v>
      </c>
      <c r="G57" s="253" t="s">
        <v>47</v>
      </c>
      <c r="H57" s="253" t="str">
        <f>VLOOKUP(G57,名称!A:B,2,0)</f>
        <v>恐龙公园二代--海滩</v>
      </c>
      <c r="I57" s="254">
        <v>144</v>
      </c>
      <c r="J57" s="243">
        <f>VLOOKUP(G57,名称!A:C,3,FALSE)</f>
        <v>12</v>
      </c>
      <c r="K57" s="243">
        <f t="shared" si="4"/>
        <v>12</v>
      </c>
      <c r="L57" s="252">
        <v>46232</v>
      </c>
      <c r="M57" s="252">
        <f t="shared" si="5"/>
        <v>46227</v>
      </c>
      <c r="N57" s="267">
        <v>46232</v>
      </c>
      <c r="O57" s="252" t="s">
        <v>266</v>
      </c>
      <c r="P57" s="245" t="s">
        <v>267</v>
      </c>
      <c r="Q57" s="252"/>
      <c r="R57" s="252"/>
      <c r="S57" s="243"/>
      <c r="T57" s="246" t="s">
        <v>269</v>
      </c>
      <c r="U57" s="255"/>
      <c r="V57" s="255"/>
      <c r="W57" s="255"/>
      <c r="X57" s="392" t="s">
        <v>292</v>
      </c>
      <c r="Y57" s="253" t="s">
        <v>286</v>
      </c>
      <c r="Z57" s="243" t="s">
        <v>273</v>
      </c>
      <c r="AA57" s="243" t="s">
        <v>287</v>
      </c>
      <c r="AB57" s="243" t="s">
        <v>293</v>
      </c>
      <c r="AC57" s="258">
        <v>2.1</v>
      </c>
      <c r="AD57" s="259">
        <f t="shared" si="7"/>
        <v>302.4</v>
      </c>
      <c r="AE57" s="259">
        <f t="shared" si="8"/>
        <v>2343.6</v>
      </c>
      <c r="AF57" s="262">
        <v>95768</v>
      </c>
      <c r="AG57" s="263" t="s">
        <v>429</v>
      </c>
      <c r="AH57" s="264">
        <v>46238</v>
      </c>
      <c r="AI57" s="243"/>
      <c r="AJ57" s="243"/>
      <c r="AK57" s="243" t="s">
        <v>289</v>
      </c>
      <c r="AL57" s="259">
        <f t="shared" si="6"/>
        <v>90.72</v>
      </c>
    </row>
    <row r="58" s="235" customFormat="1" customHeight="1" spans="1:38">
      <c r="A58" s="252">
        <v>46167</v>
      </c>
      <c r="B58" s="266" t="s">
        <v>278</v>
      </c>
      <c r="C58" s="253" t="s">
        <v>279</v>
      </c>
      <c r="D58" s="253" t="s">
        <v>145</v>
      </c>
      <c r="E58" s="253" t="s">
        <v>191</v>
      </c>
      <c r="F58" s="253" t="s">
        <v>192</v>
      </c>
      <c r="G58" s="253" t="s">
        <v>49</v>
      </c>
      <c r="H58" s="253" t="str">
        <f>VLOOKUP(G58,名称!A:B,2,0)</f>
        <v>恐龙公园二代--雨林</v>
      </c>
      <c r="I58" s="254">
        <v>144</v>
      </c>
      <c r="J58" s="243">
        <f>VLOOKUP(G58,名称!A:C,3,FALSE)</f>
        <v>12</v>
      </c>
      <c r="K58" s="243">
        <f t="shared" si="4"/>
        <v>12</v>
      </c>
      <c r="L58" s="252">
        <v>46232</v>
      </c>
      <c r="M58" s="252">
        <f t="shared" si="5"/>
        <v>46227</v>
      </c>
      <c r="N58" s="267">
        <v>46232</v>
      </c>
      <c r="O58" s="252" t="s">
        <v>266</v>
      </c>
      <c r="P58" s="245" t="s">
        <v>267</v>
      </c>
      <c r="Q58" s="252"/>
      <c r="R58" s="252"/>
      <c r="S58" s="243"/>
      <c r="T58" s="246" t="s">
        <v>269</v>
      </c>
      <c r="U58" s="255"/>
      <c r="V58" s="255"/>
      <c r="W58" s="255"/>
      <c r="X58" s="392" t="s">
        <v>294</v>
      </c>
      <c r="Y58" s="253" t="s">
        <v>286</v>
      </c>
      <c r="Z58" s="243" t="s">
        <v>273</v>
      </c>
      <c r="AA58" s="243" t="s">
        <v>287</v>
      </c>
      <c r="AB58" s="243" t="s">
        <v>293</v>
      </c>
      <c r="AC58" s="258">
        <v>2.1</v>
      </c>
      <c r="AD58" s="259">
        <f t="shared" si="7"/>
        <v>302.4</v>
      </c>
      <c r="AE58" s="259">
        <f t="shared" si="8"/>
        <v>2343.6</v>
      </c>
      <c r="AF58" s="262">
        <v>95768</v>
      </c>
      <c r="AG58" s="263" t="s">
        <v>429</v>
      </c>
      <c r="AH58" s="264">
        <v>46238</v>
      </c>
      <c r="AI58" s="243"/>
      <c r="AJ58" s="243"/>
      <c r="AK58" s="243" t="s">
        <v>289</v>
      </c>
      <c r="AL58" s="259">
        <f t="shared" si="6"/>
        <v>90.72</v>
      </c>
    </row>
    <row r="59" s="235" customFormat="1" customHeight="1" spans="1:38">
      <c r="A59" s="252">
        <v>46167</v>
      </c>
      <c r="B59" s="266" t="s">
        <v>278</v>
      </c>
      <c r="C59" s="253" t="s">
        <v>279</v>
      </c>
      <c r="D59" s="253" t="s">
        <v>145</v>
      </c>
      <c r="E59" s="253" t="s">
        <v>191</v>
      </c>
      <c r="F59" s="253" t="s">
        <v>192</v>
      </c>
      <c r="G59" s="253" t="s">
        <v>51</v>
      </c>
      <c r="H59" s="253" t="str">
        <f>VLOOKUP(G59,名称!A:B,2,0)</f>
        <v>恐龙公园二代--实验室</v>
      </c>
      <c r="I59" s="254">
        <v>144</v>
      </c>
      <c r="J59" s="243">
        <f>VLOOKUP(G59,名称!A:C,3,FALSE)</f>
        <v>12</v>
      </c>
      <c r="K59" s="243">
        <f t="shared" si="4"/>
        <v>12</v>
      </c>
      <c r="L59" s="252">
        <v>46232</v>
      </c>
      <c r="M59" s="252">
        <f t="shared" si="5"/>
        <v>46227</v>
      </c>
      <c r="N59" s="267">
        <v>46232</v>
      </c>
      <c r="O59" s="252" t="s">
        <v>266</v>
      </c>
      <c r="P59" s="245" t="s">
        <v>267</v>
      </c>
      <c r="Q59" s="252"/>
      <c r="R59" s="252"/>
      <c r="S59" s="243"/>
      <c r="T59" s="246" t="s">
        <v>269</v>
      </c>
      <c r="U59" s="255"/>
      <c r="V59" s="255"/>
      <c r="W59" s="255"/>
      <c r="X59" s="392" t="s">
        <v>295</v>
      </c>
      <c r="Y59" s="253" t="s">
        <v>286</v>
      </c>
      <c r="Z59" s="243" t="s">
        <v>273</v>
      </c>
      <c r="AA59" s="243" t="s">
        <v>287</v>
      </c>
      <c r="AB59" s="243" t="s">
        <v>293</v>
      </c>
      <c r="AC59" s="258">
        <v>2.1</v>
      </c>
      <c r="AD59" s="259">
        <f t="shared" si="7"/>
        <v>302.4</v>
      </c>
      <c r="AE59" s="259">
        <f t="shared" si="8"/>
        <v>2343.6</v>
      </c>
      <c r="AF59" s="262">
        <v>95768</v>
      </c>
      <c r="AG59" s="263" t="s">
        <v>429</v>
      </c>
      <c r="AH59" s="264">
        <v>46238</v>
      </c>
      <c r="AI59" s="243"/>
      <c r="AJ59" s="243"/>
      <c r="AK59" s="243" t="s">
        <v>289</v>
      </c>
      <c r="AL59" s="259">
        <f t="shared" si="6"/>
        <v>90.72</v>
      </c>
    </row>
    <row r="60" s="235" customFormat="1" customHeight="1" spans="1:38">
      <c r="A60" s="252">
        <v>46195</v>
      </c>
      <c r="B60" s="253" t="s">
        <v>113</v>
      </c>
      <c r="C60" s="253" t="s">
        <v>265</v>
      </c>
      <c r="D60" s="253" t="s">
        <v>142</v>
      </c>
      <c r="E60" s="253">
        <v>21848574</v>
      </c>
      <c r="F60" s="253" t="s">
        <v>199</v>
      </c>
      <c r="G60" s="253" t="s">
        <v>18</v>
      </c>
      <c r="H60" s="266" t="str">
        <f>VLOOKUP(G60,名称!A:B,2,0)</f>
        <v>恐龙公园二代</v>
      </c>
      <c r="I60" s="268">
        <v>5004</v>
      </c>
      <c r="J60" s="245">
        <f>VLOOKUP(G60,名称!A:C,3,FALSE)</f>
        <v>12</v>
      </c>
      <c r="K60" s="245">
        <f t="shared" si="4"/>
        <v>417</v>
      </c>
      <c r="L60" s="252">
        <v>46244</v>
      </c>
      <c r="M60" s="244">
        <v>46241</v>
      </c>
      <c r="N60" s="244">
        <v>46241</v>
      </c>
      <c r="O60" s="252" t="s">
        <v>266</v>
      </c>
      <c r="P60" s="245" t="s">
        <v>267</v>
      </c>
      <c r="Q60" s="252" t="s">
        <v>430</v>
      </c>
      <c r="R60" s="252"/>
      <c r="S60" s="243"/>
      <c r="T60" s="246" t="s">
        <v>269</v>
      </c>
      <c r="U60" s="255" t="s">
        <v>270</v>
      </c>
      <c r="V60" s="255"/>
      <c r="W60" s="255"/>
      <c r="X60" s="247" t="s">
        <v>271</v>
      </c>
      <c r="Y60" s="266" t="s">
        <v>272</v>
      </c>
      <c r="Z60" s="245" t="s">
        <v>273</v>
      </c>
      <c r="AA60" s="260">
        <v>46260</v>
      </c>
      <c r="AB60" s="243" t="s">
        <v>274</v>
      </c>
      <c r="AC60" s="258">
        <v>2.1</v>
      </c>
      <c r="AD60" s="259">
        <f t="shared" si="7"/>
        <v>10508.4</v>
      </c>
      <c r="AE60" s="259">
        <f t="shared" si="8"/>
        <v>81440.1</v>
      </c>
      <c r="AF60" s="262">
        <v>95770</v>
      </c>
      <c r="AG60" s="263" t="s">
        <v>431</v>
      </c>
      <c r="AH60" s="264">
        <v>46248</v>
      </c>
      <c r="AI60" s="243" t="s">
        <v>275</v>
      </c>
      <c r="AJ60" s="243"/>
      <c r="AK60" s="243"/>
      <c r="AL60" s="259">
        <f>IFERROR(VLOOKUP(G60,'已打发票扣数（26年5月开始）'!$A$1:$C$17,3,0)*I60*0.3,"")</f>
        <v>3152.52</v>
      </c>
    </row>
    <row r="61" s="235" customFormat="1" customHeight="1" spans="1:38">
      <c r="A61" s="252">
        <v>46191</v>
      </c>
      <c r="B61" s="266" t="s">
        <v>195</v>
      </c>
      <c r="C61" s="266" t="s">
        <v>279</v>
      </c>
      <c r="D61" s="253" t="s">
        <v>196</v>
      </c>
      <c r="E61" s="253" t="s">
        <v>197</v>
      </c>
      <c r="F61" s="253" t="s">
        <v>198</v>
      </c>
      <c r="G61" s="253" t="s">
        <v>18</v>
      </c>
      <c r="H61" s="266" t="str">
        <f>VLOOKUP(G61,名称!A:B,2,0)</f>
        <v>恐龙公园二代</v>
      </c>
      <c r="I61" s="268">
        <v>720</v>
      </c>
      <c r="J61" s="245">
        <f>VLOOKUP(G61,名称!A:C,3,FALSE)</f>
        <v>12</v>
      </c>
      <c r="K61" s="245">
        <f t="shared" si="4"/>
        <v>60</v>
      </c>
      <c r="L61" s="252">
        <v>46241</v>
      </c>
      <c r="M61" s="244">
        <v>46241</v>
      </c>
      <c r="N61" s="252">
        <v>46247</v>
      </c>
      <c r="O61" s="252" t="s">
        <v>266</v>
      </c>
      <c r="P61" s="243" t="s">
        <v>267</v>
      </c>
      <c r="Q61" s="252" t="s">
        <v>432</v>
      </c>
      <c r="R61" s="252"/>
      <c r="S61" s="243"/>
      <c r="T61" s="246" t="s">
        <v>269</v>
      </c>
      <c r="U61" s="255" t="s">
        <v>249</v>
      </c>
      <c r="V61" s="255"/>
      <c r="W61" s="255"/>
      <c r="X61" s="256" t="s">
        <v>271</v>
      </c>
      <c r="Y61" s="253" t="s">
        <v>272</v>
      </c>
      <c r="Z61" s="243" t="s">
        <v>273</v>
      </c>
      <c r="AA61" s="261" t="s">
        <v>433</v>
      </c>
      <c r="AB61" s="243" t="s">
        <v>283</v>
      </c>
      <c r="AC61" s="258">
        <v>2.1</v>
      </c>
      <c r="AD61" s="259">
        <f t="shared" si="7"/>
        <v>1512</v>
      </c>
      <c r="AE61" s="259">
        <f t="shared" si="8"/>
        <v>11718</v>
      </c>
      <c r="AF61" s="269">
        <v>95771</v>
      </c>
      <c r="AG61" s="270" t="s">
        <v>434</v>
      </c>
      <c r="AH61" s="264">
        <v>46248</v>
      </c>
      <c r="AI61" s="243" t="s">
        <v>275</v>
      </c>
      <c r="AJ61" s="243"/>
      <c r="AK61" s="243" t="s">
        <v>435</v>
      </c>
      <c r="AL61" s="259">
        <f>IFERROR(VLOOKUP(G61,'已打发票扣数（26年5月开始）'!$A$1:$C$17,3,0)*I61*0.3,"")</f>
        <v>453.6</v>
      </c>
    </row>
    <row r="62" s="235" customFormat="1" customHeight="1" spans="1:38">
      <c r="A62" s="252"/>
      <c r="B62" s="253"/>
      <c r="C62" s="253"/>
      <c r="D62" s="253"/>
      <c r="E62" s="253"/>
      <c r="F62" s="253"/>
      <c r="G62" s="253"/>
      <c r="H62" s="253"/>
      <c r="I62" s="254"/>
      <c r="J62" s="243"/>
      <c r="K62" s="243"/>
      <c r="L62" s="252"/>
      <c r="M62" s="252"/>
      <c r="N62" s="252"/>
      <c r="O62" s="252"/>
      <c r="P62" s="243"/>
      <c r="Q62" s="252"/>
      <c r="R62" s="252"/>
      <c r="S62" s="243"/>
      <c r="T62" s="255"/>
      <c r="U62" s="255"/>
      <c r="V62" s="255"/>
      <c r="W62" s="255"/>
      <c r="X62" s="256"/>
      <c r="Y62" s="253"/>
      <c r="Z62" s="243"/>
      <c r="AA62" s="243"/>
      <c r="AB62" s="243"/>
      <c r="AC62" s="258"/>
      <c r="AD62" s="259">
        <f>AC62*I62</f>
        <v>0</v>
      </c>
      <c r="AE62" s="259">
        <f>AD62*7.75</f>
        <v>0</v>
      </c>
      <c r="AF62" s="76"/>
      <c r="AG62" s="240"/>
      <c r="AH62" s="239"/>
      <c r="AI62" s="243"/>
      <c r="AJ62" s="243"/>
      <c r="AK62" s="243"/>
      <c r="AL62" s="259" t="str">
        <f>IFERROR(VLOOKUP(G62,'已打发票扣数（26年5月开始）'!$A$1:$C$17,3,0)*I62*0.3,"")</f>
        <v/>
      </c>
    </row>
    <row r="63" s="114" customFormat="1" customHeight="1" spans="1:38">
      <c r="A63" s="123"/>
      <c r="B63" s="87"/>
      <c r="C63" s="87"/>
      <c r="D63" s="87"/>
      <c r="E63" s="87"/>
      <c r="F63" s="87"/>
      <c r="G63" s="87"/>
      <c r="H63" s="271"/>
      <c r="I63" s="272"/>
      <c r="J63" s="82"/>
      <c r="K63" s="82"/>
      <c r="L63" s="123"/>
      <c r="M63" s="123"/>
      <c r="N63" s="273"/>
      <c r="O63" s="273"/>
      <c r="P63" s="126"/>
      <c r="Q63" s="123"/>
      <c r="R63" s="133"/>
      <c r="S63" s="133"/>
      <c r="T63" s="133"/>
      <c r="U63" s="133"/>
      <c r="V63" s="133"/>
      <c r="W63" s="133"/>
      <c r="X63" s="127"/>
      <c r="Y63" s="87"/>
      <c r="Z63" s="126"/>
      <c r="AA63" s="126"/>
      <c r="AB63" s="126"/>
      <c r="AC63" s="128"/>
      <c r="AD63" s="249">
        <f>AC63*I63</f>
        <v>0</v>
      </c>
      <c r="AE63" s="249">
        <f>AD63*7.75</f>
        <v>0</v>
      </c>
      <c r="AF63" s="130"/>
      <c r="AG63" s="87"/>
      <c r="AH63" s="123"/>
      <c r="AI63" s="82"/>
      <c r="AJ63" s="243"/>
      <c r="AK63" s="274"/>
      <c r="AL63" s="249" t="str">
        <f>IFERROR(VLOOKUP(G63,'已打发票扣数（26年5月开始）'!$A$1:$C$17,3,0)*I63*0.3,"")</f>
        <v/>
      </c>
    </row>
    <row r="64" s="114" customFormat="1" customHeight="1" spans="1:38">
      <c r="A64" s="123"/>
      <c r="B64" s="87"/>
      <c r="C64" s="87"/>
      <c r="D64" s="87"/>
      <c r="E64" s="87"/>
      <c r="F64" s="87"/>
      <c r="G64" s="87"/>
      <c r="H64" s="271"/>
      <c r="I64" s="272"/>
      <c r="J64" s="82"/>
      <c r="K64" s="82"/>
      <c r="L64" s="123"/>
      <c r="M64" s="123"/>
      <c r="N64" s="273"/>
      <c r="O64" s="273"/>
      <c r="P64" s="126"/>
      <c r="Q64" s="123"/>
      <c r="R64" s="133"/>
      <c r="S64" s="133"/>
      <c r="T64" s="133"/>
      <c r="U64" s="133"/>
      <c r="V64" s="133"/>
      <c r="W64" s="133"/>
      <c r="X64" s="127"/>
      <c r="Y64" s="87"/>
      <c r="Z64" s="126"/>
      <c r="AA64" s="126"/>
      <c r="AB64" s="126"/>
      <c r="AC64" s="128"/>
      <c r="AD64" s="249">
        <f>AC64*I64</f>
        <v>0</v>
      </c>
      <c r="AE64" s="249">
        <f>AD64*7.75</f>
        <v>0</v>
      </c>
      <c r="AF64" s="130"/>
      <c r="AG64" s="87"/>
      <c r="AH64" s="123"/>
      <c r="AI64" s="82"/>
      <c r="AJ64" s="243"/>
      <c r="AK64" s="274"/>
      <c r="AL64" s="249" t="str">
        <f>IFERROR(VLOOKUP(G64,'已打发票扣数（26年5月开始）'!$A$1:$C$17,3,0)*I64*0.3,"")</f>
        <v/>
      </c>
    </row>
    <row r="65" s="114" customFormat="1" customHeight="1" spans="1:38">
      <c r="A65" s="123"/>
      <c r="B65" s="87"/>
      <c r="C65" s="87"/>
      <c r="D65" s="87"/>
      <c r="E65" s="87"/>
      <c r="F65" s="87"/>
      <c r="G65" s="87"/>
      <c r="H65" s="271"/>
      <c r="I65" s="272"/>
      <c r="J65" s="82"/>
      <c r="K65" s="82"/>
      <c r="L65" s="123"/>
      <c r="M65" s="123"/>
      <c r="N65" s="273"/>
      <c r="O65" s="273"/>
      <c r="P65" s="126"/>
      <c r="Q65" s="123"/>
      <c r="R65" s="133"/>
      <c r="S65" s="133"/>
      <c r="T65" s="133"/>
      <c r="U65" s="133"/>
      <c r="V65" s="133"/>
      <c r="W65" s="133"/>
      <c r="X65" s="127"/>
      <c r="Y65" s="87"/>
      <c r="Z65" s="126"/>
      <c r="AA65" s="126"/>
      <c r="AB65" s="126"/>
      <c r="AC65" s="128"/>
      <c r="AD65" s="249">
        <f>AC65*I65</f>
        <v>0</v>
      </c>
      <c r="AE65" s="249">
        <f>AD65*7.75</f>
        <v>0</v>
      </c>
      <c r="AF65" s="130"/>
      <c r="AG65" s="87"/>
      <c r="AH65" s="123"/>
      <c r="AI65" s="82"/>
      <c r="AJ65" s="243"/>
      <c r="AK65" s="274"/>
      <c r="AL65" s="249" t="str">
        <f>IFERROR(VLOOKUP(G65,'已打发票扣数（26年5月开始）'!$A$1:$C$17,3,0)*I65*0.3,"")</f>
        <v/>
      </c>
    </row>
    <row r="66" s="114" customFormat="1" customHeight="1" spans="1:38">
      <c r="A66" s="123"/>
      <c r="B66" s="87"/>
      <c r="C66" s="87"/>
      <c r="D66" s="87"/>
      <c r="E66" s="87"/>
      <c r="F66" s="87"/>
      <c r="G66" s="87"/>
      <c r="H66" s="271"/>
      <c r="I66" s="272"/>
      <c r="J66" s="82"/>
      <c r="K66" s="82"/>
      <c r="L66" s="123"/>
      <c r="M66" s="123"/>
      <c r="N66" s="273"/>
      <c r="O66" s="273"/>
      <c r="P66" s="126"/>
      <c r="Q66" s="123"/>
      <c r="R66" s="133"/>
      <c r="S66" s="133"/>
      <c r="T66" s="133"/>
      <c r="U66" s="133"/>
      <c r="V66" s="133"/>
      <c r="W66" s="133"/>
      <c r="X66" s="127"/>
      <c r="Y66" s="87"/>
      <c r="Z66" s="126"/>
      <c r="AA66" s="126"/>
      <c r="AB66" s="126"/>
      <c r="AC66" s="128"/>
      <c r="AD66" s="249">
        <f>AC66*I66</f>
        <v>0</v>
      </c>
      <c r="AE66" s="249">
        <f>AD66*7.75</f>
        <v>0</v>
      </c>
      <c r="AF66" s="130"/>
      <c r="AG66" s="87"/>
      <c r="AH66" s="123"/>
      <c r="AI66" s="82"/>
      <c r="AJ66" s="274"/>
      <c r="AK66" s="274"/>
      <c r="AL66" s="249" t="str">
        <f>IFERROR(VLOOKUP(G66,'已打发票扣数（26年5月开始）'!$A$1:$C$17,3,0)*I66*0.3,"")</f>
        <v/>
      </c>
    </row>
    <row r="67" s="114" customFormat="1" customHeight="1" spans="1:38">
      <c r="A67" s="123"/>
      <c r="B67" s="87"/>
      <c r="C67" s="87"/>
      <c r="D67" s="87"/>
      <c r="E67" s="87"/>
      <c r="F67" s="87"/>
      <c r="G67" s="87"/>
      <c r="H67" s="271"/>
      <c r="I67" s="272"/>
      <c r="J67" s="82"/>
      <c r="K67" s="82"/>
      <c r="L67" s="123"/>
      <c r="M67" s="123"/>
      <c r="N67" s="273"/>
      <c r="O67" s="273"/>
      <c r="P67" s="126"/>
      <c r="Q67" s="123"/>
      <c r="R67" s="133"/>
      <c r="S67" s="133"/>
      <c r="T67" s="133"/>
      <c r="U67" s="133"/>
      <c r="V67" s="133"/>
      <c r="W67" s="133"/>
      <c r="X67" s="127"/>
      <c r="Y67" s="87"/>
      <c r="Z67" s="126"/>
      <c r="AA67" s="126"/>
      <c r="AB67" s="126"/>
      <c r="AC67" s="128"/>
      <c r="AD67" s="249">
        <f>AC67*I67</f>
        <v>0</v>
      </c>
      <c r="AE67" s="249">
        <f>AD67*7.75</f>
        <v>0</v>
      </c>
      <c r="AF67" s="130"/>
      <c r="AG67" s="87"/>
      <c r="AH67" s="123"/>
      <c r="AI67" s="82"/>
      <c r="AJ67" s="274"/>
      <c r="AK67" s="274"/>
      <c r="AL67" s="249" t="str">
        <f>IFERROR(VLOOKUP(G67,'已打发票扣数（26年5月开始）'!$A$1:$C$17,3,0)*I67*0.3,"")</f>
        <v/>
      </c>
    </row>
    <row r="68" s="116" customFormat="1" customHeight="1" spans="1:38">
      <c r="A68" s="123"/>
      <c r="B68" s="82"/>
      <c r="C68" s="82"/>
      <c r="D68" s="87"/>
      <c r="E68" s="82"/>
      <c r="F68" s="82"/>
      <c r="G68" s="82"/>
      <c r="H68" s="124"/>
      <c r="I68" s="238">
        <f>SUM(I1:I67)</f>
        <v>122952</v>
      </c>
      <c r="J68" s="82"/>
      <c r="K68" s="82"/>
      <c r="L68" s="82"/>
      <c r="M68" s="82"/>
      <c r="N68" s="125"/>
      <c r="O68" s="125"/>
      <c r="P68" s="126"/>
      <c r="Q68" s="123"/>
      <c r="R68" s="126"/>
      <c r="S68" s="126"/>
      <c r="T68" s="126"/>
      <c r="U68" s="126"/>
      <c r="V68" s="126"/>
      <c r="W68" s="126"/>
      <c r="X68" s="127"/>
      <c r="Y68" s="126"/>
      <c r="Z68" s="126"/>
      <c r="AA68" s="126"/>
      <c r="AB68" s="126"/>
      <c r="AC68" s="128"/>
      <c r="AD68" s="129">
        <f>SUM(AD1:AD67)</f>
        <v>486493.16</v>
      </c>
      <c r="AE68" s="129">
        <f>SUM(AE1:AE67)</f>
        <v>3770321.99</v>
      </c>
      <c r="AF68" s="82"/>
      <c r="AG68" s="82"/>
      <c r="AH68" s="123"/>
      <c r="AI68" s="82"/>
      <c r="AJ68" s="274"/>
      <c r="AK68" s="274"/>
      <c r="AL68" s="129">
        <f>SUM(AL1:AL67)</f>
        <v>107130.48</v>
      </c>
    </row>
    <row r="112" customHeight="1" spans="36:37">
      <c r="AJ112" s="116"/>
      <c r="AK112" s="116"/>
    </row>
    <row r="113" customHeight="1" spans="36:37">
      <c r="AJ113" s="116"/>
      <c r="AK113" s="116"/>
    </row>
    <row r="114" customHeight="1" spans="36:37">
      <c r="AJ114" s="116"/>
      <c r="AK114" s="116"/>
    </row>
    <row r="115" customHeight="1" spans="36:37">
      <c r="AJ115" s="116"/>
      <c r="AK115" s="116"/>
    </row>
    <row r="116" customHeight="1" spans="36:37">
      <c r="AJ116" s="116"/>
      <c r="AK116" s="116"/>
    </row>
    <row r="117" customHeight="1" spans="36:37">
      <c r="AJ117" s="116"/>
      <c r="AK117" s="116"/>
    </row>
    <row r="118" customHeight="1" spans="36:37">
      <c r="AJ118" s="116"/>
      <c r="AK118" s="116"/>
    </row>
    <row r="119" customHeight="1" spans="36:37">
      <c r="AJ119" s="116"/>
      <c r="AK119" s="116"/>
    </row>
    <row r="120" customHeight="1" spans="36:37">
      <c r="AJ120" s="116"/>
      <c r="AK120" s="116"/>
    </row>
    <row r="121" customHeight="1" spans="36:37">
      <c r="AJ121" s="116"/>
      <c r="AK121" s="116"/>
    </row>
    <row r="122" customHeight="1" spans="36:37">
      <c r="AJ122" s="116"/>
      <c r="AK122" s="116"/>
    </row>
  </sheetData>
  <sheetProtection formatCells="0" formatColumns="0" formatRows="0" insertRows="0" insertColumns="0" insertHyperlinks="0" deleteColumns="0" deleteRows="0" sort="0" autoFilter="0" pivotTables="0"/>
  <protectedRanges>
    <protectedRange sqref="J2" name="Range1"/>
  </protectedRanges>
  <autoFilter xmlns:etc="http://www.wps.cn/officeDocument/2017/etCustomData" ref="A1:AL68" etc:filterBottomFollowUsedRange="0">
    <extLst/>
  </autoFilter>
  <conditionalFormatting sqref="D2">
    <cfRule type="containsText" dxfId="1" priority="19" operator="between" text="Wal-Mart">
      <formula>NOT(ISERROR(SEARCH("Wal-Mart",D2)))</formula>
    </cfRule>
  </conditionalFormatting>
  <conditionalFormatting sqref="D5">
    <cfRule type="containsText" dxfId="1" priority="17" operator="between" text="Wal-Mart">
      <formula>NOT(ISERROR(SEARCH("Wal-Mart",D5)))</formula>
    </cfRule>
  </conditionalFormatting>
  <conditionalFormatting sqref="D6">
    <cfRule type="containsText" dxfId="1" priority="16" operator="between" text="Wal-Mart">
      <formula>NOT(ISERROR(SEARCH("Wal-Mart",D6)))</formula>
    </cfRule>
  </conditionalFormatting>
  <conditionalFormatting sqref="E14">
    <cfRule type="containsText" dxfId="1" priority="12" operator="between" text="Wal-Mart">
      <formula>NOT(ISERROR(SEARCH("Wal-Mart",E14)))</formula>
    </cfRule>
  </conditionalFormatting>
  <conditionalFormatting sqref="D15">
    <cfRule type="containsText" dxfId="1" priority="11" operator="between" text="Wal-Mart">
      <formula>NOT(ISERROR(SEARCH("Wal-Mart",D15)))</formula>
    </cfRule>
  </conditionalFormatting>
  <conditionalFormatting sqref="D20">
    <cfRule type="containsText" dxfId="1" priority="8" operator="between" text="Wal-Mart">
      <formula>NOT(ISERROR(SEARCH("Wal-Mart",D20)))</formula>
    </cfRule>
  </conditionalFormatting>
  <conditionalFormatting sqref="D21">
    <cfRule type="containsText" dxfId="1" priority="7" operator="between" text="Wal-Mart">
      <formula>NOT(ISERROR(SEARCH("Wal-Mart",D21)))</formula>
    </cfRule>
  </conditionalFormatting>
  <conditionalFormatting sqref="D22">
    <cfRule type="containsText" dxfId="1" priority="5" operator="between" text="Wal-Mart">
      <formula>NOT(ISERROR(SEARCH("Wal-Mart",D22)))</formula>
    </cfRule>
  </conditionalFormatting>
  <conditionalFormatting sqref="D3:D4">
    <cfRule type="containsText" dxfId="1" priority="18" operator="between" text="Wal-Mart">
      <formula>NOT(ISERROR(SEARCH("Wal-Mart",D3)))</formula>
    </cfRule>
  </conditionalFormatting>
  <conditionalFormatting sqref="D7:D8">
    <cfRule type="containsText" dxfId="1" priority="15" operator="between" text="Wal-Mart">
      <formula>NOT(ISERROR(SEARCH("Wal-Mart",D7)))</formula>
    </cfRule>
  </conditionalFormatting>
  <conditionalFormatting sqref="D9:D10">
    <cfRule type="containsText" dxfId="1" priority="14" operator="between" text="Wal-Mart">
      <formula>NOT(ISERROR(SEARCH("Wal-Mart",D9)))</formula>
    </cfRule>
  </conditionalFormatting>
  <conditionalFormatting sqref="D11:D13">
    <cfRule type="containsText" dxfId="1" priority="13" operator="between" text="Wal-Mart">
      <formula>NOT(ISERROR(SEARCH("Wal-Mart",D11)))</formula>
    </cfRule>
  </conditionalFormatting>
  <conditionalFormatting sqref="D16:D17">
    <cfRule type="containsText" dxfId="1" priority="10" operator="between" text="Wal-Mart">
      <formula>NOT(ISERROR(SEARCH("Wal-Mart",D16)))</formula>
    </cfRule>
  </conditionalFormatting>
  <conditionalFormatting sqref="D18:D19">
    <cfRule type="containsText" dxfId="1" priority="9" operator="between" text="Wal-Mart">
      <formula>NOT(ISERROR(SEARCH("Wal-Mart",D18)))</formula>
    </cfRule>
  </conditionalFormatting>
  <conditionalFormatting sqref="D25:D27">
    <cfRule type="containsText" dxfId="1" priority="4" operator="between" text="Wal-Mart">
      <formula>NOT(ISERROR(SEARCH("Wal-Mart",D25)))</formula>
    </cfRule>
  </conditionalFormatting>
  <conditionalFormatting sqref="D62:D63">
    <cfRule type="containsText" dxfId="1" priority="3" operator="between" text="Wal-Mart">
      <formula>NOT(ISERROR(SEARCH("Wal-Mart",D62)))</formula>
    </cfRule>
  </conditionalFormatting>
  <conditionalFormatting sqref="D1 D64:D1048576">
    <cfRule type="containsText" dxfId="1" priority="157" operator="between" text="Wal-Mart">
      <formula>NOT(ISERROR(SEARCH("Wal-Mart",D1)))</formula>
    </cfRule>
  </conditionalFormatting>
  <pageMargins left="0.0784722222222222" right="0.0784722222222222" top="0.236111111111111" bottom="0.156944444444444" header="0.156944444444444" footer="0.118055555555556"/>
  <pageSetup paperSize="9" scale="50" orientation="landscape"/>
  <headerFooter/>
  <ignoredErrors>
    <ignoredError sqref="AA3:AA5 AA21:AA26 X2:X37 X41:X59 AA41" numberStoredAsText="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AL30"/>
  <sheetViews>
    <sheetView zoomScale="85" zoomScaleNormal="85" workbookViewId="0">
      <pane xSplit="9" ySplit="1" topLeftCell="W16" activePane="bottomRight" state="frozen"/>
      <selection/>
      <selection pane="topRight"/>
      <selection pane="bottomLeft"/>
      <selection pane="bottomRight" activeCell="W16" sqref="W16"/>
    </sheetView>
  </sheetViews>
  <sheetFormatPr defaultColWidth="8.8" defaultRowHeight="25" customHeight="1"/>
  <cols>
    <col min="1" max="1" width="12.625" style="115" customWidth="1"/>
    <col min="2" max="3" width="8.625" style="116" customWidth="1"/>
    <col min="4" max="4" width="12.625" style="117" customWidth="1"/>
    <col min="5" max="7" width="10.625" style="116" customWidth="1"/>
    <col min="8" max="8" width="11.875" style="116" customWidth="1"/>
    <col min="9" max="9" width="6.625" style="116" customWidth="1"/>
    <col min="10" max="11" width="5.625" style="116" customWidth="1"/>
    <col min="12" max="13" width="12.625" style="116" customWidth="1"/>
    <col min="14" max="14" width="12.625" style="118" customWidth="1"/>
    <col min="15" max="15" width="8.625" style="118" customWidth="1"/>
    <col min="16" max="16" width="13.5" style="118" customWidth="1"/>
    <col min="17" max="17" width="12" style="115" customWidth="1"/>
    <col min="18" max="22" width="12" style="118" customWidth="1"/>
    <col min="23" max="23" width="12" style="119" customWidth="1"/>
    <col min="24" max="25" width="12" style="118" customWidth="1"/>
    <col min="26" max="26" width="12" style="118" hidden="1" customWidth="1"/>
    <col min="27" max="27" width="12" style="118" customWidth="1"/>
    <col min="28" max="28" width="8.625" style="120" customWidth="1"/>
    <col min="29" max="30" width="12.6" style="121" customWidth="1"/>
    <col min="31" max="31" width="10.625" style="122" customWidth="1"/>
    <col min="32" max="32" width="8.625" style="116" hidden="1" customWidth="1"/>
    <col min="33" max="33" width="12.625" style="115" hidden="1" customWidth="1"/>
    <col min="34" max="34" width="10.6" style="116" customWidth="1"/>
    <col min="35" max="36" width="8.625" style="116" customWidth="1"/>
    <col min="37" max="37" width="12.6" style="121" customWidth="1"/>
    <col min="38" max="38" width="8.8" style="116"/>
  </cols>
  <sheetData>
    <row r="1" s="116" customFormat="1" customHeight="1" spans="1:38">
      <c r="A1" s="123" t="s">
        <v>53</v>
      </c>
      <c r="B1" s="82" t="s">
        <v>54</v>
      </c>
      <c r="C1" s="82" t="s">
        <v>236</v>
      </c>
      <c r="D1" s="87" t="s">
        <v>55</v>
      </c>
      <c r="E1" s="82" t="s">
        <v>56</v>
      </c>
      <c r="F1" s="82" t="s">
        <v>57</v>
      </c>
      <c r="G1" s="82" t="s">
        <v>58</v>
      </c>
      <c r="H1" s="82" t="s">
        <v>238</v>
      </c>
      <c r="I1" s="82" t="s">
        <v>59</v>
      </c>
      <c r="J1" s="82" t="s">
        <v>2</v>
      </c>
      <c r="K1" s="82" t="s">
        <v>239</v>
      </c>
      <c r="L1" s="82" t="s">
        <v>240</v>
      </c>
      <c r="M1" s="82" t="s">
        <v>241</v>
      </c>
      <c r="N1" s="126" t="s">
        <v>242</v>
      </c>
      <c r="O1" s="126" t="s">
        <v>243</v>
      </c>
      <c r="P1" s="126" t="s">
        <v>244</v>
      </c>
      <c r="Q1" s="123" t="s">
        <v>245</v>
      </c>
      <c r="R1" s="126" t="s">
        <v>247</v>
      </c>
      <c r="S1" s="126" t="s">
        <v>248</v>
      </c>
      <c r="T1" s="126" t="s">
        <v>249</v>
      </c>
      <c r="U1" s="126" t="s">
        <v>250</v>
      </c>
      <c r="V1" s="126" t="s">
        <v>251</v>
      </c>
      <c r="W1" s="127" t="s">
        <v>3</v>
      </c>
      <c r="X1" s="126" t="s">
        <v>252</v>
      </c>
      <c r="Y1" s="126" t="s">
        <v>253</v>
      </c>
      <c r="Z1" s="126" t="s">
        <v>254</v>
      </c>
      <c r="AA1" s="126" t="s">
        <v>255</v>
      </c>
      <c r="AB1" s="128" t="s">
        <v>256</v>
      </c>
      <c r="AC1" s="129" t="s">
        <v>257</v>
      </c>
      <c r="AD1" s="129" t="s">
        <v>258</v>
      </c>
      <c r="AE1" s="130" t="s">
        <v>320</v>
      </c>
      <c r="AF1" s="82" t="s">
        <v>260</v>
      </c>
      <c r="AG1" s="123" t="s">
        <v>60</v>
      </c>
      <c r="AH1" s="82" t="s">
        <v>261</v>
      </c>
      <c r="AI1" s="82" t="s">
        <v>262</v>
      </c>
      <c r="AJ1" s="82" t="s">
        <v>263</v>
      </c>
      <c r="AK1" s="129" t="s">
        <v>321</v>
      </c>
      <c r="AL1" s="82"/>
    </row>
    <row r="2" s="217" customFormat="1" customHeight="1" spans="1:38">
      <c r="A2" s="218">
        <v>45805</v>
      </c>
      <c r="B2" s="219"/>
      <c r="C2" s="219"/>
      <c r="D2" s="219" t="s">
        <v>137</v>
      </c>
      <c r="E2" s="220"/>
      <c r="F2" s="219"/>
      <c r="G2" s="219" t="s">
        <v>11</v>
      </c>
      <c r="H2" s="219" t="str">
        <f>VLOOKUP(G2,[1]Sheet1!B:C,2,0)</f>
        <v>手术游戏盘</v>
      </c>
      <c r="I2" s="219">
        <f>10002-4998</f>
        <v>5004</v>
      </c>
      <c r="J2" s="219">
        <v>6</v>
      </c>
      <c r="K2" s="220">
        <f t="shared" ref="K2:K11" si="0">I2/J2</f>
        <v>834</v>
      </c>
      <c r="L2" s="218">
        <v>45853</v>
      </c>
      <c r="M2" s="218">
        <v>45846</v>
      </c>
      <c r="N2" s="218">
        <v>45846</v>
      </c>
      <c r="O2" s="221"/>
      <c r="P2" s="218"/>
      <c r="Q2" s="221"/>
      <c r="R2" s="222"/>
      <c r="S2" s="222"/>
      <c r="T2" s="222"/>
      <c r="U2" s="222"/>
      <c r="V2" s="222"/>
      <c r="W2" s="393" t="s">
        <v>366</v>
      </c>
      <c r="X2" s="219" t="s">
        <v>355</v>
      </c>
      <c r="Y2" s="221" t="s">
        <v>436</v>
      </c>
      <c r="Z2" s="221"/>
      <c r="AA2" s="221" t="s">
        <v>358</v>
      </c>
      <c r="AB2" s="224">
        <v>4.52</v>
      </c>
      <c r="AC2" s="225">
        <f t="shared" ref="AC2:AC11" si="1">AB2*I2</f>
        <v>22618.08</v>
      </c>
      <c r="AD2" s="225">
        <f t="shared" ref="AD2:AD11" si="2">AC2*7.75</f>
        <v>175290.12</v>
      </c>
      <c r="AE2" s="226"/>
      <c r="AF2" s="219"/>
      <c r="AG2" s="218"/>
      <c r="AH2" s="220"/>
      <c r="AI2" s="220"/>
      <c r="AJ2" s="220"/>
      <c r="AK2" s="220"/>
      <c r="AL2" s="220"/>
    </row>
    <row r="3" s="217" customFormat="1" customHeight="1" spans="1:38">
      <c r="A3" s="218">
        <v>45698</v>
      </c>
      <c r="B3" s="219" t="s">
        <v>108</v>
      </c>
      <c r="C3" s="219" t="s">
        <v>302</v>
      </c>
      <c r="D3" s="219" t="s">
        <v>437</v>
      </c>
      <c r="E3" s="220">
        <v>2025023</v>
      </c>
      <c r="F3" s="219" t="s">
        <v>438</v>
      </c>
      <c r="G3" s="219" t="s">
        <v>6</v>
      </c>
      <c r="H3" s="219" t="str">
        <f>VLOOKUP(G3,名称!A:B,2,0)</f>
        <v>恐龙游戏盘</v>
      </c>
      <c r="I3" s="219">
        <v>3000</v>
      </c>
      <c r="J3" s="219">
        <v>6</v>
      </c>
      <c r="K3" s="220">
        <f t="shared" si="0"/>
        <v>500</v>
      </c>
      <c r="L3" s="218">
        <v>45736</v>
      </c>
      <c r="M3" s="218">
        <v>45729</v>
      </c>
      <c r="N3" s="218">
        <v>45726</v>
      </c>
      <c r="O3" s="221" t="s">
        <v>269</v>
      </c>
      <c r="P3" s="218"/>
      <c r="Q3" s="221"/>
      <c r="R3" s="222"/>
      <c r="S3" s="222" t="s">
        <v>269</v>
      </c>
      <c r="T3" s="222"/>
      <c r="U3" s="222"/>
      <c r="V3" s="222"/>
      <c r="W3" s="223" t="s">
        <v>311</v>
      </c>
      <c r="X3" s="219" t="s">
        <v>272</v>
      </c>
      <c r="Y3" s="221" t="s">
        <v>273</v>
      </c>
      <c r="Z3" s="221" t="s">
        <v>439</v>
      </c>
      <c r="AA3" s="221" t="s">
        <v>348</v>
      </c>
      <c r="AB3" s="224">
        <v>4.5</v>
      </c>
      <c r="AC3" s="225">
        <f t="shared" si="1"/>
        <v>13500</v>
      </c>
      <c r="AD3" s="225">
        <f t="shared" si="2"/>
        <v>104625</v>
      </c>
      <c r="AE3" s="226"/>
      <c r="AF3" s="219"/>
      <c r="AG3" s="218"/>
      <c r="AH3" s="220" t="s">
        <v>275</v>
      </c>
      <c r="AI3" s="220" t="s">
        <v>440</v>
      </c>
      <c r="AJ3" s="220"/>
      <c r="AK3" s="220"/>
      <c r="AL3" s="220"/>
    </row>
    <row r="4" s="217" customFormat="1" customHeight="1" spans="1:38">
      <c r="A4" s="218">
        <v>45754</v>
      </c>
      <c r="B4" s="220" t="s">
        <v>108</v>
      </c>
      <c r="C4" s="219" t="s">
        <v>302</v>
      </c>
      <c r="D4" s="218" t="s">
        <v>441</v>
      </c>
      <c r="E4" s="220" t="s">
        <v>442</v>
      </c>
      <c r="F4" s="219" t="s">
        <v>443</v>
      </c>
      <c r="G4" s="219" t="s">
        <v>4</v>
      </c>
      <c r="H4" s="219" t="str">
        <f>VLOOKUP(G4,名称!A:B,2,0)</f>
        <v>恐龙公园</v>
      </c>
      <c r="I4" s="219">
        <v>1080</v>
      </c>
      <c r="J4" s="219">
        <v>12</v>
      </c>
      <c r="K4" s="220">
        <f t="shared" si="0"/>
        <v>90</v>
      </c>
      <c r="L4" s="218">
        <v>45919</v>
      </c>
      <c r="M4" s="227">
        <v>45915</v>
      </c>
      <c r="N4" s="227">
        <v>45915</v>
      </c>
      <c r="O4" s="218" t="s">
        <v>266</v>
      </c>
      <c r="P4" s="221"/>
      <c r="Q4" s="218"/>
      <c r="R4" s="221"/>
      <c r="S4" s="222" t="s">
        <v>269</v>
      </c>
      <c r="T4" s="222" t="s">
        <v>444</v>
      </c>
      <c r="U4" s="222"/>
      <c r="V4" s="228" t="s">
        <v>445</v>
      </c>
      <c r="W4" s="229" t="s">
        <v>446</v>
      </c>
      <c r="X4" s="219" t="s">
        <v>286</v>
      </c>
      <c r="Y4" s="221" t="s">
        <v>273</v>
      </c>
      <c r="Z4" s="221" t="s">
        <v>447</v>
      </c>
      <c r="AA4" s="221" t="s">
        <v>448</v>
      </c>
      <c r="AB4" s="224">
        <v>2.06</v>
      </c>
      <c r="AC4" s="225">
        <f t="shared" si="1"/>
        <v>2224.8</v>
      </c>
      <c r="AD4" s="225">
        <f t="shared" si="2"/>
        <v>17242.2</v>
      </c>
      <c r="AE4" s="230">
        <v>45908</v>
      </c>
      <c r="AF4" s="220"/>
      <c r="AG4" s="218"/>
      <c r="AH4" s="220" t="s">
        <v>275</v>
      </c>
      <c r="AI4" s="220"/>
      <c r="AJ4" s="221" t="s">
        <v>449</v>
      </c>
      <c r="AK4" s="225">
        <f t="shared" ref="AK4:AK11" si="3">(I4*2.1*7.75)*0.3</f>
        <v>5273.1</v>
      </c>
      <c r="AL4" s="231">
        <v>45908</v>
      </c>
    </row>
    <row r="5" s="217" customFormat="1" customHeight="1" spans="1:38">
      <c r="A5" s="218">
        <v>45754</v>
      </c>
      <c r="B5" s="220" t="s">
        <v>108</v>
      </c>
      <c r="C5" s="219" t="s">
        <v>302</v>
      </c>
      <c r="D5" s="218" t="s">
        <v>441</v>
      </c>
      <c r="E5" s="220" t="s">
        <v>450</v>
      </c>
      <c r="F5" s="219" t="s">
        <v>451</v>
      </c>
      <c r="G5" s="219" t="s">
        <v>4</v>
      </c>
      <c r="H5" s="219" t="str">
        <f>VLOOKUP(G5,名称!A:B,2,0)</f>
        <v>恐龙公园</v>
      </c>
      <c r="I5" s="219">
        <v>1080</v>
      </c>
      <c r="J5" s="219">
        <v>12</v>
      </c>
      <c r="K5" s="220">
        <f t="shared" si="0"/>
        <v>90</v>
      </c>
      <c r="L5" s="218">
        <v>45925</v>
      </c>
      <c r="M5" s="218">
        <v>45918</v>
      </c>
      <c r="N5" s="227">
        <v>45915</v>
      </c>
      <c r="O5" s="218" t="s">
        <v>266</v>
      </c>
      <c r="P5" s="221"/>
      <c r="Q5" s="218"/>
      <c r="R5" s="221"/>
      <c r="S5" s="222" t="s">
        <v>269</v>
      </c>
      <c r="T5" s="222" t="s">
        <v>444</v>
      </c>
      <c r="U5" s="222"/>
      <c r="V5" s="228" t="s">
        <v>445</v>
      </c>
      <c r="W5" s="229" t="s">
        <v>446</v>
      </c>
      <c r="X5" s="219" t="s">
        <v>286</v>
      </c>
      <c r="Y5" s="221" t="s">
        <v>273</v>
      </c>
      <c r="Z5" s="221" t="s">
        <v>447</v>
      </c>
      <c r="AA5" s="221" t="s">
        <v>448</v>
      </c>
      <c r="AB5" s="224">
        <v>2.06</v>
      </c>
      <c r="AC5" s="225">
        <f t="shared" si="1"/>
        <v>2224.8</v>
      </c>
      <c r="AD5" s="225">
        <f t="shared" si="2"/>
        <v>17242.2</v>
      </c>
      <c r="AE5" s="230">
        <v>45908</v>
      </c>
      <c r="AF5" s="220"/>
      <c r="AG5" s="218"/>
      <c r="AH5" s="220" t="s">
        <v>275</v>
      </c>
      <c r="AI5" s="220"/>
      <c r="AJ5" s="221" t="s">
        <v>449</v>
      </c>
      <c r="AK5" s="225">
        <f t="shared" si="3"/>
        <v>5273.1</v>
      </c>
      <c r="AL5" s="231">
        <v>45908</v>
      </c>
    </row>
    <row r="6" s="217" customFormat="1" customHeight="1" spans="1:38">
      <c r="A6" s="218">
        <v>45754</v>
      </c>
      <c r="B6" s="220" t="s">
        <v>108</v>
      </c>
      <c r="C6" s="219" t="s">
        <v>302</v>
      </c>
      <c r="D6" s="218" t="s">
        <v>441</v>
      </c>
      <c r="E6" s="220" t="s">
        <v>452</v>
      </c>
      <c r="F6" s="219" t="s">
        <v>453</v>
      </c>
      <c r="G6" s="219" t="s">
        <v>4</v>
      </c>
      <c r="H6" s="219" t="str">
        <f>VLOOKUP(G6,名称!A:B,2,0)</f>
        <v>恐龙公园</v>
      </c>
      <c r="I6" s="219">
        <v>1080</v>
      </c>
      <c r="J6" s="219">
        <v>12</v>
      </c>
      <c r="K6" s="220">
        <f t="shared" si="0"/>
        <v>90</v>
      </c>
      <c r="L6" s="218">
        <v>45933</v>
      </c>
      <c r="M6" s="218">
        <v>45926</v>
      </c>
      <c r="N6" s="227">
        <v>45926</v>
      </c>
      <c r="O6" s="218" t="s">
        <v>266</v>
      </c>
      <c r="P6" s="221"/>
      <c r="Q6" s="218"/>
      <c r="R6" s="221"/>
      <c r="S6" s="222" t="s">
        <v>269</v>
      </c>
      <c r="T6" s="222" t="s">
        <v>444</v>
      </c>
      <c r="U6" s="222"/>
      <c r="V6" s="228" t="s">
        <v>445</v>
      </c>
      <c r="W6" s="229" t="s">
        <v>446</v>
      </c>
      <c r="X6" s="219" t="s">
        <v>286</v>
      </c>
      <c r="Y6" s="221" t="s">
        <v>273</v>
      </c>
      <c r="Z6" s="221" t="s">
        <v>447</v>
      </c>
      <c r="AA6" s="221" t="s">
        <v>448</v>
      </c>
      <c r="AB6" s="224">
        <v>2.06</v>
      </c>
      <c r="AC6" s="225">
        <f t="shared" si="1"/>
        <v>2224.8</v>
      </c>
      <c r="AD6" s="225">
        <f t="shared" si="2"/>
        <v>17242.2</v>
      </c>
      <c r="AE6" s="230">
        <v>45908</v>
      </c>
      <c r="AF6" s="220"/>
      <c r="AG6" s="218"/>
      <c r="AH6" s="220" t="s">
        <v>275</v>
      </c>
      <c r="AI6" s="220"/>
      <c r="AJ6" s="221" t="s">
        <v>449</v>
      </c>
      <c r="AK6" s="225">
        <f t="shared" si="3"/>
        <v>5273.1</v>
      </c>
      <c r="AL6" s="231">
        <v>45908</v>
      </c>
    </row>
    <row r="7" s="217" customFormat="1" customHeight="1" spans="1:38">
      <c r="A7" s="218">
        <v>45754</v>
      </c>
      <c r="B7" s="220" t="s">
        <v>108</v>
      </c>
      <c r="C7" s="219" t="s">
        <v>302</v>
      </c>
      <c r="D7" s="218" t="s">
        <v>441</v>
      </c>
      <c r="E7" s="220" t="s">
        <v>454</v>
      </c>
      <c r="F7" s="219" t="s">
        <v>455</v>
      </c>
      <c r="G7" s="219" t="s">
        <v>4</v>
      </c>
      <c r="H7" s="219" t="str">
        <f>VLOOKUP(G7,名称!A:B,2,0)</f>
        <v>恐龙公园</v>
      </c>
      <c r="I7" s="219">
        <v>1080</v>
      </c>
      <c r="J7" s="219">
        <v>12</v>
      </c>
      <c r="K7" s="220">
        <f t="shared" si="0"/>
        <v>90</v>
      </c>
      <c r="L7" s="218">
        <v>45937</v>
      </c>
      <c r="M7" s="218">
        <v>45930</v>
      </c>
      <c r="N7" s="227">
        <v>45926</v>
      </c>
      <c r="O7" s="218" t="s">
        <v>266</v>
      </c>
      <c r="P7" s="221"/>
      <c r="Q7" s="218"/>
      <c r="R7" s="221"/>
      <c r="S7" s="222" t="s">
        <v>269</v>
      </c>
      <c r="T7" s="222" t="s">
        <v>444</v>
      </c>
      <c r="U7" s="222"/>
      <c r="V7" s="228" t="s">
        <v>445</v>
      </c>
      <c r="W7" s="229" t="s">
        <v>446</v>
      </c>
      <c r="X7" s="219" t="s">
        <v>286</v>
      </c>
      <c r="Y7" s="221" t="s">
        <v>273</v>
      </c>
      <c r="Z7" s="221" t="s">
        <v>447</v>
      </c>
      <c r="AA7" s="221" t="s">
        <v>448</v>
      </c>
      <c r="AB7" s="224">
        <v>2.06</v>
      </c>
      <c r="AC7" s="225">
        <f t="shared" si="1"/>
        <v>2224.8</v>
      </c>
      <c r="AD7" s="225">
        <f t="shared" si="2"/>
        <v>17242.2</v>
      </c>
      <c r="AE7" s="230">
        <v>45908</v>
      </c>
      <c r="AF7" s="220"/>
      <c r="AG7" s="218"/>
      <c r="AH7" s="220" t="s">
        <v>275</v>
      </c>
      <c r="AI7" s="220"/>
      <c r="AJ7" s="221" t="s">
        <v>449</v>
      </c>
      <c r="AK7" s="225">
        <f t="shared" si="3"/>
        <v>5273.1</v>
      </c>
      <c r="AL7" s="231">
        <v>45908</v>
      </c>
    </row>
    <row r="8" s="217" customFormat="1" customHeight="1" spans="1:38">
      <c r="A8" s="218">
        <v>45754</v>
      </c>
      <c r="B8" s="220" t="s">
        <v>108</v>
      </c>
      <c r="C8" s="219" t="s">
        <v>302</v>
      </c>
      <c r="D8" s="218" t="s">
        <v>441</v>
      </c>
      <c r="E8" s="220" t="s">
        <v>456</v>
      </c>
      <c r="F8" s="219" t="s">
        <v>457</v>
      </c>
      <c r="G8" s="219" t="s">
        <v>4</v>
      </c>
      <c r="H8" s="219" t="str">
        <f>VLOOKUP(G8,名称!A:B,2,0)</f>
        <v>恐龙公园</v>
      </c>
      <c r="I8" s="219">
        <v>1080</v>
      </c>
      <c r="J8" s="219">
        <v>12</v>
      </c>
      <c r="K8" s="220">
        <f t="shared" si="0"/>
        <v>90</v>
      </c>
      <c r="L8" s="218">
        <v>45937</v>
      </c>
      <c r="M8" s="218">
        <v>45930</v>
      </c>
      <c r="N8" s="227">
        <v>45926</v>
      </c>
      <c r="O8" s="218" t="s">
        <v>266</v>
      </c>
      <c r="P8" s="221"/>
      <c r="Q8" s="218"/>
      <c r="R8" s="221"/>
      <c r="S8" s="222" t="s">
        <v>269</v>
      </c>
      <c r="T8" s="222" t="s">
        <v>444</v>
      </c>
      <c r="U8" s="222"/>
      <c r="V8" s="228" t="s">
        <v>445</v>
      </c>
      <c r="W8" s="229" t="s">
        <v>446</v>
      </c>
      <c r="X8" s="219" t="s">
        <v>286</v>
      </c>
      <c r="Y8" s="221" t="s">
        <v>273</v>
      </c>
      <c r="Z8" s="221" t="s">
        <v>447</v>
      </c>
      <c r="AA8" s="221" t="s">
        <v>448</v>
      </c>
      <c r="AB8" s="224">
        <v>2.06</v>
      </c>
      <c r="AC8" s="225">
        <f t="shared" si="1"/>
        <v>2224.8</v>
      </c>
      <c r="AD8" s="225">
        <f t="shared" si="2"/>
        <v>17242.2</v>
      </c>
      <c r="AE8" s="230">
        <v>45908</v>
      </c>
      <c r="AF8" s="220"/>
      <c r="AG8" s="218"/>
      <c r="AH8" s="220" t="s">
        <v>275</v>
      </c>
      <c r="AI8" s="220"/>
      <c r="AJ8" s="221" t="s">
        <v>449</v>
      </c>
      <c r="AK8" s="225">
        <f t="shared" si="3"/>
        <v>5273.1</v>
      </c>
      <c r="AL8" s="231">
        <v>45908</v>
      </c>
    </row>
    <row r="9" s="217" customFormat="1" customHeight="1" spans="1:38">
      <c r="A9" s="218">
        <v>45754</v>
      </c>
      <c r="B9" s="220" t="s">
        <v>108</v>
      </c>
      <c r="C9" s="219" t="s">
        <v>302</v>
      </c>
      <c r="D9" s="218" t="s">
        <v>441</v>
      </c>
      <c r="E9" s="220" t="s">
        <v>458</v>
      </c>
      <c r="F9" s="219" t="s">
        <v>459</v>
      </c>
      <c r="G9" s="219" t="s">
        <v>4</v>
      </c>
      <c r="H9" s="219" t="str">
        <f>VLOOKUP(G9,名称!A:B,2,0)</f>
        <v>恐龙公园</v>
      </c>
      <c r="I9" s="219">
        <v>2160</v>
      </c>
      <c r="J9" s="219">
        <v>12</v>
      </c>
      <c r="K9" s="220">
        <f t="shared" si="0"/>
        <v>180</v>
      </c>
      <c r="L9" s="218">
        <v>45945</v>
      </c>
      <c r="M9" s="227">
        <v>45943</v>
      </c>
      <c r="N9" s="227">
        <v>45943</v>
      </c>
      <c r="O9" s="218" t="s">
        <v>266</v>
      </c>
      <c r="P9" s="221"/>
      <c r="Q9" s="218"/>
      <c r="R9" s="221"/>
      <c r="S9" s="222" t="s">
        <v>269</v>
      </c>
      <c r="T9" s="222" t="s">
        <v>444</v>
      </c>
      <c r="U9" s="222"/>
      <c r="V9" s="228" t="s">
        <v>445</v>
      </c>
      <c r="W9" s="229" t="s">
        <v>446</v>
      </c>
      <c r="X9" s="219" t="s">
        <v>286</v>
      </c>
      <c r="Y9" s="221" t="s">
        <v>273</v>
      </c>
      <c r="Z9" s="221" t="s">
        <v>447</v>
      </c>
      <c r="AA9" s="221" t="s">
        <v>448</v>
      </c>
      <c r="AB9" s="224">
        <v>2.06</v>
      </c>
      <c r="AC9" s="225">
        <f t="shared" si="1"/>
        <v>4449.6</v>
      </c>
      <c r="AD9" s="225">
        <f t="shared" si="2"/>
        <v>34484.4</v>
      </c>
      <c r="AE9" s="230">
        <v>45908</v>
      </c>
      <c r="AF9" s="220"/>
      <c r="AG9" s="218"/>
      <c r="AH9" s="220" t="s">
        <v>275</v>
      </c>
      <c r="AI9" s="220"/>
      <c r="AJ9" s="221" t="s">
        <v>449</v>
      </c>
      <c r="AK9" s="225">
        <f t="shared" si="3"/>
        <v>10546.2</v>
      </c>
      <c r="AL9" s="231">
        <v>45908</v>
      </c>
    </row>
    <row r="10" s="217" customFormat="1" customHeight="1" spans="1:38">
      <c r="A10" s="218">
        <v>45754</v>
      </c>
      <c r="B10" s="220" t="s">
        <v>108</v>
      </c>
      <c r="C10" s="219" t="s">
        <v>302</v>
      </c>
      <c r="D10" s="218" t="s">
        <v>441</v>
      </c>
      <c r="E10" s="220" t="s">
        <v>460</v>
      </c>
      <c r="F10" s="219" t="s">
        <v>461</v>
      </c>
      <c r="G10" s="219" t="s">
        <v>4</v>
      </c>
      <c r="H10" s="219" t="str">
        <f>VLOOKUP(G10,名称!A:B,2,0)</f>
        <v>恐龙公园</v>
      </c>
      <c r="I10" s="219">
        <v>2160</v>
      </c>
      <c r="J10" s="219">
        <v>12</v>
      </c>
      <c r="K10" s="220">
        <f t="shared" si="0"/>
        <v>180</v>
      </c>
      <c r="L10" s="218">
        <v>45950</v>
      </c>
      <c r="M10" s="218">
        <v>45943</v>
      </c>
      <c r="N10" s="227">
        <v>45943</v>
      </c>
      <c r="O10" s="218" t="s">
        <v>266</v>
      </c>
      <c r="P10" s="221"/>
      <c r="Q10" s="218"/>
      <c r="R10" s="221"/>
      <c r="S10" s="222" t="s">
        <v>269</v>
      </c>
      <c r="T10" s="222" t="s">
        <v>444</v>
      </c>
      <c r="U10" s="222"/>
      <c r="V10" s="228" t="s">
        <v>445</v>
      </c>
      <c r="W10" s="229" t="s">
        <v>446</v>
      </c>
      <c r="X10" s="219" t="s">
        <v>286</v>
      </c>
      <c r="Y10" s="221" t="s">
        <v>273</v>
      </c>
      <c r="Z10" s="221" t="s">
        <v>447</v>
      </c>
      <c r="AA10" s="221" t="s">
        <v>448</v>
      </c>
      <c r="AB10" s="224">
        <v>2.06</v>
      </c>
      <c r="AC10" s="225">
        <f t="shared" si="1"/>
        <v>4449.6</v>
      </c>
      <c r="AD10" s="225">
        <f t="shared" si="2"/>
        <v>34484.4</v>
      </c>
      <c r="AE10" s="230">
        <v>45908</v>
      </c>
      <c r="AF10" s="220"/>
      <c r="AG10" s="218"/>
      <c r="AH10" s="220" t="s">
        <v>275</v>
      </c>
      <c r="AI10" s="220"/>
      <c r="AJ10" s="221" t="s">
        <v>449</v>
      </c>
      <c r="AK10" s="225">
        <f t="shared" si="3"/>
        <v>10546.2</v>
      </c>
      <c r="AL10" s="231">
        <v>45908</v>
      </c>
    </row>
    <row r="11" s="217" customFormat="1" customHeight="1" spans="1:38">
      <c r="A11" s="218">
        <v>45754</v>
      </c>
      <c r="B11" s="220" t="s">
        <v>108</v>
      </c>
      <c r="C11" s="219" t="s">
        <v>302</v>
      </c>
      <c r="D11" s="218" t="s">
        <v>441</v>
      </c>
      <c r="E11" s="220" t="s">
        <v>462</v>
      </c>
      <c r="F11" s="219" t="s">
        <v>463</v>
      </c>
      <c r="G11" s="219" t="s">
        <v>4</v>
      </c>
      <c r="H11" s="219" t="str">
        <f>VLOOKUP(G11,名称!A:B,2,0)</f>
        <v>恐龙公园</v>
      </c>
      <c r="I11" s="219">
        <v>1080</v>
      </c>
      <c r="J11" s="219">
        <v>12</v>
      </c>
      <c r="K11" s="220">
        <f t="shared" si="0"/>
        <v>90</v>
      </c>
      <c r="L11" s="218">
        <v>45950</v>
      </c>
      <c r="M11" s="218">
        <v>45943</v>
      </c>
      <c r="N11" s="227">
        <v>45943</v>
      </c>
      <c r="O11" s="218" t="s">
        <v>266</v>
      </c>
      <c r="P11" s="221"/>
      <c r="Q11" s="218"/>
      <c r="R11" s="221"/>
      <c r="S11" s="222" t="s">
        <v>269</v>
      </c>
      <c r="T11" s="222" t="s">
        <v>444</v>
      </c>
      <c r="U11" s="222"/>
      <c r="V11" s="228" t="s">
        <v>445</v>
      </c>
      <c r="W11" s="229" t="s">
        <v>446</v>
      </c>
      <c r="X11" s="219" t="s">
        <v>286</v>
      </c>
      <c r="Y11" s="221" t="s">
        <v>273</v>
      </c>
      <c r="Z11" s="221" t="s">
        <v>447</v>
      </c>
      <c r="AA11" s="221" t="s">
        <v>448</v>
      </c>
      <c r="AB11" s="224">
        <v>2.06</v>
      </c>
      <c r="AC11" s="225">
        <f t="shared" si="1"/>
        <v>2224.8</v>
      </c>
      <c r="AD11" s="225">
        <f t="shared" si="2"/>
        <v>17242.2</v>
      </c>
      <c r="AE11" s="230">
        <v>45908</v>
      </c>
      <c r="AF11" s="220"/>
      <c r="AG11" s="218"/>
      <c r="AH11" s="220" t="s">
        <v>275</v>
      </c>
      <c r="AI11" s="220"/>
      <c r="AJ11" s="221" t="s">
        <v>449</v>
      </c>
      <c r="AK11" s="225">
        <f t="shared" si="3"/>
        <v>5273.1</v>
      </c>
      <c r="AL11" s="231">
        <v>45908</v>
      </c>
    </row>
    <row r="12" s="217" customFormat="1" customHeight="1" spans="1:38">
      <c r="A12" s="218">
        <v>45857</v>
      </c>
      <c r="B12" s="220" t="s">
        <v>108</v>
      </c>
      <c r="C12" s="219" t="s">
        <v>302</v>
      </c>
      <c r="D12" s="218" t="s">
        <v>441</v>
      </c>
      <c r="E12" s="394" t="s">
        <v>464</v>
      </c>
      <c r="F12" s="219" t="s">
        <v>465</v>
      </c>
      <c r="G12" s="219" t="s">
        <v>4</v>
      </c>
      <c r="H12" s="219" t="s">
        <v>68</v>
      </c>
      <c r="I12" s="219">
        <v>5400</v>
      </c>
      <c r="J12" s="219">
        <v>12</v>
      </c>
      <c r="K12" s="220">
        <v>450</v>
      </c>
      <c r="L12" s="218">
        <v>45915</v>
      </c>
      <c r="M12" s="218">
        <v>45915</v>
      </c>
      <c r="N12" s="227">
        <v>45915</v>
      </c>
      <c r="O12" s="218" t="s">
        <v>266</v>
      </c>
      <c r="P12" s="221"/>
      <c r="Q12" s="218"/>
      <c r="R12" s="221"/>
      <c r="S12" s="222" t="s">
        <v>269</v>
      </c>
      <c r="T12" s="222" t="s">
        <v>444</v>
      </c>
      <c r="U12" s="222"/>
      <c r="V12" s="228" t="s">
        <v>445</v>
      </c>
      <c r="W12" s="229" t="s">
        <v>446</v>
      </c>
      <c r="X12" s="219" t="s">
        <v>286</v>
      </c>
      <c r="Y12" s="221" t="s">
        <v>273</v>
      </c>
      <c r="Z12" s="221" t="s">
        <v>466</v>
      </c>
      <c r="AA12" s="221" t="s">
        <v>448</v>
      </c>
      <c r="AB12" s="224">
        <v>2.06</v>
      </c>
      <c r="AC12" s="225">
        <v>11124</v>
      </c>
      <c r="AD12" s="225">
        <v>86211</v>
      </c>
      <c r="AE12" s="230">
        <v>45908</v>
      </c>
      <c r="AF12" s="220"/>
      <c r="AG12" s="218"/>
      <c r="AH12" s="220" t="s">
        <v>275</v>
      </c>
      <c r="AI12" s="220"/>
      <c r="AJ12" s="221" t="s">
        <v>467</v>
      </c>
      <c r="AK12" s="225">
        <v>26365.5</v>
      </c>
      <c r="AL12" s="231">
        <v>45908</v>
      </c>
    </row>
    <row r="13" s="217" customFormat="1" customHeight="1" spans="1:38">
      <c r="A13" s="218">
        <v>45857</v>
      </c>
      <c r="B13" s="220" t="s">
        <v>108</v>
      </c>
      <c r="C13" s="219" t="s">
        <v>302</v>
      </c>
      <c r="D13" s="218" t="s">
        <v>441</v>
      </c>
      <c r="E13" s="394" t="s">
        <v>468</v>
      </c>
      <c r="F13" s="219" t="s">
        <v>469</v>
      </c>
      <c r="G13" s="219" t="s">
        <v>4</v>
      </c>
      <c r="H13" s="219" t="s">
        <v>68</v>
      </c>
      <c r="I13" s="219">
        <v>8640</v>
      </c>
      <c r="J13" s="219">
        <v>12</v>
      </c>
      <c r="K13" s="220">
        <v>720</v>
      </c>
      <c r="L13" s="218">
        <v>45915</v>
      </c>
      <c r="M13" s="218">
        <v>45915</v>
      </c>
      <c r="N13" s="227">
        <v>45915</v>
      </c>
      <c r="O13" s="218" t="s">
        <v>266</v>
      </c>
      <c r="P13" s="221"/>
      <c r="Q13" s="218"/>
      <c r="R13" s="221"/>
      <c r="S13" s="222" t="s">
        <v>269</v>
      </c>
      <c r="T13" s="222" t="s">
        <v>444</v>
      </c>
      <c r="U13" s="222"/>
      <c r="V13" s="228" t="s">
        <v>445</v>
      </c>
      <c r="W13" s="229" t="s">
        <v>446</v>
      </c>
      <c r="X13" s="219" t="s">
        <v>286</v>
      </c>
      <c r="Y13" s="221" t="s">
        <v>273</v>
      </c>
      <c r="Z13" s="221" t="s">
        <v>466</v>
      </c>
      <c r="AA13" s="221" t="s">
        <v>448</v>
      </c>
      <c r="AB13" s="224">
        <v>2.06</v>
      </c>
      <c r="AC13" s="225">
        <v>17798.4</v>
      </c>
      <c r="AD13" s="225">
        <v>137937.6</v>
      </c>
      <c r="AE13" s="230">
        <v>45908</v>
      </c>
      <c r="AF13" s="220"/>
      <c r="AG13" s="218"/>
      <c r="AH13" s="220" t="s">
        <v>275</v>
      </c>
      <c r="AI13" s="220"/>
      <c r="AJ13" s="221" t="s">
        <v>467</v>
      </c>
      <c r="AK13" s="225">
        <v>42184.8</v>
      </c>
      <c r="AL13" s="231">
        <v>45908</v>
      </c>
    </row>
    <row r="14" s="217" customFormat="1" customHeight="1" spans="1:38">
      <c r="A14" s="218">
        <v>45857</v>
      </c>
      <c r="B14" s="220" t="s">
        <v>108</v>
      </c>
      <c r="C14" s="219" t="s">
        <v>302</v>
      </c>
      <c r="D14" s="218" t="s">
        <v>441</v>
      </c>
      <c r="E14" s="394" t="s">
        <v>470</v>
      </c>
      <c r="F14" s="219" t="s">
        <v>471</v>
      </c>
      <c r="G14" s="219" t="s">
        <v>4</v>
      </c>
      <c r="H14" s="219" t="s">
        <v>68</v>
      </c>
      <c r="I14" s="219">
        <v>5400</v>
      </c>
      <c r="J14" s="219">
        <v>12</v>
      </c>
      <c r="K14" s="220">
        <v>450</v>
      </c>
      <c r="L14" s="218">
        <v>45915</v>
      </c>
      <c r="M14" s="218">
        <v>45915</v>
      </c>
      <c r="N14" s="227">
        <v>45915</v>
      </c>
      <c r="O14" s="218" t="s">
        <v>266</v>
      </c>
      <c r="P14" s="221"/>
      <c r="Q14" s="218"/>
      <c r="R14" s="221"/>
      <c r="S14" s="222" t="s">
        <v>269</v>
      </c>
      <c r="T14" s="222" t="s">
        <v>444</v>
      </c>
      <c r="U14" s="222"/>
      <c r="V14" s="228" t="s">
        <v>445</v>
      </c>
      <c r="W14" s="229" t="s">
        <v>446</v>
      </c>
      <c r="X14" s="219" t="s">
        <v>286</v>
      </c>
      <c r="Y14" s="221" t="s">
        <v>273</v>
      </c>
      <c r="Z14" s="221" t="s">
        <v>466</v>
      </c>
      <c r="AA14" s="221" t="s">
        <v>448</v>
      </c>
      <c r="AB14" s="224">
        <v>2.06</v>
      </c>
      <c r="AC14" s="225">
        <v>11124</v>
      </c>
      <c r="AD14" s="225">
        <v>86211</v>
      </c>
      <c r="AE14" s="230">
        <v>45908</v>
      </c>
      <c r="AF14" s="220"/>
      <c r="AG14" s="218"/>
      <c r="AH14" s="220" t="s">
        <v>275</v>
      </c>
      <c r="AI14" s="220"/>
      <c r="AJ14" s="221" t="s">
        <v>467</v>
      </c>
      <c r="AK14" s="225">
        <v>26365.5</v>
      </c>
      <c r="AL14" s="231">
        <v>45908</v>
      </c>
    </row>
    <row r="15" s="217" customFormat="1" customHeight="1" spans="1:38">
      <c r="A15" s="218">
        <v>45857</v>
      </c>
      <c r="B15" s="220" t="s">
        <v>108</v>
      </c>
      <c r="C15" s="219" t="s">
        <v>302</v>
      </c>
      <c r="D15" s="218" t="s">
        <v>441</v>
      </c>
      <c r="E15" s="394" t="s">
        <v>472</v>
      </c>
      <c r="F15" s="219" t="s">
        <v>473</v>
      </c>
      <c r="G15" s="219" t="s">
        <v>4</v>
      </c>
      <c r="H15" s="219" t="s">
        <v>68</v>
      </c>
      <c r="I15" s="219">
        <v>5400</v>
      </c>
      <c r="J15" s="219">
        <v>12</v>
      </c>
      <c r="K15" s="220">
        <v>450</v>
      </c>
      <c r="L15" s="218">
        <v>45926</v>
      </c>
      <c r="M15" s="218">
        <v>45926</v>
      </c>
      <c r="N15" s="227">
        <v>45926</v>
      </c>
      <c r="O15" s="218" t="s">
        <v>266</v>
      </c>
      <c r="P15" s="221"/>
      <c r="Q15" s="218"/>
      <c r="R15" s="221"/>
      <c r="S15" s="222" t="s">
        <v>269</v>
      </c>
      <c r="T15" s="222" t="s">
        <v>444</v>
      </c>
      <c r="U15" s="222"/>
      <c r="V15" s="228" t="s">
        <v>445</v>
      </c>
      <c r="W15" s="229" t="s">
        <v>446</v>
      </c>
      <c r="X15" s="219" t="s">
        <v>286</v>
      </c>
      <c r="Y15" s="221" t="s">
        <v>273</v>
      </c>
      <c r="Z15" s="221" t="s">
        <v>466</v>
      </c>
      <c r="AA15" s="221" t="s">
        <v>448</v>
      </c>
      <c r="AB15" s="224">
        <v>2.06</v>
      </c>
      <c r="AC15" s="225">
        <v>11124</v>
      </c>
      <c r="AD15" s="225">
        <v>86211</v>
      </c>
      <c r="AE15" s="230">
        <v>45908</v>
      </c>
      <c r="AF15" s="220"/>
      <c r="AG15" s="218"/>
      <c r="AH15" s="220" t="s">
        <v>275</v>
      </c>
      <c r="AI15" s="220"/>
      <c r="AJ15" s="221" t="s">
        <v>467</v>
      </c>
      <c r="AK15" s="225">
        <v>26365.5</v>
      </c>
      <c r="AL15" s="231">
        <v>45908</v>
      </c>
    </row>
    <row r="16" s="217" customFormat="1" customHeight="1" spans="1:38">
      <c r="A16" s="218">
        <v>45857</v>
      </c>
      <c r="B16" s="220" t="s">
        <v>108</v>
      </c>
      <c r="C16" s="219" t="s">
        <v>302</v>
      </c>
      <c r="D16" s="218" t="s">
        <v>441</v>
      </c>
      <c r="E16" s="394" t="s">
        <v>474</v>
      </c>
      <c r="F16" s="219" t="s">
        <v>475</v>
      </c>
      <c r="G16" s="219" t="s">
        <v>4</v>
      </c>
      <c r="H16" s="219" t="s">
        <v>68</v>
      </c>
      <c r="I16" s="219">
        <v>3240</v>
      </c>
      <c r="J16" s="219">
        <v>12</v>
      </c>
      <c r="K16" s="220">
        <v>270</v>
      </c>
      <c r="L16" s="218">
        <v>45926</v>
      </c>
      <c r="M16" s="218">
        <v>45926</v>
      </c>
      <c r="N16" s="227">
        <v>45926</v>
      </c>
      <c r="O16" s="218" t="s">
        <v>266</v>
      </c>
      <c r="P16" s="221"/>
      <c r="Q16" s="218"/>
      <c r="R16" s="221"/>
      <c r="S16" s="222" t="s">
        <v>269</v>
      </c>
      <c r="T16" s="222" t="s">
        <v>444</v>
      </c>
      <c r="U16" s="222"/>
      <c r="V16" s="228" t="s">
        <v>445</v>
      </c>
      <c r="W16" s="229" t="s">
        <v>446</v>
      </c>
      <c r="X16" s="219" t="s">
        <v>286</v>
      </c>
      <c r="Y16" s="221" t="s">
        <v>273</v>
      </c>
      <c r="Z16" s="221" t="s">
        <v>466</v>
      </c>
      <c r="AA16" s="221" t="s">
        <v>448</v>
      </c>
      <c r="AB16" s="224">
        <v>2.06</v>
      </c>
      <c r="AC16" s="225">
        <v>6674.4</v>
      </c>
      <c r="AD16" s="225">
        <v>51726.6</v>
      </c>
      <c r="AE16" s="230">
        <v>45908</v>
      </c>
      <c r="AF16" s="220"/>
      <c r="AG16" s="218"/>
      <c r="AH16" s="220" t="s">
        <v>275</v>
      </c>
      <c r="AI16" s="220"/>
      <c r="AJ16" s="221" t="s">
        <v>467</v>
      </c>
      <c r="AK16" s="225">
        <v>15819.3</v>
      </c>
      <c r="AL16" s="231">
        <v>45908</v>
      </c>
    </row>
    <row r="17" s="217" customFormat="1" customHeight="1" spans="1:38">
      <c r="A17" s="218">
        <v>45857</v>
      </c>
      <c r="B17" s="220" t="s">
        <v>108</v>
      </c>
      <c r="C17" s="219" t="s">
        <v>302</v>
      </c>
      <c r="D17" s="218" t="s">
        <v>441</v>
      </c>
      <c r="E17" s="394" t="s">
        <v>476</v>
      </c>
      <c r="F17" s="219" t="s">
        <v>477</v>
      </c>
      <c r="G17" s="219" t="s">
        <v>4</v>
      </c>
      <c r="H17" s="219" t="s">
        <v>68</v>
      </c>
      <c r="I17" s="219">
        <v>7560</v>
      </c>
      <c r="J17" s="219">
        <v>12</v>
      </c>
      <c r="K17" s="220">
        <v>630</v>
      </c>
      <c r="L17" s="218">
        <v>45926</v>
      </c>
      <c r="M17" s="218">
        <v>45926</v>
      </c>
      <c r="N17" s="227">
        <v>45926</v>
      </c>
      <c r="O17" s="218" t="s">
        <v>266</v>
      </c>
      <c r="P17" s="221"/>
      <c r="Q17" s="218"/>
      <c r="R17" s="221"/>
      <c r="S17" s="222" t="s">
        <v>269</v>
      </c>
      <c r="T17" s="222" t="s">
        <v>444</v>
      </c>
      <c r="U17" s="222"/>
      <c r="V17" s="228" t="s">
        <v>445</v>
      </c>
      <c r="W17" s="229" t="s">
        <v>446</v>
      </c>
      <c r="X17" s="219" t="s">
        <v>286</v>
      </c>
      <c r="Y17" s="221" t="s">
        <v>273</v>
      </c>
      <c r="Z17" s="221" t="s">
        <v>466</v>
      </c>
      <c r="AA17" s="221" t="s">
        <v>448</v>
      </c>
      <c r="AB17" s="224">
        <v>2.06</v>
      </c>
      <c r="AC17" s="225">
        <v>15573.6</v>
      </c>
      <c r="AD17" s="225">
        <v>120695.4</v>
      </c>
      <c r="AE17" s="230">
        <v>45908</v>
      </c>
      <c r="AF17" s="220"/>
      <c r="AG17" s="218"/>
      <c r="AH17" s="220" t="s">
        <v>275</v>
      </c>
      <c r="AI17" s="220"/>
      <c r="AJ17" s="221" t="s">
        <v>467</v>
      </c>
      <c r="AK17" s="225">
        <v>36911.7</v>
      </c>
      <c r="AL17" s="231">
        <v>45908</v>
      </c>
    </row>
    <row r="18" s="217" customFormat="1" customHeight="1" spans="1:38">
      <c r="A18" s="218">
        <v>45857</v>
      </c>
      <c r="B18" s="220" t="s">
        <v>108</v>
      </c>
      <c r="C18" s="219" t="s">
        <v>302</v>
      </c>
      <c r="D18" s="218" t="s">
        <v>441</v>
      </c>
      <c r="E18" s="394" t="s">
        <v>478</v>
      </c>
      <c r="F18" s="219" t="s">
        <v>479</v>
      </c>
      <c r="G18" s="219" t="s">
        <v>4</v>
      </c>
      <c r="H18" s="219" t="s">
        <v>68</v>
      </c>
      <c r="I18" s="219">
        <v>1080</v>
      </c>
      <c r="J18" s="219">
        <v>12</v>
      </c>
      <c r="K18" s="220">
        <v>90</v>
      </c>
      <c r="L18" s="218">
        <v>45926</v>
      </c>
      <c r="M18" s="218">
        <v>45926</v>
      </c>
      <c r="N18" s="227">
        <v>45926</v>
      </c>
      <c r="O18" s="218" t="s">
        <v>266</v>
      </c>
      <c r="P18" s="221"/>
      <c r="Q18" s="218"/>
      <c r="R18" s="221"/>
      <c r="S18" s="222" t="s">
        <v>269</v>
      </c>
      <c r="T18" s="222" t="s">
        <v>444</v>
      </c>
      <c r="U18" s="222"/>
      <c r="V18" s="228" t="s">
        <v>445</v>
      </c>
      <c r="W18" s="229" t="s">
        <v>446</v>
      </c>
      <c r="X18" s="219" t="s">
        <v>286</v>
      </c>
      <c r="Y18" s="221" t="s">
        <v>273</v>
      </c>
      <c r="Z18" s="221" t="s">
        <v>466</v>
      </c>
      <c r="AA18" s="221" t="s">
        <v>448</v>
      </c>
      <c r="AB18" s="224">
        <v>2.06</v>
      </c>
      <c r="AC18" s="225">
        <v>2224.8</v>
      </c>
      <c r="AD18" s="225">
        <v>17242.2</v>
      </c>
      <c r="AE18" s="230">
        <v>45908</v>
      </c>
      <c r="AF18" s="220"/>
      <c r="AG18" s="218"/>
      <c r="AH18" s="220" t="s">
        <v>275</v>
      </c>
      <c r="AI18" s="220"/>
      <c r="AJ18" s="221" t="s">
        <v>467</v>
      </c>
      <c r="AK18" s="225">
        <v>5273.1</v>
      </c>
      <c r="AL18" s="231">
        <v>45908</v>
      </c>
    </row>
    <row r="19" s="217" customFormat="1" customHeight="1" spans="1:38">
      <c r="A19" s="218">
        <v>45857</v>
      </c>
      <c r="B19" s="220" t="s">
        <v>108</v>
      </c>
      <c r="C19" s="219" t="s">
        <v>302</v>
      </c>
      <c r="D19" s="218" t="s">
        <v>441</v>
      </c>
      <c r="E19" s="394" t="s">
        <v>480</v>
      </c>
      <c r="F19" s="219" t="s">
        <v>481</v>
      </c>
      <c r="G19" s="219" t="s">
        <v>4</v>
      </c>
      <c r="H19" s="219" t="s">
        <v>68</v>
      </c>
      <c r="I19" s="219">
        <v>1080</v>
      </c>
      <c r="J19" s="219">
        <v>12</v>
      </c>
      <c r="K19" s="220">
        <v>90</v>
      </c>
      <c r="L19" s="218">
        <v>45926</v>
      </c>
      <c r="M19" s="218">
        <v>45926</v>
      </c>
      <c r="N19" s="227">
        <v>45926</v>
      </c>
      <c r="O19" s="218" t="s">
        <v>266</v>
      </c>
      <c r="P19" s="221"/>
      <c r="Q19" s="218"/>
      <c r="R19" s="221"/>
      <c r="S19" s="222" t="s">
        <v>269</v>
      </c>
      <c r="T19" s="222" t="s">
        <v>444</v>
      </c>
      <c r="U19" s="222"/>
      <c r="V19" s="228" t="s">
        <v>445</v>
      </c>
      <c r="W19" s="229" t="s">
        <v>446</v>
      </c>
      <c r="X19" s="219" t="s">
        <v>286</v>
      </c>
      <c r="Y19" s="221" t="s">
        <v>273</v>
      </c>
      <c r="Z19" s="221" t="s">
        <v>466</v>
      </c>
      <c r="AA19" s="221" t="s">
        <v>448</v>
      </c>
      <c r="AB19" s="224">
        <v>2.06</v>
      </c>
      <c r="AC19" s="225">
        <v>2224.8</v>
      </c>
      <c r="AD19" s="225">
        <v>17242.2</v>
      </c>
      <c r="AE19" s="230">
        <v>45908</v>
      </c>
      <c r="AF19" s="220"/>
      <c r="AG19" s="218"/>
      <c r="AH19" s="220" t="s">
        <v>275</v>
      </c>
      <c r="AI19" s="220"/>
      <c r="AJ19" s="221" t="s">
        <v>467</v>
      </c>
      <c r="AK19" s="225">
        <v>5273.1</v>
      </c>
      <c r="AL19" s="231">
        <v>45908</v>
      </c>
    </row>
    <row r="20" s="217" customFormat="1" customHeight="1" spans="1:38">
      <c r="A20" s="218">
        <v>45857</v>
      </c>
      <c r="B20" s="220" t="s">
        <v>108</v>
      </c>
      <c r="C20" s="219" t="s">
        <v>302</v>
      </c>
      <c r="D20" s="218" t="s">
        <v>441</v>
      </c>
      <c r="E20" s="394" t="s">
        <v>482</v>
      </c>
      <c r="F20" s="219" t="s">
        <v>483</v>
      </c>
      <c r="G20" s="219" t="s">
        <v>4</v>
      </c>
      <c r="H20" s="219" t="s">
        <v>68</v>
      </c>
      <c r="I20" s="219">
        <v>1080</v>
      </c>
      <c r="J20" s="219">
        <v>12</v>
      </c>
      <c r="K20" s="220">
        <v>90</v>
      </c>
      <c r="L20" s="218">
        <v>45926</v>
      </c>
      <c r="M20" s="218">
        <v>45926</v>
      </c>
      <c r="N20" s="227">
        <v>45926</v>
      </c>
      <c r="O20" s="218" t="s">
        <v>266</v>
      </c>
      <c r="P20" s="221"/>
      <c r="Q20" s="218"/>
      <c r="R20" s="221"/>
      <c r="S20" s="222" t="s">
        <v>269</v>
      </c>
      <c r="T20" s="222" t="s">
        <v>444</v>
      </c>
      <c r="U20" s="222"/>
      <c r="V20" s="228" t="s">
        <v>445</v>
      </c>
      <c r="W20" s="229" t="s">
        <v>446</v>
      </c>
      <c r="X20" s="219" t="s">
        <v>286</v>
      </c>
      <c r="Y20" s="221" t="s">
        <v>273</v>
      </c>
      <c r="Z20" s="221" t="s">
        <v>466</v>
      </c>
      <c r="AA20" s="221" t="s">
        <v>448</v>
      </c>
      <c r="AB20" s="224">
        <v>2.06</v>
      </c>
      <c r="AC20" s="225">
        <v>2224.8</v>
      </c>
      <c r="AD20" s="225">
        <v>17242.2</v>
      </c>
      <c r="AE20" s="230">
        <v>45908</v>
      </c>
      <c r="AF20" s="220"/>
      <c r="AG20" s="218"/>
      <c r="AH20" s="220" t="s">
        <v>275</v>
      </c>
      <c r="AI20" s="220"/>
      <c r="AJ20" s="221" t="s">
        <v>467</v>
      </c>
      <c r="AK20" s="225">
        <v>5273.1</v>
      </c>
      <c r="AL20" s="231">
        <v>45908</v>
      </c>
    </row>
    <row r="21" s="217" customFormat="1" customHeight="1" spans="1:38">
      <c r="A21" s="218">
        <v>45939</v>
      </c>
      <c r="B21" s="220" t="s">
        <v>108</v>
      </c>
      <c r="C21" s="219" t="s">
        <v>302</v>
      </c>
      <c r="D21" s="218" t="s">
        <v>441</v>
      </c>
      <c r="E21" s="220" t="s">
        <v>484</v>
      </c>
      <c r="F21" s="219" t="s">
        <v>485</v>
      </c>
      <c r="G21" s="219" t="s">
        <v>4</v>
      </c>
      <c r="H21" s="219" t="s">
        <v>68</v>
      </c>
      <c r="I21" s="219">
        <v>1080</v>
      </c>
      <c r="J21" s="219">
        <v>12</v>
      </c>
      <c r="K21" s="220">
        <f>I21/J21</f>
        <v>90</v>
      </c>
      <c r="L21" s="218">
        <v>45975</v>
      </c>
      <c r="M21" s="218">
        <f>L21-7</f>
        <v>45968</v>
      </c>
      <c r="N21" s="227">
        <v>45971</v>
      </c>
      <c r="O21" s="218" t="s">
        <v>266</v>
      </c>
      <c r="P21" s="221" t="s">
        <v>269</v>
      </c>
      <c r="Q21" s="218"/>
      <c r="R21" s="221"/>
      <c r="S21" s="222" t="s">
        <v>269</v>
      </c>
      <c r="T21" s="222" t="s">
        <v>486</v>
      </c>
      <c r="U21" s="222"/>
      <c r="V21" s="228" t="s">
        <v>445</v>
      </c>
      <c r="W21" s="229" t="s">
        <v>446</v>
      </c>
      <c r="X21" s="219" t="s">
        <v>286</v>
      </c>
      <c r="Y21" s="221" t="s">
        <v>273</v>
      </c>
      <c r="Z21" s="221" t="s">
        <v>466</v>
      </c>
      <c r="AA21" s="221" t="s">
        <v>487</v>
      </c>
      <c r="AB21" s="224">
        <v>2.06</v>
      </c>
      <c r="AC21" s="225">
        <f t="shared" ref="AC21:AC26" si="4">AB21*I21</f>
        <v>2224.8</v>
      </c>
      <c r="AD21" s="225">
        <f t="shared" ref="AD21:AD26" si="5">AC21*7.75</f>
        <v>17242.2</v>
      </c>
      <c r="AE21" s="230">
        <v>45981</v>
      </c>
      <c r="AF21" s="220"/>
      <c r="AG21" s="218"/>
      <c r="AH21" s="220"/>
      <c r="AI21" s="220"/>
      <c r="AJ21" s="221" t="s">
        <v>488</v>
      </c>
      <c r="AK21" s="225">
        <f>(AC21*7.75)*0.3</f>
        <v>5172.66</v>
      </c>
      <c r="AL21" s="231">
        <v>45972</v>
      </c>
    </row>
    <row r="22" s="217" customFormat="1" customHeight="1" spans="1:38">
      <c r="A22" s="218">
        <v>45951</v>
      </c>
      <c r="B22" s="220" t="s">
        <v>108</v>
      </c>
      <c r="C22" s="219" t="s">
        <v>302</v>
      </c>
      <c r="D22" s="218" t="s">
        <v>441</v>
      </c>
      <c r="E22" s="220" t="s">
        <v>489</v>
      </c>
      <c r="F22" s="219" t="s">
        <v>490</v>
      </c>
      <c r="G22" s="219" t="s">
        <v>4</v>
      </c>
      <c r="H22" s="219" t="s">
        <v>68</v>
      </c>
      <c r="I22" s="219">
        <v>4320</v>
      </c>
      <c r="J22" s="219">
        <v>12</v>
      </c>
      <c r="K22" s="220">
        <f>I22/J22</f>
        <v>360</v>
      </c>
      <c r="L22" s="218">
        <v>45986</v>
      </c>
      <c r="M22" s="218">
        <v>45982</v>
      </c>
      <c r="N22" s="227">
        <v>45982</v>
      </c>
      <c r="O22" s="218"/>
      <c r="P22" s="221"/>
      <c r="Q22" s="218"/>
      <c r="R22" s="221"/>
      <c r="S22" s="222"/>
      <c r="T22" s="222" t="s">
        <v>486</v>
      </c>
      <c r="U22" s="222"/>
      <c r="V22" s="228" t="s">
        <v>445</v>
      </c>
      <c r="W22" s="229" t="s">
        <v>446</v>
      </c>
      <c r="X22" s="219" t="s">
        <v>286</v>
      </c>
      <c r="Y22" s="221" t="s">
        <v>273</v>
      </c>
      <c r="Z22" s="221" t="s">
        <v>466</v>
      </c>
      <c r="AA22" s="221" t="s">
        <v>491</v>
      </c>
      <c r="AB22" s="224">
        <v>2.06</v>
      </c>
      <c r="AC22" s="225">
        <f t="shared" si="4"/>
        <v>8899.2</v>
      </c>
      <c r="AD22" s="225">
        <f t="shared" si="5"/>
        <v>68968.8</v>
      </c>
      <c r="AE22" s="230">
        <v>45981</v>
      </c>
      <c r="AF22" s="220"/>
      <c r="AG22" s="218"/>
      <c r="AH22" s="220"/>
      <c r="AI22" s="220"/>
      <c r="AJ22" s="221" t="s">
        <v>492</v>
      </c>
      <c r="AK22" s="225"/>
      <c r="AL22" s="231">
        <v>45972</v>
      </c>
    </row>
    <row r="23" s="114" customFormat="1" customHeight="1" spans="1:38">
      <c r="A23" s="123"/>
      <c r="B23" s="87"/>
      <c r="C23" s="87"/>
      <c r="D23" s="87"/>
      <c r="E23" s="82"/>
      <c r="F23" s="87"/>
      <c r="G23" s="87"/>
      <c r="H23" s="87"/>
      <c r="I23" s="87"/>
      <c r="J23" s="87"/>
      <c r="K23" s="82"/>
      <c r="L23" s="123"/>
      <c r="M23" s="123"/>
      <c r="N23" s="132"/>
      <c r="O23" s="132"/>
      <c r="P23" s="126"/>
      <c r="Q23" s="123"/>
      <c r="R23" s="126"/>
      <c r="S23" s="133"/>
      <c r="T23" s="133"/>
      <c r="U23" s="133"/>
      <c r="V23" s="133"/>
      <c r="W23" s="127"/>
      <c r="X23" s="87"/>
      <c r="Y23" s="126"/>
      <c r="Z23" s="126"/>
      <c r="AA23" s="126"/>
      <c r="AB23" s="128"/>
      <c r="AC23" s="129">
        <f t="shared" si="4"/>
        <v>0</v>
      </c>
      <c r="AD23" s="129">
        <f t="shared" si="5"/>
        <v>0</v>
      </c>
      <c r="AE23" s="130"/>
      <c r="AF23" s="87"/>
      <c r="AG23" s="123"/>
      <c r="AH23" s="82"/>
      <c r="AI23" s="82"/>
      <c r="AJ23" s="82"/>
      <c r="AK23" s="129"/>
      <c r="AL23" s="82"/>
    </row>
    <row r="24" s="114" customFormat="1" customHeight="1" spans="1:38">
      <c r="A24" s="123"/>
      <c r="B24" s="87"/>
      <c r="C24" s="87"/>
      <c r="D24" s="87"/>
      <c r="E24" s="82"/>
      <c r="F24" s="87"/>
      <c r="G24" s="87"/>
      <c r="H24" s="87"/>
      <c r="I24" s="87"/>
      <c r="J24" s="87"/>
      <c r="K24" s="82"/>
      <c r="L24" s="123"/>
      <c r="M24" s="123"/>
      <c r="N24" s="132"/>
      <c r="O24" s="132"/>
      <c r="P24" s="126"/>
      <c r="Q24" s="123"/>
      <c r="R24" s="126"/>
      <c r="S24" s="133"/>
      <c r="T24" s="133"/>
      <c r="U24" s="133"/>
      <c r="V24" s="133"/>
      <c r="W24" s="127"/>
      <c r="X24" s="87"/>
      <c r="Y24" s="126"/>
      <c r="Z24" s="126"/>
      <c r="AA24" s="126"/>
      <c r="AB24" s="128"/>
      <c r="AC24" s="129">
        <f t="shared" si="4"/>
        <v>0</v>
      </c>
      <c r="AD24" s="129">
        <f t="shared" si="5"/>
        <v>0</v>
      </c>
      <c r="AE24" s="130"/>
      <c r="AF24" s="87"/>
      <c r="AG24" s="123"/>
      <c r="AH24" s="82"/>
      <c r="AI24" s="82"/>
      <c r="AJ24" s="82"/>
      <c r="AK24" s="129"/>
      <c r="AL24" s="82"/>
    </row>
    <row r="25" s="114" customFormat="1" customHeight="1" spans="1:38">
      <c r="A25" s="123"/>
      <c r="B25" s="87"/>
      <c r="C25" s="87"/>
      <c r="D25" s="87"/>
      <c r="E25" s="82"/>
      <c r="F25" s="87"/>
      <c r="G25" s="87"/>
      <c r="H25" s="87"/>
      <c r="I25" s="87"/>
      <c r="J25" s="87"/>
      <c r="K25" s="82"/>
      <c r="L25" s="123"/>
      <c r="M25" s="123"/>
      <c r="N25" s="132"/>
      <c r="O25" s="132"/>
      <c r="P25" s="126"/>
      <c r="Q25" s="123"/>
      <c r="R25" s="126"/>
      <c r="S25" s="133"/>
      <c r="T25" s="133"/>
      <c r="U25" s="133"/>
      <c r="V25" s="133"/>
      <c r="W25" s="127"/>
      <c r="X25" s="87"/>
      <c r="Y25" s="126"/>
      <c r="Z25" s="126"/>
      <c r="AA25" s="126"/>
      <c r="AB25" s="128"/>
      <c r="AC25" s="129">
        <f t="shared" si="4"/>
        <v>0</v>
      </c>
      <c r="AD25" s="129">
        <f t="shared" si="5"/>
        <v>0</v>
      </c>
      <c r="AE25" s="130"/>
      <c r="AF25" s="87"/>
      <c r="AG25" s="123"/>
      <c r="AH25" s="82"/>
      <c r="AI25" s="82"/>
      <c r="AJ25" s="82"/>
      <c r="AK25" s="129"/>
      <c r="AL25" s="82"/>
    </row>
    <row r="26" s="114" customFormat="1" customHeight="1" spans="1:38">
      <c r="A26" s="123"/>
      <c r="B26" s="87"/>
      <c r="C26" s="87"/>
      <c r="D26" s="87"/>
      <c r="E26" s="82"/>
      <c r="F26" s="87"/>
      <c r="G26" s="87"/>
      <c r="H26" s="87"/>
      <c r="I26" s="87"/>
      <c r="J26" s="87"/>
      <c r="K26" s="82"/>
      <c r="L26" s="123"/>
      <c r="M26" s="123"/>
      <c r="N26" s="132"/>
      <c r="O26" s="132"/>
      <c r="P26" s="126"/>
      <c r="Q26" s="123"/>
      <c r="R26" s="126"/>
      <c r="S26" s="133"/>
      <c r="T26" s="133"/>
      <c r="U26" s="133"/>
      <c r="V26" s="133"/>
      <c r="W26" s="127"/>
      <c r="X26" s="87"/>
      <c r="Y26" s="126"/>
      <c r="Z26" s="126"/>
      <c r="AA26" s="126"/>
      <c r="AB26" s="128"/>
      <c r="AC26" s="129">
        <f t="shared" si="4"/>
        <v>0</v>
      </c>
      <c r="AD26" s="129">
        <f t="shared" si="5"/>
        <v>0</v>
      </c>
      <c r="AE26" s="130"/>
      <c r="AF26" s="87"/>
      <c r="AG26" s="123"/>
      <c r="AH26" s="82"/>
      <c r="AI26" s="82"/>
      <c r="AJ26" s="82"/>
      <c r="AK26" s="129"/>
      <c r="AL26" s="82"/>
    </row>
    <row r="27" s="116" customFormat="1" customHeight="1" spans="1:38">
      <c r="A27" s="123"/>
      <c r="B27" s="82"/>
      <c r="C27" s="82"/>
      <c r="D27" s="87"/>
      <c r="E27" s="82"/>
      <c r="F27" s="82"/>
      <c r="G27" s="82"/>
      <c r="H27" s="82"/>
      <c r="I27" s="82">
        <f>SUM(I2:I26)</f>
        <v>63084</v>
      </c>
      <c r="J27" s="82"/>
      <c r="K27" s="82"/>
      <c r="L27" s="123"/>
      <c r="M27" s="82"/>
      <c r="N27" s="126"/>
      <c r="O27" s="126"/>
      <c r="P27" s="126"/>
      <c r="Q27" s="123"/>
      <c r="R27" s="126"/>
      <c r="S27" s="126"/>
      <c r="T27" s="126"/>
      <c r="U27" s="126"/>
      <c r="V27" s="126"/>
      <c r="W27" s="127"/>
      <c r="X27" s="126"/>
      <c r="Y27" s="126"/>
      <c r="Z27" s="126"/>
      <c r="AA27" s="126"/>
      <c r="AB27" s="128"/>
      <c r="AC27" s="129">
        <f>SUM(AC2:AC26)</f>
        <v>149582.88</v>
      </c>
      <c r="AD27" s="129">
        <f>SUM(AD2:AD26)</f>
        <v>1159267.32</v>
      </c>
      <c r="AE27" s="130"/>
      <c r="AF27" s="82"/>
      <c r="AG27" s="123"/>
      <c r="AH27" s="82"/>
      <c r="AI27" s="82"/>
      <c r="AJ27" s="82"/>
      <c r="AK27" s="129"/>
      <c r="AL27" s="82"/>
    </row>
    <row r="30" customHeight="1" spans="1:38">
      <c r="R30" s="232"/>
    </row>
  </sheetData>
  <sheetProtection formatCells="0" formatColumns="0" formatRows="0" insertRows="0" insertColumns="0" insertHyperlinks="0" deleteColumns="0" deleteRows="0" sort="0" autoFilter="0" pivotTables="0"/>
  <protectedRanges>
    <protectedRange sqref="$A1:$XFD1048576" name="Range1"/>
  </protectedRanges>
  <autoFilter xmlns:etc="http://www.wps.cn/officeDocument/2017/etCustomData" ref="A1:AK27" etc:filterBottomFollowUsedRange="0">
    <extLst/>
  </autoFilter>
  <conditionalFormatting sqref="D2">
    <cfRule type="containsText" dxfId="1" priority="17" operator="between" text="Wal-Mart">
      <formula>NOT(ISERROR(SEARCH("Wal-Mart",D2)))</formula>
    </cfRule>
  </conditionalFormatting>
  <conditionalFormatting sqref="D3">
    <cfRule type="containsText" dxfId="1" priority="16" operator="between" text="Wal-Mart">
      <formula>NOT(ISERROR(SEARCH("Wal-Mart",D3)))</formula>
    </cfRule>
  </conditionalFormatting>
  <conditionalFormatting sqref="D12">
    <cfRule type="containsText" dxfId="1" priority="14" operator="between" text="Wal-Mart">
      <formula>NOT(ISERROR(SEARCH("Wal-Mart",D12)))</formula>
    </cfRule>
  </conditionalFormatting>
  <conditionalFormatting sqref="D13">
    <cfRule type="containsText" dxfId="1" priority="13" operator="between" text="Wal-Mart">
      <formula>NOT(ISERROR(SEARCH("Wal-Mart",D13)))</formula>
    </cfRule>
  </conditionalFormatting>
  <conditionalFormatting sqref="D14">
    <cfRule type="containsText" dxfId="1" priority="12" operator="between" text="Wal-Mart">
      <formula>NOT(ISERROR(SEARCH("Wal-Mart",D14)))</formula>
    </cfRule>
  </conditionalFormatting>
  <conditionalFormatting sqref="D15">
    <cfRule type="containsText" dxfId="1" priority="11" operator="between" text="Wal-Mart">
      <formula>NOT(ISERROR(SEARCH("Wal-Mart",D15)))</formula>
    </cfRule>
  </conditionalFormatting>
  <conditionalFormatting sqref="D16">
    <cfRule type="containsText" dxfId="1" priority="10" operator="between" text="Wal-Mart">
      <formula>NOT(ISERROR(SEARCH("Wal-Mart",D16)))</formula>
    </cfRule>
  </conditionalFormatting>
  <conditionalFormatting sqref="D17">
    <cfRule type="containsText" dxfId="1" priority="9" operator="between" text="Wal-Mart">
      <formula>NOT(ISERROR(SEARCH("Wal-Mart",D17)))</formula>
    </cfRule>
  </conditionalFormatting>
  <conditionalFormatting sqref="D18">
    <cfRule type="containsText" dxfId="1" priority="8" operator="between" text="Wal-Mart">
      <formula>NOT(ISERROR(SEARCH("Wal-Mart",D18)))</formula>
    </cfRule>
  </conditionalFormatting>
  <conditionalFormatting sqref="D19">
    <cfRule type="containsText" dxfId="1" priority="7" operator="between" text="Wal-Mart">
      <formula>NOT(ISERROR(SEARCH("Wal-Mart",D19)))</formula>
    </cfRule>
  </conditionalFormatting>
  <conditionalFormatting sqref="D20">
    <cfRule type="containsText" dxfId="1" priority="6" operator="between" text="Wal-Mart">
      <formula>NOT(ISERROR(SEARCH("Wal-Mart",D20)))</formula>
    </cfRule>
  </conditionalFormatting>
  <conditionalFormatting sqref="D21">
    <cfRule type="containsText" dxfId="1" priority="2" operator="between" text="Wal-Mart">
      <formula>NOT(ISERROR(SEARCH("Wal-Mart",D21)))</formula>
    </cfRule>
  </conditionalFormatting>
  <conditionalFormatting sqref="D22">
    <cfRule type="containsText" dxfId="1" priority="1" operator="between" text="Wal-Mart">
      <formula>NOT(ISERROR(SEARCH("Wal-Mart",D22)))</formula>
    </cfRule>
  </conditionalFormatting>
  <conditionalFormatting sqref="D23">
    <cfRule type="containsText" dxfId="1" priority="25" operator="between" text="Wal-Mart">
      <formula>NOT(ISERROR(SEARCH("Wal-Mart",D23)))</formula>
    </cfRule>
  </conditionalFormatting>
  <conditionalFormatting sqref="D24">
    <cfRule type="containsText" dxfId="1" priority="26" operator="between" text="Wal-Mart">
      <formula>NOT(ISERROR(SEARCH("Wal-Mart",D24)))</formula>
    </cfRule>
  </conditionalFormatting>
  <conditionalFormatting sqref="D25">
    <cfRule type="containsText" dxfId="1" priority="31" operator="between" text="Wal-Mart">
      <formula>NOT(ISERROR(SEARCH("Wal-Mart",D25)))</formula>
    </cfRule>
  </conditionalFormatting>
  <conditionalFormatting sqref="D4:D11">
    <cfRule type="containsText" dxfId="1" priority="15" operator="between" text="Wal-Mart">
      <formula>NOT(ISERROR(SEARCH("Wal-Mart",D4)))</formula>
    </cfRule>
  </conditionalFormatting>
  <conditionalFormatting sqref="D1 D26:D1048576">
    <cfRule type="containsText" dxfId="1" priority="34" operator="between" text="Wal-Mart">
      <formula>NOT(ISERROR(SEARCH("Wal-Mart",D1)))</formula>
    </cfRule>
  </conditionalFormatting>
  <pageMargins left="0.0784722222222222" right="0.0784722222222222" top="0.236111111111111" bottom="0.156944444444444" header="0.156944444444444" footer="0.118055555555556"/>
  <pageSetup paperSize="9" scale="50"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1"/>
  <sheetViews>
    <sheetView topLeftCell="P4" workbookViewId="0">
      <selection activeCell="A102" sqref="$A102:$XFD107"/>
    </sheetView>
  </sheetViews>
  <sheetFormatPr defaultColWidth="8.8" defaultRowHeight="14.25"/>
  <cols>
    <col min="2" max="2" width="18.8" customWidth="1"/>
    <col min="4" max="4" width="12.7" customWidth="1"/>
    <col min="5" max="5" width="13.5" customWidth="1"/>
    <col min="7" max="7" width="17.1" customWidth="1"/>
    <col min="8" max="8" width="12.7" customWidth="1"/>
    <col min="11" max="11" width="14.2" customWidth="1"/>
    <col min="12" max="12" width="11.4" customWidth="1"/>
    <col min="13" max="13" width="12" customWidth="1"/>
    <col min="15" max="15" width="12.2" customWidth="1"/>
    <col min="16" max="16" width="8.875"/>
  </cols>
  <sheetData>
    <row r="1" ht="42" customHeight="1" spans="1:16">
      <c r="A1" s="174" t="s">
        <v>58</v>
      </c>
      <c r="B1" s="175" t="s">
        <v>238</v>
      </c>
      <c r="C1" s="175" t="s">
        <v>493</v>
      </c>
      <c r="D1" s="175" t="s">
        <v>494</v>
      </c>
      <c r="E1" s="175" t="s">
        <v>495</v>
      </c>
      <c r="F1" s="174" t="s">
        <v>496</v>
      </c>
      <c r="G1" s="174" t="s">
        <v>497</v>
      </c>
      <c r="H1" s="174" t="s">
        <v>498</v>
      </c>
      <c r="I1" s="174" t="s">
        <v>499</v>
      </c>
      <c r="J1" s="174" t="s">
        <v>500</v>
      </c>
      <c r="K1" s="174" t="s">
        <v>501</v>
      </c>
      <c r="L1" s="174" t="s">
        <v>502</v>
      </c>
      <c r="M1" s="174" t="s">
        <v>503</v>
      </c>
      <c r="N1" s="176"/>
      <c r="O1" s="176"/>
      <c r="P1" s="176"/>
    </row>
    <row r="2" ht="25" customHeight="1" spans="1:16">
      <c r="A2" s="87" t="s">
        <v>6</v>
      </c>
      <c r="B2" s="87" t="s">
        <v>504</v>
      </c>
      <c r="C2" s="87" t="s">
        <v>505</v>
      </c>
      <c r="D2" s="87">
        <v>3.55</v>
      </c>
      <c r="E2" s="177">
        <f>2.2+4.5*0.3</f>
        <v>3.55</v>
      </c>
      <c r="F2" s="178">
        <f>9996-504</f>
        <v>9492</v>
      </c>
      <c r="G2" s="177">
        <f t="shared" ref="G2:G8" si="0">E2*F2-I2</f>
        <v>20882.4</v>
      </c>
      <c r="H2" s="177">
        <f t="shared" ref="H2:L2" si="1">G2+G3</f>
        <v>98516</v>
      </c>
      <c r="I2" s="179">
        <f>F2*4.5*0.3</f>
        <v>12814.2</v>
      </c>
      <c r="J2" s="179">
        <f t="shared" si="1"/>
        <v>60453</v>
      </c>
      <c r="K2" s="177">
        <f>4.5*F2-I2-G2</f>
        <v>9017.4</v>
      </c>
      <c r="L2" s="180">
        <f t="shared" si="1"/>
        <v>42541</v>
      </c>
      <c r="M2" s="82">
        <v>6006</v>
      </c>
      <c r="N2" s="114">
        <f>3990-1002-1002-498-574-914</f>
        <v>0</v>
      </c>
      <c r="O2" s="114">
        <f>4.52-E2</f>
        <v>0.97</v>
      </c>
      <c r="P2" s="114">
        <f>4.5*0.3</f>
        <v>1.35</v>
      </c>
    </row>
    <row r="3" ht="25" customHeight="1" spans="1:16">
      <c r="A3" s="87" t="s">
        <v>6</v>
      </c>
      <c r="B3" s="87" t="s">
        <v>504</v>
      </c>
      <c r="C3" s="87" t="s">
        <v>505</v>
      </c>
      <c r="D3" s="87">
        <v>3.55</v>
      </c>
      <c r="E3" s="177">
        <f>2.2+4.5*0.3</f>
        <v>3.55</v>
      </c>
      <c r="F3" s="178">
        <v>35288</v>
      </c>
      <c r="G3" s="177">
        <f t="shared" si="0"/>
        <v>77633.6</v>
      </c>
      <c r="H3" s="177"/>
      <c r="I3" s="179">
        <f>F3*4.5*0.3</f>
        <v>47638.8</v>
      </c>
      <c r="J3" s="179"/>
      <c r="K3" s="177">
        <f>4.5*F3-I3-G3</f>
        <v>33523.6</v>
      </c>
      <c r="L3" s="181"/>
      <c r="M3" s="82">
        <v>0</v>
      </c>
      <c r="N3" s="114">
        <f>34784-386-198-942-432-924</f>
        <v>31902</v>
      </c>
      <c r="O3" s="114">
        <f>4.52-E3</f>
        <v>0.97</v>
      </c>
      <c r="P3" s="114">
        <f>4.5*0.3</f>
        <v>1.35</v>
      </c>
    </row>
    <row r="4" ht="25" customHeight="1" spans="1:16">
      <c r="A4" s="182" t="s">
        <v>9</v>
      </c>
      <c r="B4" s="182" t="s">
        <v>506</v>
      </c>
      <c r="C4" s="87" t="s">
        <v>505</v>
      </c>
      <c r="D4" s="87">
        <v>3.91</v>
      </c>
      <c r="E4" s="177">
        <v>3.66</v>
      </c>
      <c r="F4" s="87">
        <v>11922</v>
      </c>
      <c r="G4" s="177">
        <f t="shared" si="0"/>
        <v>27468.29</v>
      </c>
      <c r="H4" s="177">
        <f t="shared" ref="H4:L4" si="2">G4+G5</f>
        <v>43300.95</v>
      </c>
      <c r="I4" s="179">
        <f>F4*4.52*0.3</f>
        <v>16166.23</v>
      </c>
      <c r="J4" s="179">
        <f t="shared" si="2"/>
        <v>22951.65</v>
      </c>
      <c r="K4" s="177">
        <f>4.52*F4-I4-G4</f>
        <v>10252.92</v>
      </c>
      <c r="L4" s="180">
        <f t="shared" si="2"/>
        <v>10252.92</v>
      </c>
      <c r="M4" s="82">
        <v>0</v>
      </c>
      <c r="N4" s="114"/>
      <c r="O4" s="114">
        <f>4.52-E4</f>
        <v>0.859999999999999</v>
      </c>
      <c r="P4" s="114">
        <f>4.52*0.3</f>
        <v>1.356</v>
      </c>
    </row>
    <row r="5" ht="25" customHeight="1" spans="1:16">
      <c r="A5" s="183"/>
      <c r="B5" s="183"/>
      <c r="C5" s="87" t="s">
        <v>507</v>
      </c>
      <c r="D5" s="87">
        <v>3.91</v>
      </c>
      <c r="E5" s="177">
        <f>4.52</f>
        <v>4.52</v>
      </c>
      <c r="F5" s="87">
        <v>5004</v>
      </c>
      <c r="G5" s="177">
        <f t="shared" si="0"/>
        <v>15832.66</v>
      </c>
      <c r="H5" s="177"/>
      <c r="I5" s="179">
        <f>F5*4.52*0.3</f>
        <v>6785.42</v>
      </c>
      <c r="J5" s="179"/>
      <c r="K5" s="177">
        <f>4.52*F5-I5-G5</f>
        <v>0</v>
      </c>
      <c r="L5" s="181"/>
      <c r="M5" s="82">
        <v>0</v>
      </c>
      <c r="N5" s="114"/>
      <c r="O5" s="114">
        <f>4.52-E5</f>
        <v>0</v>
      </c>
      <c r="P5" s="114">
        <f>4.52*0.3</f>
        <v>1.356</v>
      </c>
    </row>
    <row r="6" ht="25" customHeight="1" spans="1:16">
      <c r="A6" s="87" t="s">
        <v>4</v>
      </c>
      <c r="B6" s="87" t="s">
        <v>508</v>
      </c>
      <c r="C6" s="87" t="s">
        <v>507</v>
      </c>
      <c r="D6" s="87">
        <v>0</v>
      </c>
      <c r="E6" s="177">
        <f t="shared" ref="E6:E8" si="3">2.1</f>
        <v>2.1</v>
      </c>
      <c r="F6" s="87">
        <v>15924</v>
      </c>
      <c r="G6" s="177">
        <f t="shared" si="0"/>
        <v>23408.28</v>
      </c>
      <c r="H6" s="180">
        <f>G6+G7+G8</f>
        <v>70224.84</v>
      </c>
      <c r="I6" s="179">
        <f>F6*2.1*0.3</f>
        <v>10032.12</v>
      </c>
      <c r="J6" s="184">
        <v>30096.36</v>
      </c>
      <c r="K6" s="177">
        <f t="shared" ref="K6:K8" si="4">E6*F6-I6-G6</f>
        <v>0</v>
      </c>
      <c r="L6" s="180">
        <f>K6+K7+K8</f>
        <v>0</v>
      </c>
      <c r="M6" s="185">
        <v>540</v>
      </c>
      <c r="N6" s="114">
        <f>F6-(540+3024+132+144+504)/3</f>
        <v>14476</v>
      </c>
      <c r="O6" s="114">
        <f>2.1-E6</f>
        <v>0</v>
      </c>
      <c r="P6" s="114">
        <f>2.1*0.3</f>
        <v>0.63</v>
      </c>
    </row>
    <row r="7" ht="25" customHeight="1" spans="1:16">
      <c r="A7" s="87" t="s">
        <v>4</v>
      </c>
      <c r="B7" s="87" t="s">
        <v>509</v>
      </c>
      <c r="C7" s="87" t="s">
        <v>507</v>
      </c>
      <c r="D7" s="87">
        <v>0</v>
      </c>
      <c r="E7" s="177">
        <f t="shared" si="3"/>
        <v>2.1</v>
      </c>
      <c r="F7" s="87">
        <v>15924</v>
      </c>
      <c r="G7" s="177">
        <f t="shared" si="0"/>
        <v>23408.28</v>
      </c>
      <c r="H7" s="186"/>
      <c r="I7" s="179">
        <f>F7*2.1*0.3</f>
        <v>10032.12</v>
      </c>
      <c r="J7" s="187"/>
      <c r="K7" s="177">
        <f t="shared" si="4"/>
        <v>0</v>
      </c>
      <c r="L7" s="186"/>
      <c r="M7" s="188"/>
      <c r="N7" s="114">
        <f>F7-(540+3024+132+144+504)/3</f>
        <v>14476</v>
      </c>
      <c r="O7" s="114">
        <f>2.1-E7</f>
        <v>0</v>
      </c>
      <c r="P7" s="114">
        <f>2.1*0.3</f>
        <v>0.63</v>
      </c>
    </row>
    <row r="8" ht="25" customHeight="1" spans="1:16">
      <c r="A8" s="87" t="s">
        <v>4</v>
      </c>
      <c r="B8" s="87" t="s">
        <v>510</v>
      </c>
      <c r="C8" s="87" t="s">
        <v>507</v>
      </c>
      <c r="D8" s="87">
        <v>0</v>
      </c>
      <c r="E8" s="177">
        <f t="shared" si="3"/>
        <v>2.1</v>
      </c>
      <c r="F8" s="87">
        <v>15924</v>
      </c>
      <c r="G8" s="177">
        <f t="shared" si="0"/>
        <v>23408.28</v>
      </c>
      <c r="H8" s="181"/>
      <c r="I8" s="179">
        <f t="shared" ref="I6:I8" si="5">F8*2.1*0.3</f>
        <v>10032.12</v>
      </c>
      <c r="J8" s="189"/>
      <c r="K8" s="177">
        <f t="shared" si="4"/>
        <v>0</v>
      </c>
      <c r="L8" s="181"/>
      <c r="M8" s="190"/>
      <c r="N8" s="114">
        <f>F8-(540+3024+132+144+504)/3</f>
        <v>14476</v>
      </c>
      <c r="O8" s="114">
        <f>2.1-E8</f>
        <v>0</v>
      </c>
      <c r="P8" s="114">
        <f>2.1*0.3</f>
        <v>0.63</v>
      </c>
    </row>
    <row r="9" ht="25" customHeight="1" spans="1:16">
      <c r="A9" s="82"/>
      <c r="B9" s="82"/>
      <c r="C9" s="82"/>
      <c r="D9" s="82"/>
      <c r="E9" s="174" t="s">
        <v>511</v>
      </c>
      <c r="F9" s="174">
        <f>SUM(F2:F8)</f>
        <v>109478</v>
      </c>
      <c r="G9" s="191">
        <f t="shared" ref="F9:L9" si="6">SUM(G2:G8)</f>
        <v>212041.79</v>
      </c>
      <c r="H9" s="191">
        <f t="shared" si="6"/>
        <v>212041.79</v>
      </c>
      <c r="I9" s="191">
        <f t="shared" si="6"/>
        <v>113501.01</v>
      </c>
      <c r="J9" s="191">
        <f t="shared" si="6"/>
        <v>113501.01</v>
      </c>
      <c r="K9" s="191">
        <f t="shared" si="6"/>
        <v>52793.92</v>
      </c>
      <c r="L9" s="191">
        <f t="shared" si="6"/>
        <v>52793.92</v>
      </c>
      <c r="M9" s="82"/>
      <c r="N9" s="114"/>
      <c r="O9" s="114"/>
      <c r="P9" s="114"/>
    </row>
    <row r="10" spans="1:16">
      <c r="A10" s="116"/>
      <c r="B10" s="192"/>
      <c r="C10" s="192"/>
      <c r="D10" s="192"/>
      <c r="E10" s="192"/>
      <c r="F10" s="114"/>
      <c r="G10" s="116"/>
      <c r="H10" s="116"/>
      <c r="I10" s="116"/>
      <c r="J10" s="116"/>
      <c r="K10" s="116"/>
      <c r="L10" s="116"/>
      <c r="M10" s="116"/>
      <c r="N10" s="116"/>
      <c r="O10" s="116"/>
      <c r="P10" s="116"/>
    </row>
    <row r="11" spans="1:16">
      <c r="A11" s="116"/>
      <c r="B11" s="116"/>
      <c r="C11" s="116"/>
      <c r="D11" s="116"/>
      <c r="E11" s="116"/>
      <c r="F11" s="116"/>
      <c r="G11" s="116"/>
      <c r="H11" s="116"/>
      <c r="I11" s="116"/>
      <c r="J11" s="116"/>
      <c r="K11" s="116"/>
      <c r="L11" s="116"/>
      <c r="M11" s="116"/>
      <c r="N11" s="116"/>
      <c r="O11" s="116"/>
      <c r="P11" s="116"/>
    </row>
    <row r="12" ht="75" spans="1:16">
      <c r="A12" s="193" t="s">
        <v>56</v>
      </c>
      <c r="B12" s="193" t="s">
        <v>512</v>
      </c>
      <c r="C12" s="193" t="s">
        <v>513</v>
      </c>
      <c r="D12" s="193" t="s">
        <v>514</v>
      </c>
      <c r="E12" s="193" t="s">
        <v>515</v>
      </c>
      <c r="F12" s="193" t="s">
        <v>516</v>
      </c>
      <c r="G12" s="193" t="s">
        <v>517</v>
      </c>
      <c r="H12" s="193" t="s">
        <v>518</v>
      </c>
      <c r="I12" s="193" t="s">
        <v>519</v>
      </c>
      <c r="J12" s="193" t="s">
        <v>520</v>
      </c>
      <c r="K12" s="194" t="s">
        <v>521</v>
      </c>
      <c r="L12" s="193" t="s">
        <v>522</v>
      </c>
      <c r="M12" s="195" t="s">
        <v>523</v>
      </c>
      <c r="N12" s="196" t="s">
        <v>524</v>
      </c>
      <c r="O12" s="196" t="s">
        <v>525</v>
      </c>
      <c r="P12" s="114" t="s">
        <v>526</v>
      </c>
    </row>
    <row r="13" ht="30" customHeight="1" spans="1:16">
      <c r="A13" s="197" t="s">
        <v>527</v>
      </c>
      <c r="B13" s="197">
        <v>240059</v>
      </c>
      <c r="C13" s="197" t="s">
        <v>6</v>
      </c>
      <c r="D13" s="197" t="s">
        <v>504</v>
      </c>
      <c r="E13" s="197" t="s">
        <v>528</v>
      </c>
      <c r="F13" s="198">
        <v>45362</v>
      </c>
      <c r="G13" s="197">
        <v>300000</v>
      </c>
      <c r="H13" s="199">
        <v>3.55</v>
      </c>
      <c r="I13" s="197">
        <v>9996</v>
      </c>
      <c r="J13" s="199">
        <f t="shared" ref="J13:J19" si="7">H13*I13</f>
        <v>35485.8</v>
      </c>
      <c r="K13" s="200">
        <v>2448.9</v>
      </c>
      <c r="L13" s="201">
        <v>9996</v>
      </c>
      <c r="M13" s="202">
        <v>44780</v>
      </c>
      <c r="N13" s="203">
        <v>60453</v>
      </c>
      <c r="O13" s="204">
        <f>(J13+J14)-N13</f>
        <v>98516</v>
      </c>
      <c r="P13" s="205" t="s">
        <v>529</v>
      </c>
    </row>
    <row r="14" ht="30" customHeight="1" spans="1:16">
      <c r="A14" s="197" t="s">
        <v>527</v>
      </c>
      <c r="B14" s="197">
        <v>240090</v>
      </c>
      <c r="C14" s="197" t="s">
        <v>6</v>
      </c>
      <c r="D14" s="197" t="s">
        <v>504</v>
      </c>
      <c r="E14" s="197" t="s">
        <v>528</v>
      </c>
      <c r="F14" s="198">
        <v>45705</v>
      </c>
      <c r="G14" s="197">
        <v>150000</v>
      </c>
      <c r="H14" s="199">
        <v>3.55</v>
      </c>
      <c r="I14" s="197">
        <f>34784</f>
        <v>34784</v>
      </c>
      <c r="J14" s="199">
        <f t="shared" si="7"/>
        <v>123483.2</v>
      </c>
      <c r="K14" s="200">
        <v>58684.5</v>
      </c>
      <c r="L14" s="201">
        <v>37585</v>
      </c>
      <c r="M14" s="202"/>
      <c r="N14" s="206"/>
      <c r="O14" s="206"/>
      <c r="P14" s="207"/>
    </row>
    <row r="15" ht="30" customHeight="1" spans="1:16">
      <c r="A15" s="197" t="s">
        <v>530</v>
      </c>
      <c r="B15" s="197">
        <v>240088</v>
      </c>
      <c r="C15" s="197" t="s">
        <v>9</v>
      </c>
      <c r="D15" s="197" t="s">
        <v>506</v>
      </c>
      <c r="E15" s="197" t="s">
        <v>528</v>
      </c>
      <c r="F15" s="198">
        <v>45715</v>
      </c>
      <c r="G15" s="197">
        <v>45000</v>
      </c>
      <c r="H15" s="199">
        <v>3.66</v>
      </c>
      <c r="I15" s="197">
        <v>11922</v>
      </c>
      <c r="J15" s="199">
        <f t="shared" si="7"/>
        <v>43634.52</v>
      </c>
      <c r="K15" s="200">
        <v>22951.66</v>
      </c>
      <c r="L15" s="201">
        <v>16926</v>
      </c>
      <c r="M15" s="208">
        <v>16926</v>
      </c>
      <c r="N15" s="82">
        <v>22951.66</v>
      </c>
      <c r="O15" s="209">
        <f>(J15+J16)-N15</f>
        <v>43300.94</v>
      </c>
      <c r="P15" s="205">
        <f>ROUND((O15+N15)/M15,2)</f>
        <v>3.91</v>
      </c>
    </row>
    <row r="16" ht="30" customHeight="1" spans="1:16">
      <c r="A16" s="197"/>
      <c r="B16" s="197"/>
      <c r="C16" s="197"/>
      <c r="D16" s="197"/>
      <c r="E16" s="197" t="s">
        <v>531</v>
      </c>
      <c r="F16" s="197"/>
      <c r="G16" s="197"/>
      <c r="H16" s="199">
        <v>4.52</v>
      </c>
      <c r="I16" s="197">
        <v>5004</v>
      </c>
      <c r="J16" s="199">
        <f t="shared" si="7"/>
        <v>22618.08</v>
      </c>
      <c r="K16" s="200"/>
      <c r="L16" s="201"/>
      <c r="M16" s="208"/>
      <c r="N16" s="82"/>
      <c r="O16" s="82"/>
      <c r="P16" s="114"/>
    </row>
    <row r="17" ht="30" customHeight="1" spans="1:16">
      <c r="A17" s="210" t="s">
        <v>532</v>
      </c>
      <c r="B17" s="197">
        <v>240117</v>
      </c>
      <c r="C17" s="197" t="s">
        <v>4</v>
      </c>
      <c r="D17" s="197" t="s">
        <v>508</v>
      </c>
      <c r="E17" s="197" t="s">
        <v>531</v>
      </c>
      <c r="F17" s="198">
        <v>45861</v>
      </c>
      <c r="G17" s="197">
        <v>22128</v>
      </c>
      <c r="H17" s="199">
        <f t="shared" ref="H17:H19" si="8">2.1</f>
        <v>2.1</v>
      </c>
      <c r="I17" s="197">
        <v>15924</v>
      </c>
      <c r="J17" s="199">
        <f t="shared" si="7"/>
        <v>33440.4</v>
      </c>
      <c r="K17" s="201">
        <v>30096.36</v>
      </c>
      <c r="L17" s="201">
        <v>12960</v>
      </c>
      <c r="M17" s="211">
        <v>47772</v>
      </c>
      <c r="N17" s="212">
        <v>30096.36</v>
      </c>
      <c r="O17" s="204">
        <f>(J17+J18+J19)-N17</f>
        <v>70224.84</v>
      </c>
      <c r="P17" s="205">
        <f>(O17+N17)/M17</f>
        <v>2.1</v>
      </c>
    </row>
    <row r="18" ht="30" customHeight="1" spans="1:16">
      <c r="A18" s="210" t="s">
        <v>533</v>
      </c>
      <c r="B18" s="197">
        <v>240117</v>
      </c>
      <c r="C18" s="197" t="s">
        <v>4</v>
      </c>
      <c r="D18" s="197" t="s">
        <v>509</v>
      </c>
      <c r="E18" s="197" t="s">
        <v>531</v>
      </c>
      <c r="F18" s="198">
        <v>45861</v>
      </c>
      <c r="G18" s="197">
        <v>22128</v>
      </c>
      <c r="H18" s="199">
        <f t="shared" si="8"/>
        <v>2.1</v>
      </c>
      <c r="I18" s="197">
        <v>15924</v>
      </c>
      <c r="J18" s="199">
        <f t="shared" si="7"/>
        <v>33440.4</v>
      </c>
      <c r="K18" s="201"/>
      <c r="L18" s="201">
        <v>12960</v>
      </c>
      <c r="M18" s="211"/>
      <c r="N18" s="82"/>
      <c r="O18" s="82"/>
      <c r="P18" s="114"/>
    </row>
    <row r="19" ht="30" customHeight="1" spans="1:16">
      <c r="A19" s="210" t="s">
        <v>534</v>
      </c>
      <c r="B19" s="197">
        <v>240117</v>
      </c>
      <c r="C19" s="197" t="s">
        <v>4</v>
      </c>
      <c r="D19" s="197" t="s">
        <v>510</v>
      </c>
      <c r="E19" s="197" t="s">
        <v>531</v>
      </c>
      <c r="F19" s="198">
        <v>45861</v>
      </c>
      <c r="G19" s="197">
        <v>22128</v>
      </c>
      <c r="H19" s="199">
        <f t="shared" si="8"/>
        <v>2.1</v>
      </c>
      <c r="I19" s="197">
        <v>15924</v>
      </c>
      <c r="J19" s="199">
        <f t="shared" si="7"/>
        <v>33440.4</v>
      </c>
      <c r="K19" s="201"/>
      <c r="L19" s="201">
        <v>12960</v>
      </c>
      <c r="M19" s="211"/>
      <c r="N19" s="82"/>
      <c r="O19" s="82"/>
      <c r="P19" s="114"/>
    </row>
    <row r="20" ht="30" customHeight="1" spans="1:16">
      <c r="A20" s="201"/>
      <c r="B20" s="201"/>
      <c r="C20" s="201"/>
      <c r="D20" s="201"/>
      <c r="E20" s="201"/>
      <c r="F20" s="201"/>
      <c r="G20" s="201"/>
      <c r="H20" s="201"/>
      <c r="I20" s="201">
        <f>SUM(I13:I19)</f>
        <v>109478</v>
      </c>
      <c r="J20" s="199">
        <f>SUM(J13:J19)</f>
        <v>325542.8</v>
      </c>
      <c r="K20" s="213"/>
      <c r="L20" s="201"/>
      <c r="M20" s="214"/>
      <c r="N20" s="82"/>
      <c r="O20" s="82"/>
      <c r="P20" s="114"/>
    </row>
    <row r="21" ht="30" customHeight="1" spans="1:16">
      <c r="A21" s="114"/>
      <c r="B21" s="114"/>
      <c r="C21" s="114"/>
      <c r="D21" s="192"/>
      <c r="E21" s="192"/>
      <c r="F21" s="192"/>
      <c r="G21" s="192"/>
      <c r="H21" s="192"/>
      <c r="I21" s="114"/>
      <c r="J21" s="114"/>
      <c r="K21" s="114"/>
      <c r="L21" s="114"/>
      <c r="M21" s="215"/>
      <c r="N21" s="114"/>
      <c r="O21" s="216">
        <f>SUM(O13:O20)</f>
        <v>212041.78</v>
      </c>
      <c r="P21" s="114"/>
    </row>
  </sheetData>
  <sheetProtection formatCells="0" formatColumns="0" formatRows="0" insertRows="0" insertColumns="0" insertHyperlinks="0" deleteColumns="0" deleteRows="0" sort="0" autoFilter="0" pivotTables="0"/>
  <mergeCells count="21">
    <mergeCell ref="A4:A5"/>
    <mergeCell ref="A15:A16"/>
    <mergeCell ref="B4:B5"/>
    <mergeCell ref="B15:B16"/>
    <mergeCell ref="C15:C16"/>
    <mergeCell ref="D15:D16"/>
    <mergeCell ref="F15:F16"/>
    <mergeCell ref="G15:G16"/>
    <mergeCell ref="H2:H3"/>
    <mergeCell ref="H4:H5"/>
    <mergeCell ref="H6:H8"/>
    <mergeCell ref="J2:J3"/>
    <mergeCell ref="J4:J5"/>
    <mergeCell ref="J6:J8"/>
    <mergeCell ref="K15:K16"/>
    <mergeCell ref="K17:K19"/>
    <mergeCell ref="L2:L3"/>
    <mergeCell ref="L4:L5"/>
    <mergeCell ref="L6:L8"/>
    <mergeCell ref="L15:L16"/>
    <mergeCell ref="M6:M8"/>
  </mergeCell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sheetPr>
  <dimension ref="A1:P25"/>
  <sheetViews>
    <sheetView workbookViewId="0">
      <pane xSplit="9" ySplit="1" topLeftCell="J2" activePane="bottomRight" state="frozen"/>
      <selection/>
      <selection pane="topRight"/>
      <selection pane="bottomLeft"/>
      <selection pane="bottomRight" activeCell="K20" sqref="K20"/>
    </sheetView>
  </sheetViews>
  <sheetFormatPr defaultColWidth="8.8" defaultRowHeight="25" customHeight="1"/>
  <cols>
    <col min="1" max="1" width="12.625" style="148" customWidth="1"/>
    <col min="2" max="3" width="8.625" style="145" customWidth="1"/>
    <col min="4" max="4" width="12.625" style="149" customWidth="1"/>
    <col min="5" max="7" width="10.625" style="145" customWidth="1"/>
    <col min="8" max="8" width="17.3" style="145" customWidth="1"/>
    <col min="9" max="9" width="6.625" style="150" customWidth="1"/>
    <col min="10" max="11" width="5.625" style="145" customWidth="1"/>
    <col min="12" max="12" width="8.625" style="151" customWidth="1"/>
    <col min="13" max="14" width="12.6" style="152" customWidth="1"/>
    <col min="15" max="15" width="10.625" style="153" customWidth="1"/>
  </cols>
  <sheetData>
    <row r="1" s="145" customFormat="1" customHeight="1" spans="1:16">
      <c r="A1" s="154" t="s">
        <v>53</v>
      </c>
      <c r="B1" s="155" t="s">
        <v>54</v>
      </c>
      <c r="C1" s="155" t="s">
        <v>236</v>
      </c>
      <c r="D1" s="156" t="s">
        <v>55</v>
      </c>
      <c r="E1" s="155" t="s">
        <v>237</v>
      </c>
      <c r="F1" s="155" t="s">
        <v>57</v>
      </c>
      <c r="G1" s="155" t="s">
        <v>58</v>
      </c>
      <c r="H1" s="155" t="s">
        <v>238</v>
      </c>
      <c r="I1" s="157" t="s">
        <v>535</v>
      </c>
      <c r="J1" s="155" t="s">
        <v>2</v>
      </c>
      <c r="K1" s="155" t="s">
        <v>239</v>
      </c>
      <c r="L1" s="158" t="s">
        <v>256</v>
      </c>
      <c r="M1" s="129" t="s">
        <v>257</v>
      </c>
      <c r="N1" s="159" t="s">
        <v>258</v>
      </c>
      <c r="O1" s="160"/>
    </row>
    <row r="2" s="146" customFormat="1" customHeight="1" spans="1:16">
      <c r="A2" s="154"/>
      <c r="B2" s="156"/>
      <c r="C2" s="156"/>
      <c r="D2" s="156"/>
      <c r="E2" s="156"/>
      <c r="F2" s="156" t="s">
        <v>536</v>
      </c>
      <c r="G2" s="156" t="s">
        <v>6</v>
      </c>
      <c r="H2" s="156" t="str">
        <f>VLOOKUP(G2,名称!A:B,2,0)</f>
        <v>恐龙游戏盘</v>
      </c>
      <c r="I2" s="161">
        <f>44780-1002</f>
        <v>43778</v>
      </c>
      <c r="J2" s="155">
        <f>VLOOKUP(G2,名称!A:C,3,FALSE)</f>
        <v>6</v>
      </c>
      <c r="K2" s="155">
        <f t="shared" ref="K2:K7" si="0">I2/J2</f>
        <v>7296.33333333333</v>
      </c>
      <c r="L2" s="158">
        <v>4.5</v>
      </c>
      <c r="M2" s="159">
        <f>L2*I2*0.3</f>
        <v>59100.3</v>
      </c>
      <c r="N2" s="159">
        <f>M2*7.75</f>
        <v>458027.33</v>
      </c>
      <c r="O2" s="160">
        <f>N2-'[2]Toy Monster'!$O$79</f>
        <v>458027.33</v>
      </c>
    </row>
    <row r="3" s="146" customFormat="1" customHeight="1" spans="1:16">
      <c r="A3" s="154"/>
      <c r="B3" s="156"/>
      <c r="C3" s="156"/>
      <c r="D3" s="156"/>
      <c r="E3" s="156"/>
      <c r="F3" s="156" t="s">
        <v>536</v>
      </c>
      <c r="G3" s="156" t="s">
        <v>4</v>
      </c>
      <c r="H3" s="156" t="str">
        <f>VLOOKUP(G3,名称!A:B,2,0)</f>
        <v>恐龙公园</v>
      </c>
      <c r="I3" s="161">
        <v>49452</v>
      </c>
      <c r="J3" s="155">
        <f>VLOOKUP(G3,名称!A:C,3,FALSE)</f>
        <v>12</v>
      </c>
      <c r="K3" s="155">
        <f t="shared" si="0"/>
        <v>4121</v>
      </c>
      <c r="L3" s="158">
        <v>2.1</v>
      </c>
      <c r="M3" s="159">
        <f t="shared" ref="M3:M9" si="1">L3*I3*0.3</f>
        <v>31154.76</v>
      </c>
      <c r="N3" s="159">
        <f t="shared" ref="N3:N12" si="2">M3*7.75</f>
        <v>241449.39</v>
      </c>
      <c r="O3" s="160">
        <f>N3-'[2]Toy Monster'!$O$83</f>
        <v>241449.39</v>
      </c>
    </row>
    <row r="4" s="146" customFormat="1" customHeight="1" spans="1:16">
      <c r="A4" s="154"/>
      <c r="B4" s="156"/>
      <c r="C4" s="156"/>
      <c r="D4" s="156"/>
      <c r="E4" s="156"/>
      <c r="F4" s="156" t="s">
        <v>536</v>
      </c>
      <c r="G4" s="156" t="s">
        <v>9</v>
      </c>
      <c r="H4" s="156" t="str">
        <f>VLOOKUP(G4,名称!A:B,2,0)</f>
        <v>手术游戏盘</v>
      </c>
      <c r="I4" s="161">
        <v>16926</v>
      </c>
      <c r="J4" s="155">
        <f>VLOOKUP(G4,名称!A:C,3,FALSE)</f>
        <v>6</v>
      </c>
      <c r="K4" s="155">
        <f t="shared" si="0"/>
        <v>2821</v>
      </c>
      <c r="L4" s="158">
        <v>4.52</v>
      </c>
      <c r="M4" s="159">
        <f t="shared" si="1"/>
        <v>22951.66</v>
      </c>
      <c r="N4" s="159">
        <f t="shared" si="2"/>
        <v>177875.37</v>
      </c>
      <c r="O4" s="160">
        <f>N4-'[2]Toy Monster'!$O$84</f>
        <v>177875.37</v>
      </c>
    </row>
    <row r="5" s="146" customFormat="1" customHeight="1" spans="1:16">
      <c r="A5" s="154"/>
      <c r="B5" s="156"/>
      <c r="C5" s="156"/>
      <c r="D5" s="156"/>
      <c r="E5" s="156"/>
      <c r="F5" s="156" t="s">
        <v>536</v>
      </c>
      <c r="G5" s="156" t="s">
        <v>18</v>
      </c>
      <c r="H5" s="156" t="str">
        <f>VLOOKUP(G5,名称!A:B,2,0)</f>
        <v>恐龙公园二代</v>
      </c>
      <c r="I5" s="161">
        <f>42180-1800</f>
        <v>40380</v>
      </c>
      <c r="J5" s="155">
        <f>VLOOKUP(G5,名称!A:C,3,FALSE)</f>
        <v>12</v>
      </c>
      <c r="K5" s="155">
        <f t="shared" si="0"/>
        <v>3365</v>
      </c>
      <c r="L5" s="158">
        <v>2.1</v>
      </c>
      <c r="M5" s="159">
        <f t="shared" si="1"/>
        <v>25439.4</v>
      </c>
      <c r="N5" s="159">
        <f t="shared" si="2"/>
        <v>197155.35</v>
      </c>
      <c r="O5" s="160" t="e">
        <f>N5-'[2]Toy Monster'!$O$88</f>
        <v>#VALUE!</v>
      </c>
    </row>
    <row r="6" s="146" customFormat="1" customHeight="1" spans="1:16">
      <c r="A6" s="154"/>
      <c r="B6" s="156"/>
      <c r="C6" s="156"/>
      <c r="D6" s="156"/>
      <c r="E6" s="156"/>
      <c r="F6" s="156" t="s">
        <v>536</v>
      </c>
      <c r="G6" s="156" t="s">
        <v>39</v>
      </c>
      <c r="H6" s="156" t="str">
        <f>VLOOKUP(G6,名称!A:B,2,0)</f>
        <v>9.5寸绿色淋油公仔+涂鸦公仔混装</v>
      </c>
      <c r="I6" s="161">
        <v>9568</v>
      </c>
      <c r="J6" s="155">
        <f>VLOOKUP(G6,名称!A:C,3,FALSE)</f>
        <v>2</v>
      </c>
      <c r="K6" s="155">
        <f t="shared" si="0"/>
        <v>4784</v>
      </c>
      <c r="L6" s="158">
        <v>5.6</v>
      </c>
      <c r="M6" s="159">
        <f t="shared" si="1"/>
        <v>16074.24</v>
      </c>
      <c r="N6" s="159">
        <f t="shared" si="2"/>
        <v>124575.36</v>
      </c>
      <c r="O6" s="160">
        <f>N6-'[2]Toy Monster'!$O$92</f>
        <v>124575.36</v>
      </c>
    </row>
    <row r="7" s="146" customFormat="1" customHeight="1" spans="1:16">
      <c r="A7" s="154"/>
      <c r="B7" s="156"/>
      <c r="C7" s="156"/>
      <c r="D7" s="156"/>
      <c r="E7" s="156"/>
      <c r="F7" s="156" t="s">
        <v>536</v>
      </c>
      <c r="G7" s="156" t="s">
        <v>32</v>
      </c>
      <c r="H7" s="156" t="str">
        <f>VLOOKUP(G7,名称!A:B,2,0)</f>
        <v>9.5寸粉红熊公仔+格力奇熊仔混装</v>
      </c>
      <c r="I7" s="161">
        <f>896+896-1792</f>
        <v>0</v>
      </c>
      <c r="J7" s="155">
        <f>VLOOKUP(G7,名称!A:C,3,FALSE)</f>
        <v>2</v>
      </c>
      <c r="K7" s="155">
        <f t="shared" si="0"/>
        <v>0</v>
      </c>
      <c r="L7" s="158">
        <v>6.34</v>
      </c>
      <c r="M7" s="159">
        <v>0</v>
      </c>
      <c r="N7" s="159">
        <f t="shared" si="2"/>
        <v>0</v>
      </c>
      <c r="O7" s="160">
        <f>N7-'[2]Toy Monster'!$O$91</f>
        <v>0</v>
      </c>
    </row>
    <row r="8" s="146" customFormat="1" customHeight="1" spans="1:16">
      <c r="A8" s="154"/>
      <c r="B8" s="156"/>
      <c r="C8" s="156"/>
      <c r="D8" s="156"/>
      <c r="E8" s="156"/>
      <c r="F8" s="156"/>
      <c r="G8" s="156"/>
      <c r="H8" s="156"/>
      <c r="I8" s="161"/>
      <c r="J8" s="155"/>
      <c r="K8" s="155"/>
      <c r="L8" s="158"/>
      <c r="M8" s="159">
        <f t="shared" si="1"/>
        <v>0</v>
      </c>
      <c r="N8" s="159">
        <f t="shared" si="2"/>
        <v>0</v>
      </c>
      <c r="O8" s="160"/>
    </row>
    <row r="9" s="146" customFormat="1" customHeight="1" spans="1:16">
      <c r="A9" s="154"/>
      <c r="B9" s="156"/>
      <c r="C9" s="156"/>
      <c r="D9" s="156"/>
      <c r="E9" s="156"/>
      <c r="F9" s="156"/>
      <c r="G9" s="156"/>
      <c r="H9" s="156"/>
      <c r="I9" s="161"/>
      <c r="J9" s="155"/>
      <c r="K9" s="155"/>
      <c r="L9" s="158"/>
      <c r="M9" s="159">
        <f t="shared" si="1"/>
        <v>0</v>
      </c>
      <c r="N9" s="159">
        <f t="shared" si="2"/>
        <v>0</v>
      </c>
      <c r="O9" s="160"/>
    </row>
    <row r="10" s="146" customFormat="1" customHeight="1" spans="1:16">
      <c r="A10" s="154"/>
      <c r="B10" s="156"/>
      <c r="C10" s="156"/>
      <c r="D10" s="156"/>
      <c r="E10" s="156"/>
      <c r="F10" s="156"/>
      <c r="G10" s="156"/>
      <c r="H10" s="156"/>
      <c r="I10" s="161"/>
      <c r="J10" s="155"/>
      <c r="K10" s="155"/>
      <c r="L10" s="158"/>
      <c r="M10" s="159">
        <f t="shared" ref="M10:M15" si="3">L10*I10*0.3</f>
        <v>0</v>
      </c>
      <c r="N10" s="159">
        <f t="shared" si="2"/>
        <v>0</v>
      </c>
      <c r="O10" s="160"/>
    </row>
    <row r="11" s="146" customFormat="1" customHeight="1" spans="1:16">
      <c r="A11" s="154"/>
      <c r="B11" s="156"/>
      <c r="C11" s="156"/>
      <c r="D11" s="156"/>
      <c r="E11" s="156"/>
      <c r="F11" s="156"/>
      <c r="G11" s="156"/>
      <c r="H11" s="156"/>
      <c r="I11" s="161"/>
      <c r="J11" s="155"/>
      <c r="K11" s="155"/>
      <c r="L11" s="158"/>
      <c r="M11" s="159">
        <f t="shared" si="3"/>
        <v>0</v>
      </c>
      <c r="N11" s="159">
        <f t="shared" si="2"/>
        <v>0</v>
      </c>
      <c r="O11" s="160"/>
    </row>
    <row r="12" s="146" customFormat="1" customHeight="1" spans="1:16">
      <c r="A12" s="154"/>
      <c r="B12" s="156"/>
      <c r="C12" s="156"/>
      <c r="D12" s="156"/>
      <c r="E12" s="156"/>
      <c r="F12" s="156"/>
      <c r="G12" s="156"/>
      <c r="H12" s="156"/>
      <c r="I12" s="161"/>
      <c r="J12" s="155"/>
      <c r="K12" s="155"/>
      <c r="L12" s="158"/>
      <c r="M12" s="159">
        <f t="shared" si="3"/>
        <v>0</v>
      </c>
      <c r="N12" s="159">
        <f t="shared" si="2"/>
        <v>0</v>
      </c>
      <c r="O12" s="160"/>
    </row>
    <row r="13" s="147" customFormat="1" customHeight="1" spans="1:16">
      <c r="A13" s="162"/>
      <c r="B13" s="163"/>
      <c r="C13" s="163"/>
      <c r="D13" s="163"/>
      <c r="E13" s="163"/>
      <c r="F13" s="163"/>
      <c r="G13" s="163"/>
      <c r="H13" s="163"/>
      <c r="I13" s="164">
        <f>SUM(I2:I12)</f>
        <v>160104</v>
      </c>
      <c r="J13" s="165"/>
      <c r="K13" s="165"/>
      <c r="L13" s="166"/>
      <c r="M13" s="167">
        <f>SUM(M2:M12)</f>
        <v>154720.36</v>
      </c>
      <c r="N13" s="167">
        <f>SUM(N2:N12)</f>
        <v>1199082.8</v>
      </c>
      <c r="O13" s="167">
        <f>N13-'[2]Toy Monster'!$O$94</f>
        <v>1021207.47</v>
      </c>
    </row>
    <row r="14" s="147" customFormat="1" customHeight="1" spans="1:16">
      <c r="A14" s="168"/>
      <c r="B14" s="169"/>
      <c r="C14" s="169"/>
      <c r="D14" s="169"/>
      <c r="E14" s="169"/>
      <c r="F14" s="169"/>
      <c r="G14" s="169"/>
      <c r="H14" s="169"/>
      <c r="I14" s="170"/>
      <c r="J14" s="171"/>
      <c r="K14" s="171"/>
      <c r="L14" s="172"/>
      <c r="M14" s="173"/>
      <c r="N14" s="173"/>
      <c r="O14" s="173"/>
    </row>
    <row r="15" s="146" customFormat="1" customHeight="1" spans="1:16">
      <c r="A15" s="154"/>
      <c r="B15" s="156"/>
      <c r="C15" s="156"/>
      <c r="D15" s="156"/>
      <c r="E15" s="156"/>
      <c r="F15" s="156" t="s">
        <v>537</v>
      </c>
      <c r="G15" s="156" t="s">
        <v>6</v>
      </c>
      <c r="H15" s="156" t="str">
        <f>VLOOKUP(G15,名称!A:B,2,0)</f>
        <v>恐龙游戏盘</v>
      </c>
      <c r="I15" s="161">
        <f>44780-1002</f>
        <v>43778</v>
      </c>
      <c r="J15" s="155">
        <f>VLOOKUP(G15,名称!A:C,3,FALSE)</f>
        <v>6</v>
      </c>
      <c r="K15" s="155">
        <f>I15/J15</f>
        <v>7296.33333333333</v>
      </c>
      <c r="L15" s="158">
        <v>4.5</v>
      </c>
      <c r="M15" s="159">
        <f>I15*3.55-I15*P15</f>
        <v>96311.6</v>
      </c>
      <c r="N15" s="159">
        <f t="shared" ref="N15:N24" si="4">M15*7.75</f>
        <v>746414.9</v>
      </c>
      <c r="O15" s="160" t="s">
        <v>505</v>
      </c>
      <c r="P15" s="146">
        <f>L15*0.3</f>
        <v>1.35</v>
      </c>
    </row>
    <row r="16" s="146" customFormat="1" customHeight="1" spans="1:16">
      <c r="A16" s="154"/>
      <c r="B16" s="156"/>
      <c r="C16" s="156"/>
      <c r="D16" s="156"/>
      <c r="E16" s="156"/>
      <c r="F16" s="156" t="s">
        <v>537</v>
      </c>
      <c r="G16" s="156" t="s">
        <v>9</v>
      </c>
      <c r="H16" s="156" t="str">
        <f>VLOOKUP(G16,名称!A:B,2,0)</f>
        <v>手术游戏盘</v>
      </c>
      <c r="I16" s="161">
        <v>11922</v>
      </c>
      <c r="J16" s="155">
        <f>VLOOKUP(G16,名称!A:C,3,FALSE)</f>
        <v>6</v>
      </c>
      <c r="K16" s="155">
        <f>I16/J16</f>
        <v>1987</v>
      </c>
      <c r="L16" s="158">
        <v>4.52</v>
      </c>
      <c r="M16" s="159">
        <f>I16*3.66-I16*P16</f>
        <v>27468.29</v>
      </c>
      <c r="N16" s="159">
        <f t="shared" si="4"/>
        <v>212879.25</v>
      </c>
      <c r="O16" s="160" t="s">
        <v>505</v>
      </c>
      <c r="P16" s="146">
        <f>L16*0.3</f>
        <v>1.356</v>
      </c>
    </row>
    <row r="17" s="146" customFormat="1" customHeight="1" spans="1:16">
      <c r="A17" s="154"/>
      <c r="B17" s="156"/>
      <c r="C17" s="156"/>
      <c r="D17" s="156"/>
      <c r="E17" s="156"/>
      <c r="F17" s="156" t="s">
        <v>537</v>
      </c>
      <c r="G17" s="156" t="s">
        <v>9</v>
      </c>
      <c r="H17" s="156" t="str">
        <f>VLOOKUP(G17,名称!A:B,2,0)</f>
        <v>手术游戏盘</v>
      </c>
      <c r="I17" s="161">
        <v>5004</v>
      </c>
      <c r="J17" s="155">
        <f>VLOOKUP(G17,名称!A:C,3,FALSE)</f>
        <v>6</v>
      </c>
      <c r="K17" s="155">
        <f>I17/J17</f>
        <v>834</v>
      </c>
      <c r="L17" s="158">
        <v>4.52</v>
      </c>
      <c r="M17" s="159">
        <f>I17*4.52-I17*P17</f>
        <v>15832.66</v>
      </c>
      <c r="N17" s="159">
        <f t="shared" si="4"/>
        <v>122703.12</v>
      </c>
      <c r="O17" s="160" t="s">
        <v>507</v>
      </c>
      <c r="P17" s="146">
        <f>L17*0.3</f>
        <v>1.356</v>
      </c>
    </row>
    <row r="18" s="146" customFormat="1" customHeight="1" spans="1:16">
      <c r="A18" s="154"/>
      <c r="B18" s="156"/>
      <c r="C18" s="156"/>
      <c r="D18" s="156"/>
      <c r="E18" s="156"/>
      <c r="F18" s="156" t="s">
        <v>537</v>
      </c>
      <c r="G18" s="156" t="s">
        <v>4</v>
      </c>
      <c r="H18" s="156" t="str">
        <f>VLOOKUP(G18,名称!A:B,2,0)</f>
        <v>恐龙公园</v>
      </c>
      <c r="I18" s="161">
        <v>47772</v>
      </c>
      <c r="J18" s="155">
        <f>VLOOKUP(G18,名称!A:C,3,FALSE)</f>
        <v>12</v>
      </c>
      <c r="K18" s="155">
        <f>I18/J18</f>
        <v>3981</v>
      </c>
      <c r="L18" s="158">
        <v>2.1</v>
      </c>
      <c r="M18" s="159">
        <f>I18*2.1-I18*P18</f>
        <v>70224.84</v>
      </c>
      <c r="N18" s="159">
        <f t="shared" si="4"/>
        <v>544242.51</v>
      </c>
      <c r="O18" s="160" t="s">
        <v>507</v>
      </c>
      <c r="P18" s="146">
        <f>L18*0.3</f>
        <v>0.63</v>
      </c>
    </row>
    <row r="19" s="146" customFormat="1" customHeight="1" spans="1:16">
      <c r="A19" s="154"/>
      <c r="B19" s="156"/>
      <c r="C19" s="156"/>
      <c r="D19" s="156"/>
      <c r="E19" s="156"/>
      <c r="F19" s="156"/>
      <c r="G19" s="156"/>
      <c r="H19" s="156"/>
      <c r="I19" s="161"/>
      <c r="J19" s="155"/>
      <c r="K19" s="155"/>
      <c r="L19" s="158"/>
      <c r="M19" s="159">
        <f t="shared" ref="M16:M24" si="5">I19*L19</f>
        <v>0</v>
      </c>
      <c r="N19" s="159">
        <f t="shared" si="4"/>
        <v>0</v>
      </c>
      <c r="O19" s="160"/>
    </row>
    <row r="20" s="146" customFormat="1" customHeight="1" spans="1:16">
      <c r="A20" s="154"/>
      <c r="B20" s="156"/>
      <c r="C20" s="156"/>
      <c r="D20" s="156"/>
      <c r="E20" s="156"/>
      <c r="F20" s="156"/>
      <c r="G20" s="156"/>
      <c r="H20" s="156"/>
      <c r="I20" s="161"/>
      <c r="J20" s="155"/>
      <c r="K20" s="155"/>
      <c r="L20" s="158"/>
      <c r="M20" s="159">
        <f t="shared" si="5"/>
        <v>0</v>
      </c>
      <c r="N20" s="159">
        <f t="shared" si="4"/>
        <v>0</v>
      </c>
      <c r="O20" s="160"/>
    </row>
    <row r="21" s="146" customFormat="1" customHeight="1" spans="1:16">
      <c r="A21" s="154"/>
      <c r="B21" s="156"/>
      <c r="C21" s="156"/>
      <c r="D21" s="156"/>
      <c r="E21" s="156"/>
      <c r="F21" s="156"/>
      <c r="G21" s="156"/>
      <c r="H21" s="156"/>
      <c r="I21" s="161"/>
      <c r="J21" s="155"/>
      <c r="K21" s="155"/>
      <c r="L21" s="158"/>
      <c r="M21" s="159">
        <f t="shared" si="5"/>
        <v>0</v>
      </c>
      <c r="N21" s="159">
        <f t="shared" si="4"/>
        <v>0</v>
      </c>
      <c r="O21" s="160"/>
    </row>
    <row r="22" s="146" customFormat="1" customHeight="1" spans="1:16">
      <c r="A22" s="154"/>
      <c r="B22" s="156"/>
      <c r="C22" s="156"/>
      <c r="D22" s="156"/>
      <c r="E22" s="156"/>
      <c r="F22" s="156"/>
      <c r="G22" s="156"/>
      <c r="H22" s="156"/>
      <c r="I22" s="161"/>
      <c r="J22" s="155"/>
      <c r="K22" s="155"/>
      <c r="L22" s="158"/>
      <c r="M22" s="159">
        <f t="shared" si="5"/>
        <v>0</v>
      </c>
      <c r="N22" s="159">
        <f t="shared" si="4"/>
        <v>0</v>
      </c>
      <c r="O22" s="160"/>
    </row>
    <row r="23" s="146" customFormat="1" customHeight="1" spans="1:16">
      <c r="A23" s="154"/>
      <c r="B23" s="156"/>
      <c r="C23" s="156"/>
      <c r="D23" s="156"/>
      <c r="E23" s="156"/>
      <c r="F23" s="156"/>
      <c r="G23" s="156"/>
      <c r="H23" s="156"/>
      <c r="I23" s="161"/>
      <c r="J23" s="155"/>
      <c r="K23" s="155"/>
      <c r="L23" s="158"/>
      <c r="M23" s="159">
        <f t="shared" si="5"/>
        <v>0</v>
      </c>
      <c r="N23" s="159">
        <f t="shared" si="4"/>
        <v>0</v>
      </c>
      <c r="O23" s="160"/>
    </row>
    <row r="24" s="146" customFormat="1" customHeight="1" spans="1:16">
      <c r="A24" s="154"/>
      <c r="B24" s="156"/>
      <c r="C24" s="156"/>
      <c r="D24" s="156"/>
      <c r="E24" s="156"/>
      <c r="F24" s="156"/>
      <c r="G24" s="156"/>
      <c r="H24" s="156"/>
      <c r="I24" s="161"/>
      <c r="J24" s="155"/>
      <c r="K24" s="155"/>
      <c r="L24" s="158"/>
      <c r="M24" s="159">
        <f t="shared" si="5"/>
        <v>0</v>
      </c>
      <c r="N24" s="159">
        <f t="shared" si="4"/>
        <v>0</v>
      </c>
      <c r="O24" s="160"/>
    </row>
    <row r="25" s="147" customFormat="1" customHeight="1" spans="1:16">
      <c r="A25" s="162"/>
      <c r="B25" s="163"/>
      <c r="C25" s="163"/>
      <c r="D25" s="163"/>
      <c r="E25" s="163"/>
      <c r="F25" s="163"/>
      <c r="G25" s="163"/>
      <c r="H25" s="163"/>
      <c r="I25" s="164">
        <f>SUM(I15:I24)</f>
        <v>108476</v>
      </c>
      <c r="J25" s="165"/>
      <c r="K25" s="165"/>
      <c r="L25" s="166"/>
      <c r="M25" s="167">
        <f>SUM(M15:M24)</f>
        <v>209837.39</v>
      </c>
      <c r="N25" s="167">
        <f>SUM(N15:N24)</f>
        <v>1626239.78</v>
      </c>
      <c r="O25" s="167"/>
    </row>
  </sheetData>
  <sheetProtection formatCells="0" autoFilter="0"/>
  <autoFilter xmlns:etc="http://www.wps.cn/officeDocument/2017/etCustomData" ref="A1:O26" etc:filterBottomFollowUsedRange="0">
    <extLst/>
  </autoFilter>
  <conditionalFormatting sqref="D1 D26:D1048576">
    <cfRule type="containsText" dxfId="1" priority="1" operator="between" text="Wal-Mart">
      <formula>NOT(ISERROR(SEARCH("Wal-Mart",D1)))</formula>
    </cfRule>
  </conditionalFormatting>
  <pageMargins left="0.0784722222222222" right="0.0784722222222222" top="0.236111111111111" bottom="0.156944444444444" header="0.156944444444444" footer="0.118055555555556"/>
  <pageSetup paperSize="9" scale="50"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3"/>
  <sheetViews>
    <sheetView topLeftCell="A17" workbookViewId="0">
      <pane ySplit="2" topLeftCell="A22" activePane="bottomLeft" state="frozen"/>
      <selection/>
      <selection pane="bottomLeft" activeCell="I41" sqref="I41"/>
    </sheetView>
  </sheetViews>
  <sheetFormatPr defaultColWidth="8.8" defaultRowHeight="11.25"/>
  <cols>
    <col min="1" max="4" width="12.7" style="1" customWidth="1"/>
    <col min="5" max="5" width="12.7" style="137" customWidth="1"/>
    <col min="6" max="14" width="12.7" style="1" customWidth="1"/>
    <col min="15" max="16384" width="8.8" style="1"/>
  </cols>
  <sheetData>
    <row r="1" ht="25" hidden="1" customHeight="1" spans="1:8">
      <c r="A1" s="139" t="s">
        <v>538</v>
      </c>
    </row>
    <row r="2" ht="25" hidden="1" customHeight="1" spans="1:8">
      <c r="A2" s="3" t="s">
        <v>539</v>
      </c>
      <c r="B2" s="3" t="s">
        <v>56</v>
      </c>
      <c r="C2" s="3" t="s">
        <v>57</v>
      </c>
      <c r="D2" s="3" t="s">
        <v>58</v>
      </c>
      <c r="E2" s="4" t="s">
        <v>238</v>
      </c>
      <c r="F2" s="3" t="s">
        <v>59</v>
      </c>
      <c r="G2" s="3"/>
      <c r="H2" s="3" t="s">
        <v>540</v>
      </c>
    </row>
    <row r="3" ht="25" hidden="1" customHeight="1" spans="1:8">
      <c r="A3" s="2">
        <v>45247</v>
      </c>
      <c r="B3" s="3"/>
      <c r="C3" s="3" t="s">
        <v>541</v>
      </c>
      <c r="D3" s="3" t="s">
        <v>6</v>
      </c>
      <c r="E3" s="4" t="s">
        <v>16</v>
      </c>
      <c r="F3" s="3">
        <v>5000</v>
      </c>
      <c r="G3" s="3"/>
      <c r="H3" s="3"/>
    </row>
    <row r="4" ht="25" hidden="1" customHeight="1" spans="1:8">
      <c r="A4" s="2">
        <v>45315</v>
      </c>
      <c r="B4" s="3">
        <v>443</v>
      </c>
      <c r="C4" s="3">
        <v>240056</v>
      </c>
      <c r="D4" s="3" t="s">
        <v>6</v>
      </c>
      <c r="E4" s="4" t="s">
        <v>16</v>
      </c>
      <c r="F4" s="3">
        <v>10000</v>
      </c>
      <c r="G4" s="3"/>
      <c r="H4" s="3"/>
    </row>
    <row r="5" ht="25" hidden="1" customHeight="1" spans="1:8">
      <c r="A5" s="2">
        <v>45346</v>
      </c>
      <c r="B5" s="3" t="s">
        <v>527</v>
      </c>
      <c r="C5" s="3">
        <v>240059</v>
      </c>
      <c r="D5" s="3" t="s">
        <v>6</v>
      </c>
      <c r="E5" s="4" t="s">
        <v>16</v>
      </c>
      <c r="F5" s="3">
        <v>70000</v>
      </c>
      <c r="G5" s="3"/>
      <c r="H5" s="3"/>
    </row>
    <row r="6" ht="25" hidden="1" customHeight="1" spans="1:8">
      <c r="A6" s="2">
        <v>45363</v>
      </c>
      <c r="B6" s="3" t="s">
        <v>527</v>
      </c>
      <c r="C6" s="3">
        <v>240059</v>
      </c>
      <c r="D6" s="3" t="s">
        <v>6</v>
      </c>
      <c r="E6" s="4" t="s">
        <v>16</v>
      </c>
      <c r="F6" s="3">
        <v>70000</v>
      </c>
      <c r="G6" s="3"/>
      <c r="H6" s="3"/>
    </row>
    <row r="7" ht="25" hidden="1" customHeight="1" spans="1:8">
      <c r="A7" s="2">
        <v>45401</v>
      </c>
      <c r="B7" s="3" t="s">
        <v>527</v>
      </c>
      <c r="C7" s="3">
        <v>240059</v>
      </c>
      <c r="D7" s="3" t="s">
        <v>6</v>
      </c>
      <c r="E7" s="4" t="s">
        <v>16</v>
      </c>
      <c r="F7" s="3">
        <v>160000</v>
      </c>
      <c r="G7" s="3"/>
      <c r="H7" s="3"/>
    </row>
    <row r="8" ht="25" hidden="1" customHeight="1" spans="1:8">
      <c r="A8" s="2">
        <v>45631</v>
      </c>
      <c r="B8" s="3" t="s">
        <v>532</v>
      </c>
      <c r="C8" s="3">
        <v>240076</v>
      </c>
      <c r="D8" s="3" t="s">
        <v>4</v>
      </c>
      <c r="E8" s="4" t="s">
        <v>542</v>
      </c>
      <c r="F8" s="3">
        <v>37000</v>
      </c>
      <c r="G8" s="3"/>
      <c r="H8" s="3"/>
    </row>
    <row r="9" ht="25" hidden="1" customHeight="1" spans="1:8">
      <c r="A9" s="2">
        <v>45631</v>
      </c>
      <c r="B9" s="3" t="s">
        <v>533</v>
      </c>
      <c r="C9" s="3">
        <v>240076</v>
      </c>
      <c r="D9" s="3" t="s">
        <v>4</v>
      </c>
      <c r="E9" s="4" t="s">
        <v>543</v>
      </c>
      <c r="F9" s="3">
        <v>37000</v>
      </c>
      <c r="G9" s="3"/>
      <c r="H9" s="3"/>
    </row>
    <row r="10" ht="25" hidden="1" customHeight="1" spans="1:8">
      <c r="A10" s="2">
        <v>45631</v>
      </c>
      <c r="B10" s="3" t="s">
        <v>534</v>
      </c>
      <c r="C10" s="3">
        <v>240076</v>
      </c>
      <c r="D10" s="3" t="s">
        <v>4</v>
      </c>
      <c r="E10" s="4" t="s">
        <v>544</v>
      </c>
      <c r="F10" s="3">
        <v>37000</v>
      </c>
      <c r="G10" s="3"/>
      <c r="H10" s="3"/>
    </row>
    <row r="11" ht="25" hidden="1" customHeight="1" spans="1:8">
      <c r="A11" s="2">
        <v>45666</v>
      </c>
      <c r="B11" s="3" t="s">
        <v>532</v>
      </c>
      <c r="C11" s="3">
        <v>240079</v>
      </c>
      <c r="D11" s="3" t="s">
        <v>4</v>
      </c>
      <c r="E11" s="4" t="s">
        <v>542</v>
      </c>
      <c r="F11" s="3">
        <v>16667</v>
      </c>
      <c r="G11" s="3"/>
      <c r="H11" s="3"/>
    </row>
    <row r="12" ht="25" hidden="1" customHeight="1" spans="1:8">
      <c r="A12" s="2">
        <v>45666</v>
      </c>
      <c r="B12" s="3" t="s">
        <v>533</v>
      </c>
      <c r="C12" s="3">
        <v>240079</v>
      </c>
      <c r="D12" s="3" t="s">
        <v>4</v>
      </c>
      <c r="E12" s="4" t="s">
        <v>543</v>
      </c>
      <c r="F12" s="3">
        <v>16667</v>
      </c>
      <c r="G12" s="3"/>
      <c r="H12" s="3"/>
    </row>
    <row r="13" ht="25" hidden="1" customHeight="1" spans="1:8">
      <c r="A13" s="2">
        <v>45666</v>
      </c>
      <c r="B13" s="3" t="s">
        <v>534</v>
      </c>
      <c r="C13" s="3">
        <v>240079</v>
      </c>
      <c r="D13" s="3" t="s">
        <v>4</v>
      </c>
      <c r="E13" s="4" t="s">
        <v>544</v>
      </c>
      <c r="F13" s="3">
        <v>16667</v>
      </c>
      <c r="G13" s="3"/>
      <c r="H13" s="3"/>
    </row>
    <row r="14" ht="25" hidden="1" customHeight="1" spans="1:8">
      <c r="A14" s="2">
        <v>45719</v>
      </c>
      <c r="B14" s="3" t="s">
        <v>530</v>
      </c>
      <c r="C14" s="3">
        <v>240088</v>
      </c>
      <c r="D14" s="3" t="s">
        <v>9</v>
      </c>
      <c r="E14" s="4" t="s">
        <v>17</v>
      </c>
      <c r="F14" s="3">
        <v>45000</v>
      </c>
      <c r="G14" s="3"/>
      <c r="H14" s="3"/>
    </row>
    <row r="15" ht="25" hidden="1" customHeight="1" spans="1:8">
      <c r="A15" s="2">
        <v>45721</v>
      </c>
      <c r="B15" s="3"/>
      <c r="C15" s="3">
        <v>240090</v>
      </c>
      <c r="D15" s="3" t="s">
        <v>6</v>
      </c>
      <c r="E15" s="4" t="s">
        <v>16</v>
      </c>
      <c r="F15" s="3">
        <v>150000</v>
      </c>
      <c r="G15" s="3"/>
      <c r="H15" s="3"/>
    </row>
    <row r="16" ht="25" hidden="1" customHeight="1"/>
    <row r="17" ht="25" customHeight="1" spans="1:14">
      <c r="A17" s="139" t="s">
        <v>538</v>
      </c>
    </row>
    <row r="18" ht="25" customHeight="1" spans="1:14">
      <c r="A18" s="3" t="s">
        <v>539</v>
      </c>
      <c r="B18" s="3" t="s">
        <v>56</v>
      </c>
      <c r="C18" s="3" t="s">
        <v>57</v>
      </c>
      <c r="D18" s="3" t="s">
        <v>58</v>
      </c>
      <c r="E18" s="4" t="s">
        <v>238</v>
      </c>
      <c r="F18" s="3" t="s">
        <v>59</v>
      </c>
      <c r="G18" s="3" t="s">
        <v>545</v>
      </c>
      <c r="H18" s="3" t="s">
        <v>546</v>
      </c>
      <c r="I18" s="3" t="s">
        <v>547</v>
      </c>
      <c r="J18" s="3" t="s">
        <v>256</v>
      </c>
      <c r="K18" s="3" t="s">
        <v>257</v>
      </c>
      <c r="L18" s="3" t="s">
        <v>258</v>
      </c>
      <c r="M18" s="4" t="s">
        <v>548</v>
      </c>
      <c r="N18" s="4" t="s">
        <v>549</v>
      </c>
    </row>
    <row r="19" ht="25" customHeight="1" spans="1:14">
      <c r="A19" s="2">
        <v>45247</v>
      </c>
      <c r="B19" s="3"/>
      <c r="C19" s="3" t="s">
        <v>541</v>
      </c>
      <c r="D19" s="3" t="s">
        <v>6</v>
      </c>
      <c r="E19" s="4" t="s">
        <v>16</v>
      </c>
      <c r="F19" s="3">
        <v>5000</v>
      </c>
      <c r="G19" s="84">
        <f>SUM(F19:F24)</f>
        <v>465338</v>
      </c>
      <c r="H19" s="84">
        <v>315000</v>
      </c>
      <c r="I19" s="84">
        <v>0</v>
      </c>
      <c r="J19" s="3">
        <v>4.5</v>
      </c>
      <c r="K19" s="3">
        <f>J19*F19</f>
        <v>22500</v>
      </c>
      <c r="L19" s="3">
        <f t="shared" ref="L19:L45" si="0">K19*7.75</f>
        <v>174375</v>
      </c>
      <c r="M19" s="3">
        <f t="shared" ref="M19:M24" si="1">I19*J19</f>
        <v>0</v>
      </c>
      <c r="N19" s="3">
        <f t="shared" ref="N19:N24" si="2">M19*7.75</f>
        <v>0</v>
      </c>
    </row>
    <row r="20" ht="25" customHeight="1" spans="1:14">
      <c r="A20" s="2">
        <v>45315</v>
      </c>
      <c r="B20" s="3">
        <v>443</v>
      </c>
      <c r="C20" s="3">
        <v>240056</v>
      </c>
      <c r="D20" s="3" t="s">
        <v>6</v>
      </c>
      <c r="E20" s="4" t="s">
        <v>16</v>
      </c>
      <c r="F20" s="3">
        <v>10000</v>
      </c>
      <c r="G20" s="111"/>
      <c r="H20" s="111"/>
      <c r="I20" s="111"/>
      <c r="J20" s="3">
        <v>4.5</v>
      </c>
      <c r="K20" s="3">
        <f t="shared" ref="K19:K45" si="3">J20*F20</f>
        <v>45000</v>
      </c>
      <c r="L20" s="3">
        <f t="shared" si="0"/>
        <v>348750</v>
      </c>
      <c r="M20" s="3">
        <f t="shared" si="1"/>
        <v>0</v>
      </c>
      <c r="N20" s="3">
        <f t="shared" si="2"/>
        <v>0</v>
      </c>
    </row>
    <row r="21" ht="25" customHeight="1" spans="1:14">
      <c r="A21" s="2">
        <v>45346</v>
      </c>
      <c r="B21" s="3" t="s">
        <v>527</v>
      </c>
      <c r="C21" s="3">
        <v>240059</v>
      </c>
      <c r="D21" s="3" t="s">
        <v>6</v>
      </c>
      <c r="E21" s="4" t="s">
        <v>16</v>
      </c>
      <c r="F21" s="3">
        <v>70000</v>
      </c>
      <c r="G21" s="111"/>
      <c r="H21" s="111"/>
      <c r="I21" s="111"/>
      <c r="J21" s="3">
        <v>4.5</v>
      </c>
      <c r="K21" s="3">
        <f t="shared" si="3"/>
        <v>315000</v>
      </c>
      <c r="L21" s="3">
        <f t="shared" si="0"/>
        <v>2441250</v>
      </c>
      <c r="M21" s="3">
        <f t="shared" si="1"/>
        <v>0</v>
      </c>
      <c r="N21" s="3">
        <f t="shared" si="2"/>
        <v>0</v>
      </c>
    </row>
    <row r="22" ht="25" customHeight="1" spans="1:14">
      <c r="A22" s="2">
        <v>45363</v>
      </c>
      <c r="B22" s="3" t="s">
        <v>527</v>
      </c>
      <c r="C22" s="3">
        <v>240059</v>
      </c>
      <c r="D22" s="3" t="s">
        <v>6</v>
      </c>
      <c r="E22" s="4" t="s">
        <v>16</v>
      </c>
      <c r="F22" s="3">
        <f>70000+I21</f>
        <v>70000</v>
      </c>
      <c r="G22" s="111"/>
      <c r="H22" s="111"/>
      <c r="I22" s="111"/>
      <c r="J22" s="3">
        <v>4.5</v>
      </c>
      <c r="K22" s="3">
        <f t="shared" si="3"/>
        <v>315000</v>
      </c>
      <c r="L22" s="3">
        <f t="shared" si="0"/>
        <v>2441250</v>
      </c>
      <c r="M22" s="3">
        <f t="shared" si="1"/>
        <v>0</v>
      </c>
      <c r="N22" s="3">
        <f t="shared" si="2"/>
        <v>0</v>
      </c>
    </row>
    <row r="23" s="1" customFormat="1" ht="25" customHeight="1" spans="1:14">
      <c r="A23" s="2">
        <v>45401</v>
      </c>
      <c r="B23" s="3" t="s">
        <v>527</v>
      </c>
      <c r="C23" s="3">
        <v>240090</v>
      </c>
      <c r="D23" s="3" t="s">
        <v>6</v>
      </c>
      <c r="E23" s="4" t="s">
        <v>16</v>
      </c>
      <c r="F23" s="3">
        <f>160000+I22</f>
        <v>160000</v>
      </c>
      <c r="G23" s="111"/>
      <c r="H23" s="85"/>
      <c r="I23" s="85"/>
      <c r="J23" s="3">
        <v>4.5</v>
      </c>
      <c r="K23" s="3">
        <f t="shared" si="3"/>
        <v>720000</v>
      </c>
      <c r="L23" s="3">
        <f t="shared" si="0"/>
        <v>5580000</v>
      </c>
      <c r="M23" s="3">
        <f t="shared" si="1"/>
        <v>0</v>
      </c>
      <c r="N23" s="3">
        <f t="shared" si="2"/>
        <v>0</v>
      </c>
    </row>
    <row r="24" ht="25" customHeight="1" spans="1:14">
      <c r="A24" s="2">
        <v>45705</v>
      </c>
      <c r="B24" s="3" t="s">
        <v>527</v>
      </c>
      <c r="C24" s="3">
        <v>240059</v>
      </c>
      <c r="D24" s="3" t="s">
        <v>6</v>
      </c>
      <c r="E24" s="4" t="s">
        <v>16</v>
      </c>
      <c r="F24" s="140">
        <f>150000+338</f>
        <v>150338</v>
      </c>
      <c r="G24" s="85"/>
      <c r="H24" s="3">
        <f>97614+SUM(总接单!I18:K99)</f>
        <v>121682</v>
      </c>
      <c r="I24" s="3">
        <f>G19-H19-H24</f>
        <v>28656</v>
      </c>
      <c r="J24" s="3">
        <v>4.5</v>
      </c>
      <c r="K24" s="3">
        <f t="shared" si="3"/>
        <v>676521</v>
      </c>
      <c r="L24" s="3">
        <f t="shared" si="0"/>
        <v>5243037.75</v>
      </c>
      <c r="M24" s="3">
        <f t="shared" si="1"/>
        <v>128952</v>
      </c>
      <c r="N24" s="3">
        <f t="shared" si="2"/>
        <v>999378</v>
      </c>
    </row>
    <row r="25" ht="25" customHeight="1" spans="1:14">
      <c r="A25" s="2">
        <v>45301</v>
      </c>
      <c r="B25" s="3" t="s">
        <v>532</v>
      </c>
      <c r="C25" s="3">
        <v>240076</v>
      </c>
      <c r="D25" s="3" t="s">
        <v>4</v>
      </c>
      <c r="E25" s="4" t="s">
        <v>542</v>
      </c>
      <c r="F25" s="3">
        <v>37000</v>
      </c>
      <c r="G25" s="84">
        <f>SUM(F25:F39)</f>
        <v>396924</v>
      </c>
      <c r="H25" s="3">
        <v>37000</v>
      </c>
      <c r="I25" s="3">
        <f t="shared" ref="I25:I43" si="4">F25-H25</f>
        <v>0</v>
      </c>
      <c r="J25" s="3">
        <v>2.1</v>
      </c>
      <c r="K25" s="3">
        <f t="shared" si="3"/>
        <v>77700</v>
      </c>
      <c r="L25" s="3">
        <f t="shared" si="0"/>
        <v>602175</v>
      </c>
      <c r="M25" s="3">
        <f t="shared" ref="M25:M45" si="5">I25*J25</f>
        <v>0</v>
      </c>
      <c r="N25" s="3">
        <f t="shared" ref="N25:N45" si="6">M25*7.75</f>
        <v>0</v>
      </c>
    </row>
    <row r="26" ht="25" customHeight="1" spans="1:14">
      <c r="A26" s="2">
        <v>45301</v>
      </c>
      <c r="B26" s="3" t="s">
        <v>533</v>
      </c>
      <c r="C26" s="3">
        <v>240076</v>
      </c>
      <c r="D26" s="3" t="s">
        <v>4</v>
      </c>
      <c r="E26" s="4" t="s">
        <v>543</v>
      </c>
      <c r="F26" s="3">
        <v>37000</v>
      </c>
      <c r="G26" s="111"/>
      <c r="H26" s="3">
        <v>37000</v>
      </c>
      <c r="I26" s="3">
        <f t="shared" si="4"/>
        <v>0</v>
      </c>
      <c r="J26" s="3">
        <v>2.1</v>
      </c>
      <c r="K26" s="3">
        <f t="shared" si="3"/>
        <v>77700</v>
      </c>
      <c r="L26" s="3">
        <f t="shared" si="0"/>
        <v>602175</v>
      </c>
      <c r="M26" s="3">
        <f t="shared" si="5"/>
        <v>0</v>
      </c>
      <c r="N26" s="3">
        <f t="shared" si="6"/>
        <v>0</v>
      </c>
    </row>
    <row r="27" ht="25" customHeight="1" spans="1:14">
      <c r="A27" s="2">
        <v>45301</v>
      </c>
      <c r="B27" s="3" t="s">
        <v>534</v>
      </c>
      <c r="C27" s="3">
        <v>240076</v>
      </c>
      <c r="D27" s="3" t="s">
        <v>4</v>
      </c>
      <c r="E27" s="4" t="s">
        <v>544</v>
      </c>
      <c r="F27" s="3">
        <v>37000</v>
      </c>
      <c r="G27" s="111"/>
      <c r="H27" s="3">
        <v>37000</v>
      </c>
      <c r="I27" s="3">
        <f t="shared" si="4"/>
        <v>0</v>
      </c>
      <c r="J27" s="3">
        <v>2.1</v>
      </c>
      <c r="K27" s="3">
        <f t="shared" si="3"/>
        <v>77700</v>
      </c>
      <c r="L27" s="3">
        <f t="shared" si="0"/>
        <v>602175</v>
      </c>
      <c r="M27" s="3">
        <f t="shared" si="5"/>
        <v>0</v>
      </c>
      <c r="N27" s="3">
        <f t="shared" si="6"/>
        <v>0</v>
      </c>
    </row>
    <row r="28" ht="25" customHeight="1" spans="1:14">
      <c r="A28" s="2">
        <v>45650</v>
      </c>
      <c r="B28" s="3" t="s">
        <v>532</v>
      </c>
      <c r="C28" s="3">
        <v>240079</v>
      </c>
      <c r="D28" s="3" t="s">
        <v>4</v>
      </c>
      <c r="E28" s="4" t="s">
        <v>542</v>
      </c>
      <c r="F28" s="3">
        <v>16667</v>
      </c>
      <c r="G28" s="111"/>
      <c r="H28" s="3">
        <v>16667</v>
      </c>
      <c r="I28" s="3">
        <v>0</v>
      </c>
      <c r="J28" s="3">
        <v>2.1</v>
      </c>
      <c r="K28" s="3">
        <f t="shared" si="3"/>
        <v>35000.7</v>
      </c>
      <c r="L28" s="3">
        <f t="shared" si="0"/>
        <v>271255.425</v>
      </c>
      <c r="M28" s="3">
        <f t="shared" si="5"/>
        <v>0</v>
      </c>
      <c r="N28" s="3">
        <f t="shared" si="6"/>
        <v>0</v>
      </c>
    </row>
    <row r="29" ht="25" customHeight="1" spans="1:14">
      <c r="A29" s="2">
        <v>45650</v>
      </c>
      <c r="B29" s="3" t="s">
        <v>533</v>
      </c>
      <c r="C29" s="3">
        <v>240079</v>
      </c>
      <c r="D29" s="3" t="s">
        <v>4</v>
      </c>
      <c r="E29" s="4" t="s">
        <v>543</v>
      </c>
      <c r="F29" s="3">
        <v>16667</v>
      </c>
      <c r="G29" s="111"/>
      <c r="H29" s="3">
        <v>16667</v>
      </c>
      <c r="I29" s="3">
        <v>0</v>
      </c>
      <c r="J29" s="3">
        <v>2.1</v>
      </c>
      <c r="K29" s="3">
        <f t="shared" si="3"/>
        <v>35000.7</v>
      </c>
      <c r="L29" s="3">
        <f t="shared" si="0"/>
        <v>271255.425</v>
      </c>
      <c r="M29" s="3">
        <f t="shared" si="5"/>
        <v>0</v>
      </c>
      <c r="N29" s="3">
        <f t="shared" si="6"/>
        <v>0</v>
      </c>
    </row>
    <row r="30" ht="25" customHeight="1" spans="1:14">
      <c r="A30" s="2">
        <v>45650</v>
      </c>
      <c r="B30" s="3" t="s">
        <v>534</v>
      </c>
      <c r="C30" s="3">
        <v>240079</v>
      </c>
      <c r="D30" s="3" t="s">
        <v>4</v>
      </c>
      <c r="E30" s="4" t="s">
        <v>544</v>
      </c>
      <c r="F30" s="3">
        <v>16667</v>
      </c>
      <c r="G30" s="111"/>
      <c r="H30" s="3">
        <v>16667</v>
      </c>
      <c r="I30" s="3">
        <v>0</v>
      </c>
      <c r="J30" s="3">
        <v>2.1</v>
      </c>
      <c r="K30" s="3">
        <f t="shared" si="3"/>
        <v>35000.7</v>
      </c>
      <c r="L30" s="3">
        <f t="shared" si="0"/>
        <v>271255.425</v>
      </c>
      <c r="M30" s="3">
        <f t="shared" si="5"/>
        <v>0</v>
      </c>
      <c r="N30" s="3">
        <f t="shared" si="6"/>
        <v>0</v>
      </c>
    </row>
    <row r="31" ht="25" customHeight="1" spans="1:14">
      <c r="A31" s="2">
        <v>45748</v>
      </c>
      <c r="B31" s="3" t="s">
        <v>532</v>
      </c>
      <c r="C31" s="3">
        <v>240106</v>
      </c>
      <c r="D31" s="3" t="s">
        <v>4</v>
      </c>
      <c r="E31" s="4" t="s">
        <v>542</v>
      </c>
      <c r="F31" s="140">
        <v>28333</v>
      </c>
      <c r="G31" s="111"/>
      <c r="H31" s="3">
        <v>28333</v>
      </c>
      <c r="I31" s="3">
        <f t="shared" si="4"/>
        <v>0</v>
      </c>
      <c r="J31" s="3">
        <v>2.1</v>
      </c>
      <c r="K31" s="3">
        <f t="shared" si="3"/>
        <v>59499.3</v>
      </c>
      <c r="L31" s="3">
        <f t="shared" si="0"/>
        <v>461119.575</v>
      </c>
      <c r="M31" s="3">
        <f t="shared" si="5"/>
        <v>0</v>
      </c>
      <c r="N31" s="3">
        <f t="shared" si="6"/>
        <v>0</v>
      </c>
    </row>
    <row r="32" ht="25" customHeight="1" spans="1:14">
      <c r="A32" s="2">
        <v>45748</v>
      </c>
      <c r="B32" s="3" t="s">
        <v>533</v>
      </c>
      <c r="C32" s="3">
        <v>240106</v>
      </c>
      <c r="D32" s="3" t="s">
        <v>4</v>
      </c>
      <c r="E32" s="4" t="s">
        <v>543</v>
      </c>
      <c r="F32" s="140">
        <v>28333</v>
      </c>
      <c r="G32" s="111"/>
      <c r="H32" s="3">
        <v>28333</v>
      </c>
      <c r="I32" s="3">
        <f t="shared" si="4"/>
        <v>0</v>
      </c>
      <c r="J32" s="3">
        <v>2.1</v>
      </c>
      <c r="K32" s="3">
        <f t="shared" si="3"/>
        <v>59499.3</v>
      </c>
      <c r="L32" s="3">
        <f t="shared" si="0"/>
        <v>461119.575</v>
      </c>
      <c r="M32" s="3">
        <f t="shared" si="5"/>
        <v>0</v>
      </c>
      <c r="N32" s="3">
        <f t="shared" si="6"/>
        <v>0</v>
      </c>
    </row>
    <row r="33" ht="25" customHeight="1" spans="1:14">
      <c r="A33" s="2">
        <v>45748</v>
      </c>
      <c r="B33" s="3" t="s">
        <v>534</v>
      </c>
      <c r="C33" s="3">
        <v>240106</v>
      </c>
      <c r="D33" s="3" t="s">
        <v>4</v>
      </c>
      <c r="E33" s="4" t="s">
        <v>544</v>
      </c>
      <c r="F33" s="140">
        <v>28333</v>
      </c>
      <c r="G33" s="111"/>
      <c r="H33" s="3">
        <v>28333</v>
      </c>
      <c r="I33" s="3">
        <f t="shared" si="4"/>
        <v>0</v>
      </c>
      <c r="J33" s="3">
        <v>2.1</v>
      </c>
      <c r="K33" s="3">
        <f t="shared" si="3"/>
        <v>59499.3</v>
      </c>
      <c r="L33" s="3">
        <f t="shared" si="0"/>
        <v>461119.575</v>
      </c>
      <c r="M33" s="3">
        <f t="shared" si="5"/>
        <v>0</v>
      </c>
      <c r="N33" s="3">
        <f t="shared" si="6"/>
        <v>0</v>
      </c>
    </row>
    <row r="34" customFormat="1" ht="25" customHeight="1" spans="1:14">
      <c r="A34" s="2">
        <v>45835</v>
      </c>
      <c r="B34" s="3" t="s">
        <v>532</v>
      </c>
      <c r="C34" s="87">
        <v>240115</v>
      </c>
      <c r="D34" s="87" t="s">
        <v>4</v>
      </c>
      <c r="E34" s="131" t="s">
        <v>542</v>
      </c>
      <c r="F34" s="141">
        <v>28180</v>
      </c>
      <c r="G34" s="111"/>
      <c r="H34" s="3">
        <v>28180</v>
      </c>
      <c r="I34" s="3">
        <f t="shared" si="4"/>
        <v>0</v>
      </c>
      <c r="J34" s="3">
        <v>2.1</v>
      </c>
      <c r="K34" s="3">
        <f t="shared" si="3"/>
        <v>59178</v>
      </c>
      <c r="L34" s="3">
        <f t="shared" si="0"/>
        <v>458629.5</v>
      </c>
      <c r="M34" s="3">
        <f t="shared" si="5"/>
        <v>0</v>
      </c>
      <c r="N34" s="3">
        <f t="shared" si="6"/>
        <v>0</v>
      </c>
    </row>
    <row r="35" customFormat="1" ht="25" customHeight="1" spans="1:14">
      <c r="A35" s="2">
        <v>45835</v>
      </c>
      <c r="B35" s="3" t="s">
        <v>533</v>
      </c>
      <c r="C35" s="87">
        <v>240115</v>
      </c>
      <c r="D35" s="87" t="s">
        <v>4</v>
      </c>
      <c r="E35" s="131" t="s">
        <v>543</v>
      </c>
      <c r="F35" s="141">
        <v>28180</v>
      </c>
      <c r="G35" s="111"/>
      <c r="H35" s="3">
        <v>28180</v>
      </c>
      <c r="I35" s="3">
        <f t="shared" si="4"/>
        <v>0</v>
      </c>
      <c r="J35" s="3">
        <v>2.1</v>
      </c>
      <c r="K35" s="3">
        <f t="shared" si="3"/>
        <v>59178</v>
      </c>
      <c r="L35" s="3">
        <f t="shared" si="0"/>
        <v>458629.5</v>
      </c>
      <c r="M35" s="3">
        <f t="shared" si="5"/>
        <v>0</v>
      </c>
      <c r="N35" s="3">
        <f t="shared" si="6"/>
        <v>0</v>
      </c>
    </row>
    <row r="36" customFormat="1" ht="25" customHeight="1" spans="1:14">
      <c r="A36" s="2">
        <v>45835</v>
      </c>
      <c r="B36" s="3" t="s">
        <v>534</v>
      </c>
      <c r="C36" s="87">
        <v>240115</v>
      </c>
      <c r="D36" s="87" t="s">
        <v>4</v>
      </c>
      <c r="E36" s="131" t="s">
        <v>544</v>
      </c>
      <c r="F36" s="141">
        <v>28180</v>
      </c>
      <c r="G36" s="111"/>
      <c r="H36" s="3">
        <v>28180</v>
      </c>
      <c r="I36" s="3">
        <f t="shared" si="4"/>
        <v>0</v>
      </c>
      <c r="J36" s="3">
        <v>2.1</v>
      </c>
      <c r="K36" s="3">
        <f t="shared" si="3"/>
        <v>59178</v>
      </c>
      <c r="L36" s="3">
        <f t="shared" si="0"/>
        <v>458629.5</v>
      </c>
      <c r="M36" s="3">
        <f t="shared" si="5"/>
        <v>0</v>
      </c>
      <c r="N36" s="3">
        <f t="shared" si="6"/>
        <v>0</v>
      </c>
    </row>
    <row r="37" customFormat="1" ht="25" customHeight="1" spans="1:14">
      <c r="A37" s="2">
        <v>45861</v>
      </c>
      <c r="B37" s="3" t="s">
        <v>532</v>
      </c>
      <c r="C37" s="87">
        <v>240117</v>
      </c>
      <c r="D37" s="87" t="s">
        <v>4</v>
      </c>
      <c r="E37" s="131" t="s">
        <v>542</v>
      </c>
      <c r="F37" s="141">
        <v>22128</v>
      </c>
      <c r="G37" s="111"/>
      <c r="H37" s="3">
        <f>5644+(SUM(总接单!L53:L99)/3)+SUM(总接单!AQ2:AQ99)</f>
        <v>7092</v>
      </c>
      <c r="I37" s="3">
        <f t="shared" si="4"/>
        <v>15036</v>
      </c>
      <c r="J37" s="3">
        <v>2.1</v>
      </c>
      <c r="K37" s="3">
        <f t="shared" si="3"/>
        <v>46468.8</v>
      </c>
      <c r="L37" s="3">
        <f t="shared" si="0"/>
        <v>360133.2</v>
      </c>
      <c r="M37" s="3">
        <f t="shared" si="5"/>
        <v>31575.6</v>
      </c>
      <c r="N37" s="3">
        <f t="shared" si="6"/>
        <v>244710.9</v>
      </c>
    </row>
    <row r="38" customFormat="1" ht="25" customHeight="1" spans="1:14">
      <c r="A38" s="2">
        <v>45861</v>
      </c>
      <c r="B38" s="3" t="s">
        <v>533</v>
      </c>
      <c r="C38" s="87">
        <v>240117</v>
      </c>
      <c r="D38" s="87" t="s">
        <v>4</v>
      </c>
      <c r="E38" s="131" t="s">
        <v>543</v>
      </c>
      <c r="F38" s="141">
        <v>22128</v>
      </c>
      <c r="G38" s="111"/>
      <c r="H38" s="3">
        <f>5644+(SUM(总接单!L53:L99)/3)+SUM(总接单!AO2:AO99)</f>
        <v>7092</v>
      </c>
      <c r="I38" s="3">
        <f t="shared" si="4"/>
        <v>15036</v>
      </c>
      <c r="J38" s="3">
        <v>2.1</v>
      </c>
      <c r="K38" s="3">
        <f t="shared" si="3"/>
        <v>46468.8</v>
      </c>
      <c r="L38" s="3">
        <f t="shared" si="0"/>
        <v>360133.2</v>
      </c>
      <c r="M38" s="3">
        <f t="shared" si="5"/>
        <v>31575.6</v>
      </c>
      <c r="N38" s="3">
        <f t="shared" si="6"/>
        <v>244710.9</v>
      </c>
    </row>
    <row r="39" customFormat="1" ht="25" customHeight="1" spans="1:14">
      <c r="A39" s="2">
        <v>45861</v>
      </c>
      <c r="B39" s="3" t="s">
        <v>534</v>
      </c>
      <c r="C39" s="87">
        <v>240117</v>
      </c>
      <c r="D39" s="87" t="s">
        <v>4</v>
      </c>
      <c r="E39" s="131" t="s">
        <v>544</v>
      </c>
      <c r="F39" s="141">
        <v>22128</v>
      </c>
      <c r="G39" s="85"/>
      <c r="H39" s="3">
        <f>5644+(SUM(总接单!L53:L99)/3)+SUM(总接单!AP2:AP99)</f>
        <v>7092</v>
      </c>
      <c r="I39" s="3">
        <f t="shared" si="4"/>
        <v>15036</v>
      </c>
      <c r="J39" s="3">
        <v>2.1</v>
      </c>
      <c r="K39" s="3">
        <f t="shared" si="3"/>
        <v>46468.8</v>
      </c>
      <c r="L39" s="3">
        <f t="shared" si="0"/>
        <v>360133.2</v>
      </c>
      <c r="M39" s="3">
        <f t="shared" si="5"/>
        <v>31575.6</v>
      </c>
      <c r="N39" s="3">
        <f t="shared" si="6"/>
        <v>244710.9</v>
      </c>
    </row>
    <row r="40" customFormat="1" ht="25" customHeight="1" spans="1:14">
      <c r="A40" s="123">
        <v>45898</v>
      </c>
      <c r="B40" s="3"/>
      <c r="C40" s="3"/>
      <c r="D40" s="87" t="s">
        <v>18</v>
      </c>
      <c r="E40" s="87" t="s">
        <v>550</v>
      </c>
      <c r="F40" s="87">
        <v>20000</v>
      </c>
      <c r="G40" s="111">
        <f>SUM(F40:F42)</f>
        <v>60000</v>
      </c>
      <c r="H40" s="3">
        <f>1200+SUM(总接单!M18:M99)/3+SUM(总接单!N31:N99)/2+SUM(总接单!AR2:AR99)</f>
        <v>18594</v>
      </c>
      <c r="I40" s="3">
        <f t="shared" si="4"/>
        <v>1406</v>
      </c>
      <c r="J40" s="3">
        <v>2.1</v>
      </c>
      <c r="K40" s="3">
        <f t="shared" si="3"/>
        <v>42000</v>
      </c>
      <c r="L40" s="3">
        <f t="shared" si="0"/>
        <v>325500</v>
      </c>
      <c r="M40" s="3">
        <f t="shared" si="5"/>
        <v>2952.6</v>
      </c>
      <c r="N40" s="3">
        <f t="shared" si="6"/>
        <v>22882.65</v>
      </c>
    </row>
    <row r="41" customFormat="1" ht="25" customHeight="1" spans="1:14">
      <c r="A41" s="123">
        <v>45898</v>
      </c>
      <c r="B41" s="3"/>
      <c r="C41" s="3"/>
      <c r="D41" s="87" t="s">
        <v>18</v>
      </c>
      <c r="E41" s="87" t="s">
        <v>551</v>
      </c>
      <c r="F41" s="87">
        <v>20000</v>
      </c>
      <c r="G41" s="111"/>
      <c r="H41" s="3">
        <f>1200+SUM(总接单!M18:M99)/3+SUM(总接单!AS2:AS99)</f>
        <v>17112</v>
      </c>
      <c r="I41" s="3">
        <f t="shared" si="4"/>
        <v>2888</v>
      </c>
      <c r="J41" s="3">
        <v>2.1</v>
      </c>
      <c r="K41" s="3">
        <f t="shared" si="3"/>
        <v>42000</v>
      </c>
      <c r="L41" s="3">
        <f t="shared" si="0"/>
        <v>325500</v>
      </c>
      <c r="M41" s="3">
        <f t="shared" si="5"/>
        <v>6064.8</v>
      </c>
      <c r="N41" s="3">
        <f t="shared" si="6"/>
        <v>47002.2</v>
      </c>
    </row>
    <row r="42" customFormat="1" ht="25" customHeight="1" spans="1:14">
      <c r="A42" s="123">
        <v>45898</v>
      </c>
      <c r="B42" s="3"/>
      <c r="C42" s="3"/>
      <c r="D42" s="87" t="s">
        <v>18</v>
      </c>
      <c r="E42" s="87" t="s">
        <v>552</v>
      </c>
      <c r="F42" s="87">
        <v>20000</v>
      </c>
      <c r="G42" s="85"/>
      <c r="H42" s="3">
        <f>1200+SUM(总接单!M18:M99)/3+SUM(总接单!N31:N99)/2+SUM(总接单!AT2:AT99)</f>
        <v>18594</v>
      </c>
      <c r="I42" s="3">
        <f t="shared" si="4"/>
        <v>1406</v>
      </c>
      <c r="J42" s="3">
        <v>2.1</v>
      </c>
      <c r="K42" s="3">
        <f t="shared" si="3"/>
        <v>42000</v>
      </c>
      <c r="L42" s="3">
        <f t="shared" si="0"/>
        <v>325500</v>
      </c>
      <c r="M42" s="3">
        <f t="shared" si="5"/>
        <v>2952.6</v>
      </c>
      <c r="N42" s="3">
        <f t="shared" si="6"/>
        <v>22882.65</v>
      </c>
    </row>
    <row r="43" ht="25" customHeight="1" spans="1:14">
      <c r="A43" s="2">
        <v>45715</v>
      </c>
      <c r="B43" s="3" t="s">
        <v>530</v>
      </c>
      <c r="C43" s="3">
        <v>240088</v>
      </c>
      <c r="D43" s="3" t="s">
        <v>9</v>
      </c>
      <c r="E43" s="4" t="s">
        <v>17</v>
      </c>
      <c r="F43" s="3">
        <v>45000</v>
      </c>
      <c r="G43" s="3">
        <f>F43</f>
        <v>45000</v>
      </c>
      <c r="H43" s="3">
        <f>27894+SUM(总接单!O18:P99)</f>
        <v>28074</v>
      </c>
      <c r="I43" s="3">
        <f t="shared" si="4"/>
        <v>16926</v>
      </c>
      <c r="J43" s="3">
        <v>4.52</v>
      </c>
      <c r="K43" s="3">
        <f t="shared" si="3"/>
        <v>203400</v>
      </c>
      <c r="L43" s="3">
        <f t="shared" si="0"/>
        <v>1576350</v>
      </c>
      <c r="M43" s="3">
        <f t="shared" si="5"/>
        <v>76505.52</v>
      </c>
      <c r="N43" s="3">
        <f t="shared" si="6"/>
        <v>592917.78</v>
      </c>
    </row>
    <row r="44" s="1" customFormat="1" ht="25" customHeight="1" spans="1:14">
      <c r="A44" s="2">
        <v>45972</v>
      </c>
      <c r="B44" s="3" t="s">
        <v>553</v>
      </c>
      <c r="C44" s="3">
        <v>240140</v>
      </c>
      <c r="D44" s="3" t="s">
        <v>20</v>
      </c>
      <c r="E44" s="4" t="s">
        <v>21</v>
      </c>
      <c r="F44" s="3">
        <v>6500</v>
      </c>
      <c r="G44" s="3">
        <f>F44</f>
        <v>6500</v>
      </c>
      <c r="H44" s="3">
        <f>5604+896</f>
        <v>6500</v>
      </c>
      <c r="I44" s="3">
        <f>G44-H44</f>
        <v>0</v>
      </c>
      <c r="J44" s="3">
        <v>6.34</v>
      </c>
      <c r="K44" s="3">
        <f t="shared" si="3"/>
        <v>41210</v>
      </c>
      <c r="L44" s="3">
        <f t="shared" si="0"/>
        <v>319377.5</v>
      </c>
      <c r="M44" s="3">
        <f t="shared" si="5"/>
        <v>0</v>
      </c>
      <c r="N44" s="3">
        <f t="shared" si="6"/>
        <v>0</v>
      </c>
    </row>
    <row r="45" s="1" customFormat="1" ht="25" customHeight="1" spans="1:14">
      <c r="A45" s="2">
        <v>45972</v>
      </c>
      <c r="B45" s="3" t="s">
        <v>554</v>
      </c>
      <c r="C45" s="3">
        <v>240140</v>
      </c>
      <c r="D45" s="3" t="s">
        <v>23</v>
      </c>
      <c r="E45" s="4" t="s">
        <v>24</v>
      </c>
      <c r="F45" s="3">
        <v>6500</v>
      </c>
      <c r="G45" s="3">
        <f>F45</f>
        <v>6500</v>
      </c>
      <c r="H45" s="3">
        <f>5604+896</f>
        <v>6500</v>
      </c>
      <c r="I45" s="3">
        <f>G45-H45</f>
        <v>0</v>
      </c>
      <c r="J45" s="3">
        <v>6.64</v>
      </c>
      <c r="K45" s="3">
        <f t="shared" si="3"/>
        <v>43160</v>
      </c>
      <c r="L45" s="3">
        <f t="shared" si="0"/>
        <v>334490</v>
      </c>
      <c r="M45" s="3">
        <f t="shared" si="5"/>
        <v>0</v>
      </c>
      <c r="N45" s="3">
        <f t="shared" si="6"/>
        <v>0</v>
      </c>
    </row>
    <row r="46" s="1" customFormat="1" ht="25" customHeight="1" spans="1:14">
      <c r="E46" s="137"/>
      <c r="L46"/>
    </row>
    <row r="47" customFormat="1" ht="25" customHeight="1" spans="1:14">
      <c r="A47" s="2"/>
      <c r="B47" s="3" t="s">
        <v>238</v>
      </c>
      <c r="C47" s="3" t="s">
        <v>535</v>
      </c>
      <c r="D47" s="3" t="s">
        <v>546</v>
      </c>
      <c r="E47" s="3" t="s">
        <v>547</v>
      </c>
      <c r="F47" s="1"/>
      <c r="G47" s="1"/>
      <c r="H47" s="1"/>
      <c r="I47" s="1"/>
      <c r="J47" s="1"/>
      <c r="K47" s="1"/>
      <c r="M47" s="1"/>
      <c r="N47" s="1"/>
    </row>
    <row r="48" s="1" customFormat="1" ht="25" customHeight="1" spans="1:14">
      <c r="A48" s="142" t="s">
        <v>555</v>
      </c>
      <c r="B48" s="143" t="s">
        <v>16</v>
      </c>
      <c r="C48" s="3">
        <f>SUMIF(E18:E43,B48,F18:F43)</f>
        <v>465338</v>
      </c>
      <c r="D48" s="3">
        <f>SUMIF(E18:E43,B48,H18:H43)</f>
        <v>436682</v>
      </c>
      <c r="E48" s="3">
        <f>SUMIF(E18:E43,B48,I18:I43)</f>
        <v>28656</v>
      </c>
      <c r="L48"/>
    </row>
    <row r="49" ht="25" customHeight="1" spans="2:5">
      <c r="B49" s="144" t="s">
        <v>542</v>
      </c>
      <c r="C49" s="3">
        <f>SUMIF(E18:E43,B49,F18:F43)</f>
        <v>132308</v>
      </c>
      <c r="D49" s="3">
        <f>SUMIF(E18:E43,B49,H18:H43)</f>
        <v>117272</v>
      </c>
      <c r="E49" s="3">
        <f>SUMIF(E18:E43,B49,I18:I43)</f>
        <v>15036</v>
      </c>
    </row>
    <row r="50" ht="25" customHeight="1" spans="2:5">
      <c r="B50" s="144" t="s">
        <v>543</v>
      </c>
      <c r="C50" s="3">
        <f>SUMIF(E18:E43,B50,F18:F43)</f>
        <v>132308</v>
      </c>
      <c r="D50" s="3">
        <f>SUMIF(E18:E43,B50,H18:H43)</f>
        <v>117272</v>
      </c>
      <c r="E50" s="3">
        <f>SUMIF(E18:E43,B50,I18:I43)</f>
        <v>15036</v>
      </c>
    </row>
    <row r="51" ht="25" customHeight="1" spans="2:5">
      <c r="B51" s="144" t="s">
        <v>544</v>
      </c>
      <c r="C51" s="3">
        <f>SUMIF(E18:E43,B51,F18:F43)</f>
        <v>132308</v>
      </c>
      <c r="D51" s="3">
        <f>SUMIF(E18:E43,B51,H18:H43)</f>
        <v>117272</v>
      </c>
      <c r="E51" s="3">
        <f>SUMIF(E18:E43,B51,I18:I43)</f>
        <v>15036</v>
      </c>
    </row>
    <row r="52" ht="25" customHeight="1" spans="2:5">
      <c r="B52" s="144" t="s">
        <v>550</v>
      </c>
      <c r="C52" s="3">
        <v>20000</v>
      </c>
      <c r="D52" s="3">
        <f>SUMIF(E19:E44,B52,H19:H44)</f>
        <v>18594</v>
      </c>
      <c r="E52" s="3">
        <f>SUMIF(E19:E44,B52,I19:I44)</f>
        <v>1406</v>
      </c>
    </row>
    <row r="53" ht="25" customHeight="1" spans="2:5">
      <c r="B53" s="144" t="s">
        <v>551</v>
      </c>
      <c r="C53" s="3">
        <v>20000</v>
      </c>
      <c r="D53" s="3">
        <f>SUMIF(E20:E45,B53,H20:H45)</f>
        <v>17112</v>
      </c>
      <c r="E53" s="3">
        <f>SUMIF(E20:E45,B53,I20:I45)</f>
        <v>2888</v>
      </c>
    </row>
    <row r="54" ht="25" customHeight="1" spans="2:5">
      <c r="B54" s="144" t="s">
        <v>552</v>
      </c>
      <c r="C54" s="3">
        <v>20000</v>
      </c>
      <c r="D54" s="3">
        <f>SUMIF(E21:E46,B54,H21:H46)</f>
        <v>18594</v>
      </c>
      <c r="E54" s="3">
        <f>SUMIF(E21:E46,B54,I21:I46)</f>
        <v>1406</v>
      </c>
    </row>
    <row r="55" ht="25" customHeight="1" spans="2:5">
      <c r="B55" s="143" t="s">
        <v>17</v>
      </c>
      <c r="C55" s="3">
        <f>SUMIF(E18:E43,B55,F18:F43)</f>
        <v>45000</v>
      </c>
      <c r="D55" s="3">
        <f>SUMIF(E18:E43,B55,H18:H43)</f>
        <v>28074</v>
      </c>
      <c r="E55" s="3">
        <f>SUMIF(E18:E43,B55,I18:I43)</f>
        <v>16926</v>
      </c>
    </row>
    <row r="56" ht="25" customHeight="1" spans="2:5">
      <c r="B56" s="144" t="s">
        <v>21</v>
      </c>
      <c r="C56" s="3">
        <f>SUMIF(E19:E45,B56,F19:F45)</f>
        <v>6500</v>
      </c>
      <c r="D56" s="3">
        <f>SUMIF(E19:E45,B56,H19:H45)</f>
        <v>6500</v>
      </c>
      <c r="E56" s="3">
        <f>SUMIF(E19:E45,B56,I19:I45)</f>
        <v>0</v>
      </c>
    </row>
    <row r="57" ht="25" customHeight="1" spans="2:5">
      <c r="B57" s="144" t="s">
        <v>24</v>
      </c>
      <c r="C57" s="3">
        <f>SUMIF(E19:E45,B57,F19:F45)</f>
        <v>6500</v>
      </c>
      <c r="D57" s="3">
        <f>SUMIF(E19:E45,B57,H19:H45)</f>
        <v>6500</v>
      </c>
      <c r="E57" s="3">
        <f>SUMIF(E19:E45,B57,I19:I45)</f>
        <v>0</v>
      </c>
    </row>
    <row r="58" ht="25" customHeight="1"/>
    <row r="59" ht="25" customHeight="1"/>
    <row r="60" ht="25" customHeight="1"/>
    <row r="61" ht="25" customHeight="1"/>
    <row r="62" ht="25" customHeight="1"/>
    <row r="63" ht="25" customHeight="1"/>
    <row r="64" ht="25" customHeight="1"/>
    <row r="65" ht="25" customHeight="1"/>
    <row r="66" ht="25" customHeight="1"/>
    <row r="67" ht="25" customHeight="1"/>
    <row r="68" ht="25" customHeight="1"/>
    <row r="69" ht="25" customHeight="1"/>
    <row r="70" ht="25" customHeight="1"/>
    <row r="71" ht="25" customHeight="1"/>
    <row r="72" ht="25" customHeight="1"/>
    <row r="73" ht="25" customHeight="1"/>
  </sheetData>
  <sheetProtection formatCells="0" formatColumns="0" formatRows="0" insertRows="0" insertColumns="0" insertHyperlinks="0" deleteColumns="0" deleteRows="0" sort="0" autoFilter="0" pivotTables="0"/>
  <protectedRanges>
    <protectedRange sqref="$A1:$XFD1048576" name="Range1"/>
  </protectedRanges>
  <autoFilter xmlns:etc="http://www.wps.cn/officeDocument/2017/etCustomData" ref="A18:N45" etc:filterBottomFollowUsedRange="0">
    <extLst/>
  </autoFilter>
  <mergeCells count="6">
    <mergeCell ref="A48:A57"/>
    <mergeCell ref="G19:G24"/>
    <mergeCell ref="G25:G39"/>
    <mergeCell ref="G40:G42"/>
    <mergeCell ref="H19:H23"/>
    <mergeCell ref="I19:I23"/>
  </mergeCells>
  <pageMargins left="0.75" right="0.75" top="1" bottom="1" header="0.5" footer="0.5"/>
  <pageSetup paperSize="9" orientation="portrait"/>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50"/>
  <sheetViews>
    <sheetView workbookViewId="0">
      <pane xSplit="10" ySplit="1" topLeftCell="W2" activePane="bottomRight" state="frozen"/>
      <selection/>
      <selection pane="topRight"/>
      <selection pane="bottomLeft"/>
      <selection pane="bottomRight" activeCell="AE5" sqref="AE5"/>
    </sheetView>
  </sheetViews>
  <sheetFormatPr defaultColWidth="8.8" defaultRowHeight="25" customHeight="1"/>
  <cols>
    <col min="1" max="1" width="12.6" style="115" customWidth="1"/>
    <col min="2" max="3" width="6.625" style="116" hidden="1" customWidth="1"/>
    <col min="4" max="4" width="15.625" style="117" hidden="1" customWidth="1"/>
    <col min="5" max="5" width="12.6" style="116" customWidth="1"/>
    <col min="6" max="6" width="11" style="116" customWidth="1"/>
    <col min="7" max="7" width="12.6" style="116" customWidth="1"/>
    <col min="8" max="8" width="13.8" style="116" customWidth="1"/>
    <col min="9" max="9" width="10.6" style="116" customWidth="1"/>
    <col min="10" max="10" width="9" style="116" customWidth="1"/>
    <col min="11" max="11" width="5.6" style="116" customWidth="1"/>
    <col min="12" max="12" width="5.625" style="116" customWidth="1"/>
    <col min="13" max="14" width="12.6" style="116" customWidth="1"/>
    <col min="15" max="15" width="12.6" style="118" hidden="1" customWidth="1"/>
    <col min="16" max="16" width="5.6" style="118" hidden="1" customWidth="1"/>
    <col min="17" max="19" width="12.625" style="118" hidden="1" customWidth="1"/>
    <col min="20" max="21" width="5.625" style="118" hidden="1" customWidth="1"/>
    <col min="22" max="22" width="12.625" style="119" hidden="1" customWidth="1"/>
    <col min="23" max="24" width="12.625" style="118" customWidth="1"/>
    <col min="25" max="25" width="12.625" style="118" hidden="1" customWidth="1"/>
    <col min="26" max="26" width="15.6" style="118" customWidth="1"/>
    <col min="27" max="27" width="8.6" style="120" customWidth="1"/>
    <col min="28" max="29" width="12.6" style="121" customWidth="1"/>
    <col min="30" max="30" width="10.6" style="122" customWidth="1"/>
    <col min="31" max="31" width="10.6" style="116" customWidth="1"/>
    <col min="32" max="16384" width="8.8" style="116"/>
  </cols>
  <sheetData>
    <row r="1" customHeight="1" spans="1:31">
      <c r="A1" s="123" t="s">
        <v>53</v>
      </c>
      <c r="B1" s="82" t="s">
        <v>54</v>
      </c>
      <c r="C1" s="82" t="s">
        <v>236</v>
      </c>
      <c r="D1" s="87" t="s">
        <v>55</v>
      </c>
      <c r="E1" s="82" t="s">
        <v>56</v>
      </c>
      <c r="F1" s="82" t="s">
        <v>57</v>
      </c>
      <c r="G1" s="82" t="s">
        <v>58</v>
      </c>
      <c r="H1" s="124" t="s">
        <v>238</v>
      </c>
      <c r="I1" s="124" t="s">
        <v>556</v>
      </c>
      <c r="J1" s="82" t="s">
        <v>547</v>
      </c>
      <c r="K1" s="82" t="s">
        <v>2</v>
      </c>
      <c r="L1" s="82" t="s">
        <v>239</v>
      </c>
      <c r="M1" s="82" t="s">
        <v>240</v>
      </c>
      <c r="N1" s="82" t="s">
        <v>241</v>
      </c>
      <c r="O1" s="125" t="s">
        <v>242</v>
      </c>
      <c r="P1" s="126" t="s">
        <v>557</v>
      </c>
      <c r="Q1" s="126" t="s">
        <v>245</v>
      </c>
      <c r="R1" s="126" t="s">
        <v>248</v>
      </c>
      <c r="S1" s="126" t="s">
        <v>249</v>
      </c>
      <c r="T1" s="126" t="s">
        <v>250</v>
      </c>
      <c r="U1" s="126" t="s">
        <v>251</v>
      </c>
      <c r="V1" s="127" t="s">
        <v>3</v>
      </c>
      <c r="W1" s="126" t="s">
        <v>252</v>
      </c>
      <c r="X1" s="126" t="s">
        <v>253</v>
      </c>
      <c r="Y1" s="126" t="s">
        <v>254</v>
      </c>
      <c r="Z1" s="126" t="s">
        <v>255</v>
      </c>
      <c r="AA1" s="128" t="s">
        <v>256</v>
      </c>
      <c r="AB1" s="129" t="s">
        <v>257</v>
      </c>
      <c r="AC1" s="129" t="s">
        <v>258</v>
      </c>
      <c r="AD1" s="130" t="s">
        <v>320</v>
      </c>
      <c r="AE1" s="82" t="s">
        <v>261</v>
      </c>
    </row>
    <row r="2" s="114" customFormat="1" customHeight="1" spans="1:31">
      <c r="A2" s="123">
        <v>45401</v>
      </c>
      <c r="B2" s="87"/>
      <c r="C2" s="87"/>
      <c r="D2" s="87"/>
      <c r="E2" s="87" t="s">
        <v>527</v>
      </c>
      <c r="F2" s="87">
        <v>240059</v>
      </c>
      <c r="G2" s="131" t="s">
        <v>6</v>
      </c>
      <c r="H2" s="131" t="s">
        <v>16</v>
      </c>
      <c r="I2" s="131"/>
      <c r="J2" s="131">
        <f>15232-384-768-2176-2816-1792-1408-1280-1024-3000-246-338</f>
        <v>0</v>
      </c>
      <c r="K2" s="131">
        <v>6</v>
      </c>
      <c r="L2" s="82">
        <f t="shared" ref="L2:L28" si="0">J2/K2</f>
        <v>0</v>
      </c>
      <c r="M2" s="123">
        <v>45658</v>
      </c>
      <c r="N2" s="123">
        <v>45658</v>
      </c>
      <c r="O2" s="132"/>
      <c r="P2" s="126"/>
      <c r="Q2" s="126"/>
      <c r="R2" s="133"/>
      <c r="S2" s="133"/>
      <c r="T2" s="133"/>
      <c r="U2" s="133"/>
      <c r="V2" s="127"/>
      <c r="W2" s="87"/>
      <c r="X2" s="126"/>
      <c r="Y2" s="126"/>
      <c r="Z2" s="126"/>
      <c r="AA2" s="134">
        <v>4.5</v>
      </c>
      <c r="AB2" s="129">
        <f>AA2*J2</f>
        <v>0</v>
      </c>
      <c r="AC2" s="129">
        <f t="shared" ref="AC2:AC11" si="1">AB2*7.75</f>
        <v>0</v>
      </c>
      <c r="AD2" s="130"/>
      <c r="AE2" s="82" t="s">
        <v>558</v>
      </c>
    </row>
    <row r="3" s="114" customFormat="1" customHeight="1" spans="1:31">
      <c r="A3" s="123">
        <v>45666</v>
      </c>
      <c r="B3" s="87"/>
      <c r="C3" s="87"/>
      <c r="D3" s="87"/>
      <c r="E3" s="87" t="s">
        <v>532</v>
      </c>
      <c r="F3" s="87">
        <v>240079</v>
      </c>
      <c r="G3" s="87" t="s">
        <v>4</v>
      </c>
      <c r="H3" s="131" t="s">
        <v>542</v>
      </c>
      <c r="I3" s="131">
        <v>16667</v>
      </c>
      <c r="J3" s="131">
        <f>16667-((1764+744+1800+240+360+1200+1440+1800+2400+1800+1800+1200+1080+2160+2160+1080+2160+2160+3240+2160+1080+1080+1080+2160+2160+2160+2160+2160+2160+1053)/3)</f>
        <v>0</v>
      </c>
      <c r="K3" s="87">
        <v>1</v>
      </c>
      <c r="L3" s="82">
        <f t="shared" si="0"/>
        <v>0</v>
      </c>
      <c r="M3" s="123">
        <v>46015</v>
      </c>
      <c r="N3" s="123">
        <v>46015</v>
      </c>
      <c r="O3" s="132"/>
      <c r="P3" s="126"/>
      <c r="Q3" s="126"/>
      <c r="R3" s="133"/>
      <c r="S3" s="133"/>
      <c r="T3" s="133"/>
      <c r="U3" s="133"/>
      <c r="V3" s="127"/>
      <c r="W3" s="87"/>
      <c r="X3" s="126"/>
      <c r="Y3" s="126"/>
      <c r="Z3" s="126"/>
      <c r="AA3" s="128">
        <v>2.1</v>
      </c>
      <c r="AB3" s="129">
        <f t="shared" ref="AB3:AB30" si="2">AA3*J3</f>
        <v>0</v>
      </c>
      <c r="AC3" s="129">
        <f t="shared" si="1"/>
        <v>0</v>
      </c>
      <c r="AD3" s="76">
        <v>82948</v>
      </c>
      <c r="AE3" s="82" t="s">
        <v>558</v>
      </c>
    </row>
    <row r="4" s="114" customFormat="1" customHeight="1" spans="1:31">
      <c r="A4" s="123">
        <v>45666</v>
      </c>
      <c r="B4" s="87"/>
      <c r="C4" s="87"/>
      <c r="D4" s="87"/>
      <c r="E4" s="87" t="s">
        <v>533</v>
      </c>
      <c r="F4" s="87">
        <v>240079</v>
      </c>
      <c r="G4" s="87" t="s">
        <v>4</v>
      </c>
      <c r="H4" s="131" t="s">
        <v>543</v>
      </c>
      <c r="I4" s="131">
        <v>16667</v>
      </c>
      <c r="J4" s="131">
        <f>16667-((1764+744+1800+240+360+1200+1440+1800+2400+1800+1800+1200+1080+2160+2160+1080+2160+2160+3240+2160+1080+1080+1080+2160+2160+2160+2160+2160+2160+1053)/3)</f>
        <v>0</v>
      </c>
      <c r="K4" s="87">
        <v>1</v>
      </c>
      <c r="L4" s="82">
        <f t="shared" si="0"/>
        <v>0</v>
      </c>
      <c r="M4" s="123">
        <v>46015</v>
      </c>
      <c r="N4" s="123">
        <v>46015</v>
      </c>
      <c r="O4" s="132"/>
      <c r="P4" s="126"/>
      <c r="Q4" s="126"/>
      <c r="R4" s="133"/>
      <c r="S4" s="133"/>
      <c r="T4" s="133"/>
      <c r="U4" s="133"/>
      <c r="V4" s="127"/>
      <c r="W4" s="87"/>
      <c r="X4" s="126"/>
      <c r="Y4" s="126"/>
      <c r="Z4" s="126"/>
      <c r="AA4" s="128">
        <v>2.1</v>
      </c>
      <c r="AB4" s="129">
        <f t="shared" si="2"/>
        <v>0</v>
      </c>
      <c r="AC4" s="129">
        <f t="shared" si="1"/>
        <v>0</v>
      </c>
      <c r="AD4" s="76">
        <v>82948</v>
      </c>
      <c r="AE4" s="82" t="s">
        <v>558</v>
      </c>
    </row>
    <row r="5" s="114" customFormat="1" customHeight="1" spans="1:31">
      <c r="A5" s="123">
        <v>45666</v>
      </c>
      <c r="B5" s="87"/>
      <c r="C5" s="87"/>
      <c r="D5" s="87"/>
      <c r="E5" s="87" t="s">
        <v>534</v>
      </c>
      <c r="F5" s="87">
        <v>240079</v>
      </c>
      <c r="G5" s="87" t="s">
        <v>4</v>
      </c>
      <c r="H5" s="131" t="s">
        <v>544</v>
      </c>
      <c r="I5" s="131">
        <v>16667</v>
      </c>
      <c r="J5" s="131">
        <f>16667-((1764+744+1800+240+360+1200+1440+1800+2400+1800+1800+1200+1080+2160+2160+1080+2160+2160+3240+2160+1080+1080+1080+2160+2160+2160+2160+2160+2160+1053)/3)</f>
        <v>0</v>
      </c>
      <c r="K5" s="87">
        <v>1</v>
      </c>
      <c r="L5" s="82">
        <f t="shared" si="0"/>
        <v>0</v>
      </c>
      <c r="M5" s="123">
        <v>46015</v>
      </c>
      <c r="N5" s="123">
        <v>46015</v>
      </c>
      <c r="O5" s="132"/>
      <c r="P5" s="126"/>
      <c r="Q5" s="126"/>
      <c r="R5" s="133"/>
      <c r="S5" s="133"/>
      <c r="T5" s="133"/>
      <c r="U5" s="133"/>
      <c r="V5" s="127"/>
      <c r="W5" s="87"/>
      <c r="X5" s="126"/>
      <c r="Y5" s="126"/>
      <c r="Z5" s="126"/>
      <c r="AA5" s="128">
        <v>2.1</v>
      </c>
      <c r="AB5" s="129">
        <f t="shared" si="2"/>
        <v>0</v>
      </c>
      <c r="AC5" s="129">
        <f t="shared" si="1"/>
        <v>0</v>
      </c>
      <c r="AD5" s="76">
        <v>82948</v>
      </c>
      <c r="AE5" s="82" t="s">
        <v>558</v>
      </c>
    </row>
    <row r="6" s="114" customFormat="1" customHeight="1" spans="1:31">
      <c r="A6" s="123">
        <v>45719</v>
      </c>
      <c r="B6" s="87"/>
      <c r="C6" s="87"/>
      <c r="D6" s="87"/>
      <c r="E6" s="87" t="s">
        <v>530</v>
      </c>
      <c r="F6" s="87">
        <v>240088</v>
      </c>
      <c r="G6" s="131" t="s">
        <v>9</v>
      </c>
      <c r="H6" s="131" t="s">
        <v>17</v>
      </c>
      <c r="I6" s="131">
        <v>45000</v>
      </c>
      <c r="J6" s="87">
        <f>45000-5004-2610-1392-3252-4998-2130-3006-4998-504-180</f>
        <v>16926</v>
      </c>
      <c r="K6" s="87">
        <v>6</v>
      </c>
      <c r="L6" s="82">
        <f t="shared" si="0"/>
        <v>2821</v>
      </c>
      <c r="M6" s="123">
        <v>46080</v>
      </c>
      <c r="N6" s="123">
        <v>46080</v>
      </c>
      <c r="O6" s="132"/>
      <c r="P6" s="126"/>
      <c r="Q6" s="126"/>
      <c r="R6" s="133"/>
      <c r="S6" s="133"/>
      <c r="T6" s="133"/>
      <c r="U6" s="133"/>
      <c r="V6" s="127"/>
      <c r="W6" s="87"/>
      <c r="X6" s="126"/>
      <c r="Y6" s="126"/>
      <c r="Z6" s="126"/>
      <c r="AA6" s="134">
        <v>4.52</v>
      </c>
      <c r="AB6" s="129">
        <f t="shared" si="2"/>
        <v>76505.52</v>
      </c>
      <c r="AC6" s="129">
        <f t="shared" si="1"/>
        <v>592917.78</v>
      </c>
      <c r="AD6" s="76" t="s">
        <v>559</v>
      </c>
      <c r="AE6" s="82" t="s">
        <v>558</v>
      </c>
    </row>
    <row r="7" s="114" customFormat="1" customHeight="1" spans="1:31">
      <c r="A7" s="123">
        <v>45721</v>
      </c>
      <c r="B7" s="87"/>
      <c r="C7" s="87"/>
      <c r="D7" s="87"/>
      <c r="E7" s="87"/>
      <c r="F7" s="87">
        <v>240090</v>
      </c>
      <c r="G7" s="131" t="s">
        <v>6</v>
      </c>
      <c r="H7" s="131" t="s">
        <v>16</v>
      </c>
      <c r="I7" s="131">
        <v>150000</v>
      </c>
      <c r="J7" s="87">
        <f>150000+338-1002-1002-498-1164-654-930-120-348-324-480-654-696-354-252-2816-1536-240-1002-534-138-216-342-720-512-384-512-384-1152-4224-4224-2316-7200-2520-5832-7200-1230-1014-288-624-768-384-384-512-640-384-640-6702-3000-512-640-384-384-384-768-640-624-564-256-512-640-768-3072-768-3328-726-624-2100-516-892-384-1300-700-1536-384-768-896-896-256-1500-504-1014-624-1200-180-1000-500-1200-1000-500-6306-504-1002-1002-1002-1800-1200-574-1300-198-942-432-924</f>
        <v>28656</v>
      </c>
      <c r="K7" s="87">
        <v>2</v>
      </c>
      <c r="L7" s="82">
        <f t="shared" si="0"/>
        <v>14328</v>
      </c>
      <c r="M7" s="123">
        <v>46070</v>
      </c>
      <c r="N7" s="123">
        <v>46070</v>
      </c>
      <c r="O7" s="132"/>
      <c r="P7" s="126"/>
      <c r="Q7" s="126"/>
      <c r="R7" s="133"/>
      <c r="S7" s="133"/>
      <c r="T7" s="133"/>
      <c r="U7" s="133"/>
      <c r="V7" s="127"/>
      <c r="W7" s="87"/>
      <c r="X7" s="126"/>
      <c r="Y7" s="126"/>
      <c r="Z7" s="126"/>
      <c r="AA7" s="134">
        <v>4.5</v>
      </c>
      <c r="AB7" s="129">
        <f t="shared" si="2"/>
        <v>128952</v>
      </c>
      <c r="AC7" s="129">
        <f t="shared" si="1"/>
        <v>999378</v>
      </c>
      <c r="AD7" s="76">
        <v>82979</v>
      </c>
      <c r="AE7" s="82" t="s">
        <v>558</v>
      </c>
    </row>
    <row r="8" s="114" customFormat="1" customHeight="1" spans="1:31">
      <c r="A8" s="123">
        <v>45768</v>
      </c>
      <c r="B8" s="87"/>
      <c r="C8" s="87"/>
      <c r="D8" s="87"/>
      <c r="E8" s="87"/>
      <c r="F8" s="87" t="s">
        <v>560</v>
      </c>
      <c r="G8" s="87" t="s">
        <v>4</v>
      </c>
      <c r="H8" s="131" t="s">
        <v>542</v>
      </c>
      <c r="I8" s="131"/>
      <c r="J8" s="87">
        <f>(144747/3)-48249</f>
        <v>0</v>
      </c>
      <c r="K8" s="87">
        <v>1</v>
      </c>
      <c r="L8" s="82">
        <f t="shared" si="0"/>
        <v>0</v>
      </c>
      <c r="M8" s="123">
        <v>45847</v>
      </c>
      <c r="N8" s="123">
        <v>45847</v>
      </c>
      <c r="O8" s="132"/>
      <c r="P8" s="126"/>
      <c r="Q8" s="126"/>
      <c r="R8" s="133"/>
      <c r="S8" s="133"/>
      <c r="T8" s="133"/>
      <c r="U8" s="133"/>
      <c r="V8" s="127"/>
      <c r="W8" s="87"/>
      <c r="X8" s="126"/>
      <c r="Y8" s="126"/>
      <c r="Z8" s="126"/>
      <c r="AA8" s="128">
        <v>2.06</v>
      </c>
      <c r="AB8" s="129">
        <f t="shared" si="2"/>
        <v>0</v>
      </c>
      <c r="AC8" s="129">
        <f t="shared" si="1"/>
        <v>0</v>
      </c>
      <c r="AD8" s="76" t="s">
        <v>561</v>
      </c>
      <c r="AE8" s="82"/>
    </row>
    <row r="9" s="114" customFormat="1" customHeight="1" spans="1:31">
      <c r="A9" s="123">
        <v>45768</v>
      </c>
      <c r="B9" s="87"/>
      <c r="C9" s="87"/>
      <c r="D9" s="87"/>
      <c r="E9" s="87"/>
      <c r="F9" s="87" t="s">
        <v>560</v>
      </c>
      <c r="G9" s="87" t="s">
        <v>4</v>
      </c>
      <c r="H9" s="131" t="s">
        <v>543</v>
      </c>
      <c r="I9" s="131"/>
      <c r="J9" s="87">
        <f>(144747/3)-48249</f>
        <v>0</v>
      </c>
      <c r="K9" s="87">
        <v>1</v>
      </c>
      <c r="L9" s="82">
        <f t="shared" si="0"/>
        <v>0</v>
      </c>
      <c r="M9" s="123">
        <v>45847</v>
      </c>
      <c r="N9" s="123">
        <v>45847</v>
      </c>
      <c r="O9" s="132"/>
      <c r="P9" s="126"/>
      <c r="Q9" s="126"/>
      <c r="R9" s="133"/>
      <c r="S9" s="133"/>
      <c r="T9" s="133"/>
      <c r="U9" s="133"/>
      <c r="V9" s="127"/>
      <c r="W9" s="87"/>
      <c r="X9" s="126"/>
      <c r="Y9" s="126"/>
      <c r="Z9" s="126"/>
      <c r="AA9" s="128">
        <v>2.06</v>
      </c>
      <c r="AB9" s="129">
        <f t="shared" si="2"/>
        <v>0</v>
      </c>
      <c r="AC9" s="129">
        <f t="shared" ref="AC9:AC30" si="3">AB9*7.75</f>
        <v>0</v>
      </c>
      <c r="AD9" s="76" t="s">
        <v>561</v>
      </c>
      <c r="AE9" s="82"/>
    </row>
    <row r="10" s="114" customFormat="1" customHeight="1" spans="1:31">
      <c r="A10" s="123">
        <v>45768</v>
      </c>
      <c r="B10" s="87"/>
      <c r="C10" s="87"/>
      <c r="D10" s="87"/>
      <c r="E10" s="87"/>
      <c r="F10" s="87" t="s">
        <v>560</v>
      </c>
      <c r="G10" s="87" t="s">
        <v>4</v>
      </c>
      <c r="H10" s="131" t="s">
        <v>544</v>
      </c>
      <c r="I10" s="131"/>
      <c r="J10" s="87">
        <f>(144747/3)-48249</f>
        <v>0</v>
      </c>
      <c r="K10" s="87">
        <v>1</v>
      </c>
      <c r="L10" s="82">
        <f t="shared" si="0"/>
        <v>0</v>
      </c>
      <c r="M10" s="123">
        <v>45847</v>
      </c>
      <c r="N10" s="123">
        <v>45847</v>
      </c>
      <c r="O10" s="132"/>
      <c r="P10" s="126"/>
      <c r="Q10" s="126"/>
      <c r="R10" s="133"/>
      <c r="S10" s="133"/>
      <c r="T10" s="133"/>
      <c r="U10" s="133"/>
      <c r="V10" s="127"/>
      <c r="W10" s="87"/>
      <c r="X10" s="126"/>
      <c r="Y10" s="126"/>
      <c r="Z10" s="126"/>
      <c r="AA10" s="128">
        <v>2.06</v>
      </c>
      <c r="AB10" s="129">
        <f t="shared" si="2"/>
        <v>0</v>
      </c>
      <c r="AC10" s="129">
        <f t="shared" si="3"/>
        <v>0</v>
      </c>
      <c r="AD10" s="76" t="s">
        <v>561</v>
      </c>
      <c r="AE10" s="82"/>
    </row>
    <row r="11" s="114" customFormat="1" customHeight="1" spans="1:31">
      <c r="A11" s="123">
        <v>45768</v>
      </c>
      <c r="B11" s="87"/>
      <c r="C11" s="87"/>
      <c r="D11" s="87"/>
      <c r="E11" s="87"/>
      <c r="F11" s="87" t="s">
        <v>562</v>
      </c>
      <c r="G11" s="87" t="s">
        <v>4</v>
      </c>
      <c r="H11" s="131" t="s">
        <v>542</v>
      </c>
      <c r="I11" s="131"/>
      <c r="J11" s="87">
        <f>1200/3-400</f>
        <v>0</v>
      </c>
      <c r="K11" s="87">
        <v>1</v>
      </c>
      <c r="L11" s="82">
        <f t="shared" si="0"/>
        <v>0</v>
      </c>
      <c r="M11" s="123">
        <v>45847</v>
      </c>
      <c r="N11" s="123">
        <v>45847</v>
      </c>
      <c r="O11" s="132"/>
      <c r="P11" s="126"/>
      <c r="Q11" s="126"/>
      <c r="R11" s="133"/>
      <c r="S11" s="133"/>
      <c r="T11" s="133"/>
      <c r="U11" s="133"/>
      <c r="V11" s="127"/>
      <c r="W11" s="87"/>
      <c r="X11" s="126"/>
      <c r="Y11" s="126"/>
      <c r="Z11" s="126"/>
      <c r="AA11" s="128">
        <v>2.1</v>
      </c>
      <c r="AB11" s="129">
        <f t="shared" si="2"/>
        <v>0</v>
      </c>
      <c r="AC11" s="129">
        <f t="shared" si="3"/>
        <v>0</v>
      </c>
      <c r="AD11" s="76" t="s">
        <v>561</v>
      </c>
      <c r="AE11" s="82"/>
    </row>
    <row r="12" s="114" customFormat="1" customHeight="1" spans="1:31">
      <c r="A12" s="123">
        <v>45768</v>
      </c>
      <c r="B12" s="87"/>
      <c r="C12" s="87"/>
      <c r="D12" s="87"/>
      <c r="E12" s="87"/>
      <c r="F12" s="87" t="s">
        <v>562</v>
      </c>
      <c r="G12" s="87" t="s">
        <v>4</v>
      </c>
      <c r="H12" s="131" t="s">
        <v>543</v>
      </c>
      <c r="I12" s="131"/>
      <c r="J12" s="87">
        <f>1200/3-400</f>
        <v>0</v>
      </c>
      <c r="K12" s="87">
        <v>1</v>
      </c>
      <c r="L12" s="82">
        <f t="shared" si="0"/>
        <v>0</v>
      </c>
      <c r="M12" s="123">
        <v>45847</v>
      </c>
      <c r="N12" s="123">
        <v>45847</v>
      </c>
      <c r="O12" s="132"/>
      <c r="P12" s="126"/>
      <c r="Q12" s="126"/>
      <c r="R12" s="133"/>
      <c r="S12" s="133"/>
      <c r="T12" s="133"/>
      <c r="U12" s="133"/>
      <c r="V12" s="127"/>
      <c r="W12" s="87"/>
      <c r="X12" s="126"/>
      <c r="Y12" s="126"/>
      <c r="Z12" s="126"/>
      <c r="AA12" s="128">
        <v>2.1</v>
      </c>
      <c r="AB12" s="129">
        <f t="shared" si="2"/>
        <v>0</v>
      </c>
      <c r="AC12" s="129">
        <f t="shared" si="3"/>
        <v>0</v>
      </c>
      <c r="AD12" s="76" t="s">
        <v>561</v>
      </c>
      <c r="AE12" s="82"/>
    </row>
    <row r="13" s="114" customFormat="1" customHeight="1" spans="1:31">
      <c r="A13" s="123">
        <v>45768</v>
      </c>
      <c r="B13" s="87"/>
      <c r="C13" s="87"/>
      <c r="D13" s="87"/>
      <c r="E13" s="87"/>
      <c r="F13" s="87" t="s">
        <v>562</v>
      </c>
      <c r="G13" s="87" t="s">
        <v>4</v>
      </c>
      <c r="H13" s="131" t="s">
        <v>544</v>
      </c>
      <c r="I13" s="131"/>
      <c r="J13" s="87">
        <f>1200/3-400</f>
        <v>0</v>
      </c>
      <c r="K13" s="87">
        <v>1</v>
      </c>
      <c r="L13" s="82">
        <f t="shared" si="0"/>
        <v>0</v>
      </c>
      <c r="M13" s="123">
        <v>45847</v>
      </c>
      <c r="N13" s="123">
        <v>45847</v>
      </c>
      <c r="O13" s="132"/>
      <c r="P13" s="126"/>
      <c r="Q13" s="126"/>
      <c r="R13" s="133"/>
      <c r="S13" s="133"/>
      <c r="T13" s="133"/>
      <c r="U13" s="133"/>
      <c r="V13" s="127"/>
      <c r="W13" s="87"/>
      <c r="X13" s="126"/>
      <c r="Y13" s="126"/>
      <c r="Z13" s="126"/>
      <c r="AA13" s="128">
        <v>2.1</v>
      </c>
      <c r="AB13" s="129">
        <f t="shared" si="2"/>
        <v>0</v>
      </c>
      <c r="AC13" s="129">
        <f t="shared" si="3"/>
        <v>0</v>
      </c>
      <c r="AD13" s="76" t="s">
        <v>561</v>
      </c>
      <c r="AE13" s="82"/>
    </row>
    <row r="14" s="114" customFormat="1" customHeight="1" spans="1:31">
      <c r="A14" s="123">
        <v>45748</v>
      </c>
      <c r="B14" s="87"/>
      <c r="C14" s="87"/>
      <c r="D14" s="87"/>
      <c r="E14" s="87"/>
      <c r="F14" s="87">
        <v>240106</v>
      </c>
      <c r="G14" s="87" t="s">
        <v>4</v>
      </c>
      <c r="H14" s="131" t="s">
        <v>542</v>
      </c>
      <c r="I14" s="87">
        <v>28333</v>
      </c>
      <c r="J14" s="87">
        <f t="shared" ref="J14:J16" si="4">28333-((360+1200+2040+360+480+900+600+144+180+348+1107+2160+3240+4320+3240+3240+2160+4320+3240+4320+4320+4320+4320+3240+4320+3240+4320+6480+3240+3240+4320+1680)/3)</f>
        <v>0</v>
      </c>
      <c r="K14" s="87">
        <v>1</v>
      </c>
      <c r="L14" s="82">
        <f t="shared" si="0"/>
        <v>0</v>
      </c>
      <c r="M14" s="123"/>
      <c r="N14" s="123"/>
      <c r="O14" s="132"/>
      <c r="P14" s="126"/>
      <c r="Q14" s="126"/>
      <c r="R14" s="133"/>
      <c r="S14" s="133"/>
      <c r="T14" s="133"/>
      <c r="U14" s="133"/>
      <c r="V14" s="127"/>
      <c r="W14" s="87"/>
      <c r="X14" s="126"/>
      <c r="Y14" s="126"/>
      <c r="Z14" s="126"/>
      <c r="AA14" s="128">
        <v>2.1</v>
      </c>
      <c r="AB14" s="129">
        <f t="shared" si="2"/>
        <v>0</v>
      </c>
      <c r="AC14" s="129">
        <f t="shared" si="3"/>
        <v>0</v>
      </c>
      <c r="AD14" s="76">
        <v>83041</v>
      </c>
      <c r="AE14" s="82" t="s">
        <v>558</v>
      </c>
    </row>
    <row r="15" s="114" customFormat="1" customHeight="1" spans="1:31">
      <c r="A15" s="123">
        <v>45748</v>
      </c>
      <c r="B15" s="87"/>
      <c r="C15" s="87"/>
      <c r="D15" s="87"/>
      <c r="E15" s="87"/>
      <c r="F15" s="87">
        <v>240106</v>
      </c>
      <c r="G15" s="87" t="s">
        <v>4</v>
      </c>
      <c r="H15" s="131" t="s">
        <v>543</v>
      </c>
      <c r="I15" s="87">
        <v>28333</v>
      </c>
      <c r="J15" s="87">
        <f t="shared" si="4"/>
        <v>0</v>
      </c>
      <c r="K15" s="87">
        <v>1</v>
      </c>
      <c r="L15" s="82">
        <f t="shared" si="0"/>
        <v>0</v>
      </c>
      <c r="M15" s="123"/>
      <c r="N15" s="123"/>
      <c r="O15" s="132"/>
      <c r="P15" s="126"/>
      <c r="Q15" s="126"/>
      <c r="R15" s="133"/>
      <c r="S15" s="133"/>
      <c r="T15" s="133"/>
      <c r="U15" s="133"/>
      <c r="V15" s="127"/>
      <c r="W15" s="87"/>
      <c r="X15" s="126"/>
      <c r="Y15" s="126"/>
      <c r="Z15" s="126"/>
      <c r="AA15" s="128">
        <v>2.1</v>
      </c>
      <c r="AB15" s="129">
        <f t="shared" si="2"/>
        <v>0</v>
      </c>
      <c r="AC15" s="129">
        <f t="shared" si="3"/>
        <v>0</v>
      </c>
      <c r="AD15" s="76">
        <v>83041</v>
      </c>
      <c r="AE15" s="82" t="s">
        <v>558</v>
      </c>
    </row>
    <row r="16" s="114" customFormat="1" customHeight="1" spans="1:31">
      <c r="A16" s="123">
        <v>45748</v>
      </c>
      <c r="B16" s="87"/>
      <c r="C16" s="87"/>
      <c r="D16" s="87"/>
      <c r="E16" s="87"/>
      <c r="F16" s="87">
        <v>240106</v>
      </c>
      <c r="G16" s="87" t="s">
        <v>4</v>
      </c>
      <c r="H16" s="131" t="s">
        <v>544</v>
      </c>
      <c r="I16" s="87">
        <v>28333</v>
      </c>
      <c r="J16" s="87">
        <f t="shared" si="4"/>
        <v>0</v>
      </c>
      <c r="K16" s="87">
        <v>1</v>
      </c>
      <c r="L16" s="82">
        <f t="shared" si="0"/>
        <v>0</v>
      </c>
      <c r="M16" s="123"/>
      <c r="N16" s="123"/>
      <c r="O16" s="132"/>
      <c r="P16" s="126"/>
      <c r="Q16" s="126"/>
      <c r="R16" s="133"/>
      <c r="S16" s="133"/>
      <c r="T16" s="133"/>
      <c r="U16" s="133"/>
      <c r="V16" s="127"/>
      <c r="W16" s="87"/>
      <c r="X16" s="126"/>
      <c r="Y16" s="126"/>
      <c r="Z16" s="126"/>
      <c r="AA16" s="128">
        <v>2.1</v>
      </c>
      <c r="AB16" s="129">
        <f t="shared" si="2"/>
        <v>0</v>
      </c>
      <c r="AC16" s="129">
        <f t="shared" si="3"/>
        <v>0</v>
      </c>
      <c r="AD16" s="76">
        <v>83041</v>
      </c>
      <c r="AE16" s="82" t="s">
        <v>558</v>
      </c>
    </row>
    <row r="17" s="114" customFormat="1" customHeight="1" spans="1:31">
      <c r="A17" s="123">
        <v>45835</v>
      </c>
      <c r="B17" s="87"/>
      <c r="C17" s="87"/>
      <c r="D17" s="87"/>
      <c r="E17" s="87"/>
      <c r="F17" s="87">
        <v>240115</v>
      </c>
      <c r="G17" s="87" t="s">
        <v>4</v>
      </c>
      <c r="H17" s="131" t="s">
        <v>542</v>
      </c>
      <c r="I17" s="87">
        <v>28180</v>
      </c>
      <c r="J17" s="87">
        <f t="shared" ref="J17:J19" si="5">28180-((2160+2160+2160+2160+2160+1560+3240+4320+4320+3240+3240+3240+3240+2160+3240+4320+2160+3240+1080+1080+1080+1080+1080+1080+1080+1080+2160+2160+1080+1404+5400+6480+4896)/3)</f>
        <v>0</v>
      </c>
      <c r="K17" s="87">
        <v>1</v>
      </c>
      <c r="L17" s="82">
        <f t="shared" si="0"/>
        <v>0</v>
      </c>
      <c r="M17" s="87"/>
      <c r="N17" s="123"/>
      <c r="O17" s="132"/>
      <c r="P17" s="126"/>
      <c r="Q17" s="126"/>
      <c r="R17" s="133"/>
      <c r="S17" s="133"/>
      <c r="T17" s="133"/>
      <c r="U17" s="133"/>
      <c r="V17" s="127"/>
      <c r="W17" s="87"/>
      <c r="X17" s="126"/>
      <c r="Y17" s="126"/>
      <c r="Z17" s="126"/>
      <c r="AA17" s="128">
        <v>2.1</v>
      </c>
      <c r="AB17" s="129">
        <f t="shared" si="2"/>
        <v>0</v>
      </c>
      <c r="AC17" s="129">
        <f t="shared" si="3"/>
        <v>0</v>
      </c>
      <c r="AD17" s="76" t="s">
        <v>563</v>
      </c>
      <c r="AE17" s="82" t="s">
        <v>558</v>
      </c>
    </row>
    <row r="18" s="114" customFormat="1" customHeight="1" spans="1:31">
      <c r="A18" s="123">
        <v>45835</v>
      </c>
      <c r="B18" s="87"/>
      <c r="C18" s="87"/>
      <c r="D18" s="87"/>
      <c r="E18" s="87"/>
      <c r="F18" s="87">
        <v>240115</v>
      </c>
      <c r="G18" s="87" t="s">
        <v>4</v>
      </c>
      <c r="H18" s="131" t="s">
        <v>543</v>
      </c>
      <c r="I18" s="87">
        <v>28180</v>
      </c>
      <c r="J18" s="87">
        <f t="shared" si="5"/>
        <v>0</v>
      </c>
      <c r="K18" s="87">
        <v>1</v>
      </c>
      <c r="L18" s="82">
        <f t="shared" si="0"/>
        <v>0</v>
      </c>
      <c r="M18" s="87"/>
      <c r="N18" s="123"/>
      <c r="O18" s="132"/>
      <c r="P18" s="126"/>
      <c r="Q18" s="126"/>
      <c r="R18" s="133"/>
      <c r="S18" s="133"/>
      <c r="T18" s="133"/>
      <c r="U18" s="133"/>
      <c r="V18" s="127"/>
      <c r="W18" s="87"/>
      <c r="X18" s="126"/>
      <c r="Y18" s="126"/>
      <c r="Z18" s="126"/>
      <c r="AA18" s="128">
        <v>2.1</v>
      </c>
      <c r="AB18" s="129">
        <f t="shared" si="2"/>
        <v>0</v>
      </c>
      <c r="AC18" s="129">
        <f t="shared" si="3"/>
        <v>0</v>
      </c>
      <c r="AD18" s="76" t="s">
        <v>563</v>
      </c>
      <c r="AE18" s="82" t="s">
        <v>558</v>
      </c>
    </row>
    <row r="19" s="114" customFormat="1" customHeight="1" spans="1:31">
      <c r="A19" s="123">
        <v>45835</v>
      </c>
      <c r="B19" s="87"/>
      <c r="C19" s="87"/>
      <c r="D19" s="87"/>
      <c r="E19" s="87"/>
      <c r="F19" s="87">
        <v>240115</v>
      </c>
      <c r="G19" s="87" t="s">
        <v>4</v>
      </c>
      <c r="H19" s="131" t="s">
        <v>544</v>
      </c>
      <c r="I19" s="87">
        <v>28180</v>
      </c>
      <c r="J19" s="87">
        <f t="shared" si="5"/>
        <v>0</v>
      </c>
      <c r="K19" s="87">
        <v>1</v>
      </c>
      <c r="L19" s="82">
        <f t="shared" si="0"/>
        <v>0</v>
      </c>
      <c r="M19" s="87"/>
      <c r="N19" s="123"/>
      <c r="O19" s="132"/>
      <c r="P19" s="126"/>
      <c r="Q19" s="126"/>
      <c r="R19" s="133"/>
      <c r="S19" s="133"/>
      <c r="T19" s="133"/>
      <c r="U19" s="133"/>
      <c r="V19" s="127"/>
      <c r="W19" s="87"/>
      <c r="X19" s="126"/>
      <c r="Y19" s="126"/>
      <c r="Z19" s="126"/>
      <c r="AA19" s="128">
        <v>2.1</v>
      </c>
      <c r="AB19" s="129">
        <f t="shared" si="2"/>
        <v>0</v>
      </c>
      <c r="AC19" s="129">
        <f t="shared" si="3"/>
        <v>0</v>
      </c>
      <c r="AD19" s="76" t="s">
        <v>563</v>
      </c>
      <c r="AE19" s="82" t="s">
        <v>558</v>
      </c>
    </row>
    <row r="20" s="114" customFormat="1" customHeight="1" spans="1:31">
      <c r="A20" s="123">
        <v>45861</v>
      </c>
      <c r="B20" s="87"/>
      <c r="C20" s="87"/>
      <c r="D20" s="87"/>
      <c r="E20" s="87"/>
      <c r="F20" s="87">
        <v>240117</v>
      </c>
      <c r="G20" s="87" t="s">
        <v>4</v>
      </c>
      <c r="H20" s="131" t="s">
        <v>542</v>
      </c>
      <c r="I20" s="87">
        <v>22128</v>
      </c>
      <c r="J20" s="87">
        <f>22128-(504+2160+1080+1080+4320+1080+5400+6480+8640+5400+5400+5400+3240+7560+1080+1080+1080+5400-1080-1080-1080-1080-1080-2160-2160-1080-5400-8640-5400-5400-3240-7560-1080-1080-1080+1080+4320+228-1080-4320+540+132+144+504)/3-408-600</f>
        <v>15036</v>
      </c>
      <c r="K20" s="87">
        <v>1</v>
      </c>
      <c r="L20" s="82">
        <f t="shared" si="0"/>
        <v>15036</v>
      </c>
      <c r="M20" s="87"/>
      <c r="N20" s="123"/>
      <c r="O20" s="132"/>
      <c r="P20" s="126"/>
      <c r="Q20" s="126"/>
      <c r="R20" s="133"/>
      <c r="S20" s="133"/>
      <c r="T20" s="133"/>
      <c r="U20" s="133"/>
      <c r="V20" s="127"/>
      <c r="W20" s="87"/>
      <c r="X20" s="126"/>
      <c r="Y20" s="126"/>
      <c r="Z20" s="126"/>
      <c r="AA20" s="128">
        <v>2.1</v>
      </c>
      <c r="AB20" s="129">
        <f t="shared" si="2"/>
        <v>31575.6</v>
      </c>
      <c r="AC20" s="129">
        <f t="shared" si="3"/>
        <v>244710.9</v>
      </c>
      <c r="AD20" s="76">
        <v>83090</v>
      </c>
      <c r="AE20" s="82" t="s">
        <v>558</v>
      </c>
    </row>
    <row r="21" s="114" customFormat="1" customHeight="1" spans="1:31">
      <c r="A21" s="123">
        <v>45861</v>
      </c>
      <c r="B21" s="87"/>
      <c r="C21" s="87"/>
      <c r="D21" s="87"/>
      <c r="E21" s="87"/>
      <c r="F21" s="87">
        <v>240117</v>
      </c>
      <c r="G21" s="87" t="s">
        <v>4</v>
      </c>
      <c r="H21" s="131" t="s">
        <v>543</v>
      </c>
      <c r="I21" s="87">
        <v>22128</v>
      </c>
      <c r="J21" s="87">
        <f>22128-(504+2160+1080+1080+4320+1080+5400+6480+8640+5400+5400+5400+3240+7560+1080+1080+1080+5400-1080-1080-1080-1080-1080-2160-2160-1080-5400-8640-5400-5400-3240-7560-1080-1080-1080+1080+4320+228-1080-4320+540+132+144+504)/3-408-600</f>
        <v>15036</v>
      </c>
      <c r="K21" s="87">
        <v>1</v>
      </c>
      <c r="L21" s="82">
        <f t="shared" si="0"/>
        <v>15036</v>
      </c>
      <c r="M21" s="135"/>
      <c r="N21" s="123"/>
      <c r="O21" s="132"/>
      <c r="P21" s="126"/>
      <c r="Q21" s="126"/>
      <c r="R21" s="133"/>
      <c r="S21" s="133"/>
      <c r="T21" s="133"/>
      <c r="U21" s="133"/>
      <c r="V21" s="127"/>
      <c r="W21" s="87"/>
      <c r="X21" s="126"/>
      <c r="Y21" s="126"/>
      <c r="Z21" s="126"/>
      <c r="AA21" s="128">
        <v>2.1</v>
      </c>
      <c r="AB21" s="129">
        <f t="shared" si="2"/>
        <v>31575.6</v>
      </c>
      <c r="AC21" s="129">
        <f t="shared" si="3"/>
        <v>244710.9</v>
      </c>
      <c r="AD21" s="76">
        <v>83090</v>
      </c>
      <c r="AE21" s="82" t="s">
        <v>558</v>
      </c>
    </row>
    <row r="22" s="114" customFormat="1" customHeight="1" spans="1:31">
      <c r="A22" s="123">
        <v>45861</v>
      </c>
      <c r="B22" s="87"/>
      <c r="C22" s="87"/>
      <c r="D22" s="87"/>
      <c r="E22" s="87"/>
      <c r="F22" s="87">
        <v>240117</v>
      </c>
      <c r="G22" s="87" t="s">
        <v>4</v>
      </c>
      <c r="H22" s="131" t="s">
        <v>544</v>
      </c>
      <c r="I22" s="87">
        <v>22128</v>
      </c>
      <c r="J22" s="87">
        <f>22128-(504+2160+1080+1080+4320+1080+5400+6480+8640+5400+5400+5400+3240+7560+1080+1080+1080+5400-1080-1080-1080-1080-1080-2160-2160-1080-5400-8640-5400-5400-3240-7560-1080-1080-1080+1080+4320+228-1080-4320+540+132+144+504)/3-408-600</f>
        <v>15036</v>
      </c>
      <c r="K22" s="87">
        <v>1</v>
      </c>
      <c r="L22" s="82">
        <f t="shared" si="0"/>
        <v>15036</v>
      </c>
      <c r="M22" s="87"/>
      <c r="N22" s="87"/>
      <c r="O22" s="132"/>
      <c r="P22" s="126"/>
      <c r="Q22" s="126"/>
      <c r="R22" s="133"/>
      <c r="S22" s="133"/>
      <c r="T22" s="133"/>
      <c r="U22" s="133"/>
      <c r="V22" s="127"/>
      <c r="W22" s="87"/>
      <c r="X22" s="126"/>
      <c r="Y22" s="126"/>
      <c r="Z22" s="126"/>
      <c r="AA22" s="128">
        <v>2.1</v>
      </c>
      <c r="AB22" s="129">
        <f t="shared" si="2"/>
        <v>31575.6</v>
      </c>
      <c r="AC22" s="129">
        <f t="shared" si="3"/>
        <v>244710.9</v>
      </c>
      <c r="AD22" s="76">
        <v>83090</v>
      </c>
      <c r="AE22" s="82" t="s">
        <v>558</v>
      </c>
    </row>
    <row r="23" customFormat="1" customHeight="1" spans="1:31">
      <c r="A23" s="123">
        <v>45898</v>
      </c>
      <c r="B23" s="87"/>
      <c r="C23" s="87"/>
      <c r="D23" s="87"/>
      <c r="E23" s="87"/>
      <c r="F23" s="87">
        <v>240128</v>
      </c>
      <c r="G23" s="87" t="s">
        <v>18</v>
      </c>
      <c r="H23" s="87" t="s">
        <v>550</v>
      </c>
      <c r="I23" s="87">
        <v>20000</v>
      </c>
      <c r="J23" s="87">
        <f>20000-(1680+1200+720+780+564+6156+6288+432+1800+1800+1200+1500+1200+1656+5496+1224+6720+1404+720+5004+120+144+504)/3-1482-408-600</f>
        <v>1406</v>
      </c>
      <c r="K23" s="87">
        <v>1</v>
      </c>
      <c r="L23" s="82">
        <f t="shared" si="0"/>
        <v>1406</v>
      </c>
      <c r="M23" s="82"/>
      <c r="N23" s="82"/>
      <c r="O23" s="132"/>
      <c r="P23" s="126"/>
      <c r="Q23" s="126"/>
      <c r="R23" s="133"/>
      <c r="S23" s="133"/>
      <c r="T23" s="133"/>
      <c r="U23" s="133"/>
      <c r="V23" s="127"/>
      <c r="W23" s="87"/>
      <c r="X23" s="126"/>
      <c r="Y23" s="126"/>
      <c r="Z23" s="126"/>
      <c r="AA23" s="128">
        <v>2.1</v>
      </c>
      <c r="AB23" s="129">
        <f t="shared" si="2"/>
        <v>2952.6</v>
      </c>
      <c r="AC23" s="129">
        <f t="shared" si="3"/>
        <v>22882.65</v>
      </c>
      <c r="AD23" s="76">
        <v>83137</v>
      </c>
      <c r="AE23" s="82" t="s">
        <v>558</v>
      </c>
    </row>
    <row r="24" customFormat="1" customHeight="1" spans="1:31">
      <c r="A24" s="123">
        <v>45898</v>
      </c>
      <c r="B24" s="87"/>
      <c r="C24" s="87"/>
      <c r="D24" s="87"/>
      <c r="E24" s="87"/>
      <c r="F24" s="87">
        <v>240128</v>
      </c>
      <c r="G24" s="87" t="s">
        <v>18</v>
      </c>
      <c r="H24" s="87" t="s">
        <v>564</v>
      </c>
      <c r="I24" s="87">
        <v>20000</v>
      </c>
      <c r="J24" s="87">
        <f>20000-(1680+1200+720+780+564+6156+6288+432+1800+1800+1200+1500+1200+1656+5496+1224+6720+1404+720+5004+120+144+504)/3-408-600</f>
        <v>2888</v>
      </c>
      <c r="K24" s="87">
        <v>1</v>
      </c>
      <c r="L24" s="82">
        <f t="shared" si="0"/>
        <v>2888</v>
      </c>
      <c r="M24" s="82"/>
      <c r="N24" s="82"/>
      <c r="O24" s="132"/>
      <c r="P24" s="126"/>
      <c r="Q24" s="126"/>
      <c r="R24" s="133"/>
      <c r="S24" s="133"/>
      <c r="T24" s="133"/>
      <c r="U24" s="133"/>
      <c r="V24" s="127"/>
      <c r="W24" s="87"/>
      <c r="X24" s="126"/>
      <c r="Y24" s="126"/>
      <c r="Z24" s="126"/>
      <c r="AA24" s="128">
        <v>2.1</v>
      </c>
      <c r="AB24" s="129">
        <f t="shared" si="2"/>
        <v>6064.8</v>
      </c>
      <c r="AC24" s="129">
        <f t="shared" si="3"/>
        <v>47002.2</v>
      </c>
      <c r="AD24" s="76">
        <v>83137</v>
      </c>
      <c r="AE24" s="82" t="s">
        <v>558</v>
      </c>
    </row>
    <row r="25" customFormat="1" customHeight="1" spans="1:31">
      <c r="A25" s="123">
        <v>45898</v>
      </c>
      <c r="B25" s="87"/>
      <c r="C25" s="87"/>
      <c r="D25" s="87"/>
      <c r="E25" s="87"/>
      <c r="F25" s="87">
        <v>240128</v>
      </c>
      <c r="G25" s="87" t="s">
        <v>18</v>
      </c>
      <c r="H25" s="87" t="s">
        <v>552</v>
      </c>
      <c r="I25" s="87">
        <v>20000</v>
      </c>
      <c r="J25" s="87">
        <f>20000-(1680+1200+720+780+564+6156+6288+432+1800+1800+1200+1500+1200+1656+5496+1224+6720+1404+720+5004+120+144+504)/3-1482-408-600</f>
        <v>1406</v>
      </c>
      <c r="K25" s="87">
        <v>1</v>
      </c>
      <c r="L25" s="82">
        <f t="shared" si="0"/>
        <v>1406</v>
      </c>
      <c r="M25" s="82"/>
      <c r="N25" s="82"/>
      <c r="O25" s="132"/>
      <c r="P25" s="126"/>
      <c r="Q25" s="126"/>
      <c r="R25" s="133"/>
      <c r="S25" s="133"/>
      <c r="T25" s="133"/>
      <c r="U25" s="133"/>
      <c r="V25" s="127"/>
      <c r="W25" s="87"/>
      <c r="X25" s="126"/>
      <c r="Y25" s="126"/>
      <c r="Z25" s="126"/>
      <c r="AA25" s="128">
        <v>2.1</v>
      </c>
      <c r="AB25" s="129">
        <f t="shared" si="2"/>
        <v>2952.6</v>
      </c>
      <c r="AC25" s="129">
        <f t="shared" si="3"/>
        <v>22882.65</v>
      </c>
      <c r="AD25" s="76">
        <v>83137</v>
      </c>
      <c r="AE25" s="82" t="s">
        <v>558</v>
      </c>
    </row>
    <row r="26" customFormat="1" customHeight="1" spans="1:31">
      <c r="A26" s="2">
        <v>45972</v>
      </c>
      <c r="B26" s="87"/>
      <c r="C26" s="87"/>
      <c r="D26" s="87"/>
      <c r="E26" s="3" t="s">
        <v>553</v>
      </c>
      <c r="F26" s="3">
        <v>240140</v>
      </c>
      <c r="G26" s="3" t="s">
        <v>20</v>
      </c>
      <c r="H26" s="4" t="s">
        <v>21</v>
      </c>
      <c r="I26" s="87">
        <v>6500</v>
      </c>
      <c r="J26" s="87">
        <f>I26-800-2304-2500-896</f>
        <v>0</v>
      </c>
      <c r="K26" s="87">
        <v>2</v>
      </c>
      <c r="L26" s="82">
        <f t="shared" si="0"/>
        <v>0</v>
      </c>
      <c r="M26" s="82"/>
      <c r="N26" s="82"/>
      <c r="O26" s="132"/>
      <c r="P26" s="126"/>
      <c r="Q26" s="126"/>
      <c r="R26" s="133"/>
      <c r="S26" s="133"/>
      <c r="T26" s="133"/>
      <c r="U26" s="133"/>
      <c r="V26" s="127"/>
      <c r="W26" s="87"/>
      <c r="X26" s="126"/>
      <c r="Y26" s="126"/>
      <c r="Z26" s="126"/>
      <c r="AA26" s="3">
        <v>6.34</v>
      </c>
      <c r="AB26" s="129">
        <f t="shared" si="2"/>
        <v>0</v>
      </c>
      <c r="AC26" s="129">
        <f t="shared" si="3"/>
        <v>0</v>
      </c>
      <c r="AD26" s="76">
        <v>83206</v>
      </c>
      <c r="AE26" s="82" t="s">
        <v>558</v>
      </c>
    </row>
    <row r="27" customFormat="1" customHeight="1" spans="1:31">
      <c r="A27" s="2">
        <v>45972</v>
      </c>
      <c r="B27" s="87"/>
      <c r="C27" s="87"/>
      <c r="D27" s="87"/>
      <c r="E27" s="3" t="s">
        <v>554</v>
      </c>
      <c r="F27" s="3">
        <v>240140</v>
      </c>
      <c r="G27" s="3" t="s">
        <v>23</v>
      </c>
      <c r="H27" s="4" t="s">
        <v>24</v>
      </c>
      <c r="I27" s="87">
        <v>6500</v>
      </c>
      <c r="J27" s="87">
        <f>I27-800-2304-2500-896</f>
        <v>0</v>
      </c>
      <c r="K27" s="87">
        <v>2</v>
      </c>
      <c r="L27" s="82">
        <f t="shared" si="0"/>
        <v>0</v>
      </c>
      <c r="M27" s="82"/>
      <c r="N27" s="82"/>
      <c r="O27" s="132"/>
      <c r="P27" s="126"/>
      <c r="Q27" s="126"/>
      <c r="R27" s="133"/>
      <c r="S27" s="133"/>
      <c r="T27" s="133"/>
      <c r="U27" s="133"/>
      <c r="V27" s="127"/>
      <c r="W27" s="87"/>
      <c r="X27" s="126"/>
      <c r="Y27" s="126"/>
      <c r="Z27" s="126"/>
      <c r="AA27" s="3">
        <v>6.64</v>
      </c>
      <c r="AB27" s="129">
        <f t="shared" si="2"/>
        <v>0</v>
      </c>
      <c r="AC27" s="129">
        <f t="shared" si="3"/>
        <v>0</v>
      </c>
      <c r="AD27" s="76">
        <v>83206</v>
      </c>
      <c r="AE27" s="82" t="s">
        <v>558</v>
      </c>
    </row>
    <row r="28" customFormat="1" customHeight="1" spans="1:31">
      <c r="A28" s="123">
        <v>46164</v>
      </c>
      <c r="B28" s="87"/>
      <c r="C28" s="87"/>
      <c r="D28" s="87"/>
      <c r="E28" s="87"/>
      <c r="F28" s="87">
        <v>240184</v>
      </c>
      <c r="G28" s="3" t="s">
        <v>39</v>
      </c>
      <c r="H28" s="135" t="s">
        <v>565</v>
      </c>
      <c r="I28" s="87">
        <v>9568</v>
      </c>
      <c r="J28" s="87">
        <f>I28-9568</f>
        <v>0</v>
      </c>
      <c r="K28" s="87">
        <v>2</v>
      </c>
      <c r="L28" s="82">
        <f t="shared" si="0"/>
        <v>0</v>
      </c>
      <c r="M28" s="82"/>
      <c r="N28" s="82"/>
      <c r="O28" s="132"/>
      <c r="P28" s="126"/>
      <c r="Q28" s="126"/>
      <c r="R28" s="133"/>
      <c r="S28" s="133"/>
      <c r="T28" s="133"/>
      <c r="U28" s="133"/>
      <c r="V28" s="127"/>
      <c r="W28" s="87"/>
      <c r="X28" s="126"/>
      <c r="Y28" s="126"/>
      <c r="Z28" s="126"/>
      <c r="AA28" s="128">
        <v>5.6</v>
      </c>
      <c r="AB28" s="129">
        <f t="shared" si="2"/>
        <v>0</v>
      </c>
      <c r="AC28" s="129">
        <f t="shared" si="3"/>
        <v>0</v>
      </c>
      <c r="AD28" s="130">
        <v>83247</v>
      </c>
      <c r="AE28" s="82" t="s">
        <v>558</v>
      </c>
    </row>
    <row r="29" customFormat="1" customHeight="1" spans="1:31">
      <c r="A29" s="123">
        <v>46164</v>
      </c>
      <c r="B29" s="87"/>
      <c r="C29" s="87"/>
      <c r="D29" s="87"/>
      <c r="E29" s="87"/>
      <c r="F29" s="87"/>
      <c r="G29" s="87"/>
      <c r="H29" s="87"/>
      <c r="I29" s="87"/>
      <c r="J29" s="87"/>
      <c r="K29" s="87"/>
      <c r="L29" s="82"/>
      <c r="M29" s="82"/>
      <c r="N29" s="82"/>
      <c r="O29" s="132"/>
      <c r="P29" s="126"/>
      <c r="Q29" s="126"/>
      <c r="R29" s="133"/>
      <c r="S29" s="133"/>
      <c r="T29" s="133"/>
      <c r="U29" s="133"/>
      <c r="V29" s="127"/>
      <c r="W29" s="87"/>
      <c r="X29" s="126"/>
      <c r="Y29" s="126"/>
      <c r="Z29" s="126"/>
      <c r="AA29" s="128"/>
      <c r="AB29" s="129">
        <f t="shared" si="2"/>
        <v>0</v>
      </c>
      <c r="AC29" s="129">
        <f t="shared" si="3"/>
        <v>0</v>
      </c>
      <c r="AD29" s="130"/>
      <c r="AE29" s="82"/>
    </row>
    <row r="30" customHeight="1" spans="1:31">
      <c r="A30" s="123"/>
      <c r="B30" s="87"/>
      <c r="C30" s="87"/>
      <c r="D30" s="87"/>
      <c r="E30" s="87"/>
      <c r="F30" s="87"/>
      <c r="G30" s="87"/>
      <c r="H30" s="87"/>
      <c r="I30" s="87"/>
      <c r="J30" s="87"/>
      <c r="K30" s="87"/>
      <c r="L30" s="82"/>
      <c r="M30" s="82"/>
      <c r="N30" s="82"/>
      <c r="O30" s="132"/>
      <c r="P30" s="126"/>
      <c r="Q30" s="126"/>
      <c r="R30" s="133"/>
      <c r="S30" s="133"/>
      <c r="T30" s="133"/>
      <c r="U30" s="133"/>
      <c r="V30" s="127"/>
      <c r="W30" s="87"/>
      <c r="X30" s="126"/>
      <c r="Y30" s="126"/>
      <c r="Z30" s="126"/>
      <c r="AA30" s="128"/>
      <c r="AB30" s="129">
        <f t="shared" si="2"/>
        <v>0</v>
      </c>
      <c r="AC30" s="129">
        <f t="shared" si="3"/>
        <v>0</v>
      </c>
      <c r="AD30" s="130"/>
      <c r="AE30" s="82"/>
    </row>
    <row r="31" s="114" customFormat="1" customHeight="1" spans="1:31">
      <c r="A31" s="123"/>
      <c r="B31" s="82"/>
      <c r="C31" s="82"/>
      <c r="D31" s="87"/>
      <c r="E31" s="82"/>
      <c r="F31" s="82"/>
      <c r="G31" s="82"/>
      <c r="H31" s="82"/>
      <c r="I31" s="82"/>
      <c r="J31" s="82">
        <f>SUM(J2:J30)</f>
        <v>96390</v>
      </c>
      <c r="K31" s="82"/>
      <c r="L31" s="82"/>
      <c r="M31" s="82"/>
      <c r="N31" s="82"/>
      <c r="O31" s="126"/>
      <c r="P31" s="126"/>
      <c r="Q31" s="126"/>
      <c r="R31" s="126"/>
      <c r="S31" s="126"/>
      <c r="T31" s="126"/>
      <c r="U31" s="126"/>
      <c r="V31" s="127"/>
      <c r="W31" s="126"/>
      <c r="X31" s="126"/>
      <c r="Y31" s="126"/>
      <c r="Z31" s="126"/>
      <c r="AA31" s="128"/>
      <c r="AB31" s="129">
        <f>SUM(AB1:AB30)</f>
        <v>312154.32</v>
      </c>
      <c r="AC31" s="129">
        <f>SUM(AC3:AC30)</f>
        <v>2419195.98</v>
      </c>
      <c r="AD31" s="82"/>
      <c r="AE31" s="82"/>
    </row>
    <row r="32" customHeight="1" spans="1:31">
      <c r="H32" s="136"/>
      <c r="I32" s="136"/>
      <c r="J32" s="137"/>
      <c r="AC32" s="121">
        <f>AC31*0.7</f>
        <v>1693437.19</v>
      </c>
    </row>
    <row r="33" customHeight="1" spans="1:31">
      <c r="H33" s="136"/>
      <c r="I33" s="136"/>
      <c r="J33" s="137"/>
      <c r="L33" s="116">
        <f>J3/4</f>
        <v>0</v>
      </c>
      <c r="AB33" s="121" t="s">
        <v>566</v>
      </c>
      <c r="AC33" s="121">
        <f>SUM(AC23:AC25)*0.7</f>
        <v>64937.25</v>
      </c>
    </row>
    <row r="34" customHeight="1" spans="1:31">
      <c r="H34" s="136"/>
      <c r="I34" s="136"/>
      <c r="J34" s="136"/>
      <c r="L34" s="116">
        <f>J4/4</f>
        <v>0</v>
      </c>
    </row>
    <row r="35" customHeight="1" spans="1:31">
      <c r="L35" s="116">
        <f>J5/4</f>
        <v>0</v>
      </c>
    </row>
    <row r="36" customHeight="1" spans="1:31">
      <c r="M36" s="138" t="b">
        <f>J31=SUM(详细MA表!I19:I45)</f>
        <v>1</v>
      </c>
    </row>
    <row r="38" customHeight="1" spans="1:31">
      <c r="A38" s="123">
        <v>46056</v>
      </c>
      <c r="B38" s="82"/>
      <c r="C38" s="82"/>
      <c r="D38" s="87"/>
      <c r="E38" s="82" t="s">
        <v>567</v>
      </c>
      <c r="F38" s="82"/>
      <c r="G38" s="3" t="s">
        <v>20</v>
      </c>
      <c r="H38" s="4" t="s">
        <v>21</v>
      </c>
      <c r="I38" s="82">
        <v>5000</v>
      </c>
      <c r="J38" s="87">
        <f>I38-1804</f>
        <v>3196</v>
      </c>
      <c r="K38" s="82">
        <v>2</v>
      </c>
      <c r="L38" s="82">
        <f>J38/K38</f>
        <v>1598</v>
      </c>
      <c r="M38" s="82"/>
      <c r="N38" s="82"/>
      <c r="O38" s="126"/>
      <c r="P38" s="126"/>
      <c r="Q38" s="126"/>
      <c r="R38" s="126"/>
      <c r="S38" s="126"/>
      <c r="T38" s="126"/>
      <c r="U38" s="126"/>
      <c r="V38" s="127"/>
      <c r="W38" s="126"/>
      <c r="X38" s="126"/>
      <c r="Y38" s="126"/>
      <c r="Z38" s="126"/>
      <c r="AA38" s="3">
        <v>6.24</v>
      </c>
      <c r="AB38" s="129">
        <f>AA38*J38</f>
        <v>19943.04</v>
      </c>
      <c r="AC38" s="129">
        <f>AB38*7.75</f>
        <v>154558.56</v>
      </c>
      <c r="AD38" s="130"/>
      <c r="AE38" s="82"/>
    </row>
    <row r="39" customHeight="1" spans="1:31">
      <c r="A39" s="123">
        <v>46056</v>
      </c>
      <c r="B39" s="82"/>
      <c r="C39" s="82"/>
      <c r="D39" s="87"/>
      <c r="E39" s="82" t="s">
        <v>567</v>
      </c>
      <c r="F39" s="82"/>
      <c r="G39" s="3" t="s">
        <v>23</v>
      </c>
      <c r="H39" s="4" t="s">
        <v>24</v>
      </c>
      <c r="I39" s="82">
        <v>5000</v>
      </c>
      <c r="J39" s="87">
        <f>I39-1804</f>
        <v>3196</v>
      </c>
      <c r="K39" s="82">
        <v>2</v>
      </c>
      <c r="L39" s="82">
        <f>J39/K39</f>
        <v>1598</v>
      </c>
      <c r="M39" s="82"/>
      <c r="N39" s="82"/>
      <c r="O39" s="126"/>
      <c r="P39" s="126"/>
      <c r="Q39" s="126"/>
      <c r="R39" s="126"/>
      <c r="S39" s="126"/>
      <c r="T39" s="126"/>
      <c r="U39" s="126"/>
      <c r="V39" s="127"/>
      <c r="W39" s="126"/>
      <c r="X39" s="126"/>
      <c r="Y39" s="126"/>
      <c r="Z39" s="126"/>
      <c r="AA39" s="3">
        <v>6.64</v>
      </c>
      <c r="AB39" s="129">
        <f>AA39*J39</f>
        <v>21221.44</v>
      </c>
      <c r="AC39" s="129">
        <f>AB39*7.75</f>
        <v>164466.16</v>
      </c>
      <c r="AD39" s="130"/>
      <c r="AE39" s="82"/>
    </row>
    <row r="40" customHeight="1" spans="1:31">
      <c r="A40" s="123">
        <v>46129</v>
      </c>
      <c r="B40" s="82"/>
      <c r="C40" s="82"/>
      <c r="D40" s="87"/>
      <c r="E40" s="82" t="s">
        <v>567</v>
      </c>
      <c r="F40" s="82"/>
      <c r="G40" s="3" t="s">
        <v>37</v>
      </c>
      <c r="H40" s="87" t="s">
        <v>81</v>
      </c>
      <c r="I40" s="82">
        <v>3000</v>
      </c>
      <c r="J40" s="87">
        <f>I40-1000-总接单!AB54</f>
        <v>1640</v>
      </c>
      <c r="K40" s="82"/>
      <c r="L40" s="82"/>
      <c r="M40" s="82"/>
      <c r="N40" s="82"/>
      <c r="O40" s="126"/>
      <c r="P40" s="126"/>
      <c r="Q40" s="126"/>
      <c r="R40" s="126"/>
      <c r="S40" s="126"/>
      <c r="T40" s="126"/>
      <c r="U40" s="126"/>
      <c r="V40" s="127"/>
      <c r="W40" s="126"/>
      <c r="X40" s="126"/>
      <c r="Y40" s="126"/>
      <c r="Z40" s="126"/>
      <c r="AA40" s="3"/>
      <c r="AB40" s="129"/>
      <c r="AC40" s="129"/>
      <c r="AD40" s="130"/>
      <c r="AE40" s="82"/>
    </row>
    <row r="41" customHeight="1" spans="1:31">
      <c r="A41" s="123">
        <v>46129</v>
      </c>
      <c r="B41" s="82"/>
      <c r="C41" s="82"/>
      <c r="D41" s="87"/>
      <c r="E41" s="82" t="s">
        <v>567</v>
      </c>
      <c r="F41" s="82"/>
      <c r="G41" s="3" t="s">
        <v>37</v>
      </c>
      <c r="H41" s="4" t="s">
        <v>82</v>
      </c>
      <c r="I41" s="82">
        <v>3000</v>
      </c>
      <c r="J41" s="87">
        <f>I41-1000-总接单!AC54</f>
        <v>1640</v>
      </c>
      <c r="K41" s="82"/>
      <c r="L41" s="82"/>
      <c r="M41" s="82"/>
      <c r="N41" s="82"/>
      <c r="O41" s="126"/>
      <c r="P41" s="126"/>
      <c r="Q41" s="126"/>
      <c r="R41" s="126"/>
      <c r="S41" s="126"/>
      <c r="T41" s="126"/>
      <c r="U41" s="126"/>
      <c r="V41" s="127"/>
      <c r="W41" s="126"/>
      <c r="X41" s="126"/>
      <c r="Y41" s="126"/>
      <c r="Z41" s="126"/>
      <c r="AA41" s="3"/>
      <c r="AB41" s="129"/>
      <c r="AC41" s="129"/>
      <c r="AD41" s="130"/>
      <c r="AE41" s="82"/>
    </row>
    <row r="42" customHeight="1" spans="1:31">
      <c r="A42" s="123">
        <v>46129</v>
      </c>
      <c r="B42" s="82"/>
      <c r="C42" s="82"/>
      <c r="D42" s="87"/>
      <c r="E42" s="82" t="s">
        <v>567</v>
      </c>
      <c r="F42" s="82"/>
      <c r="G42" s="3" t="s">
        <v>37</v>
      </c>
      <c r="H42" s="4" t="s">
        <v>83</v>
      </c>
      <c r="I42" s="82">
        <v>3000</v>
      </c>
      <c r="J42" s="87">
        <f>I42-1000-总接单!AD54</f>
        <v>1640</v>
      </c>
      <c r="K42" s="82"/>
      <c r="L42" s="82"/>
      <c r="M42" s="82"/>
      <c r="N42" s="82"/>
      <c r="O42" s="126"/>
      <c r="P42" s="126"/>
      <c r="Q42" s="126"/>
      <c r="R42" s="126"/>
      <c r="S42" s="126"/>
      <c r="T42" s="126"/>
      <c r="U42" s="126"/>
      <c r="V42" s="127"/>
      <c r="W42" s="126"/>
      <c r="X42" s="126"/>
      <c r="Y42" s="126"/>
      <c r="Z42" s="126"/>
      <c r="AA42" s="3"/>
      <c r="AB42" s="129"/>
      <c r="AC42" s="129"/>
      <c r="AD42" s="130"/>
      <c r="AE42" s="82"/>
    </row>
    <row r="43" customHeight="1" spans="1:31">
      <c r="A43" s="123">
        <v>46129</v>
      </c>
      <c r="B43" s="82"/>
      <c r="C43" s="82"/>
      <c r="D43" s="87"/>
      <c r="E43" s="82" t="s">
        <v>567</v>
      </c>
      <c r="F43" s="82"/>
      <c r="G43" s="3" t="s">
        <v>37</v>
      </c>
      <c r="H43" s="4" t="s">
        <v>84</v>
      </c>
      <c r="I43" s="82">
        <v>3000</v>
      </c>
      <c r="J43" s="87">
        <f>I43-1000-总接单!AE54</f>
        <v>1640</v>
      </c>
      <c r="K43" s="82"/>
      <c r="L43" s="82"/>
      <c r="M43" s="82"/>
      <c r="N43" s="82"/>
      <c r="O43" s="126"/>
      <c r="P43" s="126"/>
      <c r="Q43" s="126"/>
      <c r="R43" s="126"/>
      <c r="S43" s="126"/>
      <c r="T43" s="126"/>
      <c r="U43" s="126"/>
      <c r="V43" s="127"/>
      <c r="W43" s="126"/>
      <c r="X43" s="126"/>
      <c r="Y43" s="126"/>
      <c r="Z43" s="126"/>
      <c r="AA43" s="3"/>
      <c r="AB43" s="129"/>
      <c r="AC43" s="129"/>
      <c r="AD43" s="130"/>
      <c r="AE43" s="82"/>
    </row>
    <row r="44" customHeight="1" spans="1:31">
      <c r="A44" s="123">
        <v>46129</v>
      </c>
      <c r="B44" s="82"/>
      <c r="C44" s="82"/>
      <c r="D44" s="87"/>
      <c r="E44" s="82" t="s">
        <v>567</v>
      </c>
      <c r="F44" s="82"/>
      <c r="G44" s="3" t="s">
        <v>34</v>
      </c>
      <c r="H44" s="126" t="s">
        <v>85</v>
      </c>
      <c r="I44" s="126">
        <v>3003</v>
      </c>
      <c r="J44" s="126">
        <f>I44-(792+7200)*11/72-总接单!AF55</f>
        <v>1570</v>
      </c>
      <c r="K44" s="126"/>
      <c r="L44" s="126"/>
      <c r="M44" s="126"/>
      <c r="N44" s="126"/>
      <c r="O44" s="126"/>
      <c r="P44" s="126"/>
      <c r="Q44" s="126"/>
      <c r="R44" s="126"/>
      <c r="S44" s="126"/>
      <c r="T44" s="126"/>
      <c r="U44" s="126"/>
      <c r="V44" s="127"/>
      <c r="W44" s="126"/>
      <c r="X44" s="126"/>
      <c r="Y44" s="126"/>
      <c r="Z44" s="126"/>
      <c r="AA44" s="3"/>
      <c r="AB44" s="129"/>
      <c r="AC44" s="129"/>
      <c r="AD44" s="130"/>
      <c r="AE44" s="82"/>
    </row>
    <row r="45" customHeight="1" spans="1:31">
      <c r="A45" s="123">
        <v>46129</v>
      </c>
      <c r="B45" s="82"/>
      <c r="C45" s="82"/>
      <c r="D45" s="87"/>
      <c r="E45" s="82" t="s">
        <v>567</v>
      </c>
      <c r="F45" s="82"/>
      <c r="G45" s="3" t="s">
        <v>34</v>
      </c>
      <c r="H45" s="4" t="s">
        <v>86</v>
      </c>
      <c r="I45" s="126">
        <v>3003</v>
      </c>
      <c r="J45" s="126">
        <f>I45-(792+7200)*11/72-总接单!AG55</f>
        <v>1570</v>
      </c>
      <c r="K45" s="82"/>
      <c r="L45" s="82"/>
      <c r="M45" s="82"/>
      <c r="N45" s="82"/>
      <c r="O45" s="126"/>
      <c r="P45" s="126"/>
      <c r="Q45" s="126"/>
      <c r="R45" s="126"/>
      <c r="S45" s="126"/>
      <c r="T45" s="126"/>
      <c r="U45" s="126"/>
      <c r="V45" s="127"/>
      <c r="W45" s="126"/>
      <c r="X45" s="126"/>
      <c r="Y45" s="126"/>
      <c r="Z45" s="126"/>
      <c r="AA45" s="3"/>
      <c r="AB45" s="129"/>
      <c r="AC45" s="129"/>
      <c r="AD45" s="130"/>
      <c r="AE45" s="82"/>
    </row>
    <row r="46" customHeight="1" spans="1:31">
      <c r="A46" s="123">
        <v>46129</v>
      </c>
      <c r="B46" s="82"/>
      <c r="C46" s="82"/>
      <c r="D46" s="87"/>
      <c r="E46" s="82" t="s">
        <v>567</v>
      </c>
      <c r="F46" s="82"/>
      <c r="G46" s="3" t="s">
        <v>34</v>
      </c>
      <c r="H46" s="4" t="s">
        <v>87</v>
      </c>
      <c r="I46" s="126">
        <v>3003</v>
      </c>
      <c r="J46" s="126">
        <f>I46-(792+7200)*11/72-总接单!AH55</f>
        <v>1569</v>
      </c>
      <c r="K46" s="82"/>
      <c r="L46" s="82"/>
      <c r="M46" s="82"/>
      <c r="N46" s="82"/>
      <c r="O46" s="126"/>
      <c r="P46" s="126"/>
      <c r="Q46" s="126"/>
      <c r="R46" s="126"/>
      <c r="S46" s="126"/>
      <c r="T46" s="126"/>
      <c r="U46" s="126"/>
      <c r="V46" s="127"/>
      <c r="W46" s="126"/>
      <c r="X46" s="126"/>
      <c r="Y46" s="126"/>
      <c r="Z46" s="126"/>
      <c r="AA46" s="3"/>
      <c r="AB46" s="129"/>
      <c r="AC46" s="129"/>
      <c r="AD46" s="130"/>
      <c r="AE46" s="82"/>
    </row>
    <row r="47" customHeight="1" spans="1:31">
      <c r="A47" s="123">
        <v>46129</v>
      </c>
      <c r="B47" s="82"/>
      <c r="C47" s="82"/>
      <c r="D47" s="87"/>
      <c r="E47" s="82" t="s">
        <v>567</v>
      </c>
      <c r="F47" s="82"/>
      <c r="G47" s="3" t="s">
        <v>34</v>
      </c>
      <c r="H47" s="4" t="s">
        <v>88</v>
      </c>
      <c r="I47" s="126">
        <v>3003</v>
      </c>
      <c r="J47" s="126">
        <f>I47-(792+7200)*11/72-总接单!AI55</f>
        <v>1569</v>
      </c>
      <c r="K47" s="82"/>
      <c r="L47" s="82"/>
      <c r="M47" s="82"/>
      <c r="N47" s="82"/>
      <c r="O47" s="126"/>
      <c r="P47" s="126"/>
      <c r="Q47" s="126"/>
      <c r="R47" s="126"/>
      <c r="S47" s="126"/>
      <c r="T47" s="126"/>
      <c r="U47" s="126"/>
      <c r="V47" s="127"/>
      <c r="W47" s="126"/>
      <c r="X47" s="126"/>
      <c r="Y47" s="126"/>
      <c r="Z47" s="126"/>
      <c r="AA47" s="3"/>
      <c r="AB47" s="129"/>
      <c r="AC47" s="129"/>
      <c r="AD47" s="130"/>
      <c r="AE47" s="82"/>
    </row>
    <row r="48" customHeight="1" spans="1:31">
      <c r="A48" s="123">
        <v>46129</v>
      </c>
      <c r="B48" s="82"/>
      <c r="C48" s="82"/>
      <c r="D48" s="87"/>
      <c r="E48" s="82" t="s">
        <v>567</v>
      </c>
      <c r="F48" s="82"/>
      <c r="G48" s="3" t="s">
        <v>34</v>
      </c>
      <c r="H48" s="4" t="s">
        <v>89</v>
      </c>
      <c r="I48" s="126">
        <v>3003</v>
      </c>
      <c r="J48" s="126">
        <f>I48-(792+7200)*11/72-总接单!AJ55</f>
        <v>1569</v>
      </c>
      <c r="K48" s="82"/>
      <c r="L48" s="82"/>
      <c r="M48" s="82"/>
      <c r="N48" s="82"/>
      <c r="O48" s="126"/>
      <c r="P48" s="126"/>
      <c r="Q48" s="126"/>
      <c r="R48" s="126"/>
      <c r="S48" s="126"/>
      <c r="T48" s="126"/>
      <c r="U48" s="126"/>
      <c r="V48" s="127"/>
      <c r="W48" s="126"/>
      <c r="X48" s="126"/>
      <c r="Y48" s="126"/>
      <c r="Z48" s="126"/>
      <c r="AA48" s="3"/>
      <c r="AB48" s="129"/>
      <c r="AC48" s="129"/>
      <c r="AD48" s="130"/>
      <c r="AE48" s="82"/>
    </row>
    <row r="49" customHeight="1" spans="1:31">
      <c r="A49" s="123">
        <v>46129</v>
      </c>
      <c r="B49" s="82"/>
      <c r="C49" s="82"/>
      <c r="D49" s="87"/>
      <c r="E49" s="82" t="s">
        <v>567</v>
      </c>
      <c r="F49" s="82"/>
      <c r="G49" s="3" t="s">
        <v>34</v>
      </c>
      <c r="H49" s="4" t="s">
        <v>90</v>
      </c>
      <c r="I49" s="126">
        <v>3003</v>
      </c>
      <c r="J49" s="126">
        <f>I49-(792+7200)*11/72-总接单!AK55</f>
        <v>1569</v>
      </c>
      <c r="K49" s="82"/>
      <c r="L49" s="82"/>
      <c r="M49" s="82"/>
      <c r="N49" s="82"/>
      <c r="O49" s="126"/>
      <c r="P49" s="126"/>
      <c r="Q49" s="126"/>
      <c r="R49" s="126"/>
      <c r="S49" s="126"/>
      <c r="T49" s="126"/>
      <c r="U49" s="126"/>
      <c r="V49" s="127"/>
      <c r="W49" s="126"/>
      <c r="X49" s="126"/>
      <c r="Y49" s="126"/>
      <c r="Z49" s="126"/>
      <c r="AA49" s="3"/>
      <c r="AB49" s="129"/>
      <c r="AC49" s="129"/>
      <c r="AD49" s="130"/>
      <c r="AE49" s="82"/>
    </row>
    <row r="50" customHeight="1" spans="1:31">
      <c r="A50" s="123">
        <v>46129</v>
      </c>
      <c r="B50" s="82"/>
      <c r="C50" s="82"/>
      <c r="D50" s="87"/>
      <c r="E50" s="82" t="s">
        <v>567</v>
      </c>
      <c r="F50" s="82"/>
      <c r="G50" s="3" t="s">
        <v>34</v>
      </c>
      <c r="H50" s="4" t="s">
        <v>91</v>
      </c>
      <c r="I50" s="82">
        <v>1638</v>
      </c>
      <c r="J50" s="126">
        <f>I50-(792+7200)*6/72-总接单!AL55</f>
        <v>856</v>
      </c>
      <c r="K50" s="82"/>
      <c r="L50" s="82"/>
      <c r="M50" s="82"/>
      <c r="N50" s="82"/>
      <c r="O50" s="126"/>
      <c r="P50" s="126"/>
      <c r="Q50" s="126"/>
      <c r="R50" s="126"/>
      <c r="S50" s="126"/>
      <c r="T50" s="126"/>
      <c r="U50" s="126"/>
      <c r="V50" s="127"/>
      <c r="W50" s="126"/>
      <c r="X50" s="126"/>
      <c r="Y50" s="126"/>
      <c r="Z50" s="126"/>
      <c r="AA50" s="3"/>
      <c r="AB50" s="129"/>
      <c r="AC50" s="129"/>
      <c r="AD50" s="130"/>
      <c r="AE50" s="82"/>
    </row>
  </sheetData>
  <sheetProtection formatCells="0" autoFilter="0"/>
  <protectedRanges>
    <protectedRange sqref="$A1:$XFD1048576" name="Range1"/>
  </protectedRanges>
  <autoFilter xmlns:etc="http://www.wps.cn/officeDocument/2017/etCustomData" ref="A1:AE36" etc:filterBottomFollowUsedRange="0">
    <extLst/>
  </autoFilter>
  <pageMargins left="0.0784722222222222" right="0.0784722222222222" top="0.236111111111111" bottom="0.156944444444444" header="0.156944444444444" footer="0.118055555555556"/>
  <pageSetup paperSize="9" scale="50" orientation="landscape"/>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
  <sheetViews>
    <sheetView topLeftCell="F4" workbookViewId="0">
      <selection activeCell="F3" sqref="F3:F5"/>
    </sheetView>
  </sheetViews>
  <sheetFormatPr defaultColWidth="8.8" defaultRowHeight="25" customHeight="1" outlineLevelCol="6"/>
  <cols>
    <col min="1" max="1" width="10.6" style="1"/>
    <col min="2" max="2" width="19.7" style="1" customWidth="1"/>
    <col min="3" max="3" width="30.6" style="1" customWidth="1"/>
    <col min="4" max="4" width="12.2" style="1" customWidth="1"/>
    <col min="5" max="5" width="8" style="1" customWidth="1"/>
    <col min="6" max="6" width="14.9" style="1" customWidth="1"/>
    <col min="7" max="7" width="38.7" style="1" customWidth="1"/>
    <col min="8" max="16384" width="8.8" style="1"/>
  </cols>
  <sheetData>
    <row r="1" customHeight="1" spans="1:7">
      <c r="A1" s="3" t="s">
        <v>568</v>
      </c>
      <c r="B1" s="3" t="s">
        <v>569</v>
      </c>
      <c r="C1" s="3" t="s">
        <v>570</v>
      </c>
      <c r="D1" s="3" t="s">
        <v>571</v>
      </c>
      <c r="E1" s="3" t="s">
        <v>572</v>
      </c>
      <c r="F1" s="3" t="s">
        <v>573</v>
      </c>
      <c r="G1" s="3" t="s">
        <v>255</v>
      </c>
    </row>
    <row r="2" customHeight="1" spans="1:7">
      <c r="A2" s="109">
        <v>46086</v>
      </c>
      <c r="B2" s="3" t="s">
        <v>18</v>
      </c>
      <c r="C2" s="3" t="s">
        <v>574</v>
      </c>
      <c r="D2" s="3">
        <v>5000</v>
      </c>
      <c r="E2" s="3">
        <f>1000+SUM(正在做货!I2:I3)/12</f>
        <v>1225</v>
      </c>
      <c r="F2" s="3">
        <f t="shared" ref="F2:F11" si="0">D2-E2</f>
        <v>3775</v>
      </c>
      <c r="G2" s="3"/>
    </row>
    <row r="3" customHeight="1" spans="1:7">
      <c r="A3" s="109">
        <v>45996</v>
      </c>
      <c r="B3" s="3" t="s">
        <v>18</v>
      </c>
      <c r="C3" s="3" t="s">
        <v>575</v>
      </c>
      <c r="D3" s="3">
        <v>3000</v>
      </c>
      <c r="E3" s="3">
        <f>(1680+720+1200+780)/3+1008</f>
        <v>2468</v>
      </c>
      <c r="F3" s="3">
        <f t="shared" si="0"/>
        <v>532</v>
      </c>
      <c r="G3" s="110" t="s">
        <v>576</v>
      </c>
    </row>
    <row r="4" customHeight="1" spans="1:7">
      <c r="A4" s="109">
        <v>45996</v>
      </c>
      <c r="B4" s="3" t="s">
        <v>18</v>
      </c>
      <c r="C4" s="3" t="s">
        <v>577</v>
      </c>
      <c r="D4" s="3">
        <v>3000</v>
      </c>
      <c r="E4" s="3">
        <f>(1680+720+1200+780)/3+1008</f>
        <v>2468</v>
      </c>
      <c r="F4" s="3">
        <f t="shared" si="0"/>
        <v>532</v>
      </c>
      <c r="G4" s="111"/>
    </row>
    <row r="5" customHeight="1" spans="1:7">
      <c r="A5" s="109">
        <v>45996</v>
      </c>
      <c r="B5" s="3" t="s">
        <v>18</v>
      </c>
      <c r="C5" s="3" t="s">
        <v>578</v>
      </c>
      <c r="D5" s="3">
        <v>3000</v>
      </c>
      <c r="E5" s="3">
        <f>(1680+720+1200+780)/3+1008</f>
        <v>2468</v>
      </c>
      <c r="F5" s="3">
        <f t="shared" si="0"/>
        <v>532</v>
      </c>
      <c r="G5" s="85"/>
    </row>
    <row r="6" customHeight="1" spans="1:7">
      <c r="A6" s="109">
        <v>46086</v>
      </c>
      <c r="B6" s="3" t="s">
        <v>18</v>
      </c>
      <c r="C6" s="3" t="s">
        <v>579</v>
      </c>
      <c r="D6" s="3">
        <v>5000</v>
      </c>
      <c r="E6" s="3">
        <f t="shared" ref="E6:E8" si="1">(564+6156+6288+432)/3</f>
        <v>4480</v>
      </c>
      <c r="F6" s="3">
        <f t="shared" si="0"/>
        <v>520</v>
      </c>
      <c r="G6" s="4" t="s">
        <v>580</v>
      </c>
    </row>
    <row r="7" customHeight="1" spans="1:7">
      <c r="A7" s="109">
        <v>46086</v>
      </c>
      <c r="B7" s="3" t="s">
        <v>18</v>
      </c>
      <c r="C7" s="4" t="s">
        <v>581</v>
      </c>
      <c r="D7" s="3">
        <v>5000</v>
      </c>
      <c r="E7" s="3">
        <f t="shared" si="1"/>
        <v>4480</v>
      </c>
      <c r="F7" s="3">
        <f t="shared" si="0"/>
        <v>520</v>
      </c>
      <c r="G7" s="4"/>
    </row>
    <row r="8" customHeight="1" spans="1:7">
      <c r="A8" s="109">
        <v>46086</v>
      </c>
      <c r="B8" s="3" t="s">
        <v>18</v>
      </c>
      <c r="C8" s="3" t="s">
        <v>582</v>
      </c>
      <c r="D8" s="3">
        <v>5000</v>
      </c>
      <c r="E8" s="3">
        <f t="shared" si="1"/>
        <v>4480</v>
      </c>
      <c r="F8" s="3">
        <f t="shared" si="0"/>
        <v>520</v>
      </c>
      <c r="G8" s="4"/>
    </row>
    <row r="9" customHeight="1" spans="1:7">
      <c r="A9" s="109">
        <v>46104</v>
      </c>
      <c r="B9" s="3" t="s">
        <v>18</v>
      </c>
      <c r="C9" s="3" t="s">
        <v>579</v>
      </c>
      <c r="D9" s="3">
        <f t="shared" ref="D9:D11" si="2">F6+5000</f>
        <v>5520</v>
      </c>
      <c r="E9" s="3">
        <f t="shared" ref="E9:E11" si="3">(1800+1800+1200+1500+1200+1656+5496+1224)/3</f>
        <v>5292</v>
      </c>
      <c r="F9" s="3">
        <f t="shared" si="0"/>
        <v>228</v>
      </c>
      <c r="G9" s="110" t="s">
        <v>583</v>
      </c>
    </row>
    <row r="10" customHeight="1" spans="1:7">
      <c r="A10" s="109">
        <v>46104</v>
      </c>
      <c r="B10" s="3" t="s">
        <v>18</v>
      </c>
      <c r="C10" s="4" t="s">
        <v>581</v>
      </c>
      <c r="D10" s="3">
        <f t="shared" si="2"/>
        <v>5520</v>
      </c>
      <c r="E10" s="3">
        <f t="shared" si="3"/>
        <v>5292</v>
      </c>
      <c r="F10" s="3">
        <f t="shared" si="0"/>
        <v>228</v>
      </c>
      <c r="G10" s="111"/>
    </row>
    <row r="11" customHeight="1" spans="1:7">
      <c r="A11" s="109">
        <v>46104</v>
      </c>
      <c r="B11" s="3" t="s">
        <v>18</v>
      </c>
      <c r="C11" s="3" t="s">
        <v>582</v>
      </c>
      <c r="D11" s="3">
        <f t="shared" si="2"/>
        <v>5520</v>
      </c>
      <c r="E11" s="3">
        <f t="shared" si="3"/>
        <v>5292</v>
      </c>
      <c r="F11" s="3">
        <f t="shared" si="0"/>
        <v>228</v>
      </c>
      <c r="G11" s="85"/>
    </row>
    <row r="12" customHeight="1" spans="1:7">
      <c r="A12" s="109">
        <v>46129</v>
      </c>
      <c r="B12" s="3" t="s">
        <v>18</v>
      </c>
      <c r="C12" s="3" t="s">
        <v>584</v>
      </c>
      <c r="D12" s="3">
        <f t="shared" ref="D12:D14" si="4">5000+F9</f>
        <v>5228</v>
      </c>
      <c r="E12" s="3">
        <f t="shared" ref="E12:E14" si="5">(6720+1404)/3</f>
        <v>2708</v>
      </c>
      <c r="F12" s="3">
        <f t="shared" ref="F12:F16" si="6">D12-E12</f>
        <v>2520</v>
      </c>
      <c r="G12" s="110" t="s">
        <v>585</v>
      </c>
    </row>
    <row r="13" customHeight="1" spans="1:7">
      <c r="A13" s="109">
        <v>46129</v>
      </c>
      <c r="B13" s="3" t="s">
        <v>18</v>
      </c>
      <c r="C13" s="4" t="s">
        <v>586</v>
      </c>
      <c r="D13" s="3">
        <f t="shared" si="4"/>
        <v>5228</v>
      </c>
      <c r="E13" s="3">
        <f t="shared" si="5"/>
        <v>2708</v>
      </c>
      <c r="F13" s="3">
        <f t="shared" si="6"/>
        <v>2520</v>
      </c>
      <c r="G13" s="112"/>
    </row>
    <row r="14" customHeight="1" spans="1:7">
      <c r="A14" s="109">
        <v>46129</v>
      </c>
      <c r="B14" s="3" t="s">
        <v>18</v>
      </c>
      <c r="C14" s="3" t="s">
        <v>587</v>
      </c>
      <c r="D14" s="3">
        <f t="shared" si="4"/>
        <v>5228</v>
      </c>
      <c r="E14" s="3">
        <f t="shared" si="5"/>
        <v>2708</v>
      </c>
      <c r="F14" s="3">
        <f t="shared" si="6"/>
        <v>2520</v>
      </c>
      <c r="G14" s="113"/>
    </row>
    <row r="15" customHeight="1" spans="1:7">
      <c r="A15" s="109">
        <v>46122</v>
      </c>
      <c r="B15" s="3" t="s">
        <v>14</v>
      </c>
      <c r="C15" s="3" t="s">
        <v>588</v>
      </c>
      <c r="D15" s="3">
        <v>5000</v>
      </c>
      <c r="E15" s="3">
        <f>1002+1002+1002+1002+1002+498</f>
        <v>5508</v>
      </c>
      <c r="F15" s="3">
        <f t="shared" si="6"/>
        <v>-508</v>
      </c>
      <c r="G15" s="4" t="s">
        <v>589</v>
      </c>
    </row>
    <row r="16" customHeight="1" spans="1:7">
      <c r="A16" s="3"/>
      <c r="B16" s="3" t="s">
        <v>14</v>
      </c>
      <c r="C16" s="3" t="s">
        <v>304</v>
      </c>
      <c r="D16" s="3">
        <v>3000</v>
      </c>
      <c r="E16" s="3">
        <f>504+574+1300</f>
        <v>2378</v>
      </c>
      <c r="F16" s="3">
        <f t="shared" si="6"/>
        <v>622</v>
      </c>
      <c r="G16" s="3" t="s">
        <v>590</v>
      </c>
    </row>
    <row r="17" customHeight="1" spans="1:7">
      <c r="A17" s="3"/>
      <c r="B17" s="3" t="s">
        <v>14</v>
      </c>
      <c r="C17" s="3" t="s">
        <v>591</v>
      </c>
      <c r="D17" s="3">
        <v>1650</v>
      </c>
      <c r="E17" s="3">
        <f>198+942+432+924</f>
        <v>2496</v>
      </c>
      <c r="F17" s="3">
        <v>1650</v>
      </c>
      <c r="G17" s="3"/>
    </row>
    <row r="18" customHeight="1" spans="1:7">
      <c r="A18" s="3"/>
      <c r="B18" s="3" t="s">
        <v>14</v>
      </c>
      <c r="C18" s="3" t="s">
        <v>592</v>
      </c>
      <c r="D18" s="3"/>
      <c r="E18" s="3"/>
      <c r="F18" s="3">
        <v>0</v>
      </c>
      <c r="G18" s="3"/>
    </row>
  </sheetData>
  <sheetProtection formatCells="0" formatColumns="0" formatRows="0" insertRows="0" insertColumns="0" insertHyperlinks="0" deleteColumns="0" deleteRows="0" sort="0" autoFilter="0" pivotTables="0"/>
  <protectedRanges>
    <protectedRange sqref="$A1:$XFD1048576" name="Range1"/>
  </protectedRanges>
  <autoFilter xmlns:etc="http://www.wps.cn/officeDocument/2017/etCustomData" ref="A1:F18" etc:filterBottomFollowUsedRange="0">
    <extLst/>
  </autoFilter>
  <mergeCells count="4">
    <mergeCell ref="G3:G5"/>
    <mergeCell ref="G6:G8"/>
    <mergeCell ref="G9:G11"/>
    <mergeCell ref="G12:G14"/>
  </mergeCell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130" zoomScaleNormal="130" topLeftCell="A7" workbookViewId="0">
      <selection activeCell="M22" sqref="M22"/>
    </sheetView>
  </sheetViews>
  <sheetFormatPr defaultColWidth="8.8" defaultRowHeight="14.25"/>
  <cols>
    <col min="1" max="12" width="8.8" style="108"/>
    <col min="16" max="16384" width="8.8" style="108"/>
  </cols>
  <sheetData/>
  <sheetProtection formatCells="0" formatColumns="0" formatRows="0" insertRows="0" insertColumns="0" insertHyperlinks="0" deleteColumns="0" deleteRows="0" sort="0" autoFilter="0" pivotTables="0"/>
  <pageMargins left="0.75" right="0.75" top="1" bottom="1" header="0.5" footer="0.5"/>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5"/>
  <sheetViews>
    <sheetView workbookViewId="0">
      <pane xSplit="1" ySplit="1" topLeftCell="B2" activePane="bottomRight" state="frozen"/>
      <selection/>
      <selection pane="topRight"/>
      <selection pane="bottomLeft"/>
      <selection pane="bottomRight" activeCell="G28" sqref="G28"/>
    </sheetView>
  </sheetViews>
  <sheetFormatPr defaultColWidth="9" defaultRowHeight="14.25"/>
  <cols>
    <col min="1" max="1" width="19.625" customWidth="1"/>
    <col min="2" max="2" width="12.5" customWidth="1"/>
    <col min="3" max="3" width="16.875" customWidth="1"/>
    <col min="4" max="4" width="19.6" customWidth="1"/>
    <col min="5" max="5" width="20.75" customWidth="1"/>
    <col min="6" max="6" width="10.75" customWidth="1"/>
    <col min="7" max="7" width="11.25" customWidth="1"/>
    <col min="11" max="11" width="13.625" customWidth="1"/>
    <col min="16" max="16" width="10.375"/>
    <col min="18" max="18" width="11.5"/>
    <col min="19" max="19" width="9.5"/>
  </cols>
  <sheetData>
    <row r="1" ht="56.25" customHeight="1" spans="1:19">
      <c r="A1" s="88" t="s">
        <v>238</v>
      </c>
      <c r="B1" s="88" t="s">
        <v>255</v>
      </c>
      <c r="C1" s="88" t="s">
        <v>58</v>
      </c>
      <c r="D1" s="89" t="s">
        <v>593</v>
      </c>
      <c r="E1" s="90" t="s">
        <v>594</v>
      </c>
      <c r="F1" s="91" t="s">
        <v>595</v>
      </c>
      <c r="G1" s="92" t="s">
        <v>596</v>
      </c>
      <c r="H1" s="93" t="s">
        <v>597</v>
      </c>
      <c r="I1" s="94" t="s">
        <v>598</v>
      </c>
      <c r="J1" s="95" t="s">
        <v>599</v>
      </c>
      <c r="K1" s="96" t="s">
        <v>600</v>
      </c>
      <c r="L1" s="96" t="s">
        <v>601</v>
      </c>
      <c r="M1" s="97" t="s">
        <v>602</v>
      </c>
      <c r="N1" s="97" t="s">
        <v>603</v>
      </c>
      <c r="O1" s="97" t="s">
        <v>604</v>
      </c>
      <c r="P1" s="98" t="s">
        <v>605</v>
      </c>
      <c r="Q1" s="98" t="s">
        <v>606</v>
      </c>
      <c r="R1" s="98" t="s">
        <v>239</v>
      </c>
      <c r="S1" s="98" t="s">
        <v>607</v>
      </c>
    </row>
    <row r="2" ht="28" customHeight="1" spans="1:19">
      <c r="A2" s="99" t="s">
        <v>16</v>
      </c>
      <c r="B2" s="99" t="s">
        <v>608</v>
      </c>
      <c r="C2" s="100" t="s">
        <v>8</v>
      </c>
      <c r="D2" s="101" t="s">
        <v>609</v>
      </c>
      <c r="E2" s="99" t="s">
        <v>610</v>
      </c>
      <c r="F2" s="99">
        <v>1.77</v>
      </c>
      <c r="G2" s="99">
        <v>1.56</v>
      </c>
      <c r="H2" s="102">
        <v>28</v>
      </c>
      <c r="I2" s="102">
        <v>24.2</v>
      </c>
      <c r="J2" s="99">
        <v>28.3</v>
      </c>
      <c r="K2" s="102">
        <f t="shared" ref="K2:K8" si="0">F2*2.2046</f>
        <v>3.9</v>
      </c>
      <c r="L2" s="102">
        <f t="shared" ref="L2:L8" si="1">G2*2.2046</f>
        <v>3.44</v>
      </c>
      <c r="M2" s="102">
        <f>H2*0.3937</f>
        <v>11.02</v>
      </c>
      <c r="N2" s="102">
        <f>I2*0.3937</f>
        <v>9.53</v>
      </c>
      <c r="O2" s="102">
        <f>J2*0.3937</f>
        <v>11.14</v>
      </c>
      <c r="P2" s="103">
        <f t="shared" ref="P2:P8" si="2">M2*N2*O2/1728</f>
        <v>0.677</v>
      </c>
      <c r="Q2" s="103">
        <f t="shared" ref="Q2:Q8" si="3">P2/35.315</f>
        <v>0.0192</v>
      </c>
      <c r="R2" s="103"/>
      <c r="S2" s="103">
        <f t="shared" ref="S2:S8" si="4">R2*Q2</f>
        <v>0</v>
      </c>
    </row>
    <row r="3" ht="28" customHeight="1" spans="1:19">
      <c r="A3" s="99" t="s">
        <v>16</v>
      </c>
      <c r="B3" s="99"/>
      <c r="C3" s="100" t="s">
        <v>8</v>
      </c>
      <c r="D3" s="101" t="s">
        <v>611</v>
      </c>
      <c r="E3" s="99" t="s">
        <v>612</v>
      </c>
      <c r="F3" s="99"/>
      <c r="G3" s="99"/>
      <c r="H3" s="102"/>
      <c r="I3" s="102"/>
      <c r="J3" s="99"/>
      <c r="K3" s="102">
        <f t="shared" si="0"/>
        <v>0</v>
      </c>
      <c r="L3" s="102">
        <f t="shared" si="1"/>
        <v>0</v>
      </c>
      <c r="M3" s="102">
        <f t="shared" ref="M3:O3" si="5">H3*0.3937</f>
        <v>0</v>
      </c>
      <c r="N3" s="102">
        <f t="shared" si="5"/>
        <v>0</v>
      </c>
      <c r="O3" s="102">
        <f t="shared" si="5"/>
        <v>0</v>
      </c>
      <c r="P3" s="103">
        <f t="shared" si="2"/>
        <v>0</v>
      </c>
      <c r="Q3" s="103">
        <f t="shared" si="3"/>
        <v>0</v>
      </c>
      <c r="R3" s="103"/>
      <c r="S3" s="103">
        <f t="shared" si="4"/>
        <v>0</v>
      </c>
    </row>
    <row r="4" ht="28" customHeight="1" spans="1:19">
      <c r="A4" s="99" t="s">
        <v>16</v>
      </c>
      <c r="B4" s="99" t="s">
        <v>613</v>
      </c>
      <c r="C4" s="100" t="s">
        <v>8</v>
      </c>
      <c r="D4" s="101" t="s">
        <v>614</v>
      </c>
      <c r="E4" s="99" t="s">
        <v>615</v>
      </c>
      <c r="F4" s="99"/>
      <c r="G4" s="99"/>
      <c r="H4" s="102"/>
      <c r="I4" s="102"/>
      <c r="J4" s="99"/>
      <c r="K4" s="102">
        <f t="shared" si="0"/>
        <v>0</v>
      </c>
      <c r="L4" s="102">
        <f t="shared" si="1"/>
        <v>0</v>
      </c>
      <c r="M4" s="102">
        <f t="shared" ref="M4:O4" si="6">H4*0.3937</f>
        <v>0</v>
      </c>
      <c r="N4" s="102">
        <f t="shared" si="6"/>
        <v>0</v>
      </c>
      <c r="O4" s="102">
        <f t="shared" si="6"/>
        <v>0</v>
      </c>
      <c r="P4" s="103">
        <f t="shared" si="2"/>
        <v>0</v>
      </c>
      <c r="Q4" s="103">
        <f t="shared" si="3"/>
        <v>0</v>
      </c>
      <c r="R4" s="103"/>
      <c r="S4" s="103">
        <f t="shared" si="4"/>
        <v>0</v>
      </c>
    </row>
    <row r="5" ht="28" customHeight="1" spans="1:19">
      <c r="A5" s="99" t="s">
        <v>16</v>
      </c>
      <c r="B5" s="99"/>
      <c r="C5" s="100" t="s">
        <v>6</v>
      </c>
      <c r="D5" s="101" t="s">
        <v>609</v>
      </c>
      <c r="E5" s="99" t="s">
        <v>616</v>
      </c>
      <c r="F5" s="99">
        <v>5.15</v>
      </c>
      <c r="G5" s="99">
        <v>4.68</v>
      </c>
      <c r="H5" s="102">
        <v>35.3</v>
      </c>
      <c r="I5" s="102">
        <v>27.7</v>
      </c>
      <c r="J5" s="99">
        <v>55.3</v>
      </c>
      <c r="K5" s="102">
        <f t="shared" si="0"/>
        <v>11.35</v>
      </c>
      <c r="L5" s="102">
        <f t="shared" si="1"/>
        <v>10.32</v>
      </c>
      <c r="M5" s="102">
        <f t="shared" ref="M5:O5" si="7">H5*0.3937</f>
        <v>13.9</v>
      </c>
      <c r="N5" s="102">
        <f t="shared" si="7"/>
        <v>10.91</v>
      </c>
      <c r="O5" s="102">
        <f t="shared" si="7"/>
        <v>21.77</v>
      </c>
      <c r="P5" s="103">
        <f t="shared" si="2"/>
        <v>1.9105</v>
      </c>
      <c r="Q5" s="103">
        <f t="shared" si="3"/>
        <v>0.0541</v>
      </c>
      <c r="R5" s="103">
        <v>33</v>
      </c>
      <c r="S5" s="103">
        <f t="shared" si="4"/>
        <v>1.7853</v>
      </c>
    </row>
    <row r="6" ht="28" customHeight="1" spans="1:19">
      <c r="A6" s="99" t="s">
        <v>16</v>
      </c>
      <c r="B6" s="99"/>
      <c r="C6" s="100" t="s">
        <v>6</v>
      </c>
      <c r="D6" s="101" t="s">
        <v>611</v>
      </c>
      <c r="E6" s="99" t="s">
        <v>617</v>
      </c>
      <c r="F6" s="99"/>
      <c r="G6" s="99"/>
      <c r="H6" s="102"/>
      <c r="I6" s="102"/>
      <c r="J6" s="99"/>
      <c r="K6" s="102">
        <f t="shared" si="0"/>
        <v>0</v>
      </c>
      <c r="L6" s="102">
        <f t="shared" si="1"/>
        <v>0</v>
      </c>
      <c r="M6" s="102">
        <f t="shared" ref="M6:O6" si="8">H6*0.3937</f>
        <v>0</v>
      </c>
      <c r="N6" s="102">
        <f t="shared" si="8"/>
        <v>0</v>
      </c>
      <c r="O6" s="102">
        <f t="shared" si="8"/>
        <v>0</v>
      </c>
      <c r="P6" s="103">
        <f t="shared" si="2"/>
        <v>0</v>
      </c>
      <c r="Q6" s="103">
        <f t="shared" si="3"/>
        <v>0</v>
      </c>
      <c r="R6" s="103"/>
      <c r="S6" s="103">
        <f t="shared" si="4"/>
        <v>0</v>
      </c>
    </row>
    <row r="7" ht="28" customHeight="1" spans="1:19">
      <c r="A7" s="104" t="s">
        <v>618</v>
      </c>
      <c r="B7" s="105">
        <v>6</v>
      </c>
      <c r="C7" s="100" t="s">
        <v>14</v>
      </c>
      <c r="D7" s="101" t="s">
        <v>619</v>
      </c>
      <c r="E7" s="99" t="s">
        <v>620</v>
      </c>
      <c r="F7" s="99"/>
      <c r="G7" s="99"/>
      <c r="H7" s="102"/>
      <c r="I7" s="102"/>
      <c r="J7" s="99"/>
      <c r="K7" s="102">
        <f t="shared" si="0"/>
        <v>0</v>
      </c>
      <c r="L7" s="102">
        <f t="shared" si="1"/>
        <v>0</v>
      </c>
      <c r="M7" s="102">
        <f>H7*0.3937</f>
        <v>0</v>
      </c>
      <c r="N7" s="102">
        <f>I7*0.3937</f>
        <v>0</v>
      </c>
      <c r="O7" s="102">
        <f>J7*0.3937</f>
        <v>0</v>
      </c>
      <c r="P7" s="103">
        <f t="shared" si="2"/>
        <v>0</v>
      </c>
      <c r="Q7" s="103">
        <f t="shared" si="3"/>
        <v>0</v>
      </c>
      <c r="R7" s="103"/>
      <c r="S7" s="103">
        <f t="shared" si="4"/>
        <v>0</v>
      </c>
    </row>
    <row r="8" ht="28" customHeight="1" spans="1:19">
      <c r="A8" s="106"/>
      <c r="B8" s="106"/>
      <c r="C8" s="100" t="s">
        <v>14</v>
      </c>
      <c r="D8" s="101" t="s">
        <v>621</v>
      </c>
      <c r="E8" s="99" t="s">
        <v>622</v>
      </c>
      <c r="F8" s="99"/>
      <c r="G8" s="99"/>
      <c r="H8" s="102"/>
      <c r="I8" s="102"/>
      <c r="J8" s="99"/>
      <c r="K8" s="102">
        <f t="shared" si="0"/>
        <v>0</v>
      </c>
      <c r="L8" s="102">
        <f t="shared" si="1"/>
        <v>0</v>
      </c>
      <c r="M8" s="102">
        <f>H8*0.3937</f>
        <v>0</v>
      </c>
      <c r="N8" s="102">
        <f>I8*0.3937</f>
        <v>0</v>
      </c>
      <c r="O8" s="102">
        <f>J8*0.3937</f>
        <v>0</v>
      </c>
      <c r="P8" s="103">
        <f t="shared" si="2"/>
        <v>0</v>
      </c>
      <c r="Q8" s="103">
        <f t="shared" si="3"/>
        <v>0</v>
      </c>
      <c r="R8" s="103"/>
      <c r="S8" s="103">
        <f t="shared" si="4"/>
        <v>0</v>
      </c>
    </row>
    <row r="9" ht="28" customHeight="1" spans="1:19">
      <c r="A9" s="99" t="s">
        <v>542</v>
      </c>
      <c r="B9" s="99">
        <v>12</v>
      </c>
      <c r="C9" s="100" t="s">
        <v>4</v>
      </c>
      <c r="D9" s="101" t="s">
        <v>623</v>
      </c>
      <c r="E9" s="99" t="s">
        <v>624</v>
      </c>
      <c r="F9" s="99">
        <v>2.18</v>
      </c>
      <c r="G9" s="99">
        <v>1.92</v>
      </c>
      <c r="H9" s="102">
        <v>37.6</v>
      </c>
      <c r="I9" s="102">
        <v>15.6</v>
      </c>
      <c r="J9" s="99">
        <v>25.7</v>
      </c>
      <c r="K9" s="102">
        <f t="shared" ref="K9:K16" si="9">F9*2.2046</f>
        <v>4.81</v>
      </c>
      <c r="L9" s="102">
        <f t="shared" ref="L9:L16" si="10">G9*2.2046</f>
        <v>4.23</v>
      </c>
      <c r="M9" s="102">
        <f>H9*0.3937</f>
        <v>14.8</v>
      </c>
      <c r="N9" s="102">
        <f>I9*0.3937</f>
        <v>6.14</v>
      </c>
      <c r="O9" s="102">
        <f>J9*0.3937</f>
        <v>10.12</v>
      </c>
      <c r="P9" s="103">
        <f t="shared" ref="P9:P16" si="11">M9*N9*O9/1728</f>
        <v>0.5322</v>
      </c>
      <c r="Q9" s="103">
        <f t="shared" ref="Q9:Q16" si="12">P9/35.315</f>
        <v>0.0151</v>
      </c>
      <c r="R9" s="103">
        <f>1404/12</f>
        <v>117</v>
      </c>
      <c r="S9" s="103">
        <f t="shared" ref="S9:S16" si="13">R9*Q9</f>
        <v>1.7667</v>
      </c>
    </row>
    <row r="10" ht="28" customHeight="1" spans="1:19">
      <c r="A10" s="99" t="s">
        <v>543</v>
      </c>
      <c r="B10" s="99"/>
      <c r="C10" s="100" t="s">
        <v>4</v>
      </c>
      <c r="D10" s="101" t="s">
        <v>611</v>
      </c>
      <c r="E10" s="99" t="s">
        <v>625</v>
      </c>
      <c r="F10" s="99"/>
      <c r="G10" s="99"/>
      <c r="H10" s="102"/>
      <c r="I10" s="102"/>
      <c r="J10" s="99"/>
      <c r="K10" s="102">
        <f t="shared" si="9"/>
        <v>0</v>
      </c>
      <c r="L10" s="102">
        <f t="shared" si="10"/>
        <v>0</v>
      </c>
      <c r="M10" s="102">
        <f t="shared" ref="M10:O10" si="14">H10*0.3937</f>
        <v>0</v>
      </c>
      <c r="N10" s="102">
        <f t="shared" si="14"/>
        <v>0</v>
      </c>
      <c r="O10" s="102">
        <f t="shared" si="14"/>
        <v>0</v>
      </c>
      <c r="P10" s="103">
        <f t="shared" si="11"/>
        <v>0</v>
      </c>
      <c r="Q10" s="103">
        <f t="shared" si="12"/>
        <v>0</v>
      </c>
      <c r="R10" s="103"/>
      <c r="S10" s="103">
        <f t="shared" si="13"/>
        <v>0</v>
      </c>
    </row>
    <row r="11" ht="28" customHeight="1" spans="1:19">
      <c r="A11" s="99" t="s">
        <v>544</v>
      </c>
      <c r="B11" s="99" t="s">
        <v>626</v>
      </c>
      <c r="C11" s="100" t="s">
        <v>4</v>
      </c>
      <c r="D11" s="101" t="s">
        <v>614</v>
      </c>
      <c r="E11" s="99" t="s">
        <v>627</v>
      </c>
      <c r="F11" s="99"/>
      <c r="G11" s="99"/>
      <c r="H11" s="102"/>
      <c r="I11" s="102"/>
      <c r="J11" s="99"/>
      <c r="K11" s="102"/>
      <c r="L11" s="102"/>
      <c r="M11" s="102"/>
      <c r="N11" s="102"/>
      <c r="O11" s="102"/>
      <c r="P11" s="103"/>
      <c r="Q11" s="103"/>
      <c r="R11" s="103"/>
      <c r="S11" s="103">
        <f t="shared" si="13"/>
        <v>0</v>
      </c>
    </row>
    <row r="12" ht="28" customHeight="1" spans="1:19">
      <c r="A12" s="99" t="s">
        <v>16</v>
      </c>
      <c r="B12" s="99">
        <v>3</v>
      </c>
      <c r="C12" s="100" t="s">
        <v>12</v>
      </c>
      <c r="D12" s="101" t="s">
        <v>609</v>
      </c>
      <c r="E12" s="99" t="s">
        <v>628</v>
      </c>
      <c r="F12" s="99">
        <v>2.59</v>
      </c>
      <c r="G12" s="99">
        <v>2.32</v>
      </c>
      <c r="H12" s="102">
        <v>35</v>
      </c>
      <c r="I12" s="102">
        <v>28</v>
      </c>
      <c r="J12" s="99">
        <v>28</v>
      </c>
      <c r="K12" s="102">
        <f t="shared" ref="K12:M12" si="15">F12*0.3937</f>
        <v>1.02</v>
      </c>
      <c r="L12" s="102">
        <f t="shared" si="15"/>
        <v>0.91</v>
      </c>
      <c r="M12" s="102">
        <f t="shared" si="15"/>
        <v>13.78</v>
      </c>
      <c r="N12" s="102">
        <f>K12*L12*M12/1728</f>
        <v>0.01</v>
      </c>
      <c r="O12" s="102">
        <f>N12/35.315</f>
        <v>0</v>
      </c>
      <c r="P12" s="103">
        <f t="shared" si="11"/>
        <v>0</v>
      </c>
      <c r="Q12" s="103">
        <f t="shared" si="12"/>
        <v>0</v>
      </c>
      <c r="R12" s="103"/>
      <c r="S12" s="103">
        <f t="shared" si="13"/>
        <v>0</v>
      </c>
    </row>
    <row r="13" ht="28" customHeight="1" spans="1:19">
      <c r="A13" s="99" t="s">
        <v>17</v>
      </c>
      <c r="B13" s="99">
        <v>6</v>
      </c>
      <c r="C13" s="99" t="s">
        <v>11</v>
      </c>
      <c r="D13" s="99" t="s">
        <v>629</v>
      </c>
      <c r="E13" s="99" t="s">
        <v>630</v>
      </c>
      <c r="F13" s="99">
        <v>3.59</v>
      </c>
      <c r="G13" s="99">
        <v>3.11</v>
      </c>
      <c r="H13" s="102">
        <v>32.4</v>
      </c>
      <c r="I13" s="102">
        <v>29.3</v>
      </c>
      <c r="J13" s="99">
        <v>30.5</v>
      </c>
      <c r="K13" s="102">
        <f t="shared" si="9"/>
        <v>7.91</v>
      </c>
      <c r="L13" s="102">
        <f t="shared" si="10"/>
        <v>6.86</v>
      </c>
      <c r="M13" s="102">
        <f>H13*0.3937</f>
        <v>12.76</v>
      </c>
      <c r="N13" s="102">
        <f>I13*0.3937</f>
        <v>11.54</v>
      </c>
      <c r="O13" s="102">
        <f>J13*0.3937</f>
        <v>12.01</v>
      </c>
      <c r="P13" s="103">
        <f t="shared" si="11"/>
        <v>1.0234</v>
      </c>
      <c r="Q13" s="103">
        <f t="shared" si="12"/>
        <v>0.029</v>
      </c>
      <c r="R13" s="103">
        <f>435+232</f>
        <v>667</v>
      </c>
      <c r="S13" s="103">
        <f t="shared" si="13"/>
        <v>19.343</v>
      </c>
    </row>
    <row r="14" ht="28" customHeight="1" spans="1:19">
      <c r="A14" s="99" t="s">
        <v>17</v>
      </c>
      <c r="B14" s="99"/>
      <c r="C14" s="99" t="s">
        <v>11</v>
      </c>
      <c r="D14" s="99" t="s">
        <v>631</v>
      </c>
      <c r="E14" s="99" t="s">
        <v>632</v>
      </c>
      <c r="F14" s="99"/>
      <c r="G14" s="99"/>
      <c r="H14" s="99"/>
      <c r="I14" s="99"/>
      <c r="J14" s="99"/>
      <c r="K14" s="102">
        <f t="shared" si="9"/>
        <v>0</v>
      </c>
      <c r="L14" s="102">
        <f t="shared" si="10"/>
        <v>0</v>
      </c>
      <c r="M14" s="102">
        <f t="shared" ref="M14:O14" si="16">H14*0.3937</f>
        <v>0</v>
      </c>
      <c r="N14" s="102">
        <f t="shared" si="16"/>
        <v>0</v>
      </c>
      <c r="O14" s="102">
        <f t="shared" si="16"/>
        <v>0</v>
      </c>
      <c r="P14" s="103">
        <f t="shared" si="11"/>
        <v>0</v>
      </c>
      <c r="Q14" s="103">
        <f t="shared" si="12"/>
        <v>0</v>
      </c>
      <c r="R14" s="103"/>
      <c r="S14" s="103">
        <f t="shared" si="13"/>
        <v>0</v>
      </c>
    </row>
    <row r="15" ht="28" customHeight="1" spans="1:19">
      <c r="A15" s="104" t="s">
        <v>633</v>
      </c>
      <c r="B15" s="105">
        <v>6</v>
      </c>
      <c r="C15" s="105" t="s">
        <v>634</v>
      </c>
      <c r="D15" s="101" t="s">
        <v>635</v>
      </c>
      <c r="E15" s="99" t="s">
        <v>636</v>
      </c>
      <c r="F15" s="99"/>
      <c r="G15" s="99"/>
      <c r="H15" s="99"/>
      <c r="I15" s="99"/>
      <c r="J15" s="99"/>
      <c r="K15" s="102">
        <f t="shared" si="9"/>
        <v>0</v>
      </c>
      <c r="L15" s="102">
        <f t="shared" si="10"/>
        <v>0</v>
      </c>
      <c r="M15" s="102">
        <f>H15*0.3937</f>
        <v>0</v>
      </c>
      <c r="N15" s="102">
        <f>I15*0.3937</f>
        <v>0</v>
      </c>
      <c r="O15" s="102">
        <f>J15*0.3937</f>
        <v>0</v>
      </c>
      <c r="P15" s="103">
        <f t="shared" si="11"/>
        <v>0</v>
      </c>
      <c r="Q15" s="103">
        <f t="shared" si="12"/>
        <v>0</v>
      </c>
      <c r="R15" s="103"/>
      <c r="S15" s="103">
        <f t="shared" si="13"/>
        <v>0</v>
      </c>
    </row>
    <row r="16" ht="28" customHeight="1" spans="1:19">
      <c r="A16" s="106"/>
      <c r="B16" s="106"/>
      <c r="C16" s="106"/>
      <c r="D16" s="99" t="s">
        <v>631</v>
      </c>
      <c r="E16" s="99" t="s">
        <v>637</v>
      </c>
      <c r="F16" s="99"/>
      <c r="G16" s="99"/>
      <c r="H16" s="99"/>
      <c r="I16" s="99"/>
      <c r="J16" s="99"/>
      <c r="K16" s="102">
        <f t="shared" si="9"/>
        <v>0</v>
      </c>
      <c r="L16" s="102">
        <f t="shared" si="10"/>
        <v>0</v>
      </c>
      <c r="M16" s="102">
        <f>H16*0.3937</f>
        <v>0</v>
      </c>
      <c r="N16" s="102">
        <f>I16*0.3937</f>
        <v>0</v>
      </c>
      <c r="O16" s="102">
        <f>J16*0.3937</f>
        <v>0</v>
      </c>
      <c r="P16" s="103">
        <f t="shared" si="11"/>
        <v>0</v>
      </c>
      <c r="Q16" s="103">
        <f t="shared" si="12"/>
        <v>0</v>
      </c>
      <c r="R16" s="103"/>
      <c r="S16" s="103">
        <f t="shared" si="13"/>
        <v>0</v>
      </c>
    </row>
    <row r="17" ht="28" customHeight="1" spans="1:19">
      <c r="A17" s="99" t="s">
        <v>638</v>
      </c>
      <c r="B17" s="99"/>
      <c r="C17" s="107" t="s">
        <v>639</v>
      </c>
      <c r="D17" s="99"/>
      <c r="E17" s="99"/>
      <c r="F17" s="99">
        <v>4.7</v>
      </c>
      <c r="G17" s="99">
        <v>3.81</v>
      </c>
      <c r="H17" s="99">
        <v>50.6</v>
      </c>
      <c r="I17" s="99">
        <v>32</v>
      </c>
      <c r="J17" s="99">
        <v>44.2</v>
      </c>
      <c r="K17" s="102">
        <v>2.13</v>
      </c>
      <c r="L17" s="102">
        <v>1.73</v>
      </c>
      <c r="M17" s="102">
        <v>19.92</v>
      </c>
      <c r="N17" s="102">
        <v>12.6</v>
      </c>
      <c r="O17" s="102">
        <v>17.4</v>
      </c>
      <c r="P17" s="103"/>
      <c r="Q17" s="103"/>
      <c r="R17" s="103"/>
      <c r="S17" s="103"/>
    </row>
    <row r="18" ht="28" customHeight="1" spans="1:19">
      <c r="A18" s="99" t="s">
        <v>640</v>
      </c>
      <c r="B18" s="99"/>
      <c r="C18" s="107" t="s">
        <v>20</v>
      </c>
      <c r="D18" s="99"/>
      <c r="E18" s="99"/>
      <c r="F18" s="99">
        <v>4.7</v>
      </c>
      <c r="G18" s="99">
        <v>3.81</v>
      </c>
      <c r="H18" s="99">
        <v>50.6</v>
      </c>
      <c r="I18" s="99">
        <v>32</v>
      </c>
      <c r="J18" s="99">
        <v>44.2</v>
      </c>
      <c r="K18" s="102">
        <v>2.13</v>
      </c>
      <c r="L18" s="102">
        <v>1.73</v>
      </c>
      <c r="M18" s="102">
        <v>19.92</v>
      </c>
      <c r="N18" s="102">
        <v>12.6</v>
      </c>
      <c r="O18" s="102">
        <v>17.4</v>
      </c>
      <c r="P18" s="103"/>
      <c r="Q18" s="103"/>
      <c r="R18" s="103"/>
      <c r="S18" s="103"/>
    </row>
    <row r="19" ht="28" customHeight="1" spans="1:19">
      <c r="A19" s="99" t="s">
        <v>641</v>
      </c>
      <c r="B19" s="99"/>
      <c r="C19" s="107" t="s">
        <v>642</v>
      </c>
      <c r="D19" s="99"/>
      <c r="E19" s="99"/>
      <c r="F19" s="99">
        <v>4.7</v>
      </c>
      <c r="G19" s="99">
        <v>3.81</v>
      </c>
      <c r="H19" s="99">
        <v>50.6</v>
      </c>
      <c r="I19" s="99">
        <v>32</v>
      </c>
      <c r="J19" s="99">
        <v>44.2</v>
      </c>
      <c r="K19" s="102">
        <v>2.13</v>
      </c>
      <c r="L19" s="102">
        <v>1.73</v>
      </c>
      <c r="M19" s="102">
        <v>19.92</v>
      </c>
      <c r="N19" s="102">
        <v>12.6</v>
      </c>
      <c r="O19" s="102">
        <v>17.4</v>
      </c>
      <c r="P19" s="103"/>
      <c r="Q19" s="103"/>
      <c r="R19" s="103"/>
      <c r="S19" s="103"/>
    </row>
    <row r="20" ht="28" customHeight="1" spans="1:19">
      <c r="A20" s="99" t="s">
        <v>643</v>
      </c>
      <c r="B20" s="99"/>
      <c r="C20" s="107" t="s">
        <v>23</v>
      </c>
      <c r="D20" s="99"/>
      <c r="E20" s="99"/>
      <c r="F20" s="99">
        <v>4.7</v>
      </c>
      <c r="G20" s="99">
        <v>3.81</v>
      </c>
      <c r="H20" s="99">
        <v>50.6</v>
      </c>
      <c r="I20" s="99">
        <v>32</v>
      </c>
      <c r="J20" s="99">
        <v>44.2</v>
      </c>
      <c r="K20" s="102">
        <v>2.13</v>
      </c>
      <c r="L20" s="102">
        <v>1.73</v>
      </c>
      <c r="M20" s="102">
        <v>19.92</v>
      </c>
      <c r="N20" s="102">
        <v>12.6</v>
      </c>
      <c r="O20" s="102">
        <v>17.4</v>
      </c>
      <c r="P20" s="103"/>
      <c r="Q20" s="103"/>
      <c r="R20" s="103"/>
      <c r="S20" s="103"/>
    </row>
    <row r="21" ht="28" customHeight="1" spans="1:19">
      <c r="A21" s="99" t="s">
        <v>640</v>
      </c>
      <c r="B21" s="99">
        <v>2</v>
      </c>
      <c r="C21" s="107" t="s">
        <v>22</v>
      </c>
      <c r="D21" s="99"/>
      <c r="E21" s="99" t="s">
        <v>644</v>
      </c>
      <c r="F21" s="99">
        <v>1.48</v>
      </c>
      <c r="G21" s="99">
        <v>1.09</v>
      </c>
      <c r="I21" s="99"/>
      <c r="J21" s="99"/>
      <c r="K21" s="102">
        <f t="shared" ref="K21:K25" si="17">F21*2.2046</f>
        <v>3.26</v>
      </c>
      <c r="L21" s="102">
        <f t="shared" ref="L21:L25" si="18">G21*2.2046</f>
        <v>2.4</v>
      </c>
      <c r="M21" s="102">
        <f t="shared" ref="M21:M25" si="19">H21*0.3937</f>
        <v>0</v>
      </c>
      <c r="N21" s="102">
        <f t="shared" ref="N21:N25" si="20">I21*0.3937</f>
        <v>0</v>
      </c>
      <c r="O21" s="102">
        <f t="shared" ref="O21:O25" si="21">J21*0.3937</f>
        <v>0</v>
      </c>
      <c r="P21" s="103">
        <f t="shared" ref="P21:P25" si="22">M21*N21*O21/1728</f>
        <v>0</v>
      </c>
      <c r="Q21" s="103">
        <f t="shared" ref="Q21:Q25" si="23">P21/35.315</f>
        <v>0</v>
      </c>
      <c r="R21" s="103"/>
      <c r="S21" s="103"/>
    </row>
    <row r="22" ht="28" customHeight="1" spans="1:19">
      <c r="A22" s="99" t="s">
        <v>643</v>
      </c>
      <c r="B22" s="99">
        <v>2</v>
      </c>
      <c r="C22" s="107" t="s">
        <v>25</v>
      </c>
      <c r="D22" s="99"/>
      <c r="E22" s="99" t="s">
        <v>644</v>
      </c>
      <c r="F22" s="99">
        <v>1.48</v>
      </c>
      <c r="G22" s="99">
        <v>1.09</v>
      </c>
      <c r="H22" s="99"/>
      <c r="I22" s="99"/>
      <c r="J22" s="99"/>
      <c r="K22" s="102">
        <f t="shared" si="17"/>
        <v>3.26</v>
      </c>
      <c r="L22" s="102">
        <f t="shared" si="18"/>
        <v>2.4</v>
      </c>
      <c r="M22" s="102">
        <f t="shared" si="19"/>
        <v>0</v>
      </c>
      <c r="N22" s="102">
        <f t="shared" si="20"/>
        <v>0</v>
      </c>
      <c r="O22" s="102">
        <f t="shared" si="21"/>
        <v>0</v>
      </c>
      <c r="P22" s="103">
        <f t="shared" si="22"/>
        <v>0</v>
      </c>
      <c r="Q22" s="103">
        <f t="shared" si="23"/>
        <v>0</v>
      </c>
      <c r="R22" s="103"/>
      <c r="S22" s="103"/>
    </row>
    <row r="23" ht="28" customHeight="1" spans="1:19">
      <c r="A23" s="99" t="s">
        <v>645</v>
      </c>
      <c r="B23" s="99">
        <v>2</v>
      </c>
      <c r="C23" s="107" t="s">
        <v>26</v>
      </c>
      <c r="D23" s="99"/>
      <c r="E23" s="99" t="s">
        <v>644</v>
      </c>
      <c r="F23" s="99">
        <v>1.48</v>
      </c>
      <c r="G23" s="99">
        <v>1.09</v>
      </c>
      <c r="H23" s="99"/>
      <c r="I23" s="99"/>
      <c r="J23" s="99"/>
      <c r="K23" s="102">
        <f t="shared" si="17"/>
        <v>3.26</v>
      </c>
      <c r="L23" s="102">
        <f t="shared" si="18"/>
        <v>2.4</v>
      </c>
      <c r="M23" s="102">
        <f t="shared" si="19"/>
        <v>0</v>
      </c>
      <c r="N23" s="102">
        <f t="shared" si="20"/>
        <v>0</v>
      </c>
      <c r="O23" s="102">
        <f t="shared" si="21"/>
        <v>0</v>
      </c>
      <c r="P23" s="103">
        <f t="shared" si="22"/>
        <v>0</v>
      </c>
      <c r="Q23" s="103">
        <f t="shared" si="23"/>
        <v>0</v>
      </c>
      <c r="R23" s="103"/>
      <c r="S23" s="103"/>
    </row>
    <row r="24" ht="28" customHeight="1" spans="1:19">
      <c r="A24" s="99" t="s">
        <v>646</v>
      </c>
      <c r="B24" s="99">
        <v>2</v>
      </c>
      <c r="C24" s="107" t="s">
        <v>28</v>
      </c>
      <c r="D24" s="99"/>
      <c r="E24" s="99" t="s">
        <v>644</v>
      </c>
      <c r="F24" s="99">
        <v>1.48</v>
      </c>
      <c r="G24" s="99">
        <v>1.09</v>
      </c>
      <c r="H24" s="99"/>
      <c r="I24" s="99"/>
      <c r="J24" s="99"/>
      <c r="K24" s="102">
        <f t="shared" si="17"/>
        <v>3.26</v>
      </c>
      <c r="L24" s="102">
        <f t="shared" si="18"/>
        <v>2.4</v>
      </c>
      <c r="M24" s="102">
        <f t="shared" si="19"/>
        <v>0</v>
      </c>
      <c r="N24" s="102">
        <f t="shared" si="20"/>
        <v>0</v>
      </c>
      <c r="O24" s="102">
        <f t="shared" si="21"/>
        <v>0</v>
      </c>
      <c r="P24" s="103">
        <f t="shared" si="22"/>
        <v>0</v>
      </c>
      <c r="Q24" s="103">
        <f t="shared" si="23"/>
        <v>0</v>
      </c>
      <c r="R24" s="103"/>
      <c r="S24" s="103"/>
    </row>
    <row r="25" ht="28" customHeight="1" spans="1:19">
      <c r="A25" s="99" t="s">
        <v>647</v>
      </c>
      <c r="B25" s="99">
        <v>2</v>
      </c>
      <c r="C25" s="107" t="s">
        <v>30</v>
      </c>
      <c r="D25" s="99"/>
      <c r="E25" s="99" t="s">
        <v>644</v>
      </c>
      <c r="F25" s="99">
        <v>1.48</v>
      </c>
      <c r="G25" s="99">
        <v>1.09</v>
      </c>
      <c r="H25" s="99"/>
      <c r="I25" s="99"/>
      <c r="J25" s="99"/>
      <c r="K25" s="102">
        <f t="shared" si="17"/>
        <v>3.26</v>
      </c>
      <c r="L25" s="102">
        <f t="shared" si="18"/>
        <v>2.4</v>
      </c>
      <c r="M25" s="102">
        <f t="shared" si="19"/>
        <v>0</v>
      </c>
      <c r="N25" s="102">
        <f t="shared" si="20"/>
        <v>0</v>
      </c>
      <c r="O25" s="102">
        <f t="shared" si="21"/>
        <v>0</v>
      </c>
      <c r="P25" s="103">
        <f t="shared" si="22"/>
        <v>0</v>
      </c>
      <c r="Q25" s="103">
        <f t="shared" si="23"/>
        <v>0</v>
      </c>
      <c r="R25" s="103"/>
      <c r="S25" s="103"/>
    </row>
  </sheetData>
  <sheetProtection formatCells="0" formatColumns="0" formatRows="0" insertRows="0" insertColumns="0" insertHyperlinks="0" deleteColumns="0" deleteRows="0" sort="0" autoFilter="0" pivotTables="0"/>
  <mergeCells count="5">
    <mergeCell ref="A7:A8"/>
    <mergeCell ref="A15:A16"/>
    <mergeCell ref="B7:B8"/>
    <mergeCell ref="B15:B16"/>
    <mergeCell ref="C15:C16"/>
  </mergeCells>
  <pageMargins left="0.75" right="0.75" top="1" bottom="1" header="0.5" footer="0.5"/>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2"/>
  <sheetViews>
    <sheetView workbookViewId="0">
      <pane ySplit="1" topLeftCell="A2" activePane="bottomLeft" state="frozen"/>
      <selection/>
      <selection pane="bottomLeft" activeCell="J27" sqref="J27"/>
    </sheetView>
  </sheetViews>
  <sheetFormatPr defaultColWidth="8.8" defaultRowHeight="25" customHeight="1" outlineLevelCol="5"/>
  <cols>
    <col min="1" max="1" width="13.8" style="1" customWidth="1"/>
    <col min="2" max="2" width="15.7" style="1" customWidth="1"/>
    <col min="3" max="3" width="16.9" style="1" customWidth="1"/>
    <col min="4" max="4" width="7.1" style="1" customWidth="1"/>
    <col min="5" max="16384" width="8.8" style="1"/>
  </cols>
  <sheetData>
    <row r="1" customHeight="1" spans="1:6">
      <c r="A1" s="82" t="s">
        <v>58</v>
      </c>
      <c r="B1" s="82" t="s">
        <v>238</v>
      </c>
      <c r="C1" s="82" t="s">
        <v>648</v>
      </c>
      <c r="D1" s="82" t="s">
        <v>2</v>
      </c>
      <c r="E1" s="82" t="s">
        <v>649</v>
      </c>
      <c r="F1" s="82" t="s">
        <v>650</v>
      </c>
    </row>
    <row r="2" customHeight="1" spans="1:6">
      <c r="A2" s="3" t="s">
        <v>6</v>
      </c>
      <c r="B2" s="3" t="s">
        <v>16</v>
      </c>
      <c r="C2" s="3" t="s">
        <v>651</v>
      </c>
      <c r="D2" s="3">
        <v>6</v>
      </c>
      <c r="E2" s="83">
        <v>4.5</v>
      </c>
      <c r="F2" s="83"/>
    </row>
    <row r="3" customHeight="1" spans="1:6">
      <c r="A3" s="3" t="s">
        <v>8</v>
      </c>
      <c r="B3" s="3"/>
      <c r="C3" s="3" t="s">
        <v>652</v>
      </c>
      <c r="D3" s="3">
        <v>2</v>
      </c>
      <c r="E3" s="83">
        <v>4.5</v>
      </c>
      <c r="F3" s="83"/>
    </row>
    <row r="4" customHeight="1" spans="1:6">
      <c r="A4" s="3" t="s">
        <v>12</v>
      </c>
      <c r="B4" s="3"/>
      <c r="C4" s="3"/>
      <c r="D4" s="3">
        <v>3</v>
      </c>
      <c r="E4" s="83">
        <v>5.05</v>
      </c>
      <c r="F4" s="83"/>
    </row>
    <row r="5" customHeight="1" spans="1:6">
      <c r="A5" s="3" t="s">
        <v>14</v>
      </c>
      <c r="B5" s="3"/>
      <c r="C5" s="3" t="s">
        <v>653</v>
      </c>
      <c r="D5" s="3">
        <v>6</v>
      </c>
      <c r="E5" s="83">
        <v>4.9</v>
      </c>
      <c r="F5" s="83"/>
    </row>
    <row r="6" customHeight="1" spans="1:6">
      <c r="A6" s="3" t="s">
        <v>11</v>
      </c>
      <c r="B6" s="84" t="s">
        <v>17</v>
      </c>
      <c r="C6" s="3" t="s">
        <v>654</v>
      </c>
      <c r="D6" s="3">
        <v>6</v>
      </c>
      <c r="E6" s="83">
        <v>4.52</v>
      </c>
      <c r="F6" s="83"/>
    </row>
    <row r="7" customHeight="1" spans="1:6">
      <c r="A7" s="3" t="s">
        <v>61</v>
      </c>
      <c r="B7" s="85"/>
      <c r="C7" s="3" t="s">
        <v>653</v>
      </c>
      <c r="D7" s="3">
        <v>6</v>
      </c>
      <c r="E7" s="83">
        <v>4.76</v>
      </c>
      <c r="F7" s="83"/>
    </row>
    <row r="8" customHeight="1" spans="1:6">
      <c r="A8" s="3" t="s">
        <v>4</v>
      </c>
      <c r="B8" s="3" t="s">
        <v>655</v>
      </c>
      <c r="C8" s="3" t="s">
        <v>656</v>
      </c>
      <c r="D8" s="3">
        <v>12</v>
      </c>
      <c r="E8" s="83">
        <v>2.1</v>
      </c>
      <c r="F8" s="83"/>
    </row>
    <row r="9" customHeight="1" spans="1:6">
      <c r="A9" s="3" t="s">
        <v>4</v>
      </c>
      <c r="B9" s="3"/>
      <c r="C9" s="3" t="s">
        <v>652</v>
      </c>
      <c r="D9" s="3">
        <v>12</v>
      </c>
      <c r="E9" s="83">
        <v>2.06</v>
      </c>
      <c r="F9" s="83"/>
    </row>
    <row r="10" customHeight="1" spans="1:6">
      <c r="A10" s="86" t="s">
        <v>62</v>
      </c>
      <c r="B10" s="86" t="s">
        <v>657</v>
      </c>
      <c r="C10" s="86" t="s">
        <v>658</v>
      </c>
      <c r="D10" s="86">
        <v>8</v>
      </c>
      <c r="E10" s="83">
        <v>5.88</v>
      </c>
      <c r="F10" s="83">
        <v>5.72</v>
      </c>
    </row>
    <row r="11" customHeight="1" spans="1:6">
      <c r="A11" s="87" t="s">
        <v>639</v>
      </c>
      <c r="B11" s="87" t="s">
        <v>659</v>
      </c>
      <c r="C11" s="86" t="s">
        <v>652</v>
      </c>
      <c r="D11" s="86">
        <v>8</v>
      </c>
      <c r="E11" s="83">
        <v>6.18</v>
      </c>
      <c r="F11" s="83">
        <v>6.02</v>
      </c>
    </row>
    <row r="12" customHeight="1" spans="1:6">
      <c r="A12" s="87" t="s">
        <v>20</v>
      </c>
      <c r="B12" s="87" t="s">
        <v>21</v>
      </c>
      <c r="C12" s="86" t="s">
        <v>652</v>
      </c>
      <c r="D12" s="86">
        <v>8</v>
      </c>
      <c r="E12" s="83">
        <v>6.18</v>
      </c>
      <c r="F12" s="83">
        <v>6.02</v>
      </c>
    </row>
    <row r="13" customHeight="1" spans="1:6">
      <c r="A13" s="87" t="s">
        <v>642</v>
      </c>
      <c r="B13" s="87" t="s">
        <v>660</v>
      </c>
      <c r="C13" s="86" t="s">
        <v>652</v>
      </c>
      <c r="D13" s="86">
        <v>8</v>
      </c>
      <c r="E13" s="83">
        <v>4.67</v>
      </c>
      <c r="F13" s="83">
        <v>4.51</v>
      </c>
    </row>
    <row r="14" customHeight="1" spans="1:6">
      <c r="A14" s="87" t="s">
        <v>23</v>
      </c>
      <c r="B14" s="87" t="s">
        <v>24</v>
      </c>
      <c r="C14" s="86" t="s">
        <v>652</v>
      </c>
      <c r="D14" s="86">
        <v>8</v>
      </c>
      <c r="E14" s="83">
        <v>6.5</v>
      </c>
      <c r="F14" s="83">
        <v>6.32</v>
      </c>
    </row>
    <row r="15" customHeight="1" spans="1:6">
      <c r="A15" s="87" t="s">
        <v>22</v>
      </c>
      <c r="B15" s="87" t="s">
        <v>21</v>
      </c>
      <c r="C15" s="86" t="s">
        <v>652</v>
      </c>
      <c r="D15" s="86">
        <v>2</v>
      </c>
      <c r="E15" s="83">
        <v>6.2</v>
      </c>
      <c r="F15" s="83">
        <v>5.95</v>
      </c>
    </row>
    <row r="16" customHeight="1" spans="1:6">
      <c r="A16" s="87" t="s">
        <v>25</v>
      </c>
      <c r="B16" s="87" t="s">
        <v>24</v>
      </c>
      <c r="C16" s="86" t="s">
        <v>652</v>
      </c>
      <c r="D16" s="86">
        <v>2</v>
      </c>
      <c r="E16" s="83">
        <v>6.5</v>
      </c>
      <c r="F16" s="83">
        <v>6.25</v>
      </c>
    </row>
    <row r="17" customHeight="1" spans="1:6">
      <c r="A17" s="87" t="s">
        <v>22</v>
      </c>
      <c r="B17" s="87" t="s">
        <v>21</v>
      </c>
      <c r="C17" s="86" t="s">
        <v>652</v>
      </c>
      <c r="D17" s="86">
        <v>1</v>
      </c>
      <c r="E17" s="83">
        <v>6.34</v>
      </c>
      <c r="F17" s="83">
        <v>6.09</v>
      </c>
    </row>
    <row r="18" customHeight="1" spans="1:6">
      <c r="A18" s="87" t="s">
        <v>25</v>
      </c>
      <c r="B18" s="87" t="s">
        <v>24</v>
      </c>
      <c r="C18" s="86" t="s">
        <v>652</v>
      </c>
      <c r="D18" s="86">
        <v>1</v>
      </c>
      <c r="E18" s="83">
        <v>6.64</v>
      </c>
      <c r="F18" s="83">
        <v>6.39</v>
      </c>
    </row>
    <row r="19" customHeight="1" spans="1:6">
      <c r="A19" s="87" t="s">
        <v>26</v>
      </c>
      <c r="B19" s="87" t="s">
        <v>27</v>
      </c>
      <c r="C19" s="86" t="s">
        <v>652</v>
      </c>
      <c r="D19" s="3">
        <v>2</v>
      </c>
      <c r="E19" s="83">
        <v>6.4</v>
      </c>
      <c r="F19" s="83">
        <v>6.15</v>
      </c>
    </row>
    <row r="20" customHeight="1" spans="1:6">
      <c r="A20" s="87" t="s">
        <v>28</v>
      </c>
      <c r="B20" s="87" t="s">
        <v>29</v>
      </c>
      <c r="C20" s="86" t="s">
        <v>652</v>
      </c>
      <c r="D20" s="3">
        <v>2</v>
      </c>
      <c r="E20" s="83">
        <v>6.72</v>
      </c>
      <c r="F20" s="83">
        <v>6.47</v>
      </c>
    </row>
    <row r="21" customHeight="1" spans="1:6">
      <c r="A21" s="87" t="s">
        <v>30</v>
      </c>
      <c r="B21" s="87" t="s">
        <v>31</v>
      </c>
      <c r="C21" s="86" t="s">
        <v>652</v>
      </c>
      <c r="D21" s="3">
        <v>2</v>
      </c>
      <c r="E21" s="83">
        <v>5.84</v>
      </c>
      <c r="F21" s="83">
        <v>5.59</v>
      </c>
    </row>
    <row r="22" customHeight="1" spans="1:6">
      <c r="A22" s="3" t="s">
        <v>34</v>
      </c>
      <c r="B22" s="3" t="s">
        <v>35</v>
      </c>
      <c r="C22" s="86" t="s">
        <v>658</v>
      </c>
      <c r="D22" s="3">
        <v>12</v>
      </c>
      <c r="E22" s="83">
        <v>1.82</v>
      </c>
      <c r="F22" s="83">
        <v>1.8</v>
      </c>
    </row>
  </sheetData>
  <sheetProtection formatCells="0" formatColumns="0" formatRows="0" insertRows="0" insertColumns="0" insertHyperlinks="0" deleteColumns="0" deleteRows="0" sort="0" autoFilter="0" pivotTables="0"/>
  <mergeCells count="3">
    <mergeCell ref="B2:B5"/>
    <mergeCell ref="B6:B7"/>
    <mergeCell ref="B8:B9"/>
  </mergeCell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R24"/>
  <sheetViews>
    <sheetView zoomScale="85" zoomScaleNormal="85" topLeftCell="A5" workbookViewId="0">
      <selection activeCell="S22" sqref="S22"/>
    </sheetView>
  </sheetViews>
  <sheetFormatPr defaultColWidth="8.8" defaultRowHeight="25" customHeight="1"/>
  <cols>
    <col min="1" max="1" width="17.2" customWidth="1"/>
    <col min="3" max="12" width="9.5" customWidth="1"/>
  </cols>
  <sheetData>
    <row r="2" customHeight="1" spans="1:18">
      <c r="A2" s="77" t="s">
        <v>35</v>
      </c>
      <c r="B2" s="78"/>
      <c r="C2" s="78"/>
      <c r="D2" s="78"/>
      <c r="E2" s="78"/>
      <c r="F2" s="78"/>
      <c r="G2" s="78"/>
      <c r="H2" s="78"/>
      <c r="I2" s="78"/>
      <c r="J2" s="78"/>
      <c r="K2" s="78"/>
      <c r="L2" s="78"/>
      <c r="M2" s="78"/>
      <c r="N2" s="79"/>
      <c r="O2" s="79"/>
      <c r="P2" s="79"/>
      <c r="Q2" s="79"/>
      <c r="R2" s="79"/>
    </row>
    <row r="3" customHeight="1" spans="1:18">
      <c r="A3" s="77"/>
      <c r="B3" s="78"/>
      <c r="C3" s="78"/>
      <c r="D3" s="78"/>
      <c r="E3" s="78"/>
      <c r="F3" s="78"/>
      <c r="G3" s="78"/>
      <c r="H3" s="78"/>
      <c r="I3" s="78"/>
      <c r="J3" s="78"/>
      <c r="K3" s="78"/>
      <c r="L3" s="78"/>
      <c r="M3" s="78"/>
      <c r="N3" s="79"/>
      <c r="O3" s="79"/>
      <c r="P3" s="79"/>
      <c r="Q3" s="79"/>
      <c r="R3" s="79"/>
    </row>
    <row r="4" customHeight="1" spans="1:18">
      <c r="A4" s="77"/>
      <c r="B4" s="78"/>
      <c r="C4" s="78"/>
      <c r="D4" s="78"/>
      <c r="E4" s="78"/>
      <c r="F4" s="78"/>
      <c r="G4" s="78"/>
      <c r="H4" s="78"/>
      <c r="I4" s="78"/>
      <c r="J4" s="78"/>
      <c r="K4" s="78"/>
      <c r="L4" s="78"/>
      <c r="M4" s="78"/>
      <c r="N4" s="79"/>
      <c r="O4" s="79"/>
      <c r="P4" s="79"/>
      <c r="Q4" s="79"/>
      <c r="R4" s="79"/>
    </row>
    <row r="5" customHeight="1" spans="1:18">
      <c r="A5" s="77"/>
      <c r="B5" s="78"/>
      <c r="C5" s="78"/>
      <c r="D5" s="78"/>
      <c r="E5" s="78"/>
      <c r="F5" s="78"/>
      <c r="G5" s="78"/>
      <c r="H5" s="78"/>
      <c r="I5" s="78"/>
      <c r="J5" s="78"/>
      <c r="K5" s="78"/>
      <c r="L5" s="78"/>
      <c r="M5" s="78"/>
      <c r="N5" s="79"/>
      <c r="O5" s="79"/>
      <c r="P5" s="79"/>
      <c r="Q5" s="79"/>
      <c r="R5" s="79"/>
    </row>
    <row r="6" customHeight="1" spans="1:18">
      <c r="A6" s="77"/>
      <c r="B6" s="78"/>
      <c r="C6" s="78"/>
      <c r="D6" s="78"/>
      <c r="E6" s="78"/>
      <c r="F6" s="78"/>
      <c r="G6" s="78"/>
      <c r="H6" s="78"/>
      <c r="I6" s="78"/>
      <c r="J6" s="78"/>
      <c r="K6" s="78"/>
      <c r="L6" s="78"/>
      <c r="M6" s="78"/>
      <c r="N6" s="79"/>
      <c r="O6" s="79"/>
      <c r="P6" s="79"/>
      <c r="Q6" s="79"/>
      <c r="R6" s="79"/>
    </row>
    <row r="7" customHeight="1" spans="1:18">
      <c r="A7" s="77"/>
      <c r="B7" s="78"/>
      <c r="C7" s="78"/>
      <c r="D7" s="78"/>
      <c r="E7" s="78"/>
      <c r="F7" s="78"/>
      <c r="G7" s="78"/>
      <c r="H7" s="78"/>
      <c r="I7" s="78"/>
      <c r="J7" s="78"/>
      <c r="K7" s="78"/>
      <c r="L7" s="78"/>
      <c r="M7" s="78"/>
      <c r="N7" s="79"/>
      <c r="O7" s="79"/>
      <c r="P7" s="79"/>
      <c r="Q7" s="79"/>
      <c r="R7" s="79"/>
    </row>
    <row r="8" customHeight="1" spans="1:18">
      <c r="A8" s="77"/>
      <c r="B8" s="78"/>
      <c r="C8" s="78"/>
      <c r="D8" s="78"/>
      <c r="E8" s="78"/>
      <c r="F8" s="78"/>
      <c r="G8" s="78"/>
      <c r="H8" s="78"/>
      <c r="I8" s="78"/>
      <c r="J8" s="78"/>
      <c r="K8" s="78"/>
      <c r="L8" s="78"/>
      <c r="M8" s="78"/>
      <c r="N8" s="79"/>
      <c r="O8" s="79"/>
      <c r="P8" s="79"/>
      <c r="Q8" s="79"/>
      <c r="R8" s="79"/>
    </row>
    <row r="9" customHeight="1" spans="1:18">
      <c r="A9" s="77"/>
      <c r="B9" s="78"/>
      <c r="C9" s="78"/>
      <c r="D9" s="78"/>
      <c r="E9" s="78"/>
      <c r="F9" s="78"/>
      <c r="G9" s="78"/>
      <c r="H9" s="78"/>
      <c r="I9" s="78"/>
      <c r="J9" s="78"/>
      <c r="K9" s="78"/>
      <c r="L9" s="78"/>
      <c r="M9" s="78"/>
      <c r="N9" s="79"/>
      <c r="O9" s="79"/>
      <c r="P9" s="79"/>
      <c r="Q9" s="79"/>
      <c r="R9" s="79"/>
    </row>
    <row r="10" customHeight="1" spans="1:18">
      <c r="A10" s="77"/>
      <c r="B10" s="78"/>
      <c r="C10" s="78"/>
      <c r="D10" s="78"/>
      <c r="E10" s="78"/>
      <c r="F10" s="78"/>
      <c r="G10" s="78"/>
      <c r="H10" s="78"/>
      <c r="I10" s="78"/>
      <c r="J10" s="78"/>
      <c r="K10" s="78"/>
      <c r="L10" s="78"/>
      <c r="M10" s="78"/>
      <c r="N10" s="79"/>
      <c r="O10" s="79"/>
      <c r="P10" s="79"/>
      <c r="Q10" s="79"/>
      <c r="R10" s="79"/>
    </row>
    <row r="11" customHeight="1" spans="1:18">
      <c r="A11" s="77"/>
      <c r="B11" s="78"/>
      <c r="C11" s="78"/>
      <c r="D11" s="78"/>
      <c r="E11" s="78"/>
      <c r="F11" s="78"/>
      <c r="G11" s="78"/>
      <c r="H11" s="78"/>
      <c r="I11" s="78"/>
      <c r="J11" s="78"/>
      <c r="K11" s="78"/>
      <c r="L11" s="78"/>
      <c r="M11" s="78"/>
      <c r="N11" s="79"/>
      <c r="O11" s="79"/>
      <c r="P11" s="79"/>
      <c r="Q11" s="79"/>
      <c r="R11" s="79"/>
    </row>
    <row r="12" customHeight="1" spans="1:18">
      <c r="A12" s="77"/>
      <c r="B12" s="78"/>
      <c r="C12" s="78"/>
      <c r="D12" s="78"/>
      <c r="E12" s="78"/>
      <c r="F12" s="78"/>
      <c r="G12" s="78"/>
      <c r="H12" s="78"/>
      <c r="I12" s="78"/>
      <c r="J12" s="78"/>
      <c r="K12" s="78"/>
      <c r="L12" s="78"/>
      <c r="M12" s="78"/>
      <c r="N12" s="79"/>
      <c r="O12" s="79"/>
      <c r="P12" s="79"/>
      <c r="Q12" s="79"/>
      <c r="R12" s="79"/>
    </row>
    <row r="13" customHeight="1" spans="1:18">
      <c r="A13" s="80"/>
      <c r="B13" s="79"/>
      <c r="C13" s="79"/>
      <c r="D13" s="81">
        <v>0.152777777777778</v>
      </c>
      <c r="E13" s="81">
        <v>0.152777777777778</v>
      </c>
      <c r="F13" s="81">
        <v>0.152777777777778</v>
      </c>
      <c r="G13" s="81">
        <v>0.152777777777778</v>
      </c>
      <c r="H13" s="81">
        <v>0.152777777777778</v>
      </c>
      <c r="I13" s="81">
        <v>0.152777777777778</v>
      </c>
      <c r="J13" s="81">
        <v>0.0833333333333333</v>
      </c>
      <c r="K13" s="79"/>
      <c r="L13" s="79"/>
      <c r="M13" s="79"/>
      <c r="N13" s="79"/>
      <c r="O13" s="79"/>
      <c r="P13" s="79"/>
      <c r="Q13" s="79"/>
      <c r="R13" s="79"/>
    </row>
    <row r="14" customHeight="1" spans="1:18">
      <c r="A14" s="80"/>
      <c r="B14" s="79"/>
      <c r="C14" s="79" t="s">
        <v>661</v>
      </c>
      <c r="D14" s="79">
        <v>1</v>
      </c>
      <c r="E14">
        <v>2</v>
      </c>
      <c r="F14">
        <v>2</v>
      </c>
      <c r="G14">
        <v>2</v>
      </c>
      <c r="H14">
        <v>2</v>
      </c>
      <c r="I14">
        <v>2</v>
      </c>
      <c r="J14" s="79">
        <v>1</v>
      </c>
      <c r="K14" s="79"/>
      <c r="L14" s="79"/>
      <c r="M14" s="79"/>
      <c r="N14" s="79"/>
      <c r="O14" s="79"/>
      <c r="P14" s="79"/>
      <c r="Q14" s="79"/>
      <c r="R14" s="79"/>
    </row>
    <row r="15" customHeight="1" spans="1:18">
      <c r="C15" t="s">
        <v>662</v>
      </c>
      <c r="D15">
        <v>2</v>
      </c>
      <c r="E15" s="79">
        <v>1</v>
      </c>
      <c r="F15">
        <v>2</v>
      </c>
      <c r="G15">
        <v>2</v>
      </c>
      <c r="H15">
        <v>2</v>
      </c>
      <c r="I15">
        <v>2</v>
      </c>
      <c r="J15" s="79">
        <v>1</v>
      </c>
    </row>
    <row r="16" customHeight="1" spans="1:18">
      <c r="C16" t="s">
        <v>663</v>
      </c>
      <c r="D16">
        <v>2</v>
      </c>
      <c r="E16">
        <v>2</v>
      </c>
      <c r="F16" s="79">
        <v>1</v>
      </c>
      <c r="G16">
        <v>2</v>
      </c>
      <c r="H16">
        <v>2</v>
      </c>
      <c r="I16">
        <v>2</v>
      </c>
      <c r="J16" s="79">
        <v>1</v>
      </c>
    </row>
    <row r="17" customHeight="1" spans="3:10">
      <c r="C17" t="s">
        <v>664</v>
      </c>
      <c r="D17">
        <v>2</v>
      </c>
      <c r="E17">
        <v>2</v>
      </c>
      <c r="F17">
        <v>2</v>
      </c>
      <c r="G17" s="79">
        <v>1</v>
      </c>
      <c r="H17">
        <v>2</v>
      </c>
      <c r="I17">
        <v>2</v>
      </c>
      <c r="J17" s="79">
        <v>1</v>
      </c>
    </row>
    <row r="18" customHeight="1" spans="3:10">
      <c r="C18" t="s">
        <v>665</v>
      </c>
      <c r="D18">
        <v>2</v>
      </c>
      <c r="E18">
        <v>2</v>
      </c>
      <c r="F18">
        <v>2</v>
      </c>
      <c r="G18">
        <v>2</v>
      </c>
      <c r="H18" s="79">
        <v>1</v>
      </c>
      <c r="I18">
        <v>2</v>
      </c>
      <c r="J18" s="79">
        <v>1</v>
      </c>
    </row>
    <row r="19" customHeight="1" spans="3:10">
      <c r="C19" t="s">
        <v>666</v>
      </c>
      <c r="D19">
        <v>2</v>
      </c>
      <c r="E19">
        <v>2</v>
      </c>
      <c r="F19">
        <v>2</v>
      </c>
      <c r="G19">
        <v>2</v>
      </c>
      <c r="H19">
        <v>2</v>
      </c>
      <c r="I19" s="79">
        <v>1</v>
      </c>
      <c r="J19" s="79">
        <v>1</v>
      </c>
    </row>
    <row r="20" customHeight="1" spans="3:10">
      <c r="D20" s="81"/>
    </row>
    <row r="21" customHeight="1" spans="3:10">
      <c r="D21" s="81"/>
      <c r="E21" s="81"/>
      <c r="F21" s="81"/>
      <c r="G21" s="81"/>
      <c r="H21" s="81"/>
      <c r="I21" s="81"/>
      <c r="J21" s="81"/>
    </row>
    <row r="22" customHeight="1" spans="3:10">
      <c r="D22" s="79"/>
      <c r="E22" s="79"/>
      <c r="F22" s="79"/>
      <c r="G22" s="79"/>
      <c r="H22" s="79"/>
      <c r="I22" s="79"/>
      <c r="J22" s="79"/>
    </row>
    <row r="23" customHeight="1" spans="3:10">
      <c r="D23" s="79"/>
      <c r="E23" s="79"/>
      <c r="F23" s="79"/>
      <c r="G23" s="79"/>
      <c r="H23" s="79"/>
      <c r="I23" s="79"/>
      <c r="J23" s="79"/>
    </row>
    <row r="24" customHeight="1" spans="3:10">
      <c r="D24" s="79"/>
      <c r="E24" s="79"/>
      <c r="F24" s="79"/>
      <c r="G24" s="79"/>
      <c r="H24" s="79"/>
      <c r="I24" s="79"/>
      <c r="J24" s="79"/>
    </row>
  </sheetData>
  <sheetProtection formatCells="0" formatColumns="0" formatRows="0" insertRows="0" insertColumns="0" insertHyperlinks="0" deleteColumns="0" deleteRows="0" sort="0" autoFilter="0" pivotTables="0"/>
  <mergeCells count="2">
    <mergeCell ref="A2:A12"/>
    <mergeCell ref="B2:M12"/>
  </mergeCells>
  <pageMargins left="0.75" right="0.75" top="1" bottom="1" header="0.5" footer="0.5"/>
  <pageSetup paperSize="9"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848"/>
  <sheetViews>
    <sheetView workbookViewId="0">
      <selection activeCell="I6" sqref="I6"/>
    </sheetView>
  </sheetViews>
  <sheetFormatPr defaultColWidth="15.625" defaultRowHeight="20" customHeight="1"/>
  <cols>
    <col min="1" max="4" width="15.625" style="11" customWidth="1"/>
    <col min="5" max="9" width="15.625" style="14" customWidth="1"/>
    <col min="10" max="11" width="15.625" style="11" customWidth="1"/>
    <col min="12" max="12" width="15.625" style="12" customWidth="1"/>
    <col min="13" max="15" width="15.625" style="11" customWidth="1"/>
    <col min="16" max="16" width="10.625" style="11" customWidth="1"/>
    <col min="17" max="16384" width="15.625" style="11"/>
  </cols>
  <sheetData>
    <row r="1" customHeight="1" spans="1:14">
      <c r="A1" s="18" t="s">
        <v>667</v>
      </c>
      <c r="B1" s="19" t="s">
        <v>668</v>
      </c>
      <c r="C1" s="19" t="s">
        <v>669</v>
      </c>
      <c r="D1" s="20" t="s">
        <v>670</v>
      </c>
      <c r="E1" s="20" t="s">
        <v>671</v>
      </c>
      <c r="F1" s="21" t="s">
        <v>672</v>
      </c>
      <c r="G1" s="18" t="s">
        <v>667</v>
      </c>
      <c r="H1" s="32" t="s">
        <v>673</v>
      </c>
      <c r="I1" s="19" t="s">
        <v>669</v>
      </c>
      <c r="J1" s="33" t="s">
        <v>674</v>
      </c>
      <c r="K1" s="34" t="s">
        <v>675</v>
      </c>
      <c r="L1" s="20" t="s">
        <v>676</v>
      </c>
      <c r="M1" s="20" t="s">
        <v>677</v>
      </c>
      <c r="N1" s="13"/>
    </row>
    <row r="2" s="11" customFormat="1" customHeight="1" spans="1:14">
      <c r="A2" s="22" t="s">
        <v>6</v>
      </c>
      <c r="B2" s="23">
        <f>160000-102664+150000</f>
        <v>207336</v>
      </c>
      <c r="C2" s="24">
        <v>4.5</v>
      </c>
      <c r="D2" s="24">
        <f t="shared" ref="D2:D17" si="0">(B2*C2)*0.3</f>
        <v>279903.6</v>
      </c>
      <c r="E2" s="24">
        <f t="shared" ref="E2:E21" si="1">D2*7.75</f>
        <v>2169252.9</v>
      </c>
      <c r="F2" s="25"/>
      <c r="G2" s="22" t="s">
        <v>9</v>
      </c>
      <c r="H2" s="23">
        <v>5004</v>
      </c>
      <c r="I2" s="24">
        <v>4.52</v>
      </c>
      <c r="J2" s="24">
        <v>4.52</v>
      </c>
      <c r="K2" s="39">
        <f>I2-J2</f>
        <v>0</v>
      </c>
      <c r="L2" s="24">
        <f>(H2*J2)-(H2*I2*0.3)</f>
        <v>15832.66</v>
      </c>
      <c r="M2" s="24">
        <f t="shared" ref="M2:M12" si="2">L2*7.75</f>
        <v>122703.12</v>
      </c>
      <c r="N2" s="11" t="s">
        <v>678</v>
      </c>
    </row>
    <row r="3" s="11" customFormat="1" customHeight="1" spans="1:14">
      <c r="A3" s="22" t="s">
        <v>9</v>
      </c>
      <c r="B3" s="23">
        <v>45000</v>
      </c>
      <c r="C3" s="24">
        <v>4.52</v>
      </c>
      <c r="D3" s="24">
        <f t="shared" si="0"/>
        <v>61020</v>
      </c>
      <c r="E3" s="24">
        <f t="shared" si="1"/>
        <v>472905</v>
      </c>
      <c r="F3" s="25"/>
      <c r="G3" s="22" t="s">
        <v>4</v>
      </c>
      <c r="H3" s="23">
        <v>15924</v>
      </c>
      <c r="I3" s="24">
        <v>2.1</v>
      </c>
      <c r="J3" s="24">
        <v>2.1</v>
      </c>
      <c r="K3" s="39">
        <f t="shared" ref="K2:K8" si="3">I3-J3</f>
        <v>0</v>
      </c>
      <c r="L3" s="24">
        <f>(H3*J3)-(H3*I3*0.3)</f>
        <v>23408.28</v>
      </c>
      <c r="M3" s="24">
        <f t="shared" si="2"/>
        <v>181414.17</v>
      </c>
      <c r="N3" s="11" t="s">
        <v>678</v>
      </c>
    </row>
    <row r="4" s="11" customFormat="1" customHeight="1" spans="1:14">
      <c r="A4" s="22" t="s">
        <v>4</v>
      </c>
      <c r="B4" s="23">
        <f>84999+40287</f>
        <v>125286</v>
      </c>
      <c r="C4" s="24">
        <v>2.1</v>
      </c>
      <c r="D4" s="24">
        <f t="shared" si="0"/>
        <v>78930.18</v>
      </c>
      <c r="E4" s="24">
        <f t="shared" si="1"/>
        <v>611708.9</v>
      </c>
      <c r="F4" s="26"/>
      <c r="G4" s="22" t="s">
        <v>4</v>
      </c>
      <c r="H4" s="23">
        <v>15924</v>
      </c>
      <c r="I4" s="24">
        <v>2.1</v>
      </c>
      <c r="J4" s="24">
        <v>2.1</v>
      </c>
      <c r="K4" s="39">
        <f t="shared" si="3"/>
        <v>0</v>
      </c>
      <c r="L4" s="24">
        <f t="shared" ref="L2:L12" si="4">(H4*J4)-(H4*I4*0.3)</f>
        <v>23408.28</v>
      </c>
      <c r="M4" s="24">
        <f t="shared" si="2"/>
        <v>181414.17</v>
      </c>
      <c r="N4" s="11" t="s">
        <v>678</v>
      </c>
    </row>
    <row r="5" s="11" customFormat="1" customHeight="1" spans="1:14">
      <c r="A5" s="22" t="s">
        <v>4</v>
      </c>
      <c r="B5" s="23">
        <f>37000*3</f>
        <v>111000</v>
      </c>
      <c r="C5" s="24">
        <v>2.1</v>
      </c>
      <c r="D5" s="24">
        <f t="shared" si="0"/>
        <v>69930</v>
      </c>
      <c r="E5" s="24">
        <f t="shared" si="1"/>
        <v>541957.5</v>
      </c>
      <c r="F5" s="25"/>
      <c r="G5" s="22" t="s">
        <v>4</v>
      </c>
      <c r="H5" s="23">
        <v>15924</v>
      </c>
      <c r="I5" s="24">
        <v>2.1</v>
      </c>
      <c r="J5" s="24">
        <v>2.1</v>
      </c>
      <c r="K5" s="39">
        <f t="shared" si="3"/>
        <v>0</v>
      </c>
      <c r="L5" s="24">
        <f t="shared" si="4"/>
        <v>23408.28</v>
      </c>
      <c r="M5" s="24">
        <f t="shared" si="2"/>
        <v>181414.17</v>
      </c>
      <c r="N5" s="11" t="s">
        <v>678</v>
      </c>
    </row>
    <row r="6" s="11" customFormat="1" customHeight="1" spans="1:14">
      <c r="A6" s="22" t="s">
        <v>4</v>
      </c>
      <c r="B6" s="23">
        <f>16667*3</f>
        <v>50001</v>
      </c>
      <c r="C6" s="24">
        <v>2.1</v>
      </c>
      <c r="D6" s="24">
        <f t="shared" si="0"/>
        <v>31500.63</v>
      </c>
      <c r="E6" s="24">
        <f t="shared" si="1"/>
        <v>244129.88</v>
      </c>
      <c r="F6" s="25"/>
      <c r="G6" s="22" t="s">
        <v>6</v>
      </c>
      <c r="H6" s="23">
        <v>9492</v>
      </c>
      <c r="I6" s="24">
        <v>4.5</v>
      </c>
      <c r="J6" s="24">
        <v>3.55</v>
      </c>
      <c r="K6" s="39">
        <f t="shared" si="3"/>
        <v>0.95</v>
      </c>
      <c r="L6" s="24">
        <f t="shared" si="4"/>
        <v>20882.4</v>
      </c>
      <c r="M6" s="24">
        <f t="shared" si="2"/>
        <v>161838.6</v>
      </c>
      <c r="N6" s="11" t="s">
        <v>679</v>
      </c>
    </row>
    <row r="7" s="11" customFormat="1" customHeight="1" spans="1:14">
      <c r="A7" s="22" t="s">
        <v>4</v>
      </c>
      <c r="B7" s="23">
        <f>44253</f>
        <v>44253</v>
      </c>
      <c r="C7" s="24">
        <v>2.1</v>
      </c>
      <c r="D7" s="24">
        <f t="shared" si="0"/>
        <v>27879.39</v>
      </c>
      <c r="E7" s="24">
        <f t="shared" si="1"/>
        <v>216065.27</v>
      </c>
      <c r="F7" s="26"/>
      <c r="G7" s="22" t="s">
        <v>6</v>
      </c>
      <c r="H7" s="23">
        <v>35288</v>
      </c>
      <c r="I7" s="24">
        <v>4.5</v>
      </c>
      <c r="J7" s="24">
        <v>3.55</v>
      </c>
      <c r="K7" s="39">
        <f t="shared" si="3"/>
        <v>0.95</v>
      </c>
      <c r="L7" s="24">
        <f t="shared" si="4"/>
        <v>77633.6</v>
      </c>
      <c r="M7" s="24">
        <f t="shared" si="2"/>
        <v>601660.4</v>
      </c>
      <c r="N7" s="11" t="s">
        <v>679</v>
      </c>
    </row>
    <row r="8" s="11" customFormat="1" customHeight="1" spans="1:14">
      <c r="A8" s="22" t="s">
        <v>4</v>
      </c>
      <c r="B8" s="23">
        <v>66384</v>
      </c>
      <c r="C8" s="24">
        <v>2.1</v>
      </c>
      <c r="D8" s="24">
        <f t="shared" si="0"/>
        <v>41821.92</v>
      </c>
      <c r="E8" s="24">
        <f t="shared" si="1"/>
        <v>324119.88</v>
      </c>
      <c r="F8" s="27">
        <v>45863</v>
      </c>
      <c r="G8" s="22" t="s">
        <v>9</v>
      </c>
      <c r="H8" s="23">
        <v>11922</v>
      </c>
      <c r="I8" s="24">
        <v>4.52</v>
      </c>
      <c r="J8" s="24">
        <v>3.66</v>
      </c>
      <c r="K8" s="39">
        <f t="shared" si="3"/>
        <v>0.86</v>
      </c>
      <c r="L8" s="24">
        <f t="shared" si="4"/>
        <v>27468.29</v>
      </c>
      <c r="M8" s="24">
        <f t="shared" si="2"/>
        <v>212879.25</v>
      </c>
      <c r="N8" s="11" t="s">
        <v>679</v>
      </c>
    </row>
    <row r="9" s="11" customFormat="1" customHeight="1" spans="1:14">
      <c r="A9" s="23" t="s">
        <v>18</v>
      </c>
      <c r="B9" s="23">
        <v>60000</v>
      </c>
      <c r="C9" s="24">
        <v>2.1</v>
      </c>
      <c r="D9" s="24">
        <f t="shared" si="0"/>
        <v>37800</v>
      </c>
      <c r="E9" s="24">
        <f t="shared" si="1"/>
        <v>292950</v>
      </c>
      <c r="F9" s="27">
        <v>45898</v>
      </c>
      <c r="G9" s="23"/>
      <c r="H9" s="23"/>
      <c r="I9" s="24"/>
      <c r="J9" s="24"/>
      <c r="K9" s="39"/>
      <c r="L9" s="24">
        <f t="shared" si="4"/>
        <v>0</v>
      </c>
      <c r="M9" s="24">
        <f t="shared" si="2"/>
        <v>0</v>
      </c>
    </row>
    <row r="10" s="11" customFormat="1" customHeight="1" spans="1:14">
      <c r="A10" s="23" t="s">
        <v>20</v>
      </c>
      <c r="B10" s="23">
        <v>6500</v>
      </c>
      <c r="C10" s="24">
        <v>6.34</v>
      </c>
      <c r="D10" s="24">
        <f t="shared" si="0"/>
        <v>12363</v>
      </c>
      <c r="E10" s="24">
        <f t="shared" si="1"/>
        <v>95813.25</v>
      </c>
      <c r="F10" s="27">
        <v>45973</v>
      </c>
      <c r="G10" s="23"/>
      <c r="H10" s="23"/>
      <c r="I10" s="24"/>
      <c r="J10" s="24"/>
      <c r="K10" s="39"/>
      <c r="L10" s="24">
        <f t="shared" si="4"/>
        <v>0</v>
      </c>
      <c r="M10" s="24">
        <f t="shared" si="2"/>
        <v>0</v>
      </c>
    </row>
    <row r="11" s="11" customFormat="1" customHeight="1" spans="1:14">
      <c r="A11" s="23" t="s">
        <v>23</v>
      </c>
      <c r="B11" s="23">
        <v>6500</v>
      </c>
      <c r="C11" s="24">
        <v>6.64</v>
      </c>
      <c r="D11" s="24">
        <f t="shared" si="0"/>
        <v>12948</v>
      </c>
      <c r="E11" s="24">
        <f t="shared" si="1"/>
        <v>100347</v>
      </c>
      <c r="F11" s="27">
        <v>45973</v>
      </c>
      <c r="G11" s="23"/>
      <c r="H11" s="23"/>
      <c r="I11" s="24"/>
      <c r="J11" s="24"/>
      <c r="K11" s="39"/>
      <c r="L11" s="24">
        <f t="shared" si="4"/>
        <v>0</v>
      </c>
      <c r="M11" s="24">
        <f t="shared" si="2"/>
        <v>0</v>
      </c>
    </row>
    <row r="12" s="11" customFormat="1" customHeight="1" spans="1:14">
      <c r="A12" s="23" t="s">
        <v>8</v>
      </c>
      <c r="B12" s="23"/>
      <c r="C12" s="24">
        <v>4.5</v>
      </c>
      <c r="D12" s="24">
        <f t="shared" si="0"/>
        <v>0</v>
      </c>
      <c r="E12" s="24">
        <f t="shared" si="1"/>
        <v>0</v>
      </c>
      <c r="F12" s="26"/>
      <c r="G12" s="23"/>
      <c r="H12" s="23"/>
      <c r="I12" s="24"/>
      <c r="J12" s="24"/>
      <c r="K12" s="39"/>
      <c r="L12" s="24">
        <f t="shared" si="4"/>
        <v>0</v>
      </c>
      <c r="M12" s="24">
        <f t="shared" si="2"/>
        <v>0</v>
      </c>
    </row>
    <row r="13" s="11" customFormat="1" customHeight="1" spans="1:14">
      <c r="A13" s="23" t="s">
        <v>14</v>
      </c>
      <c r="B13" s="23"/>
      <c r="C13" s="24">
        <v>4.5</v>
      </c>
      <c r="D13" s="24">
        <f t="shared" si="0"/>
        <v>0</v>
      </c>
      <c r="E13" s="24">
        <f t="shared" si="1"/>
        <v>0</v>
      </c>
      <c r="F13" s="26"/>
      <c r="G13" s="28" t="s">
        <v>680</v>
      </c>
      <c r="H13" s="28">
        <f>SUM(H2:H12)</f>
        <v>109478</v>
      </c>
      <c r="I13" s="28"/>
      <c r="J13" s="28"/>
      <c r="K13" s="28"/>
      <c r="L13" s="29">
        <f>SUM(L2:L12)</f>
        <v>212041.79</v>
      </c>
      <c r="M13" s="29">
        <f>SUM(M2:M12)</f>
        <v>1643323.88</v>
      </c>
    </row>
    <row r="14" s="11" customFormat="1" customHeight="1" spans="1:14">
      <c r="A14" s="23" t="s">
        <v>12</v>
      </c>
      <c r="B14" s="23"/>
      <c r="C14" s="24">
        <v>4.5</v>
      </c>
      <c r="D14" s="24">
        <f t="shared" si="0"/>
        <v>0</v>
      </c>
      <c r="E14" s="24">
        <f t="shared" si="1"/>
        <v>0</v>
      </c>
      <c r="F14" s="26"/>
      <c r="H14" s="11">
        <f>H13-已收费半成品及成品!F9</f>
        <v>0</v>
      </c>
      <c r="L14" s="11">
        <f>L13-已收费半成品及成品!G9</f>
        <v>0</v>
      </c>
    </row>
    <row r="15" s="11" customFormat="1" customHeight="1" spans="1:14">
      <c r="A15" s="23" t="s">
        <v>32</v>
      </c>
      <c r="B15" s="23"/>
      <c r="C15" s="23">
        <v>6.67</v>
      </c>
      <c r="D15" s="24">
        <f t="shared" si="0"/>
        <v>0</v>
      </c>
      <c r="E15" s="24">
        <f t="shared" si="1"/>
        <v>0</v>
      </c>
      <c r="F15" s="26"/>
    </row>
    <row r="16" s="11" customFormat="1" customHeight="1" spans="1:14">
      <c r="A16" s="23" t="s">
        <v>39</v>
      </c>
      <c r="B16" s="23">
        <v>9568</v>
      </c>
      <c r="C16" s="24">
        <v>5.6</v>
      </c>
      <c r="D16" s="24">
        <f t="shared" si="0"/>
        <v>16074.24</v>
      </c>
      <c r="E16" s="24">
        <f t="shared" si="1"/>
        <v>124575.36</v>
      </c>
      <c r="F16" s="27">
        <v>46167</v>
      </c>
    </row>
    <row r="17" s="11" customFormat="1" customHeight="1" spans="1:16">
      <c r="A17" s="23" t="s">
        <v>36</v>
      </c>
      <c r="B17" s="23"/>
      <c r="C17" s="24">
        <v>2.1</v>
      </c>
      <c r="D17" s="24">
        <f t="shared" si="0"/>
        <v>0</v>
      </c>
      <c r="E17" s="24">
        <f t="shared" si="1"/>
        <v>0</v>
      </c>
      <c r="F17" s="26"/>
    </row>
    <row r="18" s="30" customFormat="1" customHeight="1" spans="1:16">
      <c r="A18" s="28" t="s">
        <v>680</v>
      </c>
      <c r="B18" s="28">
        <f>SUM(B2:B17)</f>
        <v>731828</v>
      </c>
      <c r="C18" s="28"/>
      <c r="D18" s="29">
        <f>SUM(D2:D17)</f>
        <v>670170.96</v>
      </c>
      <c r="E18" s="29">
        <f>SUM(E2:E17)</f>
        <v>5193824.94</v>
      </c>
      <c r="F18" s="29"/>
      <c r="O18" s="12"/>
      <c r="P18" s="12"/>
    </row>
    <row r="19" customHeight="1" spans="1:16">
      <c r="C19" s="14"/>
      <c r="D19" s="14"/>
      <c r="H19" s="11"/>
      <c r="I19" s="11"/>
      <c r="L19" s="11"/>
    </row>
    <row r="20" customHeight="1" spans="1:16">
      <c r="C20" s="12"/>
      <c r="E20" s="11"/>
      <c r="F20" s="11"/>
      <c r="G20" s="11"/>
      <c r="H20" s="11"/>
      <c r="I20" s="11"/>
      <c r="L20" s="11"/>
    </row>
    <row r="21" customHeight="1" spans="1:16">
      <c r="A21" s="53"/>
      <c r="B21" s="53"/>
      <c r="C21" s="53"/>
      <c r="D21" s="12"/>
      <c r="E21" s="12"/>
      <c r="F21" s="54"/>
      <c r="G21" s="54"/>
      <c r="L21" s="11"/>
    </row>
    <row r="22" customHeight="1" spans="1:16">
      <c r="A22" s="55" t="s">
        <v>58</v>
      </c>
      <c r="B22" s="56" t="s">
        <v>681</v>
      </c>
      <c r="C22" s="37" t="s">
        <v>682</v>
      </c>
      <c r="D22" s="58" t="s">
        <v>683</v>
      </c>
      <c r="E22" s="57" t="s">
        <v>684</v>
      </c>
      <c r="F22" s="38" t="s">
        <v>685</v>
      </c>
      <c r="G22" s="38" t="s">
        <v>686</v>
      </c>
      <c r="H22" s="58" t="s">
        <v>687</v>
      </c>
      <c r="I22" s="55" t="s">
        <v>688</v>
      </c>
      <c r="J22" s="58" t="s">
        <v>689</v>
      </c>
      <c r="L22" s="11"/>
    </row>
    <row r="23" customHeight="1" spans="1:16">
      <c r="A23" s="70" t="s">
        <v>6</v>
      </c>
      <c r="B23" s="42">
        <v>44780</v>
      </c>
      <c r="C23" s="71">
        <f>SUMIF(已出货!$G$31:$G$68,A23,已出货!$I$31:$I$68)</f>
        <v>3000</v>
      </c>
      <c r="D23" s="42">
        <f>B23-C23-C24-C25-C26</f>
        <v>39776</v>
      </c>
      <c r="E23" s="64">
        <v>468510.65</v>
      </c>
      <c r="F23" s="65">
        <f t="shared" ref="F23:F26" si="5">(C23*4.5)*0.3</f>
        <v>4050</v>
      </c>
      <c r="G23" s="65">
        <f t="shared" ref="G23:G36" si="6">F23*7.75</f>
        <v>31387.5</v>
      </c>
      <c r="H23" s="64">
        <f>E23-G23-G24-G25-G26</f>
        <v>416156.3</v>
      </c>
      <c r="I23" s="65">
        <f>SUMIF(已出货!$G$31:$G$68,A23,已出货!$AE$31:$AE$68)</f>
        <v>104625</v>
      </c>
      <c r="J23" s="65">
        <f>SUMIF(已出货!$G$31:$G$68,A23,已出货!$AL$31:$AL$68)*7.75</f>
        <v>82537.5</v>
      </c>
      <c r="L23" s="11"/>
    </row>
    <row r="24" s="11" customFormat="1" customHeight="1" spans="1:16">
      <c r="A24" s="70" t="s">
        <v>14</v>
      </c>
      <c r="B24" s="45"/>
      <c r="C24" s="71">
        <f>SUMIF(已出货!$G$31:$G$68,A24,已出货!$I$31:$I$68)</f>
        <v>2004</v>
      </c>
      <c r="D24" s="45"/>
      <c r="E24" s="72"/>
      <c r="F24" s="65">
        <f t="shared" si="5"/>
        <v>2705.4</v>
      </c>
      <c r="G24" s="65">
        <f t="shared" si="6"/>
        <v>20966.85</v>
      </c>
      <c r="H24" s="72"/>
      <c r="I24" s="65">
        <f>SUMIF(已出货!$G$31:$G$68,A24,已出货!$AE$31:$AE$68)</f>
        <v>76101.9</v>
      </c>
      <c r="J24" s="65">
        <f>SUMIF(已出货!$G$31:$G$68,A24,已出货!$AL$31:$AL$68)*7.75</f>
        <v>38050.95</v>
      </c>
    </row>
    <row r="25" customHeight="1" spans="1:16">
      <c r="A25" s="70" t="s">
        <v>12</v>
      </c>
      <c r="B25" s="45"/>
      <c r="C25" s="71">
        <f>SUMIF(已出货!$G$31:$G$68,A25,已出货!$I$31:$I$68)</f>
        <v>0</v>
      </c>
      <c r="D25" s="45"/>
      <c r="E25" s="72"/>
      <c r="F25" s="65">
        <f t="shared" si="5"/>
        <v>0</v>
      </c>
      <c r="G25" s="65">
        <f t="shared" si="6"/>
        <v>0</v>
      </c>
      <c r="H25" s="72"/>
      <c r="I25" s="65">
        <f>SUMIF(已出货!$G$31:$G$68,A25,已出货!$AE$31:$AE$68)</f>
        <v>0</v>
      </c>
      <c r="J25" s="65">
        <f>SUMIF(已出货!$G$31:$G$68,A25,已出货!$AL$31:$AL$68)*7.75</f>
        <v>0</v>
      </c>
      <c r="L25" s="11"/>
      <c r="M25" s="12"/>
    </row>
    <row r="26" customHeight="1" spans="1:16">
      <c r="A26" s="70" t="s">
        <v>8</v>
      </c>
      <c r="B26" s="47"/>
      <c r="C26" s="71">
        <f>SUMIF(已出货!$G$31:$G$68,A26,已出货!$I$31:$I$68)</f>
        <v>0</v>
      </c>
      <c r="D26" s="47"/>
      <c r="E26" s="66"/>
      <c r="F26" s="65">
        <f t="shared" si="5"/>
        <v>0</v>
      </c>
      <c r="G26" s="65">
        <f t="shared" si="6"/>
        <v>0</v>
      </c>
      <c r="H26" s="66"/>
      <c r="I26" s="65">
        <f>SUMIF(已出货!$G$31:$G$68,A26,已出货!$AE$31:$AE$68)</f>
        <v>0</v>
      </c>
      <c r="J26" s="65">
        <f>SUMIF(已出货!$G$31:$G$68,A26,已出货!$AL$31:$AL$68)*7.75</f>
        <v>0</v>
      </c>
      <c r="L26" s="11"/>
      <c r="M26" s="12"/>
    </row>
    <row r="27" s="11" customFormat="1" customHeight="1" spans="1:16">
      <c r="A27" s="70" t="s">
        <v>4</v>
      </c>
      <c r="B27" s="41">
        <v>49452</v>
      </c>
      <c r="C27" s="71">
        <f>SUMIF(已出货!$G$31:$G$68,A27,已出货!$I$31:$I$68)</f>
        <v>540</v>
      </c>
      <c r="D27" s="49">
        <f>B27-C27</f>
        <v>48912</v>
      </c>
      <c r="E27" s="65">
        <v>241449.39</v>
      </c>
      <c r="F27" s="65">
        <f>(C27*2.1)*0.3</f>
        <v>340.2</v>
      </c>
      <c r="G27" s="65">
        <f t="shared" si="6"/>
        <v>2636.55</v>
      </c>
      <c r="H27" s="65">
        <f>E27-G27</f>
        <v>238812.84</v>
      </c>
      <c r="I27" s="65">
        <f>SUMIF(已出货!$G$31:$G$68,A27,已出货!$AE$31:$AE$68)</f>
        <v>8788.5</v>
      </c>
      <c r="J27" s="65">
        <f>SUMIF(已出货!$G$31:$G$68,A27,已出货!$AL$31:$AL$68)*7.75</f>
        <v>2636.55</v>
      </c>
    </row>
    <row r="28" s="11" customFormat="1" customHeight="1" spans="1:16">
      <c r="A28" s="73" t="s">
        <v>9</v>
      </c>
      <c r="B28" s="49">
        <v>16926</v>
      </c>
      <c r="C28" s="71">
        <f>SUMIF(已出货!$G$31:$G$68,A28,已出货!$I$31:$I$68)</f>
        <v>0</v>
      </c>
      <c r="D28" s="49">
        <f>B28-C28-C29-C30</f>
        <v>16926</v>
      </c>
      <c r="E28" s="64">
        <v>177875.35</v>
      </c>
      <c r="F28" s="65">
        <f t="shared" ref="F28:F30" si="7">(C28*4.52)*0.3</f>
        <v>0</v>
      </c>
      <c r="G28" s="65">
        <f t="shared" si="6"/>
        <v>0</v>
      </c>
      <c r="H28" s="64">
        <f>E28-G28-G29-G30</f>
        <v>177875.35</v>
      </c>
      <c r="I28" s="65">
        <f>SUMIF(已出货!$G$31:$G$68,A28,已出货!$AE$31:$AE$68)</f>
        <v>0</v>
      </c>
      <c r="J28" s="65">
        <f>SUMIF(已出货!$G$31:$G$68,A28,已出货!$AL$31:$AL$68)*7.75</f>
        <v>0</v>
      </c>
    </row>
    <row r="29" s="11" customFormat="1" customHeight="1" spans="1:16">
      <c r="A29" s="74" t="s">
        <v>11</v>
      </c>
      <c r="B29" s="49"/>
      <c r="C29" s="71">
        <f>SUMIF(已出货!$G$31:$G$68,A29,已出货!$I$31:$I$68)</f>
        <v>0</v>
      </c>
      <c r="D29" s="49"/>
      <c r="E29" s="66"/>
      <c r="F29" s="65">
        <f t="shared" si="7"/>
        <v>0</v>
      </c>
      <c r="G29" s="65">
        <f t="shared" si="6"/>
        <v>0</v>
      </c>
      <c r="H29" s="66"/>
      <c r="I29" s="65">
        <f>SUMIF(已出货!$G$31:$G$68,A29,已出货!$AE$31:$AE$68)</f>
        <v>0</v>
      </c>
      <c r="J29" s="65">
        <f>SUMIF(已出货!$G$31:$G$68,A29,已出货!$AL$31:$AL$68)*7.75</f>
        <v>0</v>
      </c>
    </row>
    <row r="30" s="11" customFormat="1" customHeight="1" spans="1:16">
      <c r="A30" s="74" t="s">
        <v>61</v>
      </c>
      <c r="B30" s="49"/>
      <c r="C30" s="71">
        <f>SUMIF(已出货!$G$31:$G$68,A30,已出货!$I$31:$I$68)</f>
        <v>0</v>
      </c>
      <c r="D30" s="49"/>
      <c r="E30" s="66"/>
      <c r="F30" s="65">
        <f t="shared" si="7"/>
        <v>0</v>
      </c>
      <c r="G30" s="65">
        <f t="shared" si="6"/>
        <v>0</v>
      </c>
      <c r="H30" s="66"/>
      <c r="I30" s="65">
        <f>SUMIF(已出货!$G$31:$G$68,A30,已出货!$AE$31:$AE$68)</f>
        <v>0</v>
      </c>
      <c r="J30" s="65">
        <f>SUMIF(已出货!$G$31:$G$68,A30,已出货!$AL$31:$AL$68)*7.75</f>
        <v>0</v>
      </c>
    </row>
    <row r="31" s="11" customFormat="1" customHeight="1" spans="1:16">
      <c r="A31" s="23" t="s">
        <v>18</v>
      </c>
      <c r="B31" s="42">
        <v>42180</v>
      </c>
      <c r="C31" s="71">
        <f>SUMIF(已出货!$G$31:$G$68,A31,已出货!$I$31:$I$68)</f>
        <v>27024</v>
      </c>
      <c r="D31" s="42">
        <f>B31-C31-C32</f>
        <v>12192</v>
      </c>
      <c r="E31" s="64">
        <v>205943.85</v>
      </c>
      <c r="F31" s="65">
        <f>(C31*2.1)*0.3</f>
        <v>17025.12</v>
      </c>
      <c r="G31" s="65">
        <f t="shared" si="6"/>
        <v>131944.68</v>
      </c>
      <c r="H31" s="64">
        <f>E31-G31-G32</f>
        <v>59527.44</v>
      </c>
      <c r="I31" s="65">
        <f>SUMIF(已出货!$G$31:$G$68,A31,已出货!$AE$31:$AE$68)</f>
        <v>439815.6</v>
      </c>
      <c r="J31" s="65">
        <f>SUMIF(已出货!$G$31:$G$68,A31,已出货!$AL$31:$AL$68)*7.75</f>
        <v>131944.68</v>
      </c>
    </row>
    <row r="32" s="11" customFormat="1" customHeight="1" spans="1:16">
      <c r="A32" s="23" t="s">
        <v>36</v>
      </c>
      <c r="B32" s="47"/>
      <c r="C32" s="71">
        <f>SUMIF(已出货!$G$31:$G$68,A32,已出货!$I$31:$I$68)</f>
        <v>2964</v>
      </c>
      <c r="D32" s="47"/>
      <c r="E32" s="66"/>
      <c r="F32" s="65">
        <f>(C32*2.1)*0.3</f>
        <v>1867.32</v>
      </c>
      <c r="G32" s="65">
        <f t="shared" si="6"/>
        <v>14471.73</v>
      </c>
      <c r="H32" s="66"/>
      <c r="I32" s="65">
        <f>SUMIF(已出货!$G$31:$G$68,A32,已出货!$AE$31:$AE$68)</f>
        <v>48239.1</v>
      </c>
      <c r="J32" s="65">
        <f>SUMIF(已出货!$G$31:$G$68,A32,已出货!$AL$31:$AL$68)*7.75</f>
        <v>14471.73</v>
      </c>
    </row>
    <row r="33" s="11" customFormat="1" customHeight="1" spans="1:17">
      <c r="A33" s="23" t="s">
        <v>20</v>
      </c>
      <c r="B33" s="49">
        <v>0</v>
      </c>
      <c r="C33" s="71">
        <f>SUMIF(已出货!$G$31:$G$68,A33,已出货!$I$31:$I$68)</f>
        <v>0</v>
      </c>
      <c r="D33" s="49">
        <f>B33-C33</f>
        <v>0</v>
      </c>
      <c r="E33" s="65">
        <v>0</v>
      </c>
      <c r="F33" s="65">
        <f>(C33*6.34)*0.3</f>
        <v>0</v>
      </c>
      <c r="G33" s="65">
        <f t="shared" si="6"/>
        <v>0</v>
      </c>
      <c r="H33" s="65">
        <f>E33-G33</f>
        <v>0</v>
      </c>
      <c r="I33" s="65">
        <f>SUMIF(已出货!$G$31:$G$68,A33,已出货!$AE$31:$AE$68)</f>
        <v>0</v>
      </c>
      <c r="J33" s="65">
        <f>SUMIF(已出货!$G$31:$G$68,A33,已出货!$AL$31:$AL$68)*7.75</f>
        <v>0</v>
      </c>
    </row>
    <row r="34" s="11" customFormat="1" customHeight="1" spans="1:17">
      <c r="A34" s="23" t="s">
        <v>23</v>
      </c>
      <c r="B34" s="49">
        <v>0</v>
      </c>
      <c r="C34" s="71">
        <f>SUMIF(已出货!$G$31:$G$68,A34,已出货!$I$31:$I$68)</f>
        <v>0</v>
      </c>
      <c r="D34" s="49">
        <f>B34-C34</f>
        <v>0</v>
      </c>
      <c r="E34" s="65">
        <v>0</v>
      </c>
      <c r="F34" s="65">
        <f>(C34*6.64)*0.3</f>
        <v>0</v>
      </c>
      <c r="G34" s="65">
        <f t="shared" si="6"/>
        <v>0</v>
      </c>
      <c r="H34" s="65">
        <f>E34-G34</f>
        <v>0</v>
      </c>
      <c r="I34" s="65">
        <f>SUMIF(已出货!$G$31:$G$68,A34,已出货!$AE$31:$AE$68)</f>
        <v>0</v>
      </c>
      <c r="J34" s="65">
        <f>SUMIF(已出货!$G$31:$G$68,A34,已出货!$AL$31:$AL$68)*7.75</f>
        <v>0</v>
      </c>
    </row>
    <row r="35" s="11" customFormat="1" customHeight="1" spans="1:17">
      <c r="A35" s="23" t="s">
        <v>32</v>
      </c>
      <c r="B35" s="49">
        <v>1792</v>
      </c>
      <c r="C35" s="71">
        <f>896+896</f>
        <v>1792</v>
      </c>
      <c r="D35" s="49">
        <f>B35-C35</f>
        <v>0</v>
      </c>
      <c r="E35" s="65">
        <v>27039.91</v>
      </c>
      <c r="F35" s="65" t="e">
        <f>SUMIF('[2]Toy Monster'!$E$49:$E$54,A35,'[2]Toy Monster'!$R$49:$R$54)</f>
        <v>#VALUE!</v>
      </c>
      <c r="G35" s="65" t="e">
        <f t="shared" si="6"/>
        <v>#VALUE!</v>
      </c>
      <c r="H35" s="65" t="e">
        <f>E35-G35</f>
        <v>#VALUE!</v>
      </c>
      <c r="I35" s="65">
        <f>SUMIF(已出货!$G$31:$G$68,A35,已出货!$AE$31:$AE$68)</f>
        <v>279139.5</v>
      </c>
      <c r="J35" s="65">
        <f>SUMIF(已出货!$G$31:$G$68,A35,已出货!$AL$31:$AL$68)*7.75</f>
        <v>27039.91</v>
      </c>
    </row>
    <row r="36" s="11" customFormat="1" customHeight="1" spans="1:17">
      <c r="A36" s="23" t="s">
        <v>39</v>
      </c>
      <c r="B36" s="75">
        <v>9568</v>
      </c>
      <c r="C36" s="71">
        <f>SUMIF(已出货!$G$31:$G$68,A36,已出货!$I$31:$I$68)</f>
        <v>9568</v>
      </c>
      <c r="D36" s="49">
        <f>B36-C36</f>
        <v>0</v>
      </c>
      <c r="E36" s="66">
        <v>124575.36</v>
      </c>
      <c r="F36" s="65">
        <f>(C36*5.6)*0.3</f>
        <v>16074.24</v>
      </c>
      <c r="G36" s="65">
        <f t="shared" si="6"/>
        <v>124575.36</v>
      </c>
      <c r="H36" s="65">
        <f>E36-G36</f>
        <v>0</v>
      </c>
      <c r="I36" s="65">
        <f>SUMIF(已出货!$G$31:$G$68,A36,已出货!$AE$31:$AE$68)</f>
        <v>415251.2</v>
      </c>
      <c r="J36" s="65">
        <f>SUMIF(已出货!$G$31:$G$68,A36,已出货!$AL$31:$AL$68)*7.75</f>
        <v>124575.36</v>
      </c>
    </row>
    <row r="37" customHeight="1" spans="1:17">
      <c r="A37" s="71"/>
      <c r="B37" s="76"/>
      <c r="C37" s="71"/>
      <c r="D37" s="65"/>
      <c r="E37" s="76"/>
      <c r="F37" s="65"/>
      <c r="G37" s="65"/>
      <c r="H37" s="65"/>
      <c r="I37" s="65">
        <f>SUMIF(已出货!$G$31:$G$68,A37,已出货!$AE$31:$AE$68)</f>
        <v>0</v>
      </c>
      <c r="J37" s="65">
        <f>SUMIF(已出货!$G$31:$G$68,A37,已出货!$AL$31:$AL$68)*7.75</f>
        <v>0</v>
      </c>
      <c r="L37" s="11"/>
      <c r="M37" s="12"/>
    </row>
    <row r="38" s="30" customFormat="1" customHeight="1" spans="1:17">
      <c r="A38" s="50"/>
      <c r="B38" s="51">
        <f>SUM(B23:B37)</f>
        <v>164698</v>
      </c>
      <c r="C38" s="51">
        <f>SUM(C23:C37)</f>
        <v>46892</v>
      </c>
      <c r="D38" s="51">
        <f t="shared" ref="B38:J38" si="8">SUM(D23:D37)</f>
        <v>117806</v>
      </c>
      <c r="E38" s="51">
        <f t="shared" si="8"/>
        <v>1245394.51</v>
      </c>
      <c r="F38" s="52" t="e">
        <f t="shared" si="8"/>
        <v>#VALUE!</v>
      </c>
      <c r="G38" s="52" t="e">
        <f t="shared" si="8"/>
        <v>#VALUE!</v>
      </c>
      <c r="H38" s="52" t="e">
        <f t="shared" si="8"/>
        <v>#VALUE!</v>
      </c>
      <c r="I38" s="52">
        <f t="shared" si="8"/>
        <v>1371960.8</v>
      </c>
      <c r="J38" s="52">
        <f t="shared" si="8"/>
        <v>421256.68</v>
      </c>
      <c r="L38" s="11"/>
      <c r="N38" s="11"/>
      <c r="O38" s="11"/>
      <c r="P38" s="11"/>
      <c r="Q38" s="11"/>
    </row>
    <row r="39" customHeight="1" spans="1:17">
      <c r="B39" s="11">
        <f>B38-'[2]Toy Monster'!$I$94</f>
        <v>147772</v>
      </c>
      <c r="C39" s="11">
        <f>C38-'[2]Toy Monster'!$J$94</f>
        <v>46892</v>
      </c>
      <c r="D39" s="11">
        <f>D38-'[2]Toy Monster'!$K$94</f>
        <v>100880</v>
      </c>
      <c r="E39" s="11">
        <f>E38-'[2]Toy Monster'!$L$94</f>
        <v>1067519.18</v>
      </c>
      <c r="F39" s="11" t="e">
        <f>F38-'[2]Toy Monster'!$M$94</f>
        <v>#VALUE!</v>
      </c>
      <c r="G39" s="11" t="e">
        <f>G38-'[2]Toy Monster'!$N$94</f>
        <v>#VALUE!</v>
      </c>
      <c r="H39" s="11" t="e">
        <f>H38-'[2]Toy Monster'!$O$94</f>
        <v>#VALUE!</v>
      </c>
      <c r="I39" s="11">
        <f>I38-'[2]Toy Monster'!$P$94</f>
        <v>1371960.8</v>
      </c>
      <c r="J39" s="11">
        <f>J38-'[2]Toy Monster'!$Q$94</f>
        <v>421256.68</v>
      </c>
      <c r="L39" s="11"/>
      <c r="M39" s="12"/>
      <c r="Q39" s="12"/>
    </row>
    <row r="42" customHeight="1" spans="1:17">
      <c r="A42" s="41" t="s">
        <v>690</v>
      </c>
      <c r="B42" s="41"/>
      <c r="C42" s="41"/>
      <c r="D42" s="41"/>
      <c r="E42" s="41"/>
      <c r="F42" s="41"/>
      <c r="G42" s="41"/>
      <c r="H42" s="41"/>
      <c r="I42" s="41"/>
      <c r="L42" s="11"/>
    </row>
    <row r="43" s="11" customFormat="1" customHeight="1" spans="1:17">
      <c r="A43" s="55" t="s">
        <v>58</v>
      </c>
      <c r="B43" s="56" t="s">
        <v>691</v>
      </c>
      <c r="C43" s="57" t="s">
        <v>692</v>
      </c>
      <c r="D43" s="37" t="s">
        <v>693</v>
      </c>
      <c r="E43" s="58" t="s">
        <v>683</v>
      </c>
      <c r="F43" s="38" t="s">
        <v>694</v>
      </c>
      <c r="G43" s="38" t="s">
        <v>695</v>
      </c>
      <c r="H43" s="37" t="s">
        <v>696</v>
      </c>
      <c r="I43" s="58" t="s">
        <v>697</v>
      </c>
    </row>
    <row r="44" s="11" customFormat="1" customHeight="1" spans="1:17">
      <c r="A44" s="40" t="s">
        <v>6</v>
      </c>
      <c r="B44" s="59">
        <f>58808</f>
        <v>58808</v>
      </c>
      <c r="C44" s="44">
        <v>615278.61</v>
      </c>
      <c r="D44" s="41">
        <v>10524</v>
      </c>
      <c r="E44" s="42">
        <v>44780</v>
      </c>
      <c r="F44" s="43">
        <v>110107.36</v>
      </c>
      <c r="G44" s="44">
        <v>468510.65</v>
      </c>
      <c r="H44" s="43">
        <v>367024.5</v>
      </c>
      <c r="I44" s="43">
        <v>14207.4</v>
      </c>
    </row>
    <row r="45" s="11" customFormat="1" customHeight="1" spans="1:17">
      <c r="A45" s="40" t="s">
        <v>14</v>
      </c>
      <c r="B45" s="60"/>
      <c r="C45" s="46"/>
      <c r="D45" s="41">
        <v>504</v>
      </c>
      <c r="E45" s="45"/>
      <c r="F45" s="43">
        <v>5273.1</v>
      </c>
      <c r="G45" s="46"/>
      <c r="H45" s="43">
        <v>19139.4</v>
      </c>
      <c r="I45" s="43">
        <v>680.4</v>
      </c>
    </row>
    <row r="46" s="11" customFormat="1" customHeight="1" spans="1:17">
      <c r="A46" s="40" t="s">
        <v>12</v>
      </c>
      <c r="B46" s="60"/>
      <c r="C46" s="46"/>
      <c r="D46" s="41">
        <v>0</v>
      </c>
      <c r="E46" s="45"/>
      <c r="F46" s="43">
        <v>0</v>
      </c>
      <c r="G46" s="46"/>
      <c r="H46" s="43">
        <v>0</v>
      </c>
      <c r="I46" s="43">
        <v>0</v>
      </c>
      <c r="L46" s="12"/>
    </row>
    <row r="47" s="11" customFormat="1" customHeight="1" spans="1:17">
      <c r="A47" s="40" t="s">
        <v>8</v>
      </c>
      <c r="B47" s="61"/>
      <c r="C47" s="48"/>
      <c r="D47" s="41">
        <v>3000</v>
      </c>
      <c r="E47" s="47"/>
      <c r="F47" s="43">
        <v>31387.5</v>
      </c>
      <c r="G47" s="48"/>
      <c r="H47" s="43">
        <v>104625</v>
      </c>
      <c r="I47" s="43">
        <v>4050</v>
      </c>
      <c r="L47" s="12"/>
    </row>
    <row r="48" s="11" customFormat="1" customHeight="1" spans="1:17">
      <c r="A48" s="40" t="s">
        <v>4</v>
      </c>
      <c r="B48" s="41">
        <v>49452</v>
      </c>
      <c r="C48" s="43">
        <v>241449.39</v>
      </c>
      <c r="D48" s="41">
        <v>0</v>
      </c>
      <c r="E48" s="62">
        <v>49452</v>
      </c>
      <c r="F48" s="43">
        <v>0</v>
      </c>
      <c r="G48" s="43">
        <v>241449.39</v>
      </c>
      <c r="H48" s="43">
        <v>0</v>
      </c>
      <c r="I48" s="43">
        <v>0</v>
      </c>
    </row>
    <row r="49" s="11" customFormat="1" customHeight="1" spans="1:16">
      <c r="A49" s="63" t="s">
        <v>9</v>
      </c>
      <c r="B49" s="59">
        <f>17076+30</f>
        <v>17106</v>
      </c>
      <c r="C49" s="44">
        <v>179766.97</v>
      </c>
      <c r="D49" s="41">
        <v>180</v>
      </c>
      <c r="E49" s="62">
        <v>16926</v>
      </c>
      <c r="F49" s="43">
        <v>1891.62</v>
      </c>
      <c r="G49" s="64">
        <v>177875.35</v>
      </c>
      <c r="H49" s="43">
        <v>6179.85</v>
      </c>
      <c r="I49" s="43">
        <v>244.08</v>
      </c>
    </row>
    <row r="50" s="11" customFormat="1" customHeight="1" spans="1:16">
      <c r="A50" s="65" t="s">
        <v>11</v>
      </c>
      <c r="B50" s="61"/>
      <c r="C50" s="48"/>
      <c r="D50" s="41">
        <v>0</v>
      </c>
      <c r="E50" s="62"/>
      <c r="F50" s="43">
        <v>0</v>
      </c>
      <c r="G50" s="66"/>
      <c r="H50" s="43">
        <v>0</v>
      </c>
      <c r="I50" s="43">
        <v>0</v>
      </c>
    </row>
    <row r="51" s="11" customFormat="1" customHeight="1" spans="1:16">
      <c r="A51" s="65" t="s">
        <v>61</v>
      </c>
      <c r="B51" s="61"/>
      <c r="C51" s="48"/>
      <c r="D51" s="41">
        <v>0</v>
      </c>
      <c r="E51" s="62"/>
      <c r="F51" s="43">
        <v>0</v>
      </c>
      <c r="G51" s="66"/>
      <c r="H51" s="43">
        <v>0</v>
      </c>
      <c r="I51" s="43">
        <v>0</v>
      </c>
    </row>
    <row r="52" s="11" customFormat="1" customHeight="1" spans="1:16">
      <c r="A52" s="23" t="s">
        <v>18</v>
      </c>
      <c r="B52" s="41">
        <v>60000</v>
      </c>
      <c r="C52" s="43">
        <v>292950</v>
      </c>
      <c r="D52" s="41">
        <v>17820</v>
      </c>
      <c r="E52" s="62">
        <v>42180</v>
      </c>
      <c r="F52" s="43">
        <v>87006.15</v>
      </c>
      <c r="G52" s="65">
        <v>205943.85</v>
      </c>
      <c r="H52" s="43">
        <v>290020.5</v>
      </c>
      <c r="I52" s="43">
        <v>11226.6</v>
      </c>
    </row>
    <row r="53" s="11" customFormat="1" customHeight="1" spans="1:16">
      <c r="A53" s="23" t="s">
        <v>20</v>
      </c>
      <c r="B53" s="41">
        <v>5604</v>
      </c>
      <c r="C53" s="43">
        <v>82605.78</v>
      </c>
      <c r="D53" s="41">
        <v>5604</v>
      </c>
      <c r="E53" s="62">
        <v>0</v>
      </c>
      <c r="F53" s="43">
        <v>82605.78</v>
      </c>
      <c r="G53" s="65">
        <v>0</v>
      </c>
      <c r="H53" s="43">
        <v>269272.2</v>
      </c>
      <c r="I53" s="43">
        <v>10658.81</v>
      </c>
      <c r="L53" s="12"/>
    </row>
    <row r="54" s="11" customFormat="1" customHeight="1" spans="1:16">
      <c r="A54" s="23" t="s">
        <v>23</v>
      </c>
      <c r="B54" s="41">
        <v>5604</v>
      </c>
      <c r="C54" s="43">
        <v>86514.57</v>
      </c>
      <c r="D54" s="41">
        <v>5604</v>
      </c>
      <c r="E54" s="62">
        <v>0</v>
      </c>
      <c r="F54" s="43">
        <v>86514.57</v>
      </c>
      <c r="G54" s="65">
        <v>0</v>
      </c>
      <c r="H54" s="43">
        <v>282301.5</v>
      </c>
      <c r="I54" s="43">
        <v>11163.17</v>
      </c>
      <c r="L54" s="12"/>
    </row>
    <row r="55" s="11" customFormat="1" customHeight="1" spans="1:16">
      <c r="A55" s="23" t="s">
        <v>32</v>
      </c>
      <c r="B55" s="61">
        <v>1792</v>
      </c>
      <c r="C55" s="43">
        <v>27039.91</v>
      </c>
      <c r="D55" s="41">
        <v>0</v>
      </c>
      <c r="E55" s="61">
        <v>1792</v>
      </c>
      <c r="F55" s="43">
        <v>0</v>
      </c>
      <c r="G55" s="65">
        <v>27039.91</v>
      </c>
      <c r="H55" s="43">
        <v>0</v>
      </c>
      <c r="I55" s="43">
        <v>0</v>
      </c>
      <c r="L55" s="12"/>
    </row>
    <row r="56" s="11" customFormat="1" customHeight="1" spans="1:16">
      <c r="A56" s="41"/>
      <c r="B56" s="67"/>
      <c r="C56" s="67"/>
      <c r="D56" s="41"/>
      <c r="E56" s="43"/>
      <c r="F56" s="43"/>
      <c r="G56" s="43"/>
      <c r="H56" s="43">
        <v>0</v>
      </c>
      <c r="I56" s="43">
        <v>0</v>
      </c>
      <c r="L56" s="12"/>
    </row>
    <row r="57" s="11" customFormat="1" customHeight="1" spans="1:16">
      <c r="A57" s="41"/>
      <c r="B57" s="67"/>
      <c r="C57" s="67"/>
      <c r="D57" s="41"/>
      <c r="E57" s="43"/>
      <c r="F57" s="43"/>
      <c r="G57" s="43"/>
      <c r="H57" s="43">
        <v>0</v>
      </c>
      <c r="I57" s="43">
        <v>0</v>
      </c>
      <c r="L57" s="12"/>
    </row>
    <row r="58" s="30" customFormat="1" customHeight="1" spans="1:16">
      <c r="A58" s="50"/>
      <c r="B58" s="68">
        <f>SUM(B44:B57)</f>
        <v>198366</v>
      </c>
      <c r="C58" s="68">
        <f t="shared" ref="B58:I58" si="9">SUM(C44:C57)</f>
        <v>1525605.23</v>
      </c>
      <c r="D58" s="69">
        <f t="shared" si="9"/>
        <v>43236</v>
      </c>
      <c r="E58" s="69">
        <f t="shared" si="9"/>
        <v>155130</v>
      </c>
      <c r="F58" s="68">
        <f t="shared" si="9"/>
        <v>404786.08</v>
      </c>
      <c r="G58" s="68">
        <f t="shared" si="9"/>
        <v>1120819.15</v>
      </c>
      <c r="H58" s="68">
        <f t="shared" si="9"/>
        <v>1338562.95</v>
      </c>
      <c r="I58" s="68">
        <f t="shared" si="9"/>
        <v>52230.46</v>
      </c>
      <c r="J58" s="11"/>
      <c r="K58" s="11"/>
      <c r="L58" s="12"/>
      <c r="M58" s="11"/>
      <c r="N58" s="11"/>
      <c r="O58" s="11"/>
      <c r="P58" s="11"/>
    </row>
    <row r="59" s="11" customFormat="1" customHeight="1" spans="1:16">
      <c r="E59" s="14"/>
      <c r="F59" s="14"/>
      <c r="G59" s="14"/>
      <c r="H59" s="14"/>
      <c r="I59" s="14"/>
      <c r="L59" s="12"/>
      <c r="P59" s="12"/>
    </row>
    <row r="60" s="11" customFormat="1" customHeight="1" spans="1:16">
      <c r="E60" s="14"/>
      <c r="F60" s="14"/>
      <c r="G60" s="14"/>
      <c r="H60" s="14"/>
      <c r="I60" s="14"/>
      <c r="L60" s="12"/>
    </row>
    <row r="61" s="11" customFormat="1" customHeight="1" spans="1:16">
      <c r="E61" s="14"/>
      <c r="F61" s="14"/>
      <c r="G61" s="14"/>
      <c r="H61" s="14"/>
      <c r="I61" s="14"/>
      <c r="L61" s="12"/>
    </row>
    <row r="62" s="11" customFormat="1" customHeight="1" spans="1:16">
      <c r="E62" s="14"/>
      <c r="F62" s="14"/>
      <c r="G62" s="14"/>
      <c r="H62" s="14"/>
      <c r="I62" s="14"/>
      <c r="L62" s="12"/>
    </row>
    <row r="63" s="11" customFormat="1" customHeight="1" spans="1:16">
      <c r="E63" s="14"/>
      <c r="F63" s="14"/>
      <c r="G63" s="14"/>
      <c r="H63" s="14"/>
      <c r="I63" s="14"/>
      <c r="L63" s="12"/>
    </row>
    <row r="64" s="11" customFormat="1" customHeight="1" spans="1:16">
      <c r="E64" s="14"/>
      <c r="F64" s="14"/>
      <c r="G64" s="14"/>
      <c r="H64" s="14"/>
      <c r="I64" s="14"/>
      <c r="L64" s="12"/>
    </row>
    <row r="65" s="11" customFormat="1" customHeight="1" spans="5:12">
      <c r="E65" s="14"/>
      <c r="F65" s="14"/>
      <c r="G65" s="14"/>
      <c r="H65" s="14"/>
      <c r="I65" s="14"/>
      <c r="L65" s="12"/>
    </row>
    <row r="66" s="11" customFormat="1" customHeight="1" spans="5:12">
      <c r="E66" s="14"/>
      <c r="F66" s="14"/>
      <c r="G66" s="14"/>
      <c r="H66" s="14"/>
      <c r="I66" s="14"/>
      <c r="L66" s="12"/>
    </row>
    <row r="67" s="11" customFormat="1" customHeight="1" spans="5:12">
      <c r="E67" s="14"/>
      <c r="F67" s="14"/>
      <c r="G67" s="14"/>
      <c r="H67" s="14"/>
      <c r="I67" s="14"/>
      <c r="L67" s="12"/>
    </row>
    <row r="68" s="11" customFormat="1" customHeight="1" spans="5:12">
      <c r="E68" s="14"/>
      <c r="F68" s="14"/>
      <c r="G68" s="14"/>
      <c r="H68" s="14"/>
      <c r="I68" s="14"/>
      <c r="L68" s="12"/>
    </row>
    <row r="69" s="11" customFormat="1" customHeight="1" spans="5:12">
      <c r="E69" s="14"/>
      <c r="F69" s="14"/>
      <c r="G69" s="14"/>
      <c r="H69" s="14"/>
      <c r="I69" s="14"/>
      <c r="L69" s="12"/>
    </row>
    <row r="70" s="11" customFormat="1" customHeight="1" spans="5:12">
      <c r="E70" s="14"/>
      <c r="F70" s="14"/>
      <c r="G70" s="14"/>
      <c r="H70" s="14"/>
      <c r="I70" s="14"/>
      <c r="L70" s="12"/>
    </row>
    <row r="71" s="11" customFormat="1" customHeight="1" spans="5:12">
      <c r="E71" s="14"/>
      <c r="F71" s="14"/>
      <c r="G71" s="14"/>
      <c r="H71" s="14"/>
      <c r="I71" s="14"/>
      <c r="L71" s="12"/>
    </row>
    <row r="72" s="11" customFormat="1" customHeight="1" spans="5:12">
      <c r="E72" s="14"/>
      <c r="F72" s="14"/>
      <c r="G72" s="14"/>
      <c r="H72" s="14"/>
      <c r="I72" s="14"/>
      <c r="L72" s="12"/>
    </row>
    <row r="73" s="11" customFormat="1" customHeight="1" spans="5:12">
      <c r="E73" s="14"/>
      <c r="F73" s="14"/>
      <c r="G73" s="14"/>
      <c r="H73" s="14"/>
      <c r="I73" s="14"/>
      <c r="L73" s="12"/>
    </row>
    <row r="74" s="11" customFormat="1" customHeight="1" spans="5:12">
      <c r="E74" s="14"/>
      <c r="F74" s="14"/>
      <c r="G74" s="14"/>
      <c r="H74" s="14"/>
      <c r="I74" s="14"/>
      <c r="L74" s="12"/>
    </row>
    <row r="75" s="11" customFormat="1" customHeight="1" spans="5:12">
      <c r="E75" s="14"/>
      <c r="F75" s="14"/>
      <c r="G75" s="14"/>
      <c r="H75" s="14"/>
      <c r="I75" s="14"/>
      <c r="L75" s="12"/>
    </row>
    <row r="76" s="11" customFormat="1" customHeight="1" spans="5:12">
      <c r="E76" s="14"/>
      <c r="F76" s="14"/>
      <c r="G76" s="14"/>
      <c r="H76" s="14"/>
      <c r="I76" s="14"/>
      <c r="L76" s="12"/>
    </row>
    <row r="77" s="11" customFormat="1" customHeight="1" spans="5:12">
      <c r="E77" s="14"/>
      <c r="F77" s="14"/>
      <c r="G77" s="14"/>
      <c r="H77" s="14"/>
      <c r="I77" s="14"/>
      <c r="L77" s="12"/>
    </row>
    <row r="78" s="11" customFormat="1" customHeight="1" spans="5:12">
      <c r="E78" s="14"/>
      <c r="F78" s="14"/>
      <c r="G78" s="14"/>
      <c r="H78" s="14"/>
      <c r="I78" s="14"/>
      <c r="L78" s="12"/>
    </row>
    <row r="79" s="11" customFormat="1" customHeight="1" spans="5:12">
      <c r="E79" s="14"/>
      <c r="F79" s="14"/>
      <c r="G79" s="14"/>
      <c r="H79" s="14"/>
      <c r="I79" s="14"/>
      <c r="L79" s="12"/>
    </row>
    <row r="80" s="11" customFormat="1" customHeight="1" spans="5:12">
      <c r="E80" s="14"/>
      <c r="F80" s="14"/>
      <c r="G80" s="14"/>
      <c r="H80" s="14"/>
      <c r="I80" s="14"/>
      <c r="L80" s="12"/>
    </row>
    <row r="81" s="11" customFormat="1" customHeight="1" spans="5:12">
      <c r="E81" s="14"/>
      <c r="F81" s="14"/>
      <c r="G81" s="14"/>
      <c r="H81" s="14"/>
      <c r="I81" s="14"/>
      <c r="L81" s="12"/>
    </row>
    <row r="82" s="11" customFormat="1" customHeight="1" spans="5:12">
      <c r="E82" s="14"/>
      <c r="F82" s="14"/>
      <c r="G82" s="14"/>
      <c r="H82" s="14"/>
      <c r="I82" s="14"/>
      <c r="L82" s="12"/>
    </row>
    <row r="83" s="11" customFormat="1" customHeight="1" spans="5:12">
      <c r="E83" s="14"/>
      <c r="F83" s="14"/>
      <c r="G83" s="14"/>
      <c r="H83" s="14"/>
      <c r="I83" s="14"/>
      <c r="L83" s="12"/>
    </row>
    <row r="84" s="11" customFormat="1" customHeight="1" spans="5:12">
      <c r="E84" s="14"/>
      <c r="F84" s="14"/>
      <c r="G84" s="14"/>
      <c r="H84" s="14"/>
      <c r="I84" s="14"/>
      <c r="L84" s="12"/>
    </row>
    <row r="85" s="11" customFormat="1" customHeight="1" spans="5:12">
      <c r="E85" s="14"/>
      <c r="F85" s="14"/>
      <c r="G85" s="14"/>
      <c r="H85" s="14"/>
      <c r="I85" s="14"/>
      <c r="L85" s="12"/>
    </row>
    <row r="86" s="11" customFormat="1" customHeight="1" spans="5:12">
      <c r="E86" s="14"/>
      <c r="F86" s="14"/>
      <c r="G86" s="14"/>
      <c r="H86" s="14"/>
      <c r="I86" s="14"/>
      <c r="L86" s="12"/>
    </row>
    <row r="87" s="11" customFormat="1" customHeight="1" spans="5:12">
      <c r="E87" s="14"/>
      <c r="F87" s="14"/>
      <c r="G87" s="14"/>
      <c r="H87" s="14"/>
      <c r="I87" s="14"/>
      <c r="L87" s="12"/>
    </row>
    <row r="88" s="11" customFormat="1" customHeight="1" spans="5:12">
      <c r="E88" s="14"/>
      <c r="F88" s="14"/>
      <c r="G88" s="14"/>
      <c r="H88" s="14"/>
      <c r="I88" s="14"/>
      <c r="L88" s="12"/>
    </row>
    <row r="89" s="11" customFormat="1" customHeight="1" spans="5:12">
      <c r="E89" s="14"/>
      <c r="F89" s="14"/>
      <c r="G89" s="14"/>
      <c r="H89" s="14"/>
      <c r="I89" s="14"/>
      <c r="L89" s="12"/>
    </row>
    <row r="90" s="11" customFormat="1" customHeight="1" spans="5:12">
      <c r="E90" s="14"/>
      <c r="F90" s="14"/>
      <c r="G90" s="14"/>
      <c r="H90" s="14"/>
      <c r="I90" s="14"/>
      <c r="L90" s="12"/>
    </row>
    <row r="91" s="11" customFormat="1" customHeight="1" spans="5:12">
      <c r="E91" s="14"/>
      <c r="F91" s="14"/>
      <c r="G91" s="14"/>
      <c r="H91" s="14"/>
      <c r="I91" s="14"/>
      <c r="L91" s="12"/>
    </row>
    <row r="92" s="11" customFormat="1" customHeight="1" spans="5:12">
      <c r="E92" s="14"/>
      <c r="F92" s="14"/>
      <c r="G92" s="14"/>
      <c r="H92" s="14"/>
      <c r="I92" s="14"/>
      <c r="L92" s="12"/>
    </row>
    <row r="93" s="11" customFormat="1" customHeight="1" spans="5:12">
      <c r="E93" s="14"/>
      <c r="F93" s="14"/>
      <c r="G93" s="14"/>
      <c r="H93" s="14"/>
      <c r="I93" s="14"/>
      <c r="L93" s="12"/>
    </row>
    <row r="94" s="11" customFormat="1" customHeight="1" spans="5:12">
      <c r="E94" s="14"/>
      <c r="F94" s="14"/>
      <c r="G94" s="14"/>
      <c r="H94" s="14"/>
      <c r="I94" s="14"/>
      <c r="L94" s="12"/>
    </row>
    <row r="95" s="11" customFormat="1" customHeight="1" spans="5:12">
      <c r="E95" s="14"/>
      <c r="F95" s="14"/>
      <c r="G95" s="14"/>
      <c r="H95" s="14"/>
      <c r="I95" s="14"/>
      <c r="L95" s="12"/>
    </row>
    <row r="96" s="11" customFormat="1" customHeight="1" spans="5:12">
      <c r="E96" s="14"/>
      <c r="F96" s="14"/>
      <c r="G96" s="14"/>
      <c r="H96" s="14"/>
      <c r="I96" s="14"/>
      <c r="L96" s="12"/>
    </row>
    <row r="97" s="11" customFormat="1" customHeight="1" spans="5:12">
      <c r="E97" s="14"/>
      <c r="F97" s="14"/>
      <c r="G97" s="14"/>
      <c r="H97" s="14"/>
      <c r="I97" s="14"/>
      <c r="L97" s="12"/>
    </row>
    <row r="98" s="11" customFormat="1" customHeight="1" spans="5:12">
      <c r="E98" s="14"/>
      <c r="F98" s="14"/>
      <c r="G98" s="14"/>
      <c r="H98" s="14"/>
      <c r="I98" s="14"/>
      <c r="L98" s="12"/>
    </row>
    <row r="99" s="11" customFormat="1" customHeight="1" spans="5:12">
      <c r="E99" s="14"/>
      <c r="F99" s="14"/>
      <c r="G99" s="14"/>
      <c r="H99" s="14"/>
      <c r="I99" s="14"/>
      <c r="L99" s="12"/>
    </row>
    <row r="100" s="11" customFormat="1" customHeight="1" spans="5:12">
      <c r="E100" s="14"/>
      <c r="F100" s="14"/>
      <c r="G100" s="14"/>
      <c r="H100" s="14"/>
      <c r="I100" s="14"/>
      <c r="L100" s="12"/>
    </row>
    <row r="101" s="11" customFormat="1" customHeight="1" spans="5:12">
      <c r="E101" s="14"/>
      <c r="F101" s="14"/>
      <c r="G101" s="14"/>
      <c r="H101" s="14"/>
      <c r="I101" s="14"/>
      <c r="L101" s="12"/>
    </row>
    <row r="102" s="11" customFormat="1" customHeight="1" spans="5:12">
      <c r="E102" s="14"/>
      <c r="F102" s="14"/>
      <c r="G102" s="14"/>
      <c r="H102" s="14"/>
      <c r="I102" s="14"/>
      <c r="L102" s="12"/>
    </row>
    <row r="103" s="11" customFormat="1" customHeight="1" spans="5:12">
      <c r="E103" s="14"/>
      <c r="F103" s="14"/>
      <c r="G103" s="14"/>
      <c r="H103" s="14"/>
      <c r="I103" s="14"/>
      <c r="L103" s="12"/>
    </row>
    <row r="104" s="11" customFormat="1" customHeight="1" spans="5:12">
      <c r="E104" s="14"/>
      <c r="F104" s="14"/>
      <c r="G104" s="14"/>
      <c r="H104" s="14"/>
      <c r="I104" s="14"/>
      <c r="L104" s="12"/>
    </row>
    <row r="105" s="11" customFormat="1" customHeight="1" spans="5:12">
      <c r="E105" s="14"/>
      <c r="F105" s="14"/>
      <c r="G105" s="14"/>
      <c r="H105" s="14"/>
      <c r="I105" s="14"/>
      <c r="L105" s="12"/>
    </row>
    <row r="106" s="11" customFormat="1" customHeight="1" spans="5:12">
      <c r="E106" s="14"/>
      <c r="F106" s="14"/>
      <c r="G106" s="14"/>
      <c r="H106" s="14"/>
      <c r="I106" s="14"/>
      <c r="L106" s="12"/>
    </row>
    <row r="107" s="11" customFormat="1" customHeight="1" spans="5:12">
      <c r="E107" s="14"/>
      <c r="F107" s="14"/>
      <c r="G107" s="14"/>
      <c r="H107" s="14"/>
      <c r="I107" s="14"/>
      <c r="L107" s="12"/>
    </row>
    <row r="108" s="11" customFormat="1" customHeight="1" spans="5:12">
      <c r="E108" s="14"/>
      <c r="F108" s="14"/>
      <c r="G108" s="14"/>
      <c r="H108" s="14"/>
      <c r="I108" s="14"/>
      <c r="L108" s="12"/>
    </row>
    <row r="109" s="11" customFormat="1" customHeight="1" spans="5:12">
      <c r="E109" s="14"/>
      <c r="F109" s="14"/>
      <c r="G109" s="14"/>
      <c r="H109" s="14"/>
      <c r="I109" s="14"/>
      <c r="L109" s="12"/>
    </row>
    <row r="110" s="11" customFormat="1" customHeight="1" spans="5:12">
      <c r="E110" s="14"/>
      <c r="F110" s="14"/>
      <c r="G110" s="14"/>
      <c r="H110" s="14"/>
      <c r="I110" s="14"/>
      <c r="L110" s="12"/>
    </row>
    <row r="111" s="11" customFormat="1" customHeight="1" spans="5:12">
      <c r="E111" s="14"/>
      <c r="F111" s="14"/>
      <c r="G111" s="14"/>
      <c r="H111" s="14"/>
      <c r="I111" s="14"/>
      <c r="L111" s="12"/>
    </row>
    <row r="112" s="11" customFormat="1" customHeight="1" spans="5:12">
      <c r="E112" s="14"/>
      <c r="F112" s="14"/>
      <c r="G112" s="14"/>
      <c r="H112" s="14"/>
      <c r="I112" s="14"/>
      <c r="L112" s="12"/>
    </row>
    <row r="113" s="11" customFormat="1" customHeight="1" spans="5:12">
      <c r="E113" s="14"/>
      <c r="F113" s="14"/>
      <c r="G113" s="14"/>
      <c r="H113" s="14"/>
      <c r="I113" s="14"/>
      <c r="L113" s="12"/>
    </row>
    <row r="114" s="11" customFormat="1" customHeight="1" spans="5:12">
      <c r="E114" s="14"/>
      <c r="F114" s="14"/>
      <c r="G114" s="14"/>
      <c r="H114" s="14"/>
      <c r="I114" s="14"/>
      <c r="L114" s="12"/>
    </row>
    <row r="115" s="11" customFormat="1" customHeight="1" spans="5:12">
      <c r="E115" s="14"/>
      <c r="F115" s="14"/>
      <c r="G115" s="14"/>
      <c r="H115" s="14"/>
      <c r="I115" s="14"/>
      <c r="L115" s="12"/>
    </row>
    <row r="116" s="11" customFormat="1" customHeight="1" spans="5:12">
      <c r="E116" s="14"/>
      <c r="F116" s="14"/>
      <c r="G116" s="14"/>
      <c r="H116" s="14"/>
      <c r="I116" s="14"/>
      <c r="L116" s="12"/>
    </row>
    <row r="117" s="11" customFormat="1" customHeight="1" spans="5:12">
      <c r="E117" s="14"/>
      <c r="F117" s="14"/>
      <c r="G117" s="14"/>
      <c r="H117" s="14"/>
      <c r="I117" s="14"/>
      <c r="L117" s="12"/>
    </row>
    <row r="118" s="11" customFormat="1" customHeight="1" spans="5:12">
      <c r="E118" s="14"/>
      <c r="F118" s="14"/>
      <c r="G118" s="14"/>
      <c r="H118" s="14"/>
      <c r="I118" s="14"/>
      <c r="L118" s="12"/>
    </row>
    <row r="119" s="11" customFormat="1" customHeight="1" spans="5:12">
      <c r="E119" s="14"/>
      <c r="F119" s="14"/>
      <c r="G119" s="14"/>
      <c r="H119" s="14"/>
      <c r="I119" s="14"/>
      <c r="L119" s="12"/>
    </row>
    <row r="120" s="11" customFormat="1" customHeight="1" spans="5:12">
      <c r="E120" s="14"/>
      <c r="F120" s="14"/>
      <c r="G120" s="14"/>
      <c r="H120" s="14"/>
      <c r="I120" s="14"/>
      <c r="L120" s="12"/>
    </row>
    <row r="121" s="11" customFormat="1" customHeight="1" spans="5:12">
      <c r="E121" s="14"/>
      <c r="F121" s="14"/>
      <c r="G121" s="14"/>
      <c r="H121" s="14"/>
      <c r="I121" s="14"/>
      <c r="L121" s="12"/>
    </row>
    <row r="122" s="11" customFormat="1" customHeight="1" spans="5:12">
      <c r="E122" s="14"/>
      <c r="F122" s="14"/>
      <c r="G122" s="14"/>
      <c r="H122" s="14"/>
      <c r="I122" s="14"/>
      <c r="L122" s="12"/>
    </row>
    <row r="123" s="11" customFormat="1" customHeight="1" spans="5:12">
      <c r="E123" s="14"/>
      <c r="F123" s="14"/>
      <c r="G123" s="14"/>
      <c r="H123" s="14"/>
      <c r="I123" s="14"/>
      <c r="L123" s="12"/>
    </row>
    <row r="124" s="11" customFormat="1" customHeight="1" spans="5:12">
      <c r="E124" s="14"/>
      <c r="F124" s="14"/>
      <c r="G124" s="14"/>
      <c r="H124" s="14"/>
      <c r="I124" s="14"/>
      <c r="L124" s="12"/>
    </row>
    <row r="125" s="11" customFormat="1" customHeight="1" spans="5:12">
      <c r="E125" s="14"/>
      <c r="F125" s="14"/>
      <c r="G125" s="14"/>
      <c r="H125" s="14"/>
      <c r="I125" s="14"/>
      <c r="L125" s="12"/>
    </row>
    <row r="126" s="11" customFormat="1" customHeight="1" spans="5:12">
      <c r="E126" s="14"/>
      <c r="F126" s="14"/>
      <c r="G126" s="14"/>
      <c r="H126" s="14"/>
      <c r="I126" s="14"/>
      <c r="L126" s="12"/>
    </row>
    <row r="127" s="11" customFormat="1" customHeight="1" spans="5:12">
      <c r="E127" s="14"/>
      <c r="F127" s="14"/>
      <c r="G127" s="14"/>
      <c r="H127" s="14"/>
      <c r="I127" s="14"/>
      <c r="L127" s="12"/>
    </row>
    <row r="128" s="11" customFormat="1" customHeight="1" spans="5:12">
      <c r="E128" s="14"/>
      <c r="F128" s="14"/>
      <c r="G128" s="14"/>
      <c r="H128" s="14"/>
      <c r="I128" s="14"/>
      <c r="L128" s="12"/>
    </row>
    <row r="129" s="11" customFormat="1" customHeight="1" spans="5:12">
      <c r="E129" s="14"/>
      <c r="F129" s="14"/>
      <c r="G129" s="14"/>
      <c r="H129" s="14"/>
      <c r="I129" s="14"/>
      <c r="L129" s="12"/>
    </row>
    <row r="130" s="11" customFormat="1" customHeight="1" spans="5:12">
      <c r="E130" s="14"/>
      <c r="F130" s="14"/>
      <c r="G130" s="14"/>
      <c r="H130" s="14"/>
      <c r="I130" s="14"/>
      <c r="L130" s="12"/>
    </row>
    <row r="131" s="11" customFormat="1" customHeight="1" spans="5:12">
      <c r="E131" s="14"/>
      <c r="F131" s="14"/>
      <c r="G131" s="14"/>
      <c r="H131" s="14"/>
      <c r="I131" s="14"/>
      <c r="L131" s="12"/>
    </row>
    <row r="132" s="11" customFormat="1" customHeight="1" spans="5:12">
      <c r="E132" s="14"/>
      <c r="F132" s="14"/>
      <c r="G132" s="14"/>
      <c r="H132" s="14"/>
      <c r="I132" s="14"/>
      <c r="L132" s="12"/>
    </row>
    <row r="133" s="11" customFormat="1" customHeight="1" spans="5:12">
      <c r="E133" s="14"/>
      <c r="F133" s="14"/>
      <c r="G133" s="14"/>
      <c r="H133" s="14"/>
      <c r="I133" s="14"/>
      <c r="L133" s="12"/>
    </row>
    <row r="134" s="11" customFormat="1" customHeight="1" spans="5:12">
      <c r="E134" s="14"/>
      <c r="F134" s="14"/>
      <c r="G134" s="14"/>
      <c r="H134" s="14"/>
      <c r="I134" s="14"/>
      <c r="L134" s="12"/>
    </row>
    <row r="135" s="11" customFormat="1" customHeight="1" spans="5:12">
      <c r="E135" s="14"/>
      <c r="F135" s="14"/>
      <c r="G135" s="14"/>
      <c r="H135" s="14"/>
      <c r="I135" s="14"/>
      <c r="L135" s="12"/>
    </row>
    <row r="136" s="11" customFormat="1" customHeight="1" spans="5:12">
      <c r="E136" s="14"/>
      <c r="F136" s="14"/>
      <c r="G136" s="14"/>
      <c r="H136" s="14"/>
      <c r="I136" s="14"/>
      <c r="L136" s="12"/>
    </row>
    <row r="137" s="11" customFormat="1" customHeight="1" spans="5:12">
      <c r="E137" s="14"/>
      <c r="F137" s="14"/>
      <c r="G137" s="14"/>
      <c r="H137" s="14"/>
      <c r="I137" s="14"/>
      <c r="L137" s="12"/>
    </row>
    <row r="138" s="11" customFormat="1" customHeight="1" spans="5:12">
      <c r="E138" s="14"/>
      <c r="F138" s="14"/>
      <c r="G138" s="14"/>
      <c r="H138" s="14"/>
      <c r="I138" s="14"/>
      <c r="L138" s="12"/>
    </row>
    <row r="139" s="11" customFormat="1" customHeight="1" spans="5:12">
      <c r="E139" s="14"/>
      <c r="F139" s="14"/>
      <c r="G139" s="14"/>
      <c r="H139" s="14"/>
      <c r="I139" s="14"/>
      <c r="L139" s="12"/>
    </row>
    <row r="140" s="11" customFormat="1" customHeight="1" spans="5:12">
      <c r="E140" s="14"/>
      <c r="F140" s="14"/>
      <c r="G140" s="14"/>
      <c r="H140" s="14"/>
      <c r="I140" s="14"/>
      <c r="L140" s="12"/>
    </row>
    <row r="141" s="11" customFormat="1" customHeight="1" spans="5:12">
      <c r="E141" s="14"/>
      <c r="F141" s="14"/>
      <c r="G141" s="14"/>
      <c r="H141" s="14"/>
      <c r="I141" s="14"/>
      <c r="L141" s="12"/>
    </row>
    <row r="142" s="11" customFormat="1" customHeight="1" spans="5:12">
      <c r="E142" s="14"/>
      <c r="F142" s="14"/>
      <c r="G142" s="14"/>
      <c r="H142" s="14"/>
      <c r="I142" s="14"/>
      <c r="L142" s="12"/>
    </row>
    <row r="143" s="11" customFormat="1" customHeight="1" spans="5:12">
      <c r="E143" s="14"/>
      <c r="F143" s="14"/>
      <c r="G143" s="14"/>
      <c r="H143" s="14"/>
      <c r="I143" s="14"/>
      <c r="L143" s="12"/>
    </row>
    <row r="144" s="11" customFormat="1" customHeight="1" spans="5:12">
      <c r="E144" s="14"/>
      <c r="F144" s="14"/>
      <c r="G144" s="14"/>
      <c r="H144" s="14"/>
      <c r="I144" s="14"/>
      <c r="L144" s="12"/>
    </row>
    <row r="145" s="11" customFormat="1" customHeight="1" spans="5:12">
      <c r="E145" s="14"/>
      <c r="F145" s="14"/>
      <c r="G145" s="14"/>
      <c r="H145" s="14"/>
      <c r="I145" s="14"/>
      <c r="L145" s="12"/>
    </row>
    <row r="146" s="11" customFormat="1" customHeight="1" spans="5:12">
      <c r="E146" s="14"/>
      <c r="F146" s="14"/>
      <c r="G146" s="14"/>
      <c r="H146" s="14"/>
      <c r="I146" s="14"/>
      <c r="L146" s="12"/>
    </row>
    <row r="147" s="11" customFormat="1" customHeight="1" spans="5:12">
      <c r="E147" s="14"/>
      <c r="F147" s="14"/>
      <c r="G147" s="14"/>
      <c r="H147" s="14"/>
      <c r="I147" s="14"/>
      <c r="L147" s="12"/>
    </row>
    <row r="148" s="11" customFormat="1" customHeight="1" spans="5:12">
      <c r="E148" s="14"/>
      <c r="F148" s="14"/>
      <c r="G148" s="14"/>
      <c r="H148" s="14"/>
      <c r="I148" s="14"/>
      <c r="L148" s="12"/>
    </row>
    <row r="149" s="11" customFormat="1" customHeight="1" spans="5:12">
      <c r="E149" s="14"/>
      <c r="F149" s="14"/>
      <c r="G149" s="14"/>
      <c r="H149" s="14"/>
      <c r="I149" s="14"/>
      <c r="L149" s="12"/>
    </row>
    <row r="150" s="11" customFormat="1" customHeight="1" spans="5:12">
      <c r="E150" s="14"/>
      <c r="F150" s="14"/>
      <c r="G150" s="14"/>
      <c r="H150" s="14"/>
      <c r="I150" s="14"/>
      <c r="L150" s="12"/>
    </row>
    <row r="151" s="11" customFormat="1" customHeight="1" spans="5:12">
      <c r="E151" s="14"/>
      <c r="F151" s="14"/>
      <c r="G151" s="14"/>
      <c r="H151" s="14"/>
      <c r="I151" s="14"/>
      <c r="L151" s="12"/>
    </row>
    <row r="152" s="11" customFormat="1" customHeight="1" spans="5:12">
      <c r="E152" s="14"/>
      <c r="F152" s="14"/>
      <c r="G152" s="14"/>
      <c r="H152" s="14"/>
      <c r="I152" s="14"/>
      <c r="L152" s="12"/>
    </row>
    <row r="153" s="11" customFormat="1" customHeight="1" spans="5:12">
      <c r="E153" s="14"/>
      <c r="F153" s="14"/>
      <c r="G153" s="14"/>
      <c r="H153" s="14"/>
      <c r="I153" s="14"/>
      <c r="L153" s="12"/>
    </row>
    <row r="154" s="11" customFormat="1" customHeight="1" spans="5:12">
      <c r="E154" s="14"/>
      <c r="F154" s="14"/>
      <c r="G154" s="14"/>
      <c r="H154" s="14"/>
      <c r="I154" s="14"/>
      <c r="L154" s="12"/>
    </row>
    <row r="155" s="11" customFormat="1" customHeight="1" spans="5:12">
      <c r="E155" s="14"/>
      <c r="F155" s="14"/>
      <c r="G155" s="14"/>
      <c r="H155" s="14"/>
      <c r="I155" s="14"/>
      <c r="L155" s="12"/>
    </row>
    <row r="156" s="11" customFormat="1" customHeight="1" spans="5:12">
      <c r="E156" s="14"/>
      <c r="F156" s="14"/>
      <c r="G156" s="14"/>
      <c r="H156" s="14"/>
      <c r="I156" s="14"/>
      <c r="L156" s="12"/>
    </row>
    <row r="157" s="11" customFormat="1" customHeight="1" spans="5:12">
      <c r="E157" s="14"/>
      <c r="F157" s="14"/>
      <c r="G157" s="14"/>
      <c r="H157" s="14"/>
      <c r="I157" s="14"/>
      <c r="L157" s="12"/>
    </row>
    <row r="158" s="11" customFormat="1" customHeight="1" spans="5:12">
      <c r="E158" s="14"/>
      <c r="F158" s="14"/>
      <c r="G158" s="14"/>
      <c r="H158" s="14"/>
      <c r="I158" s="14"/>
      <c r="L158" s="12"/>
    </row>
    <row r="159" s="11" customFormat="1" customHeight="1" spans="5:12">
      <c r="E159" s="14"/>
      <c r="F159" s="14"/>
      <c r="G159" s="14"/>
      <c r="H159" s="14"/>
      <c r="I159" s="14"/>
      <c r="L159" s="12"/>
    </row>
    <row r="160" s="11" customFormat="1" customHeight="1" spans="5:12">
      <c r="E160" s="14"/>
      <c r="F160" s="14"/>
      <c r="G160" s="14"/>
      <c r="H160" s="14"/>
      <c r="I160" s="14"/>
      <c r="L160" s="12"/>
    </row>
    <row r="161" s="11" customFormat="1" customHeight="1" spans="5:12">
      <c r="E161" s="14"/>
      <c r="F161" s="14"/>
      <c r="G161" s="14"/>
      <c r="H161" s="14"/>
      <c r="I161" s="14"/>
      <c r="L161" s="12"/>
    </row>
    <row r="162" s="11" customFormat="1" customHeight="1" spans="5:12">
      <c r="E162" s="14"/>
      <c r="F162" s="14"/>
      <c r="G162" s="14"/>
      <c r="H162" s="14"/>
      <c r="I162" s="14"/>
      <c r="L162" s="12"/>
    </row>
    <row r="163" s="11" customFormat="1" customHeight="1" spans="5:12">
      <c r="E163" s="14"/>
      <c r="F163" s="14"/>
      <c r="G163" s="14"/>
      <c r="H163" s="14"/>
      <c r="I163" s="14"/>
      <c r="L163" s="12"/>
    </row>
    <row r="164" s="11" customFormat="1" customHeight="1" spans="5:12">
      <c r="E164" s="14"/>
      <c r="F164" s="14"/>
      <c r="G164" s="14"/>
      <c r="H164" s="14"/>
      <c r="I164" s="14"/>
      <c r="L164" s="12"/>
    </row>
    <row r="165" s="11" customFormat="1" customHeight="1" spans="5:12">
      <c r="E165" s="14"/>
      <c r="F165" s="14"/>
      <c r="G165" s="14"/>
      <c r="H165" s="14"/>
      <c r="I165" s="14"/>
      <c r="L165" s="12"/>
    </row>
    <row r="166" s="11" customFormat="1" customHeight="1" spans="5:12">
      <c r="E166" s="14"/>
      <c r="F166" s="14"/>
      <c r="G166" s="14"/>
      <c r="H166" s="14"/>
      <c r="I166" s="14"/>
      <c r="L166" s="12"/>
    </row>
    <row r="167" s="11" customFormat="1" customHeight="1" spans="5:12">
      <c r="E167" s="14"/>
      <c r="F167" s="14"/>
      <c r="G167" s="14"/>
      <c r="H167" s="14"/>
      <c r="I167" s="14"/>
      <c r="L167" s="12"/>
    </row>
    <row r="168" s="11" customFormat="1" customHeight="1" spans="5:12">
      <c r="E168" s="14"/>
      <c r="F168" s="14"/>
      <c r="G168" s="14"/>
      <c r="H168" s="14"/>
      <c r="I168" s="14"/>
      <c r="L168" s="12"/>
    </row>
    <row r="169" s="11" customFormat="1" customHeight="1" spans="5:12">
      <c r="E169" s="14"/>
      <c r="F169" s="14"/>
      <c r="G169" s="14"/>
      <c r="H169" s="14"/>
      <c r="I169" s="14"/>
      <c r="L169" s="12"/>
    </row>
    <row r="170" s="11" customFormat="1" customHeight="1" spans="5:12">
      <c r="E170" s="14"/>
      <c r="F170" s="14"/>
      <c r="G170" s="14"/>
      <c r="H170" s="14"/>
      <c r="I170" s="14"/>
      <c r="L170" s="12"/>
    </row>
    <row r="171" s="11" customFormat="1" customHeight="1" spans="5:12">
      <c r="E171" s="14"/>
      <c r="F171" s="14"/>
      <c r="G171" s="14"/>
      <c r="H171" s="14"/>
      <c r="I171" s="14"/>
      <c r="L171" s="12"/>
    </row>
    <row r="172" s="11" customFormat="1" customHeight="1" spans="5:12">
      <c r="E172" s="14"/>
      <c r="F172" s="14"/>
      <c r="G172" s="14"/>
      <c r="H172" s="14"/>
      <c r="I172" s="14"/>
      <c r="L172" s="12"/>
    </row>
    <row r="173" s="11" customFormat="1" customHeight="1" spans="5:12">
      <c r="E173" s="14"/>
      <c r="F173" s="14"/>
      <c r="G173" s="14"/>
      <c r="H173" s="14"/>
      <c r="I173" s="14"/>
      <c r="L173" s="12"/>
    </row>
    <row r="174" s="11" customFormat="1" customHeight="1" spans="5:12">
      <c r="E174" s="14"/>
      <c r="F174" s="14"/>
      <c r="G174" s="14"/>
      <c r="H174" s="14"/>
      <c r="I174" s="14"/>
      <c r="L174" s="12"/>
    </row>
    <row r="175" s="11" customFormat="1" customHeight="1" spans="5:12">
      <c r="E175" s="14"/>
      <c r="F175" s="14"/>
      <c r="G175" s="14"/>
      <c r="H175" s="14"/>
      <c r="I175" s="14"/>
      <c r="L175" s="12"/>
    </row>
    <row r="176" s="11" customFormat="1" customHeight="1" spans="5:12">
      <c r="E176" s="14"/>
      <c r="F176" s="14"/>
      <c r="G176" s="14"/>
      <c r="H176" s="14"/>
      <c r="I176" s="14"/>
      <c r="L176" s="12"/>
    </row>
    <row r="177" s="11" customFormat="1" customHeight="1" spans="5:12">
      <c r="E177" s="14"/>
      <c r="F177" s="14"/>
      <c r="G177" s="14"/>
      <c r="H177" s="14"/>
      <c r="I177" s="14"/>
      <c r="L177" s="12"/>
    </row>
    <row r="178" s="11" customFormat="1" customHeight="1" spans="5:12">
      <c r="E178" s="14"/>
      <c r="F178" s="14"/>
      <c r="G178" s="14"/>
      <c r="H178" s="14"/>
      <c r="I178" s="14"/>
      <c r="L178" s="12"/>
    </row>
    <row r="179" s="11" customFormat="1" customHeight="1" spans="5:12">
      <c r="E179" s="14"/>
      <c r="F179" s="14"/>
      <c r="G179" s="14"/>
      <c r="H179" s="14"/>
      <c r="I179" s="14"/>
      <c r="L179" s="12"/>
    </row>
    <row r="180" s="11" customFormat="1" customHeight="1" spans="5:12">
      <c r="E180" s="14"/>
      <c r="F180" s="14"/>
      <c r="G180" s="14"/>
      <c r="H180" s="14"/>
      <c r="I180" s="14"/>
      <c r="L180" s="12"/>
    </row>
    <row r="181" s="11" customFormat="1" customHeight="1" spans="5:12">
      <c r="E181" s="14"/>
      <c r="F181" s="14"/>
      <c r="G181" s="14"/>
      <c r="H181" s="14"/>
      <c r="I181" s="14"/>
      <c r="L181" s="12"/>
    </row>
    <row r="182" s="11" customFormat="1" customHeight="1" spans="5:12">
      <c r="E182" s="14"/>
      <c r="F182" s="14"/>
      <c r="G182" s="14"/>
      <c r="H182" s="14"/>
      <c r="I182" s="14"/>
      <c r="L182" s="12"/>
    </row>
    <row r="183" s="11" customFormat="1" customHeight="1" spans="5:12">
      <c r="E183" s="14"/>
      <c r="F183" s="14"/>
      <c r="G183" s="14"/>
      <c r="H183" s="14"/>
      <c r="I183" s="14"/>
      <c r="L183" s="12"/>
    </row>
    <row r="184" s="11" customFormat="1" customHeight="1" spans="5:12">
      <c r="E184" s="14"/>
      <c r="F184" s="14"/>
      <c r="G184" s="14"/>
      <c r="H184" s="14"/>
      <c r="I184" s="14"/>
      <c r="L184" s="12"/>
    </row>
    <row r="185" s="11" customFormat="1" customHeight="1" spans="5:12">
      <c r="E185" s="14"/>
      <c r="F185" s="14"/>
      <c r="G185" s="14"/>
      <c r="H185" s="14"/>
      <c r="I185" s="14"/>
      <c r="L185" s="12"/>
    </row>
    <row r="186" s="11" customFormat="1" customHeight="1" spans="5:12">
      <c r="E186" s="14"/>
      <c r="F186" s="14"/>
      <c r="G186" s="14"/>
      <c r="H186" s="14"/>
      <c r="I186" s="14"/>
      <c r="L186" s="12"/>
    </row>
    <row r="187" s="11" customFormat="1" customHeight="1" spans="5:12">
      <c r="E187" s="14"/>
      <c r="F187" s="14"/>
      <c r="G187" s="14"/>
      <c r="H187" s="14"/>
      <c r="I187" s="14"/>
      <c r="L187" s="12"/>
    </row>
    <row r="188" s="11" customFormat="1" customHeight="1" spans="5:12">
      <c r="E188" s="14"/>
      <c r="F188" s="14"/>
      <c r="G188" s="14"/>
      <c r="H188" s="14"/>
      <c r="I188" s="14"/>
      <c r="L188" s="12"/>
    </row>
    <row r="189" s="11" customFormat="1" customHeight="1" spans="5:12">
      <c r="E189" s="14"/>
      <c r="F189" s="14"/>
      <c r="G189" s="14"/>
      <c r="H189" s="14"/>
      <c r="I189" s="14"/>
      <c r="L189" s="12"/>
    </row>
    <row r="190" s="11" customFormat="1" customHeight="1" spans="5:12">
      <c r="E190" s="14"/>
      <c r="F190" s="14"/>
      <c r="G190" s="14"/>
      <c r="H190" s="14"/>
      <c r="I190" s="14"/>
      <c r="L190" s="12"/>
    </row>
    <row r="191" s="11" customFormat="1" customHeight="1" spans="5:12">
      <c r="E191" s="14"/>
      <c r="F191" s="14"/>
      <c r="G191" s="14"/>
      <c r="H191" s="14"/>
      <c r="I191" s="14"/>
      <c r="L191" s="12"/>
    </row>
    <row r="192" s="11" customFormat="1" customHeight="1" spans="5:12">
      <c r="E192" s="14"/>
      <c r="F192" s="14"/>
      <c r="G192" s="14"/>
      <c r="H192" s="14"/>
      <c r="I192" s="14"/>
      <c r="L192" s="12"/>
    </row>
    <row r="193" s="11" customFormat="1" customHeight="1" spans="5:12">
      <c r="E193" s="14"/>
      <c r="F193" s="14"/>
      <c r="G193" s="14"/>
      <c r="H193" s="14"/>
      <c r="I193" s="14"/>
      <c r="L193" s="12"/>
    </row>
    <row r="194" s="11" customFormat="1" customHeight="1" spans="5:12">
      <c r="E194" s="14"/>
      <c r="F194" s="14"/>
      <c r="G194" s="14"/>
      <c r="H194" s="14"/>
      <c r="I194" s="14"/>
      <c r="L194" s="12"/>
    </row>
    <row r="195" s="11" customFormat="1" customHeight="1" spans="5:12">
      <c r="E195" s="14"/>
      <c r="F195" s="14"/>
      <c r="G195" s="14"/>
      <c r="H195" s="14"/>
      <c r="I195" s="14"/>
      <c r="L195" s="12"/>
    </row>
    <row r="196" s="11" customFormat="1" customHeight="1" spans="5:12">
      <c r="E196" s="14"/>
      <c r="F196" s="14"/>
      <c r="G196" s="14"/>
      <c r="H196" s="14"/>
      <c r="I196" s="14"/>
      <c r="L196" s="12"/>
    </row>
    <row r="197" s="11" customFormat="1" customHeight="1" spans="5:12">
      <c r="E197" s="14"/>
      <c r="F197" s="14"/>
      <c r="G197" s="14"/>
      <c r="H197" s="14"/>
      <c r="I197" s="14"/>
      <c r="L197" s="12"/>
    </row>
    <row r="198" s="11" customFormat="1" customHeight="1" spans="5:12">
      <c r="E198" s="14"/>
      <c r="F198" s="14"/>
      <c r="G198" s="14"/>
      <c r="H198" s="14"/>
      <c r="I198" s="14"/>
      <c r="L198" s="12"/>
    </row>
    <row r="199" s="11" customFormat="1" customHeight="1" spans="5:12">
      <c r="E199" s="14"/>
      <c r="F199" s="14"/>
      <c r="G199" s="14"/>
      <c r="H199" s="14"/>
      <c r="I199" s="14"/>
      <c r="L199" s="12"/>
    </row>
    <row r="200" s="11" customFormat="1" customHeight="1" spans="5:12">
      <c r="E200" s="14"/>
      <c r="F200" s="14"/>
      <c r="G200" s="14"/>
      <c r="H200" s="14"/>
      <c r="I200" s="14"/>
      <c r="L200" s="12"/>
    </row>
    <row r="201" s="11" customFormat="1" customHeight="1" spans="5:12">
      <c r="E201" s="14"/>
      <c r="F201" s="14"/>
      <c r="G201" s="14"/>
      <c r="H201" s="14"/>
      <c r="I201" s="14"/>
      <c r="L201" s="12"/>
    </row>
    <row r="202" s="11" customFormat="1" customHeight="1" spans="5:12">
      <c r="E202" s="14"/>
      <c r="F202" s="14"/>
      <c r="G202" s="14"/>
      <c r="H202" s="14"/>
      <c r="I202" s="14"/>
      <c r="L202" s="12"/>
    </row>
    <row r="203" s="11" customFormat="1" customHeight="1" spans="5:12">
      <c r="E203" s="14"/>
      <c r="F203" s="14"/>
      <c r="G203" s="14"/>
      <c r="H203" s="14"/>
      <c r="I203" s="14"/>
      <c r="L203" s="12"/>
    </row>
    <row r="204" s="11" customFormat="1" customHeight="1" spans="5:12">
      <c r="E204" s="14"/>
      <c r="F204" s="14"/>
      <c r="G204" s="14"/>
      <c r="H204" s="14"/>
      <c r="I204" s="14"/>
      <c r="L204" s="12"/>
    </row>
    <row r="205" s="11" customFormat="1" customHeight="1" spans="5:12">
      <c r="E205" s="14"/>
      <c r="F205" s="14"/>
      <c r="G205" s="14"/>
      <c r="H205" s="14"/>
      <c r="I205" s="14"/>
      <c r="L205" s="12"/>
    </row>
    <row r="206" s="11" customFormat="1" customHeight="1" spans="5:12">
      <c r="E206" s="14"/>
      <c r="F206" s="14"/>
      <c r="G206" s="14"/>
      <c r="H206" s="14"/>
      <c r="I206" s="14"/>
      <c r="L206" s="12"/>
    </row>
    <row r="207" s="11" customFormat="1" customHeight="1" spans="5:12">
      <c r="E207" s="14"/>
      <c r="F207" s="14"/>
      <c r="G207" s="14"/>
      <c r="H207" s="14"/>
      <c r="I207" s="14"/>
      <c r="L207" s="12"/>
    </row>
    <row r="208" s="11" customFormat="1" customHeight="1" spans="5:12">
      <c r="E208" s="14"/>
      <c r="F208" s="14"/>
      <c r="G208" s="14"/>
      <c r="H208" s="14"/>
      <c r="I208" s="14"/>
      <c r="L208" s="12"/>
    </row>
    <row r="209" s="11" customFormat="1" customHeight="1" spans="5:12">
      <c r="E209" s="14"/>
      <c r="F209" s="14"/>
      <c r="G209" s="14"/>
      <c r="H209" s="14"/>
      <c r="I209" s="14"/>
      <c r="L209" s="12"/>
    </row>
    <row r="210" s="11" customFormat="1" customHeight="1" spans="5:12">
      <c r="E210" s="14"/>
      <c r="F210" s="14"/>
      <c r="G210" s="14"/>
      <c r="H210" s="14"/>
      <c r="I210" s="14"/>
      <c r="L210" s="12"/>
    </row>
    <row r="211" s="11" customFormat="1" customHeight="1" spans="5:12">
      <c r="E211" s="14"/>
      <c r="F211" s="14"/>
      <c r="G211" s="14"/>
      <c r="H211" s="14"/>
      <c r="I211" s="14"/>
      <c r="L211" s="12"/>
    </row>
    <row r="212" s="11" customFormat="1" customHeight="1" spans="5:12">
      <c r="E212" s="14"/>
      <c r="F212" s="14"/>
      <c r="G212" s="14"/>
      <c r="H212" s="14"/>
      <c r="I212" s="14"/>
      <c r="L212" s="12"/>
    </row>
    <row r="213" s="11" customFormat="1" customHeight="1" spans="5:12">
      <c r="E213" s="14"/>
      <c r="F213" s="14"/>
      <c r="G213" s="14"/>
      <c r="H213" s="14"/>
      <c r="I213" s="14"/>
      <c r="L213" s="12"/>
    </row>
    <row r="214" s="11" customFormat="1" customHeight="1" spans="5:12">
      <c r="E214" s="14"/>
      <c r="F214" s="14"/>
      <c r="G214" s="14"/>
      <c r="H214" s="14"/>
      <c r="I214" s="14"/>
      <c r="L214" s="12"/>
    </row>
    <row r="215" s="11" customFormat="1" customHeight="1" spans="5:12">
      <c r="E215" s="14"/>
      <c r="F215" s="14"/>
      <c r="G215" s="14"/>
      <c r="H215" s="14"/>
      <c r="I215" s="14"/>
      <c r="L215" s="12"/>
    </row>
    <row r="216" s="11" customFormat="1" customHeight="1" spans="5:12">
      <c r="E216" s="14"/>
      <c r="F216" s="14"/>
      <c r="G216" s="14"/>
      <c r="H216" s="14"/>
      <c r="I216" s="14"/>
      <c r="L216" s="12"/>
    </row>
    <row r="217" s="11" customFormat="1" customHeight="1" spans="5:12">
      <c r="E217" s="14"/>
      <c r="F217" s="14"/>
      <c r="G217" s="14"/>
      <c r="H217" s="14"/>
      <c r="I217" s="14"/>
      <c r="L217" s="12"/>
    </row>
    <row r="218" s="11" customFormat="1" customHeight="1" spans="5:12">
      <c r="E218" s="14"/>
      <c r="F218" s="14"/>
      <c r="G218" s="14"/>
      <c r="H218" s="14"/>
      <c r="I218" s="14"/>
      <c r="L218" s="12"/>
    </row>
    <row r="219" s="11" customFormat="1" customHeight="1" spans="5:12">
      <c r="E219" s="14"/>
      <c r="F219" s="14"/>
      <c r="G219" s="14"/>
      <c r="H219" s="14"/>
      <c r="I219" s="14"/>
      <c r="L219" s="12"/>
    </row>
    <row r="220" s="11" customFormat="1" customHeight="1" spans="5:12">
      <c r="E220" s="14"/>
      <c r="F220" s="14"/>
      <c r="G220" s="14"/>
      <c r="H220" s="14"/>
      <c r="I220" s="14"/>
      <c r="L220" s="12"/>
    </row>
    <row r="221" s="11" customFormat="1" customHeight="1" spans="5:12">
      <c r="E221" s="14"/>
      <c r="F221" s="14"/>
      <c r="G221" s="14"/>
      <c r="H221" s="14"/>
      <c r="I221" s="14"/>
      <c r="L221" s="12"/>
    </row>
    <row r="222" s="11" customFormat="1" customHeight="1" spans="5:12">
      <c r="E222" s="14"/>
      <c r="F222" s="14"/>
      <c r="G222" s="14"/>
      <c r="H222" s="14"/>
      <c r="I222" s="14"/>
      <c r="L222" s="12"/>
    </row>
    <row r="223" s="11" customFormat="1" customHeight="1" spans="5:12">
      <c r="E223" s="14"/>
      <c r="F223" s="14"/>
      <c r="G223" s="14"/>
      <c r="H223" s="14"/>
      <c r="I223" s="14"/>
      <c r="L223" s="12"/>
    </row>
    <row r="224" s="11" customFormat="1" customHeight="1" spans="5:12">
      <c r="E224" s="14"/>
      <c r="F224" s="14"/>
      <c r="G224" s="14"/>
      <c r="H224" s="14"/>
      <c r="I224" s="14"/>
      <c r="L224" s="12"/>
    </row>
    <row r="225" s="11" customFormat="1" customHeight="1" spans="5:12">
      <c r="E225" s="14"/>
      <c r="F225" s="14"/>
      <c r="G225" s="14"/>
      <c r="H225" s="14"/>
      <c r="I225" s="14"/>
      <c r="L225" s="12"/>
    </row>
    <row r="226" s="11" customFormat="1" customHeight="1" spans="5:12">
      <c r="E226" s="14"/>
      <c r="F226" s="14"/>
      <c r="G226" s="14"/>
      <c r="H226" s="14"/>
      <c r="I226" s="14"/>
      <c r="L226" s="12"/>
    </row>
    <row r="227" s="11" customFormat="1" customHeight="1" spans="5:12">
      <c r="E227" s="14"/>
      <c r="F227" s="14"/>
      <c r="G227" s="14"/>
      <c r="H227" s="14"/>
      <c r="I227" s="14"/>
      <c r="L227" s="12"/>
    </row>
    <row r="228" s="11" customFormat="1" customHeight="1" spans="5:12">
      <c r="E228" s="14"/>
      <c r="F228" s="14"/>
      <c r="G228" s="14"/>
      <c r="H228" s="14"/>
      <c r="I228" s="14"/>
      <c r="L228" s="12"/>
    </row>
    <row r="229" s="11" customFormat="1" customHeight="1" spans="5:12">
      <c r="E229" s="14"/>
      <c r="F229" s="14"/>
      <c r="G229" s="14"/>
      <c r="H229" s="14"/>
      <c r="I229" s="14"/>
      <c r="L229" s="12"/>
    </row>
    <row r="230" s="11" customFormat="1" customHeight="1" spans="5:12">
      <c r="E230" s="14"/>
      <c r="F230" s="14"/>
      <c r="G230" s="14"/>
      <c r="H230" s="14"/>
      <c r="I230" s="14"/>
      <c r="L230" s="12"/>
    </row>
    <row r="231" s="11" customFormat="1" customHeight="1" spans="5:12">
      <c r="E231" s="14"/>
      <c r="F231" s="14"/>
      <c r="G231" s="14"/>
      <c r="H231" s="14"/>
      <c r="I231" s="14"/>
      <c r="L231" s="12"/>
    </row>
    <row r="232" s="11" customFormat="1" customHeight="1" spans="5:12">
      <c r="E232" s="14"/>
      <c r="F232" s="14"/>
      <c r="G232" s="14"/>
      <c r="H232" s="14"/>
      <c r="I232" s="14"/>
      <c r="L232" s="12"/>
    </row>
    <row r="233" s="11" customFormat="1" customHeight="1" spans="5:12">
      <c r="E233" s="14"/>
      <c r="F233" s="14"/>
      <c r="G233" s="14"/>
      <c r="H233" s="14"/>
      <c r="I233" s="14"/>
      <c r="L233" s="12"/>
    </row>
    <row r="234" s="11" customFormat="1" customHeight="1" spans="5:12">
      <c r="E234" s="14"/>
      <c r="F234" s="14"/>
      <c r="G234" s="14"/>
      <c r="H234" s="14"/>
      <c r="I234" s="14"/>
      <c r="L234" s="12"/>
    </row>
    <row r="235" s="11" customFormat="1" customHeight="1" spans="5:12">
      <c r="E235" s="14"/>
      <c r="F235" s="14"/>
      <c r="G235" s="14"/>
      <c r="H235" s="14"/>
      <c r="I235" s="14"/>
      <c r="L235" s="12"/>
    </row>
    <row r="236" s="11" customFormat="1" customHeight="1" spans="5:12">
      <c r="E236" s="14"/>
      <c r="F236" s="14"/>
      <c r="G236" s="14"/>
      <c r="H236" s="14"/>
      <c r="I236" s="14"/>
      <c r="L236" s="12"/>
    </row>
    <row r="237" s="11" customFormat="1" customHeight="1" spans="5:12">
      <c r="E237" s="14"/>
      <c r="F237" s="14"/>
      <c r="G237" s="14"/>
      <c r="H237" s="14"/>
      <c r="I237" s="14"/>
      <c r="L237" s="12"/>
    </row>
    <row r="238" s="11" customFormat="1" customHeight="1" spans="5:12">
      <c r="E238" s="14"/>
      <c r="F238" s="14"/>
      <c r="G238" s="14"/>
      <c r="H238" s="14"/>
      <c r="I238" s="14"/>
      <c r="L238" s="12"/>
    </row>
    <row r="239" s="11" customFormat="1" customHeight="1" spans="5:12">
      <c r="E239" s="14"/>
      <c r="F239" s="14"/>
      <c r="G239" s="14"/>
      <c r="H239" s="14"/>
      <c r="I239" s="14"/>
      <c r="L239" s="12"/>
    </row>
    <row r="240" s="11" customFormat="1" customHeight="1" spans="5:12">
      <c r="E240" s="14"/>
      <c r="F240" s="14"/>
      <c r="G240" s="14"/>
      <c r="H240" s="14"/>
      <c r="I240" s="14"/>
      <c r="L240" s="12"/>
    </row>
    <row r="241" s="11" customFormat="1" customHeight="1" spans="5:12">
      <c r="E241" s="14"/>
      <c r="F241" s="14"/>
      <c r="G241" s="14"/>
      <c r="H241" s="14"/>
      <c r="I241" s="14"/>
      <c r="L241" s="12"/>
    </row>
    <row r="242" s="11" customFormat="1" customHeight="1" spans="5:12">
      <c r="E242" s="14"/>
      <c r="F242" s="14"/>
      <c r="G242" s="14"/>
      <c r="H242" s="14"/>
      <c r="I242" s="14"/>
      <c r="L242" s="12"/>
    </row>
    <row r="243" s="11" customFormat="1" customHeight="1" spans="5:12">
      <c r="E243" s="14"/>
      <c r="F243" s="14"/>
      <c r="G243" s="14"/>
      <c r="H243" s="14"/>
      <c r="I243" s="14"/>
      <c r="L243" s="12"/>
    </row>
    <row r="244" s="11" customFormat="1" customHeight="1" spans="5:12">
      <c r="E244" s="14"/>
      <c r="F244" s="14"/>
      <c r="G244" s="14"/>
      <c r="H244" s="14"/>
      <c r="I244" s="14"/>
      <c r="L244" s="12"/>
    </row>
    <row r="245" s="11" customFormat="1" customHeight="1" spans="5:12">
      <c r="E245" s="14"/>
      <c r="F245" s="14"/>
      <c r="G245" s="14"/>
      <c r="H245" s="14"/>
      <c r="I245" s="14"/>
      <c r="L245" s="12"/>
    </row>
    <row r="246" s="11" customFormat="1" customHeight="1" spans="5:12">
      <c r="E246" s="14"/>
      <c r="F246" s="14"/>
      <c r="G246" s="14"/>
      <c r="H246" s="14"/>
      <c r="I246" s="14"/>
      <c r="L246" s="12"/>
    </row>
    <row r="247" s="11" customFormat="1" customHeight="1" spans="5:12">
      <c r="E247" s="14"/>
      <c r="F247" s="14"/>
      <c r="G247" s="14"/>
      <c r="H247" s="14"/>
      <c r="I247" s="14"/>
      <c r="L247" s="12"/>
    </row>
    <row r="248" s="11" customFormat="1" customHeight="1" spans="5:12">
      <c r="E248" s="14"/>
      <c r="F248" s="14"/>
      <c r="G248" s="14"/>
      <c r="H248" s="14"/>
      <c r="I248" s="14"/>
      <c r="L248" s="12"/>
    </row>
    <row r="249" s="11" customFormat="1" customHeight="1" spans="5:12">
      <c r="E249" s="14"/>
      <c r="F249" s="14"/>
      <c r="G249" s="14"/>
      <c r="H249" s="14"/>
      <c r="I249" s="14"/>
      <c r="L249" s="12"/>
    </row>
    <row r="250" s="11" customFormat="1" customHeight="1" spans="5:12">
      <c r="E250" s="14"/>
      <c r="F250" s="14"/>
      <c r="G250" s="14"/>
      <c r="H250" s="14"/>
      <c r="I250" s="14"/>
      <c r="L250" s="12"/>
    </row>
    <row r="251" s="11" customFormat="1" customHeight="1" spans="5:12">
      <c r="E251" s="14"/>
      <c r="F251" s="14"/>
      <c r="G251" s="14"/>
      <c r="H251" s="14"/>
      <c r="I251" s="14"/>
      <c r="L251" s="12"/>
    </row>
    <row r="252" s="11" customFormat="1" customHeight="1" spans="5:12">
      <c r="E252" s="14"/>
      <c r="F252" s="14"/>
      <c r="G252" s="14"/>
      <c r="H252" s="14"/>
      <c r="I252" s="14"/>
      <c r="L252" s="12"/>
    </row>
    <row r="253" s="11" customFormat="1" customHeight="1" spans="5:12">
      <c r="E253" s="14"/>
      <c r="F253" s="14"/>
      <c r="G253" s="14"/>
      <c r="H253" s="14"/>
      <c r="I253" s="14"/>
      <c r="L253" s="12"/>
    </row>
    <row r="254" s="11" customFormat="1" customHeight="1" spans="5:12">
      <c r="E254" s="14"/>
      <c r="F254" s="14"/>
      <c r="G254" s="14"/>
      <c r="H254" s="14"/>
      <c r="I254" s="14"/>
      <c r="L254" s="12"/>
    </row>
    <row r="255" s="11" customFormat="1" customHeight="1" spans="5:12">
      <c r="E255" s="14"/>
      <c r="F255" s="14"/>
      <c r="G255" s="14"/>
      <c r="H255" s="14"/>
      <c r="I255" s="14"/>
      <c r="L255" s="12"/>
    </row>
    <row r="256" s="11" customFormat="1" customHeight="1" spans="5:12">
      <c r="E256" s="14"/>
      <c r="F256" s="14"/>
      <c r="G256" s="14"/>
      <c r="H256" s="14"/>
      <c r="I256" s="14"/>
      <c r="L256" s="12"/>
    </row>
    <row r="257" s="11" customFormat="1" customHeight="1" spans="5:12">
      <c r="E257" s="14"/>
      <c r="F257" s="14"/>
      <c r="G257" s="14"/>
      <c r="H257" s="14"/>
      <c r="I257" s="14"/>
      <c r="L257" s="12"/>
    </row>
    <row r="258" s="11" customFormat="1" customHeight="1" spans="5:12">
      <c r="E258" s="14"/>
      <c r="F258" s="14"/>
      <c r="G258" s="14"/>
      <c r="H258" s="14"/>
      <c r="I258" s="14"/>
      <c r="L258" s="12"/>
    </row>
    <row r="259" s="11" customFormat="1" customHeight="1" spans="5:12">
      <c r="E259" s="14"/>
      <c r="F259" s="14"/>
      <c r="G259" s="14"/>
      <c r="H259" s="14"/>
      <c r="I259" s="14"/>
      <c r="L259" s="12"/>
    </row>
    <row r="260" s="11" customFormat="1" customHeight="1" spans="5:12">
      <c r="E260" s="14"/>
      <c r="F260" s="14"/>
      <c r="G260" s="14"/>
      <c r="H260" s="14"/>
      <c r="I260" s="14"/>
      <c r="L260" s="12"/>
    </row>
    <row r="261" s="11" customFormat="1" customHeight="1" spans="5:12">
      <c r="E261" s="14"/>
      <c r="F261" s="14"/>
      <c r="G261" s="14"/>
      <c r="H261" s="14"/>
      <c r="I261" s="14"/>
      <c r="L261" s="12"/>
    </row>
    <row r="262" s="11" customFormat="1" customHeight="1" spans="5:12">
      <c r="E262" s="14"/>
      <c r="F262" s="14"/>
      <c r="G262" s="14"/>
      <c r="H262" s="14"/>
      <c r="I262" s="14"/>
      <c r="L262" s="12"/>
    </row>
    <row r="263" s="11" customFormat="1" customHeight="1" spans="5:12">
      <c r="E263" s="14"/>
      <c r="F263" s="14"/>
      <c r="G263" s="14"/>
      <c r="H263" s="14"/>
      <c r="I263" s="14"/>
      <c r="L263" s="12"/>
    </row>
    <row r="264" s="11" customFormat="1" customHeight="1" spans="5:12">
      <c r="E264" s="14"/>
      <c r="F264" s="14"/>
      <c r="G264" s="14"/>
      <c r="H264" s="14"/>
      <c r="I264" s="14"/>
      <c r="L264" s="12"/>
    </row>
    <row r="265" s="11" customFormat="1" customHeight="1" spans="5:12">
      <c r="E265" s="14"/>
      <c r="F265" s="14"/>
      <c r="G265" s="14"/>
      <c r="H265" s="14"/>
      <c r="I265" s="14"/>
      <c r="L265" s="12"/>
    </row>
    <row r="266" s="11" customFormat="1" customHeight="1" spans="5:12">
      <c r="E266" s="14"/>
      <c r="F266" s="14"/>
      <c r="G266" s="14"/>
      <c r="H266" s="14"/>
      <c r="I266" s="14"/>
      <c r="L266" s="12"/>
    </row>
    <row r="267" s="11" customFormat="1" customHeight="1" spans="5:12">
      <c r="E267" s="14"/>
      <c r="F267" s="14"/>
      <c r="G267" s="14"/>
      <c r="H267" s="14"/>
      <c r="I267" s="14"/>
      <c r="L267" s="12"/>
    </row>
    <row r="268" s="11" customFormat="1" customHeight="1" spans="5:12">
      <c r="E268" s="14"/>
      <c r="F268" s="14"/>
      <c r="G268" s="14"/>
      <c r="H268" s="14"/>
      <c r="I268" s="14"/>
      <c r="L268" s="12"/>
    </row>
    <row r="269" s="11" customFormat="1" customHeight="1" spans="5:12">
      <c r="E269" s="14"/>
      <c r="F269" s="14"/>
      <c r="G269" s="14"/>
      <c r="H269" s="14"/>
      <c r="I269" s="14"/>
      <c r="L269" s="12"/>
    </row>
    <row r="270" s="11" customFormat="1" customHeight="1" spans="5:12">
      <c r="E270" s="14"/>
      <c r="F270" s="14"/>
      <c r="G270" s="14"/>
      <c r="H270" s="14"/>
      <c r="I270" s="14"/>
      <c r="L270" s="12"/>
    </row>
    <row r="271" s="11" customFormat="1" customHeight="1" spans="5:12">
      <c r="E271" s="14"/>
      <c r="F271" s="14"/>
      <c r="G271" s="14"/>
      <c r="H271" s="14"/>
      <c r="I271" s="14"/>
      <c r="L271" s="12"/>
    </row>
    <row r="272" s="11" customFormat="1" customHeight="1" spans="5:12">
      <c r="E272" s="14"/>
      <c r="F272" s="14"/>
      <c r="G272" s="14"/>
      <c r="H272" s="14"/>
      <c r="I272" s="14"/>
      <c r="L272" s="12"/>
    </row>
    <row r="273" s="11" customFormat="1" customHeight="1" spans="5:12">
      <c r="E273" s="14"/>
      <c r="F273" s="14"/>
      <c r="G273" s="14"/>
      <c r="H273" s="14"/>
      <c r="I273" s="14"/>
      <c r="L273" s="12"/>
    </row>
    <row r="274" s="11" customFormat="1" customHeight="1" spans="5:12">
      <c r="E274" s="14"/>
      <c r="F274" s="14"/>
      <c r="G274" s="14"/>
      <c r="H274" s="14"/>
      <c r="I274" s="14"/>
      <c r="L274" s="12"/>
    </row>
    <row r="275" s="11" customFormat="1" customHeight="1" spans="5:12">
      <c r="E275" s="14"/>
      <c r="F275" s="14"/>
      <c r="G275" s="14"/>
      <c r="H275" s="14"/>
      <c r="I275" s="14"/>
      <c r="L275" s="12"/>
    </row>
    <row r="276" s="11" customFormat="1" customHeight="1" spans="5:12">
      <c r="E276" s="14"/>
      <c r="F276" s="14"/>
      <c r="G276" s="14"/>
      <c r="H276" s="14"/>
      <c r="I276" s="14"/>
      <c r="L276" s="12"/>
    </row>
    <row r="277" s="11" customFormat="1" customHeight="1" spans="5:12">
      <c r="E277" s="14"/>
      <c r="F277" s="14"/>
      <c r="G277" s="14"/>
      <c r="H277" s="14"/>
      <c r="I277" s="14"/>
      <c r="L277" s="12"/>
    </row>
    <row r="278" s="11" customFormat="1" customHeight="1" spans="5:12">
      <c r="E278" s="14"/>
      <c r="F278" s="14"/>
      <c r="G278" s="14"/>
      <c r="H278" s="14"/>
      <c r="I278" s="14"/>
      <c r="L278" s="12"/>
    </row>
    <row r="279" s="11" customFormat="1" customHeight="1" spans="5:12">
      <c r="E279" s="14"/>
      <c r="F279" s="14"/>
      <c r="G279" s="14"/>
      <c r="H279" s="14"/>
      <c r="I279" s="14"/>
      <c r="L279" s="12"/>
    </row>
    <row r="280" s="11" customFormat="1" customHeight="1" spans="5:12">
      <c r="E280" s="14"/>
      <c r="F280" s="14"/>
      <c r="G280" s="14"/>
      <c r="H280" s="14"/>
      <c r="I280" s="14"/>
      <c r="L280" s="12"/>
    </row>
    <row r="281" s="11" customFormat="1" customHeight="1" spans="5:12">
      <c r="E281" s="14"/>
      <c r="F281" s="14"/>
      <c r="G281" s="14"/>
      <c r="H281" s="14"/>
      <c r="I281" s="14"/>
      <c r="L281" s="12"/>
    </row>
    <row r="282" s="11" customFormat="1" customHeight="1" spans="5:12">
      <c r="E282" s="14"/>
      <c r="F282" s="14"/>
      <c r="G282" s="14"/>
      <c r="H282" s="14"/>
      <c r="I282" s="14"/>
      <c r="L282" s="12"/>
    </row>
    <row r="283" s="11" customFormat="1" customHeight="1" spans="5:12">
      <c r="E283" s="14"/>
      <c r="F283" s="14"/>
      <c r="G283" s="14"/>
      <c r="H283" s="14"/>
      <c r="I283" s="14"/>
      <c r="L283" s="12"/>
    </row>
    <row r="284" s="11" customFormat="1" customHeight="1" spans="5:12">
      <c r="E284" s="14"/>
      <c r="F284" s="14"/>
      <c r="G284" s="14"/>
      <c r="H284" s="14"/>
      <c r="I284" s="14"/>
      <c r="L284" s="12"/>
    </row>
    <row r="285" s="11" customFormat="1" customHeight="1" spans="5:12">
      <c r="E285" s="14"/>
      <c r="F285" s="14"/>
      <c r="G285" s="14"/>
      <c r="H285" s="14"/>
      <c r="I285" s="14"/>
      <c r="L285" s="12"/>
    </row>
    <row r="286" s="11" customFormat="1" customHeight="1" spans="5:12">
      <c r="E286" s="14"/>
      <c r="F286" s="14"/>
      <c r="G286" s="14"/>
      <c r="H286" s="14"/>
      <c r="I286" s="14"/>
      <c r="L286" s="12"/>
    </row>
    <row r="287" s="11" customFormat="1" customHeight="1" spans="5:12">
      <c r="E287" s="14"/>
      <c r="F287" s="14"/>
      <c r="G287" s="14"/>
      <c r="H287" s="14"/>
      <c r="I287" s="14"/>
      <c r="L287" s="12"/>
    </row>
    <row r="288" s="11" customFormat="1" customHeight="1" spans="5:12">
      <c r="E288" s="14"/>
      <c r="F288" s="14"/>
      <c r="G288" s="14"/>
      <c r="H288" s="14"/>
      <c r="I288" s="14"/>
      <c r="L288" s="12"/>
    </row>
    <row r="289" s="11" customFormat="1" customHeight="1" spans="5:12">
      <c r="E289" s="14"/>
      <c r="F289" s="14"/>
      <c r="G289" s="14"/>
      <c r="H289" s="14"/>
      <c r="I289" s="14"/>
      <c r="L289" s="12"/>
    </row>
    <row r="290" s="11" customFormat="1" customHeight="1" spans="5:12">
      <c r="E290" s="14"/>
      <c r="F290" s="14"/>
      <c r="G290" s="14"/>
      <c r="H290" s="14"/>
      <c r="I290" s="14"/>
      <c r="L290" s="12"/>
    </row>
    <row r="291" s="11" customFormat="1" customHeight="1" spans="5:12">
      <c r="E291" s="14"/>
      <c r="F291" s="14"/>
      <c r="G291" s="14"/>
      <c r="H291" s="14"/>
      <c r="I291" s="14"/>
      <c r="L291" s="12"/>
    </row>
    <row r="292" s="11" customFormat="1" customHeight="1" spans="5:12">
      <c r="E292" s="14"/>
      <c r="F292" s="14"/>
      <c r="G292" s="14"/>
      <c r="H292" s="14"/>
      <c r="I292" s="14"/>
      <c r="L292" s="12"/>
    </row>
    <row r="293" s="11" customFormat="1" customHeight="1" spans="5:12">
      <c r="E293" s="14"/>
      <c r="F293" s="14"/>
      <c r="G293" s="14"/>
      <c r="H293" s="14"/>
      <c r="I293" s="14"/>
      <c r="L293" s="12"/>
    </row>
    <row r="294" s="11" customFormat="1" customHeight="1" spans="5:12">
      <c r="E294" s="14"/>
      <c r="F294" s="14"/>
      <c r="G294" s="14"/>
      <c r="H294" s="14"/>
      <c r="I294" s="14"/>
      <c r="L294" s="12"/>
    </row>
    <row r="295" s="11" customFormat="1" customHeight="1" spans="5:12">
      <c r="E295" s="14"/>
      <c r="F295" s="14"/>
      <c r="G295" s="14"/>
      <c r="H295" s="14"/>
      <c r="I295" s="14"/>
      <c r="L295" s="12"/>
    </row>
    <row r="296" s="11" customFormat="1" customHeight="1" spans="5:12">
      <c r="E296" s="14"/>
      <c r="F296" s="14"/>
      <c r="G296" s="14"/>
      <c r="H296" s="14"/>
      <c r="I296" s="14"/>
      <c r="L296" s="12"/>
    </row>
    <row r="297" s="11" customFormat="1" customHeight="1" spans="5:12">
      <c r="E297" s="14"/>
      <c r="F297" s="14"/>
      <c r="G297" s="14"/>
      <c r="H297" s="14"/>
      <c r="I297" s="14"/>
      <c r="L297" s="12"/>
    </row>
    <row r="298" s="11" customFormat="1" customHeight="1" spans="5:12">
      <c r="E298" s="14"/>
      <c r="F298" s="14"/>
      <c r="G298" s="14"/>
      <c r="H298" s="14"/>
      <c r="I298" s="14"/>
      <c r="L298" s="12"/>
    </row>
    <row r="299" s="11" customFormat="1" customHeight="1" spans="5:12">
      <c r="E299" s="14"/>
      <c r="F299" s="14"/>
      <c r="G299" s="14"/>
      <c r="H299" s="14"/>
      <c r="I299" s="14"/>
      <c r="L299" s="12"/>
    </row>
    <row r="300" s="11" customFormat="1" customHeight="1" spans="5:12">
      <c r="E300" s="14"/>
      <c r="F300" s="14"/>
      <c r="G300" s="14"/>
      <c r="H300" s="14"/>
      <c r="I300" s="14"/>
      <c r="L300" s="12"/>
    </row>
    <row r="301" s="11" customFormat="1" customHeight="1" spans="5:12">
      <c r="E301" s="14"/>
      <c r="F301" s="14"/>
      <c r="G301" s="14"/>
      <c r="H301" s="14"/>
      <c r="I301" s="14"/>
      <c r="L301" s="12"/>
    </row>
    <row r="302" s="11" customFormat="1" customHeight="1" spans="5:12">
      <c r="E302" s="14"/>
      <c r="F302" s="14"/>
      <c r="G302" s="14"/>
      <c r="H302" s="14"/>
      <c r="I302" s="14"/>
      <c r="L302" s="12"/>
    </row>
    <row r="303" s="11" customFormat="1" customHeight="1" spans="5:12">
      <c r="E303" s="14"/>
      <c r="F303" s="14"/>
      <c r="G303" s="14"/>
      <c r="H303" s="14"/>
      <c r="I303" s="14"/>
      <c r="L303" s="12"/>
    </row>
    <row r="304" s="11" customFormat="1" customHeight="1" spans="5:12">
      <c r="E304" s="14"/>
      <c r="F304" s="14"/>
      <c r="G304" s="14"/>
      <c r="H304" s="14"/>
      <c r="I304" s="14"/>
      <c r="L304" s="12"/>
    </row>
    <row r="305" s="11" customFormat="1" customHeight="1" spans="5:12">
      <c r="E305" s="14"/>
      <c r="F305" s="14"/>
      <c r="G305" s="14"/>
      <c r="H305" s="14"/>
      <c r="I305" s="14"/>
      <c r="L305" s="12"/>
    </row>
    <row r="306" s="11" customFormat="1" customHeight="1" spans="5:12">
      <c r="E306" s="14"/>
      <c r="F306" s="14"/>
      <c r="G306" s="14"/>
      <c r="H306" s="14"/>
      <c r="I306" s="14"/>
      <c r="L306" s="12"/>
    </row>
    <row r="307" s="11" customFormat="1" customHeight="1" spans="5:12">
      <c r="E307" s="14"/>
      <c r="F307" s="14"/>
      <c r="G307" s="14"/>
      <c r="H307" s="14"/>
      <c r="I307" s="14"/>
      <c r="L307" s="12"/>
    </row>
    <row r="308" s="11" customFormat="1" customHeight="1" spans="5:12">
      <c r="E308" s="14"/>
      <c r="F308" s="14"/>
      <c r="G308" s="14"/>
      <c r="H308" s="14"/>
      <c r="I308" s="14"/>
      <c r="L308" s="12"/>
    </row>
    <row r="309" s="11" customFormat="1" customHeight="1" spans="5:12">
      <c r="E309" s="14"/>
      <c r="F309" s="14"/>
      <c r="G309" s="14"/>
      <c r="H309" s="14"/>
      <c r="I309" s="14"/>
      <c r="L309" s="12"/>
    </row>
    <row r="310" s="11" customFormat="1" customHeight="1" spans="5:12">
      <c r="E310" s="14"/>
      <c r="F310" s="14"/>
      <c r="G310" s="14"/>
      <c r="H310" s="14"/>
      <c r="I310" s="14"/>
      <c r="L310" s="12"/>
    </row>
    <row r="311" s="11" customFormat="1" customHeight="1" spans="5:12">
      <c r="E311" s="14"/>
      <c r="F311" s="14"/>
      <c r="G311" s="14"/>
      <c r="H311" s="14"/>
      <c r="I311" s="14"/>
      <c r="L311" s="12"/>
    </row>
    <row r="312" s="11" customFormat="1" customHeight="1" spans="5:12">
      <c r="E312" s="14"/>
      <c r="F312" s="14"/>
      <c r="G312" s="14"/>
      <c r="H312" s="14"/>
      <c r="I312" s="14"/>
      <c r="L312" s="12"/>
    </row>
    <row r="313" s="11" customFormat="1" customHeight="1" spans="5:12">
      <c r="E313" s="14"/>
      <c r="F313" s="14"/>
      <c r="G313" s="14"/>
      <c r="H313" s="14"/>
      <c r="I313" s="14"/>
      <c r="L313" s="12"/>
    </row>
    <row r="314" s="11" customFormat="1" customHeight="1" spans="5:12">
      <c r="E314" s="14"/>
      <c r="F314" s="14"/>
      <c r="G314" s="14"/>
      <c r="H314" s="14"/>
      <c r="I314" s="14"/>
      <c r="L314" s="12"/>
    </row>
    <row r="315" s="11" customFormat="1" customHeight="1" spans="5:12">
      <c r="E315" s="14"/>
      <c r="F315" s="14"/>
      <c r="G315" s="14"/>
      <c r="H315" s="14"/>
      <c r="I315" s="14"/>
      <c r="L315" s="12"/>
    </row>
    <row r="316" s="11" customFormat="1" customHeight="1" spans="5:12">
      <c r="E316" s="14"/>
      <c r="F316" s="14"/>
      <c r="G316" s="14"/>
      <c r="H316" s="14"/>
      <c r="I316" s="14"/>
      <c r="L316" s="12"/>
    </row>
    <row r="317" s="11" customFormat="1" customHeight="1" spans="5:12">
      <c r="E317" s="14"/>
      <c r="F317" s="14"/>
      <c r="G317" s="14"/>
      <c r="H317" s="14"/>
      <c r="I317" s="14"/>
      <c r="L317" s="12"/>
    </row>
    <row r="318" s="11" customFormat="1" customHeight="1" spans="5:12">
      <c r="E318" s="14"/>
      <c r="F318" s="14"/>
      <c r="G318" s="14"/>
      <c r="H318" s="14"/>
      <c r="I318" s="14"/>
      <c r="L318" s="12"/>
    </row>
    <row r="319" s="11" customFormat="1" customHeight="1" spans="5:12">
      <c r="E319" s="14"/>
      <c r="F319" s="14"/>
      <c r="G319" s="14"/>
      <c r="H319" s="14"/>
      <c r="I319" s="14"/>
      <c r="L319" s="12"/>
    </row>
    <row r="320" s="11" customFormat="1" customHeight="1" spans="5:12">
      <c r="E320" s="14"/>
      <c r="F320" s="14"/>
      <c r="G320" s="14"/>
      <c r="H320" s="14"/>
      <c r="I320" s="14"/>
      <c r="L320" s="12"/>
    </row>
    <row r="321" s="11" customFormat="1" customHeight="1" spans="5:12">
      <c r="E321" s="14"/>
      <c r="F321" s="14"/>
      <c r="G321" s="14"/>
      <c r="H321" s="14"/>
      <c r="I321" s="14"/>
      <c r="L321" s="12"/>
    </row>
    <row r="322" s="11" customFormat="1" customHeight="1" spans="5:12">
      <c r="E322" s="14"/>
      <c r="F322" s="14"/>
      <c r="G322" s="14"/>
      <c r="H322" s="14"/>
      <c r="I322" s="14"/>
      <c r="L322" s="12"/>
    </row>
    <row r="323" s="11" customFormat="1" customHeight="1" spans="5:12">
      <c r="E323" s="14"/>
      <c r="F323" s="14"/>
      <c r="G323" s="14"/>
      <c r="H323" s="14"/>
      <c r="I323" s="14"/>
      <c r="L323" s="12"/>
    </row>
    <row r="324" s="11" customFormat="1" customHeight="1" spans="5:12">
      <c r="E324" s="14"/>
      <c r="F324" s="14"/>
      <c r="G324" s="14"/>
      <c r="H324" s="14"/>
      <c r="I324" s="14"/>
      <c r="L324" s="12"/>
    </row>
    <row r="325" s="11" customFormat="1" customHeight="1" spans="5:12">
      <c r="E325" s="14"/>
      <c r="F325" s="14"/>
      <c r="G325" s="14"/>
      <c r="H325" s="14"/>
      <c r="I325" s="14"/>
      <c r="L325" s="12"/>
    </row>
    <row r="326" s="11" customFormat="1" customHeight="1" spans="5:12">
      <c r="E326" s="14"/>
      <c r="F326" s="14"/>
      <c r="G326" s="14"/>
      <c r="H326" s="14"/>
      <c r="I326" s="14"/>
      <c r="L326" s="12"/>
    </row>
    <row r="327" s="11" customFormat="1" customHeight="1" spans="5:12">
      <c r="E327" s="14"/>
      <c r="F327" s="14"/>
      <c r="G327" s="14"/>
      <c r="H327" s="14"/>
      <c r="I327" s="14"/>
      <c r="L327" s="12"/>
    </row>
    <row r="328" s="11" customFormat="1" customHeight="1" spans="5:12">
      <c r="E328" s="14"/>
      <c r="F328" s="14"/>
      <c r="G328" s="14"/>
      <c r="H328" s="14"/>
      <c r="I328" s="14"/>
      <c r="L328" s="12"/>
    </row>
    <row r="329" s="11" customFormat="1" customHeight="1" spans="5:12">
      <c r="E329" s="14"/>
      <c r="F329" s="14"/>
      <c r="G329" s="14"/>
      <c r="H329" s="14"/>
      <c r="I329" s="14"/>
      <c r="L329" s="12"/>
    </row>
    <row r="330" s="11" customFormat="1" customHeight="1" spans="5:12">
      <c r="E330" s="14"/>
      <c r="F330" s="14"/>
      <c r="G330" s="14"/>
      <c r="H330" s="14"/>
      <c r="I330" s="14"/>
      <c r="L330" s="12"/>
    </row>
    <row r="331" s="11" customFormat="1" customHeight="1" spans="5:12">
      <c r="E331" s="14"/>
      <c r="F331" s="14"/>
      <c r="G331" s="14"/>
      <c r="H331" s="14"/>
      <c r="I331" s="14"/>
      <c r="L331" s="12"/>
    </row>
    <row r="332" s="11" customFormat="1" customHeight="1" spans="5:12">
      <c r="E332" s="14"/>
      <c r="F332" s="14"/>
      <c r="G332" s="14"/>
      <c r="H332" s="14"/>
      <c r="I332" s="14"/>
      <c r="L332" s="12"/>
    </row>
    <row r="333" s="11" customFormat="1" customHeight="1" spans="5:12">
      <c r="E333" s="14"/>
      <c r="F333" s="14"/>
      <c r="G333" s="14"/>
      <c r="H333" s="14"/>
      <c r="I333" s="14"/>
      <c r="L333" s="12"/>
    </row>
    <row r="334" s="11" customFormat="1" customHeight="1" spans="5:12">
      <c r="E334" s="14"/>
      <c r="F334" s="14"/>
      <c r="G334" s="14"/>
      <c r="H334" s="14"/>
      <c r="I334" s="14"/>
      <c r="L334" s="12"/>
    </row>
    <row r="335" s="11" customFormat="1" customHeight="1" spans="5:12">
      <c r="E335" s="14"/>
      <c r="F335" s="14"/>
      <c r="G335" s="14"/>
      <c r="H335" s="14"/>
      <c r="I335" s="14"/>
      <c r="L335" s="12"/>
    </row>
    <row r="336" s="11" customFormat="1" customHeight="1" spans="5:12">
      <c r="E336" s="14"/>
      <c r="F336" s="14"/>
      <c r="G336" s="14"/>
      <c r="H336" s="14"/>
      <c r="I336" s="14"/>
      <c r="L336" s="12"/>
    </row>
    <row r="337" s="11" customFormat="1" customHeight="1" spans="5:12">
      <c r="E337" s="14"/>
      <c r="F337" s="14"/>
      <c r="G337" s="14"/>
      <c r="H337" s="14"/>
      <c r="I337" s="14"/>
      <c r="L337" s="12"/>
    </row>
    <row r="338" s="11" customFormat="1" customHeight="1" spans="5:12">
      <c r="E338" s="14"/>
      <c r="F338" s="14"/>
      <c r="G338" s="14"/>
      <c r="H338" s="14"/>
      <c r="I338" s="14"/>
      <c r="L338" s="12"/>
    </row>
    <row r="339" s="11" customFormat="1" customHeight="1" spans="5:12">
      <c r="E339" s="14"/>
      <c r="F339" s="14"/>
      <c r="G339" s="14"/>
      <c r="H339" s="14"/>
      <c r="I339" s="14"/>
      <c r="L339" s="12"/>
    </row>
    <row r="340" s="11" customFormat="1" customHeight="1" spans="5:12">
      <c r="E340" s="14"/>
      <c r="F340" s="14"/>
      <c r="G340" s="14"/>
      <c r="H340" s="14"/>
      <c r="I340" s="14"/>
      <c r="L340" s="12"/>
    </row>
    <row r="341" s="11" customFormat="1" customHeight="1" spans="5:12">
      <c r="E341" s="14"/>
      <c r="F341" s="14"/>
      <c r="G341" s="14"/>
      <c r="H341" s="14"/>
      <c r="I341" s="14"/>
      <c r="L341" s="12"/>
    </row>
    <row r="342" s="11" customFormat="1" customHeight="1" spans="5:12">
      <c r="E342" s="14"/>
      <c r="F342" s="14"/>
      <c r="G342" s="14"/>
      <c r="H342" s="14"/>
      <c r="I342" s="14"/>
      <c r="L342" s="12"/>
    </row>
    <row r="343" s="11" customFormat="1" customHeight="1" spans="5:12">
      <c r="E343" s="14"/>
      <c r="F343" s="14"/>
      <c r="G343" s="14"/>
      <c r="H343" s="14"/>
      <c r="I343" s="14"/>
      <c r="L343" s="12"/>
    </row>
    <row r="344" s="11" customFormat="1" customHeight="1" spans="5:12">
      <c r="E344" s="14"/>
      <c r="F344" s="14"/>
      <c r="G344" s="14"/>
      <c r="H344" s="14"/>
      <c r="I344" s="14"/>
      <c r="L344" s="12"/>
    </row>
    <row r="345" s="11" customFormat="1" customHeight="1" spans="5:12">
      <c r="E345" s="14"/>
      <c r="F345" s="14"/>
      <c r="G345" s="14"/>
      <c r="H345" s="14"/>
      <c r="I345" s="14"/>
      <c r="L345" s="12"/>
    </row>
    <row r="346" s="11" customFormat="1" customHeight="1" spans="5:12">
      <c r="E346" s="14"/>
      <c r="F346" s="14"/>
      <c r="G346" s="14"/>
      <c r="H346" s="14"/>
      <c r="I346" s="14"/>
      <c r="L346" s="12"/>
    </row>
    <row r="347" s="11" customFormat="1" customHeight="1" spans="5:12">
      <c r="E347" s="14"/>
      <c r="F347" s="14"/>
      <c r="G347" s="14"/>
      <c r="H347" s="14"/>
      <c r="I347" s="14"/>
      <c r="L347" s="12"/>
    </row>
    <row r="348" s="11" customFormat="1" customHeight="1" spans="5:12">
      <c r="E348" s="14"/>
      <c r="F348" s="14"/>
      <c r="G348" s="14"/>
      <c r="H348" s="14"/>
      <c r="I348" s="14"/>
      <c r="L348" s="12"/>
    </row>
    <row r="349" s="11" customFormat="1" customHeight="1" spans="5:12">
      <c r="E349" s="14"/>
      <c r="F349" s="14"/>
      <c r="G349" s="14"/>
      <c r="H349" s="14"/>
      <c r="I349" s="14"/>
      <c r="L349" s="12"/>
    </row>
    <row r="350" s="11" customFormat="1" customHeight="1" spans="5:12">
      <c r="E350" s="14"/>
      <c r="F350" s="14"/>
      <c r="G350" s="14"/>
      <c r="H350" s="14"/>
      <c r="I350" s="14"/>
      <c r="L350" s="12"/>
    </row>
    <row r="351" s="11" customFormat="1" customHeight="1" spans="5:12">
      <c r="E351" s="14"/>
      <c r="F351" s="14"/>
      <c r="G351" s="14"/>
      <c r="H351" s="14"/>
      <c r="I351" s="14"/>
      <c r="L351" s="12"/>
    </row>
    <row r="352" s="11" customFormat="1" customHeight="1" spans="5:12">
      <c r="E352" s="14"/>
      <c r="F352" s="14"/>
      <c r="G352" s="14"/>
      <c r="H352" s="14"/>
      <c r="I352" s="14"/>
      <c r="L352" s="12"/>
    </row>
    <row r="353" s="11" customFormat="1" customHeight="1" spans="5:12">
      <c r="E353" s="14"/>
      <c r="F353" s="14"/>
      <c r="G353" s="14"/>
      <c r="H353" s="14"/>
      <c r="I353" s="14"/>
      <c r="L353" s="12"/>
    </row>
    <row r="354" s="11" customFormat="1" customHeight="1" spans="5:12">
      <c r="E354" s="14"/>
      <c r="F354" s="14"/>
      <c r="G354" s="14"/>
      <c r="H354" s="14"/>
      <c r="I354" s="14"/>
      <c r="L354" s="12"/>
    </row>
    <row r="355" s="11" customFormat="1" customHeight="1" spans="5:12">
      <c r="E355" s="14"/>
      <c r="F355" s="14"/>
      <c r="G355" s="14"/>
      <c r="H355" s="14"/>
      <c r="I355" s="14"/>
      <c r="L355" s="12"/>
    </row>
    <row r="356" s="11" customFormat="1" customHeight="1" spans="5:12">
      <c r="E356" s="14"/>
      <c r="F356" s="14"/>
      <c r="G356" s="14"/>
      <c r="H356" s="14"/>
      <c r="I356" s="14"/>
      <c r="L356" s="12"/>
    </row>
    <row r="357" s="11" customFormat="1" customHeight="1" spans="5:12">
      <c r="E357" s="14"/>
      <c r="F357" s="14"/>
      <c r="G357" s="14"/>
      <c r="H357" s="14"/>
      <c r="I357" s="14"/>
      <c r="L357" s="12"/>
    </row>
    <row r="358" s="11" customFormat="1" customHeight="1" spans="5:12">
      <c r="E358" s="14"/>
      <c r="F358" s="14"/>
      <c r="G358" s="14"/>
      <c r="H358" s="14"/>
      <c r="I358" s="14"/>
      <c r="L358" s="12"/>
    </row>
    <row r="359" s="11" customFormat="1" customHeight="1" spans="5:12">
      <c r="E359" s="14"/>
      <c r="F359" s="14"/>
      <c r="G359" s="14"/>
      <c r="H359" s="14"/>
      <c r="I359" s="14"/>
      <c r="L359" s="12"/>
    </row>
    <row r="360" s="11" customFormat="1" customHeight="1" spans="5:12">
      <c r="E360" s="14"/>
      <c r="F360" s="14"/>
      <c r="G360" s="14"/>
      <c r="H360" s="14"/>
      <c r="I360" s="14"/>
      <c r="L360" s="12"/>
    </row>
    <row r="361" s="11" customFormat="1" customHeight="1" spans="5:12">
      <c r="E361" s="14"/>
      <c r="F361" s="14"/>
      <c r="G361" s="14"/>
      <c r="H361" s="14"/>
      <c r="I361" s="14"/>
      <c r="L361" s="12"/>
    </row>
    <row r="362" s="11" customFormat="1" customHeight="1" spans="5:12">
      <c r="E362" s="14"/>
      <c r="F362" s="14"/>
      <c r="G362" s="14"/>
      <c r="H362" s="14"/>
      <c r="I362" s="14"/>
      <c r="L362" s="12"/>
    </row>
    <row r="363" s="11" customFormat="1" customHeight="1" spans="5:12">
      <c r="E363" s="14"/>
      <c r="F363" s="14"/>
      <c r="G363" s="14"/>
      <c r="H363" s="14"/>
      <c r="I363" s="14"/>
      <c r="L363" s="12"/>
    </row>
    <row r="364" s="11" customFormat="1" customHeight="1" spans="5:12">
      <c r="E364" s="14"/>
      <c r="F364" s="14"/>
      <c r="G364" s="14"/>
      <c r="H364" s="14"/>
      <c r="I364" s="14"/>
      <c r="L364" s="12"/>
    </row>
    <row r="365" s="11" customFormat="1" customHeight="1" spans="5:12">
      <c r="E365" s="14"/>
      <c r="F365" s="14"/>
      <c r="G365" s="14"/>
      <c r="H365" s="14"/>
      <c r="I365" s="14"/>
      <c r="L365" s="12"/>
    </row>
    <row r="366" s="11" customFormat="1" customHeight="1" spans="5:12">
      <c r="E366" s="14"/>
      <c r="F366" s="14"/>
      <c r="G366" s="14"/>
      <c r="H366" s="14"/>
      <c r="I366" s="14"/>
      <c r="L366" s="12"/>
    </row>
    <row r="367" s="11" customFormat="1" customHeight="1" spans="5:12">
      <c r="E367" s="14"/>
      <c r="F367" s="14"/>
      <c r="G367" s="14"/>
      <c r="H367" s="14"/>
      <c r="I367" s="14"/>
      <c r="L367" s="12"/>
    </row>
    <row r="368" s="11" customFormat="1" customHeight="1" spans="5:12">
      <c r="E368" s="14"/>
      <c r="F368" s="14"/>
      <c r="G368" s="14"/>
      <c r="H368" s="14"/>
      <c r="I368" s="14"/>
      <c r="L368" s="12"/>
    </row>
    <row r="369" s="11" customFormat="1" customHeight="1" spans="5:12">
      <c r="E369" s="14"/>
      <c r="F369" s="14"/>
      <c r="G369" s="14"/>
      <c r="H369" s="14"/>
      <c r="I369" s="14"/>
      <c r="L369" s="12"/>
    </row>
    <row r="370" s="11" customFormat="1" customHeight="1" spans="5:12">
      <c r="E370" s="14"/>
      <c r="F370" s="14"/>
      <c r="G370" s="14"/>
      <c r="H370" s="14"/>
      <c r="I370" s="14"/>
      <c r="L370" s="12"/>
    </row>
    <row r="371" s="11" customFormat="1" customHeight="1" spans="5:12">
      <c r="E371" s="14"/>
      <c r="F371" s="14"/>
      <c r="G371" s="14"/>
      <c r="H371" s="14"/>
      <c r="I371" s="14"/>
      <c r="L371" s="12"/>
    </row>
    <row r="372" s="11" customFormat="1" customHeight="1" spans="5:12">
      <c r="E372" s="14"/>
      <c r="F372" s="14"/>
      <c r="G372" s="14"/>
      <c r="H372" s="14"/>
      <c r="I372" s="14"/>
      <c r="L372" s="12"/>
    </row>
    <row r="373" s="11" customFormat="1" customHeight="1" spans="5:12">
      <c r="E373" s="14"/>
      <c r="F373" s="14"/>
      <c r="G373" s="14"/>
      <c r="H373" s="14"/>
      <c r="I373" s="14"/>
      <c r="L373" s="12"/>
    </row>
    <row r="374" s="11" customFormat="1" customHeight="1" spans="5:12">
      <c r="E374" s="14"/>
      <c r="F374" s="14"/>
      <c r="G374" s="14"/>
      <c r="H374" s="14"/>
      <c r="I374" s="14"/>
      <c r="L374" s="12"/>
    </row>
    <row r="375" s="11" customFormat="1" customHeight="1" spans="5:12">
      <c r="E375" s="14"/>
      <c r="F375" s="14"/>
      <c r="G375" s="14"/>
      <c r="H375" s="14"/>
      <c r="I375" s="14"/>
      <c r="L375" s="12"/>
    </row>
    <row r="376" s="11" customFormat="1" customHeight="1" spans="5:12">
      <c r="E376" s="14"/>
      <c r="F376" s="14"/>
      <c r="G376" s="14"/>
      <c r="H376" s="14"/>
      <c r="I376" s="14"/>
      <c r="L376" s="12"/>
    </row>
    <row r="377" s="11" customFormat="1" customHeight="1" spans="5:12">
      <c r="E377" s="14"/>
      <c r="F377" s="14"/>
      <c r="G377" s="14"/>
      <c r="H377" s="14"/>
      <c r="I377" s="14"/>
      <c r="L377" s="12"/>
    </row>
    <row r="378" s="11" customFormat="1" customHeight="1" spans="5:12">
      <c r="E378" s="14"/>
      <c r="F378" s="14"/>
      <c r="G378" s="14"/>
      <c r="H378" s="14"/>
      <c r="I378" s="14"/>
      <c r="L378" s="12"/>
    </row>
    <row r="379" s="11" customFormat="1" customHeight="1" spans="5:12">
      <c r="E379" s="14"/>
      <c r="F379" s="14"/>
      <c r="G379" s="14"/>
      <c r="H379" s="14"/>
      <c r="I379" s="14"/>
      <c r="L379" s="12"/>
    </row>
    <row r="380" s="11" customFormat="1" customHeight="1" spans="5:12">
      <c r="E380" s="14"/>
      <c r="F380" s="14"/>
      <c r="G380" s="14"/>
      <c r="H380" s="14"/>
      <c r="I380" s="14"/>
      <c r="L380" s="12"/>
    </row>
    <row r="381" s="11" customFormat="1" customHeight="1" spans="5:12">
      <c r="E381" s="14"/>
      <c r="F381" s="14"/>
      <c r="G381" s="14"/>
      <c r="H381" s="14"/>
      <c r="I381" s="14"/>
      <c r="L381" s="12"/>
    </row>
    <row r="382" s="11" customFormat="1" customHeight="1" spans="5:12">
      <c r="E382" s="14"/>
      <c r="F382" s="14"/>
      <c r="G382" s="14"/>
      <c r="H382" s="14"/>
      <c r="I382" s="14"/>
      <c r="L382" s="12"/>
    </row>
    <row r="383" s="11" customFormat="1" customHeight="1" spans="5:12">
      <c r="E383" s="14"/>
      <c r="F383" s="14"/>
      <c r="G383" s="14"/>
      <c r="H383" s="14"/>
      <c r="I383" s="14"/>
      <c r="L383" s="12"/>
    </row>
    <row r="384" s="11" customFormat="1" customHeight="1" spans="5:12">
      <c r="E384" s="14"/>
      <c r="F384" s="14"/>
      <c r="G384" s="14"/>
      <c r="H384" s="14"/>
      <c r="I384" s="14"/>
      <c r="L384" s="12"/>
    </row>
    <row r="385" s="11" customFormat="1" customHeight="1" spans="5:12">
      <c r="E385" s="14"/>
      <c r="F385" s="14"/>
      <c r="G385" s="14"/>
      <c r="H385" s="14"/>
      <c r="I385" s="14"/>
      <c r="L385" s="12"/>
    </row>
    <row r="386" s="11" customFormat="1" customHeight="1" spans="5:12">
      <c r="E386" s="14"/>
      <c r="F386" s="14"/>
      <c r="G386" s="14"/>
      <c r="H386" s="14"/>
      <c r="I386" s="14"/>
      <c r="L386" s="12"/>
    </row>
    <row r="387" s="11" customFormat="1" customHeight="1" spans="5:12">
      <c r="E387" s="14"/>
      <c r="F387" s="14"/>
      <c r="G387" s="14"/>
      <c r="H387" s="14"/>
      <c r="I387" s="14"/>
      <c r="L387" s="12"/>
    </row>
    <row r="388" s="11" customFormat="1" customHeight="1" spans="5:12">
      <c r="E388" s="14"/>
      <c r="F388" s="14"/>
      <c r="G388" s="14"/>
      <c r="H388" s="14"/>
      <c r="I388" s="14"/>
      <c r="L388" s="12"/>
    </row>
    <row r="389" s="11" customFormat="1" customHeight="1" spans="5:12">
      <c r="E389" s="14"/>
      <c r="F389" s="14"/>
      <c r="G389" s="14"/>
      <c r="H389" s="14"/>
      <c r="I389" s="14"/>
      <c r="L389" s="12"/>
    </row>
    <row r="390" s="11" customFormat="1" customHeight="1" spans="5:12">
      <c r="E390" s="14"/>
      <c r="F390" s="14"/>
      <c r="G390" s="14"/>
      <c r="H390" s="14"/>
      <c r="I390" s="14"/>
      <c r="L390" s="12"/>
    </row>
    <row r="391" s="11" customFormat="1" customHeight="1" spans="5:12">
      <c r="E391" s="14"/>
      <c r="F391" s="14"/>
      <c r="G391" s="14"/>
      <c r="H391" s="14"/>
      <c r="I391" s="14"/>
      <c r="L391" s="12"/>
    </row>
    <row r="392" s="11" customFormat="1" customHeight="1" spans="5:12">
      <c r="E392" s="14"/>
      <c r="F392" s="14"/>
      <c r="G392" s="14"/>
      <c r="H392" s="14"/>
      <c r="I392" s="14"/>
      <c r="L392" s="12"/>
    </row>
    <row r="393" s="11" customFormat="1" customHeight="1" spans="5:12">
      <c r="E393" s="14"/>
      <c r="F393" s="14"/>
      <c r="G393" s="14"/>
      <c r="H393" s="14"/>
      <c r="I393" s="14"/>
      <c r="L393" s="12"/>
    </row>
    <row r="394" s="11" customFormat="1" customHeight="1" spans="5:12">
      <c r="E394" s="14"/>
      <c r="F394" s="14"/>
      <c r="G394" s="14"/>
      <c r="H394" s="14"/>
      <c r="I394" s="14"/>
      <c r="L394" s="12"/>
    </row>
    <row r="395" s="11" customFormat="1" customHeight="1" spans="5:12">
      <c r="E395" s="14"/>
      <c r="F395" s="14"/>
      <c r="G395" s="14"/>
      <c r="H395" s="14"/>
      <c r="I395" s="14"/>
      <c r="L395" s="12"/>
    </row>
    <row r="396" s="11" customFormat="1" customHeight="1" spans="5:12">
      <c r="E396" s="14"/>
      <c r="F396" s="14"/>
      <c r="G396" s="14"/>
      <c r="H396" s="14"/>
      <c r="I396" s="14"/>
      <c r="L396" s="12"/>
    </row>
    <row r="397" s="11" customFormat="1" customHeight="1" spans="5:12">
      <c r="E397" s="14"/>
      <c r="F397" s="14"/>
      <c r="G397" s="14"/>
      <c r="H397" s="14"/>
      <c r="I397" s="14"/>
      <c r="L397" s="12"/>
    </row>
    <row r="398" s="11" customFormat="1" customHeight="1" spans="5:12">
      <c r="E398" s="14"/>
      <c r="F398" s="14"/>
      <c r="G398" s="14"/>
      <c r="H398" s="14"/>
      <c r="I398" s="14"/>
      <c r="L398" s="12"/>
    </row>
    <row r="399" s="11" customFormat="1" customHeight="1" spans="5:12">
      <c r="E399" s="14"/>
      <c r="F399" s="14"/>
      <c r="G399" s="14"/>
      <c r="H399" s="14"/>
      <c r="I399" s="14"/>
      <c r="L399" s="12"/>
    </row>
    <row r="400" s="11" customFormat="1" customHeight="1" spans="5:12">
      <c r="E400" s="14"/>
      <c r="F400" s="14"/>
      <c r="G400" s="14"/>
      <c r="H400" s="14"/>
      <c r="I400" s="14"/>
      <c r="L400" s="12"/>
    </row>
    <row r="401" s="11" customFormat="1" customHeight="1" spans="5:12">
      <c r="E401" s="14"/>
      <c r="F401" s="14"/>
      <c r="G401" s="14"/>
      <c r="H401" s="14"/>
      <c r="I401" s="14"/>
      <c r="L401" s="12"/>
    </row>
    <row r="402" s="11" customFormat="1" customHeight="1" spans="5:12">
      <c r="E402" s="14"/>
      <c r="F402" s="14"/>
      <c r="G402" s="14"/>
      <c r="H402" s="14"/>
      <c r="I402" s="14"/>
      <c r="L402" s="12"/>
    </row>
    <row r="403" s="11" customFormat="1" customHeight="1" spans="5:12">
      <c r="E403" s="14"/>
      <c r="F403" s="14"/>
      <c r="G403" s="14"/>
      <c r="H403" s="14"/>
      <c r="I403" s="14"/>
      <c r="L403" s="12"/>
    </row>
    <row r="404" s="11" customFormat="1" customHeight="1" spans="5:12">
      <c r="E404" s="14"/>
      <c r="F404" s="14"/>
      <c r="G404" s="14"/>
      <c r="H404" s="14"/>
      <c r="I404" s="14"/>
      <c r="L404" s="12"/>
    </row>
    <row r="405" s="11" customFormat="1" customHeight="1" spans="5:12">
      <c r="E405" s="14"/>
      <c r="F405" s="14"/>
      <c r="G405" s="14"/>
      <c r="H405" s="14"/>
      <c r="I405" s="14"/>
      <c r="L405" s="12"/>
    </row>
    <row r="406" s="11" customFormat="1" customHeight="1" spans="5:12">
      <c r="E406" s="14"/>
      <c r="F406" s="14"/>
      <c r="G406" s="14"/>
      <c r="H406" s="14"/>
      <c r="I406" s="14"/>
      <c r="L406" s="12"/>
    </row>
    <row r="407" s="11" customFormat="1" customHeight="1" spans="5:12">
      <c r="E407" s="14"/>
      <c r="F407" s="14"/>
      <c r="G407" s="14"/>
      <c r="H407" s="14"/>
      <c r="I407" s="14"/>
      <c r="L407" s="12"/>
    </row>
    <row r="408" s="11" customFormat="1" customHeight="1" spans="5:12">
      <c r="E408" s="14"/>
      <c r="F408" s="14"/>
      <c r="G408" s="14"/>
      <c r="H408" s="14"/>
      <c r="I408" s="14"/>
      <c r="L408" s="12"/>
    </row>
    <row r="409" s="11" customFormat="1" customHeight="1" spans="5:12">
      <c r="E409" s="14"/>
      <c r="F409" s="14"/>
      <c r="G409" s="14"/>
      <c r="H409" s="14"/>
      <c r="I409" s="14"/>
      <c r="L409" s="12"/>
    </row>
    <row r="410" s="11" customFormat="1" customHeight="1" spans="5:12">
      <c r="E410" s="14"/>
      <c r="F410" s="14"/>
      <c r="G410" s="14"/>
      <c r="H410" s="14"/>
      <c r="I410" s="14"/>
      <c r="L410" s="12"/>
    </row>
    <row r="411" s="11" customFormat="1" customHeight="1" spans="5:12">
      <c r="E411" s="14"/>
      <c r="F411" s="14"/>
      <c r="G411" s="14"/>
      <c r="H411" s="14"/>
      <c r="I411" s="14"/>
      <c r="L411" s="12"/>
    </row>
    <row r="412" s="11" customFormat="1" customHeight="1" spans="5:12">
      <c r="E412" s="14"/>
      <c r="F412" s="14"/>
      <c r="G412" s="14"/>
      <c r="H412" s="14"/>
      <c r="I412" s="14"/>
      <c r="L412" s="12"/>
    </row>
    <row r="413" s="11" customFormat="1" customHeight="1" spans="5:12">
      <c r="E413" s="14"/>
      <c r="F413" s="14"/>
      <c r="G413" s="14"/>
      <c r="H413" s="14"/>
      <c r="I413" s="14"/>
      <c r="L413" s="12"/>
    </row>
    <row r="414" s="11" customFormat="1" customHeight="1" spans="5:12">
      <c r="E414" s="14"/>
      <c r="F414" s="14"/>
      <c r="G414" s="14"/>
      <c r="H414" s="14"/>
      <c r="I414" s="14"/>
      <c r="L414" s="12"/>
    </row>
    <row r="415" s="11" customFormat="1" customHeight="1" spans="5:12">
      <c r="E415" s="14"/>
      <c r="F415" s="14"/>
      <c r="G415" s="14"/>
      <c r="H415" s="14"/>
      <c r="I415" s="14"/>
      <c r="L415" s="12"/>
    </row>
    <row r="416" s="11" customFormat="1" customHeight="1" spans="5:12">
      <c r="E416" s="14"/>
      <c r="F416" s="14"/>
      <c r="G416" s="14"/>
      <c r="H416" s="14"/>
      <c r="I416" s="14"/>
      <c r="L416" s="12"/>
    </row>
    <row r="417" s="11" customFormat="1" customHeight="1" spans="5:12">
      <c r="E417" s="14"/>
      <c r="F417" s="14"/>
      <c r="G417" s="14"/>
      <c r="H417" s="14"/>
      <c r="I417" s="14"/>
      <c r="L417" s="12"/>
    </row>
    <row r="418" s="11" customFormat="1" customHeight="1" spans="5:12">
      <c r="E418" s="14"/>
      <c r="F418" s="14"/>
      <c r="G418" s="14"/>
      <c r="H418" s="14"/>
      <c r="I418" s="14"/>
      <c r="L418" s="12"/>
    </row>
    <row r="419" s="11" customFormat="1" customHeight="1" spans="5:12">
      <c r="E419" s="14"/>
      <c r="F419" s="14"/>
      <c r="G419" s="14"/>
      <c r="H419" s="14"/>
      <c r="I419" s="14"/>
      <c r="L419" s="12"/>
    </row>
    <row r="420" s="11" customFormat="1" customHeight="1" spans="5:12">
      <c r="E420" s="14"/>
      <c r="F420" s="14"/>
      <c r="G420" s="14"/>
      <c r="H420" s="14"/>
      <c r="I420" s="14"/>
      <c r="L420" s="12"/>
    </row>
    <row r="421" s="11" customFormat="1" customHeight="1" spans="5:12">
      <c r="E421" s="14"/>
      <c r="F421" s="14"/>
      <c r="G421" s="14"/>
      <c r="H421" s="14"/>
      <c r="I421" s="14"/>
      <c r="L421" s="12"/>
    </row>
    <row r="422" s="11" customFormat="1" customHeight="1" spans="5:12">
      <c r="E422" s="14"/>
      <c r="F422" s="14"/>
      <c r="G422" s="14"/>
      <c r="H422" s="14"/>
      <c r="I422" s="14"/>
      <c r="L422" s="12"/>
    </row>
    <row r="423" s="11" customFormat="1" customHeight="1" spans="5:12">
      <c r="E423" s="14"/>
      <c r="F423" s="14"/>
      <c r="G423" s="14"/>
      <c r="H423" s="14"/>
      <c r="I423" s="14"/>
      <c r="L423" s="12"/>
    </row>
    <row r="424" s="11" customFormat="1" customHeight="1" spans="5:12">
      <c r="E424" s="14"/>
      <c r="F424" s="14"/>
      <c r="G424" s="14"/>
      <c r="H424" s="14"/>
      <c r="I424" s="14"/>
      <c r="L424" s="12"/>
    </row>
    <row r="425" s="11" customFormat="1" customHeight="1" spans="5:12">
      <c r="E425" s="14"/>
      <c r="F425" s="14"/>
      <c r="G425" s="14"/>
      <c r="H425" s="14"/>
      <c r="I425" s="14"/>
      <c r="L425" s="12"/>
    </row>
    <row r="426" s="11" customFormat="1" customHeight="1" spans="5:12">
      <c r="E426" s="14"/>
      <c r="F426" s="14"/>
      <c r="G426" s="14"/>
      <c r="H426" s="14"/>
      <c r="I426" s="14"/>
      <c r="L426" s="12"/>
    </row>
    <row r="427" s="11" customFormat="1" customHeight="1" spans="5:12">
      <c r="E427" s="14"/>
      <c r="F427" s="14"/>
      <c r="G427" s="14"/>
      <c r="H427" s="14"/>
      <c r="I427" s="14"/>
      <c r="L427" s="12"/>
    </row>
    <row r="428" s="11" customFormat="1" customHeight="1" spans="5:12">
      <c r="E428" s="14"/>
      <c r="F428" s="14"/>
      <c r="G428" s="14"/>
      <c r="H428" s="14"/>
      <c r="I428" s="14"/>
      <c r="L428" s="12"/>
    </row>
    <row r="429" s="11" customFormat="1" customHeight="1" spans="5:12">
      <c r="E429" s="14"/>
      <c r="F429" s="14"/>
      <c r="G429" s="14"/>
      <c r="H429" s="14"/>
      <c r="I429" s="14"/>
      <c r="L429" s="12"/>
    </row>
    <row r="430" s="11" customFormat="1" customHeight="1" spans="5:12">
      <c r="E430" s="14"/>
      <c r="F430" s="14"/>
      <c r="G430" s="14"/>
      <c r="H430" s="14"/>
      <c r="I430" s="14"/>
      <c r="L430" s="12"/>
    </row>
    <row r="431" s="11" customFormat="1" customHeight="1" spans="5:12">
      <c r="E431" s="14"/>
      <c r="F431" s="14"/>
      <c r="G431" s="14"/>
      <c r="H431" s="14"/>
      <c r="I431" s="14"/>
      <c r="L431" s="12"/>
    </row>
    <row r="432" s="11" customFormat="1" customHeight="1" spans="5:12">
      <c r="E432" s="14"/>
      <c r="F432" s="14"/>
      <c r="G432" s="14"/>
      <c r="H432" s="14"/>
      <c r="I432" s="14"/>
      <c r="L432" s="12"/>
    </row>
    <row r="433" s="11" customFormat="1" customHeight="1" spans="5:12">
      <c r="E433" s="14"/>
      <c r="F433" s="14"/>
      <c r="G433" s="14"/>
      <c r="H433" s="14"/>
      <c r="I433" s="14"/>
      <c r="L433" s="12"/>
    </row>
    <row r="434" s="11" customFormat="1" customHeight="1" spans="5:12">
      <c r="E434" s="14"/>
      <c r="F434" s="14"/>
      <c r="G434" s="14"/>
      <c r="H434" s="14"/>
      <c r="I434" s="14"/>
      <c r="L434" s="12"/>
    </row>
    <row r="435" s="11" customFormat="1" customHeight="1" spans="5:12">
      <c r="E435" s="14"/>
      <c r="F435" s="14"/>
      <c r="G435" s="14"/>
      <c r="H435" s="14"/>
      <c r="I435" s="14"/>
      <c r="L435" s="12"/>
    </row>
    <row r="436" s="11" customFormat="1" customHeight="1" spans="5:12">
      <c r="E436" s="14"/>
      <c r="F436" s="14"/>
      <c r="G436" s="14"/>
      <c r="H436" s="14"/>
      <c r="I436" s="14"/>
      <c r="L436" s="12"/>
    </row>
    <row r="437" s="11" customFormat="1" customHeight="1" spans="5:12">
      <c r="E437" s="14"/>
      <c r="F437" s="14"/>
      <c r="G437" s="14"/>
      <c r="H437" s="14"/>
      <c r="I437" s="14"/>
      <c r="L437" s="12"/>
    </row>
    <row r="438" s="11" customFormat="1" customHeight="1" spans="5:12">
      <c r="E438" s="14"/>
      <c r="F438" s="14"/>
      <c r="G438" s="14"/>
      <c r="H438" s="14"/>
      <c r="I438" s="14"/>
      <c r="L438" s="12"/>
    </row>
    <row r="439" s="11" customFormat="1" customHeight="1" spans="5:12">
      <c r="E439" s="14"/>
      <c r="F439" s="14"/>
      <c r="G439" s="14"/>
      <c r="H439" s="14"/>
      <c r="I439" s="14"/>
      <c r="L439" s="12"/>
    </row>
    <row r="440" s="11" customFormat="1" customHeight="1" spans="5:12">
      <c r="E440" s="14"/>
      <c r="F440" s="14"/>
      <c r="G440" s="14"/>
      <c r="H440" s="14"/>
      <c r="I440" s="14"/>
      <c r="L440" s="12"/>
    </row>
    <row r="441" s="11" customFormat="1" customHeight="1" spans="5:12">
      <c r="E441" s="14"/>
      <c r="F441" s="14"/>
      <c r="G441" s="14"/>
      <c r="H441" s="14"/>
      <c r="I441" s="14"/>
      <c r="L441" s="12"/>
    </row>
    <row r="442" s="11" customFormat="1" customHeight="1" spans="5:12">
      <c r="E442" s="14"/>
      <c r="F442" s="14"/>
      <c r="G442" s="14"/>
      <c r="H442" s="14"/>
      <c r="I442" s="14"/>
      <c r="L442" s="12"/>
    </row>
    <row r="443" s="11" customFormat="1" customHeight="1" spans="5:12">
      <c r="E443" s="14"/>
      <c r="F443" s="14"/>
      <c r="G443" s="14"/>
      <c r="H443" s="14"/>
      <c r="I443" s="14"/>
      <c r="L443" s="12"/>
    </row>
    <row r="444" s="11" customFormat="1" customHeight="1" spans="5:12">
      <c r="E444" s="14"/>
      <c r="F444" s="14"/>
      <c r="G444" s="14"/>
      <c r="H444" s="14"/>
      <c r="I444" s="14"/>
      <c r="L444" s="12"/>
    </row>
    <row r="445" s="11" customFormat="1" customHeight="1" spans="5:12">
      <c r="E445" s="14"/>
      <c r="F445" s="14"/>
      <c r="G445" s="14"/>
      <c r="H445" s="14"/>
      <c r="I445" s="14"/>
      <c r="L445" s="12"/>
    </row>
    <row r="446" s="11" customFormat="1" customHeight="1" spans="5:12">
      <c r="E446" s="14"/>
      <c r="F446" s="14"/>
      <c r="G446" s="14"/>
      <c r="H446" s="14"/>
      <c r="I446" s="14"/>
      <c r="L446" s="12"/>
    </row>
    <row r="447" s="11" customFormat="1" customHeight="1" spans="5:12">
      <c r="E447" s="14"/>
      <c r="F447" s="14"/>
      <c r="G447" s="14"/>
      <c r="H447" s="14"/>
      <c r="I447" s="14"/>
      <c r="L447" s="12"/>
    </row>
    <row r="448" s="11" customFormat="1" customHeight="1" spans="5:12">
      <c r="E448" s="14"/>
      <c r="F448" s="14"/>
      <c r="G448" s="14"/>
      <c r="H448" s="14"/>
      <c r="I448" s="14"/>
      <c r="L448" s="12"/>
    </row>
    <row r="449" s="11" customFormat="1" customHeight="1" spans="5:12">
      <c r="E449" s="14"/>
      <c r="F449" s="14"/>
      <c r="G449" s="14"/>
      <c r="H449" s="14"/>
      <c r="I449" s="14"/>
      <c r="L449" s="12"/>
    </row>
    <row r="450" s="11" customFormat="1" customHeight="1" spans="5:12">
      <c r="E450" s="14"/>
      <c r="F450" s="14"/>
      <c r="G450" s="14"/>
      <c r="H450" s="14"/>
      <c r="I450" s="14"/>
      <c r="L450" s="12"/>
    </row>
    <row r="451" s="11" customFormat="1" customHeight="1" spans="5:12">
      <c r="E451" s="14"/>
      <c r="F451" s="14"/>
      <c r="G451" s="14"/>
      <c r="H451" s="14"/>
      <c r="I451" s="14"/>
      <c r="L451" s="12"/>
    </row>
    <row r="452" s="11" customFormat="1" customHeight="1" spans="5:12">
      <c r="E452" s="14"/>
      <c r="F452" s="14"/>
      <c r="G452" s="14"/>
      <c r="H452" s="14"/>
      <c r="I452" s="14"/>
      <c r="L452" s="12"/>
    </row>
    <row r="453" s="11" customFormat="1" customHeight="1" spans="5:12">
      <c r="E453" s="14"/>
      <c r="F453" s="14"/>
      <c r="G453" s="14"/>
      <c r="H453" s="14"/>
      <c r="I453" s="14"/>
      <c r="L453" s="12"/>
    </row>
    <row r="454" s="11" customFormat="1" customHeight="1" spans="5:12">
      <c r="E454" s="14"/>
      <c r="F454" s="14"/>
      <c r="G454" s="14"/>
      <c r="H454" s="14"/>
      <c r="I454" s="14"/>
      <c r="L454" s="12"/>
    </row>
    <row r="455" s="11" customFormat="1" customHeight="1" spans="5:12">
      <c r="E455" s="14"/>
      <c r="F455" s="14"/>
      <c r="G455" s="14"/>
      <c r="H455" s="14"/>
      <c r="I455" s="14"/>
      <c r="L455" s="12"/>
    </row>
    <row r="456" s="11" customFormat="1" customHeight="1" spans="5:12">
      <c r="E456" s="14"/>
      <c r="F456" s="14"/>
      <c r="G456" s="14"/>
      <c r="H456" s="14"/>
      <c r="I456" s="14"/>
      <c r="L456" s="12"/>
    </row>
    <row r="457" s="11" customFormat="1" customHeight="1" spans="5:12">
      <c r="E457" s="14"/>
      <c r="F457" s="14"/>
      <c r="G457" s="14"/>
      <c r="H457" s="14"/>
      <c r="I457" s="14"/>
      <c r="L457" s="12"/>
    </row>
    <row r="458" s="11" customFormat="1" customHeight="1" spans="5:12">
      <c r="E458" s="14"/>
      <c r="F458" s="14"/>
      <c r="G458" s="14"/>
      <c r="H458" s="14"/>
      <c r="I458" s="14"/>
      <c r="L458" s="12"/>
    </row>
    <row r="459" s="11" customFormat="1" customHeight="1" spans="5:12">
      <c r="E459" s="14"/>
      <c r="F459" s="14"/>
      <c r="G459" s="14"/>
      <c r="H459" s="14"/>
      <c r="I459" s="14"/>
      <c r="L459" s="12"/>
    </row>
    <row r="460" s="11" customFormat="1" customHeight="1" spans="5:12">
      <c r="E460" s="14"/>
      <c r="F460" s="14"/>
      <c r="G460" s="14"/>
      <c r="H460" s="14"/>
      <c r="I460" s="14"/>
      <c r="L460" s="12"/>
    </row>
    <row r="461" s="11" customFormat="1" customHeight="1" spans="5:12">
      <c r="E461" s="14"/>
      <c r="F461" s="14"/>
      <c r="G461" s="14"/>
      <c r="H461" s="14"/>
      <c r="I461" s="14"/>
      <c r="L461" s="12"/>
    </row>
    <row r="462" s="11" customFormat="1" customHeight="1" spans="5:12">
      <c r="E462" s="14"/>
      <c r="F462" s="14"/>
      <c r="G462" s="14"/>
      <c r="H462" s="14"/>
      <c r="I462" s="14"/>
      <c r="L462" s="12"/>
    </row>
    <row r="463" s="11" customFormat="1" customHeight="1" spans="5:12">
      <c r="E463" s="14"/>
      <c r="F463" s="14"/>
      <c r="G463" s="14"/>
      <c r="H463" s="14"/>
      <c r="I463" s="14"/>
      <c r="L463" s="12"/>
    </row>
    <row r="464" s="11" customFormat="1" customHeight="1" spans="5:12">
      <c r="E464" s="14"/>
      <c r="F464" s="14"/>
      <c r="G464" s="14"/>
      <c r="H464" s="14"/>
      <c r="I464" s="14"/>
      <c r="L464" s="12"/>
    </row>
    <row r="465" s="11" customFormat="1" customHeight="1" spans="5:12">
      <c r="E465" s="14"/>
      <c r="F465" s="14"/>
      <c r="G465" s="14"/>
      <c r="H465" s="14"/>
      <c r="I465" s="14"/>
      <c r="L465" s="12"/>
    </row>
    <row r="466" s="11" customFormat="1" customHeight="1" spans="5:12">
      <c r="E466" s="14"/>
      <c r="F466" s="14"/>
      <c r="G466" s="14"/>
      <c r="H466" s="14"/>
      <c r="I466" s="14"/>
      <c r="L466" s="12"/>
    </row>
    <row r="467" s="11" customFormat="1" customHeight="1" spans="5:12">
      <c r="E467" s="14"/>
      <c r="F467" s="14"/>
      <c r="G467" s="14"/>
      <c r="H467" s="14"/>
      <c r="I467" s="14"/>
      <c r="L467" s="12"/>
    </row>
    <row r="468" s="11" customFormat="1" customHeight="1" spans="5:12">
      <c r="E468" s="14"/>
      <c r="F468" s="14"/>
      <c r="G468" s="14"/>
      <c r="H468" s="14"/>
      <c r="I468" s="14"/>
      <c r="L468" s="12"/>
    </row>
    <row r="469" s="11" customFormat="1" customHeight="1" spans="5:12">
      <c r="E469" s="14"/>
      <c r="F469" s="14"/>
      <c r="G469" s="14"/>
      <c r="H469" s="14"/>
      <c r="I469" s="14"/>
      <c r="L469" s="12"/>
    </row>
    <row r="470" s="11" customFormat="1" customHeight="1" spans="5:12">
      <c r="E470" s="14"/>
      <c r="F470" s="14"/>
      <c r="G470" s="14"/>
      <c r="H470" s="14"/>
      <c r="I470" s="14"/>
      <c r="L470" s="12"/>
    </row>
    <row r="471" s="11" customFormat="1" customHeight="1" spans="5:12">
      <c r="E471" s="14"/>
      <c r="F471" s="14"/>
      <c r="G471" s="14"/>
      <c r="H471" s="14"/>
      <c r="I471" s="14"/>
      <c r="L471" s="12"/>
    </row>
    <row r="472" s="11" customFormat="1" customHeight="1" spans="5:12">
      <c r="E472" s="14"/>
      <c r="F472" s="14"/>
      <c r="G472" s="14"/>
      <c r="H472" s="14"/>
      <c r="I472" s="14"/>
      <c r="L472" s="12"/>
    </row>
    <row r="473" s="11" customFormat="1" customHeight="1" spans="5:12">
      <c r="E473" s="14"/>
      <c r="F473" s="14"/>
      <c r="G473" s="14"/>
      <c r="H473" s="14"/>
      <c r="I473" s="14"/>
      <c r="L473" s="12"/>
    </row>
    <row r="474" s="11" customFormat="1" customHeight="1" spans="5:12">
      <c r="E474" s="14"/>
      <c r="F474" s="14"/>
      <c r="G474" s="14"/>
      <c r="H474" s="14"/>
      <c r="I474" s="14"/>
      <c r="L474" s="12"/>
    </row>
    <row r="475" s="11" customFormat="1" customHeight="1" spans="5:12">
      <c r="E475" s="14"/>
      <c r="F475" s="14"/>
      <c r="G475" s="14"/>
      <c r="H475" s="14"/>
      <c r="I475" s="14"/>
      <c r="L475" s="12"/>
    </row>
    <row r="476" s="11" customFormat="1" customHeight="1" spans="5:12">
      <c r="E476" s="14"/>
      <c r="F476" s="14"/>
      <c r="G476" s="14"/>
      <c r="H476" s="14"/>
      <c r="I476" s="14"/>
      <c r="L476" s="12"/>
    </row>
    <row r="477" s="11" customFormat="1" customHeight="1" spans="5:12">
      <c r="E477" s="14"/>
      <c r="F477" s="14"/>
      <c r="G477" s="14"/>
      <c r="H477" s="14"/>
      <c r="I477" s="14"/>
      <c r="L477" s="12"/>
    </row>
    <row r="478" s="11" customFormat="1" customHeight="1" spans="5:12">
      <c r="E478" s="14"/>
      <c r="F478" s="14"/>
      <c r="G478" s="14"/>
      <c r="H478" s="14"/>
      <c r="I478" s="14"/>
      <c r="L478" s="12"/>
    </row>
    <row r="479" s="11" customFormat="1" customHeight="1" spans="5:12">
      <c r="E479" s="14"/>
      <c r="F479" s="14"/>
      <c r="G479" s="14"/>
      <c r="H479" s="14"/>
      <c r="I479" s="14"/>
      <c r="L479" s="12"/>
    </row>
    <row r="480" s="11" customFormat="1" customHeight="1" spans="5:12">
      <c r="E480" s="14"/>
      <c r="F480" s="14"/>
      <c r="G480" s="14"/>
      <c r="H480" s="14"/>
      <c r="I480" s="14"/>
      <c r="L480" s="12"/>
    </row>
    <row r="481" s="11" customFormat="1" customHeight="1" spans="5:12">
      <c r="E481" s="14"/>
      <c r="F481" s="14"/>
      <c r="G481" s="14"/>
      <c r="H481" s="14"/>
      <c r="I481" s="14"/>
      <c r="L481" s="12"/>
    </row>
    <row r="482" s="11" customFormat="1" customHeight="1" spans="5:12">
      <c r="E482" s="14"/>
      <c r="F482" s="14"/>
      <c r="G482" s="14"/>
      <c r="H482" s="14"/>
      <c r="I482" s="14"/>
      <c r="L482" s="12"/>
    </row>
    <row r="483" s="11" customFormat="1" customHeight="1" spans="5:12">
      <c r="E483" s="14"/>
      <c r="F483" s="14"/>
      <c r="G483" s="14"/>
      <c r="H483" s="14"/>
      <c r="I483" s="14"/>
      <c r="L483" s="12"/>
    </row>
    <row r="484" s="11" customFormat="1" customHeight="1" spans="5:12">
      <c r="E484" s="14"/>
      <c r="F484" s="14"/>
      <c r="G484" s="14"/>
      <c r="H484" s="14"/>
      <c r="I484" s="14"/>
      <c r="L484" s="12"/>
    </row>
    <row r="485" s="11" customFormat="1" customHeight="1" spans="5:12">
      <c r="E485" s="14"/>
      <c r="F485" s="14"/>
      <c r="G485" s="14"/>
      <c r="H485" s="14"/>
      <c r="I485" s="14"/>
      <c r="L485" s="12"/>
    </row>
    <row r="486" s="11" customFormat="1" customHeight="1" spans="5:12">
      <c r="E486" s="14"/>
      <c r="F486" s="14"/>
      <c r="G486" s="14"/>
      <c r="H486" s="14"/>
      <c r="I486" s="14"/>
      <c r="L486" s="12"/>
    </row>
    <row r="487" s="11" customFormat="1" customHeight="1" spans="5:12">
      <c r="E487" s="14"/>
      <c r="F487" s="14"/>
      <c r="G487" s="14"/>
      <c r="H487" s="14"/>
      <c r="I487" s="14"/>
      <c r="L487" s="12"/>
    </row>
    <row r="488" s="11" customFormat="1" customHeight="1" spans="5:12">
      <c r="E488" s="14"/>
      <c r="F488" s="14"/>
      <c r="G488" s="14"/>
      <c r="H488" s="14"/>
      <c r="I488" s="14"/>
      <c r="L488" s="12"/>
    </row>
    <row r="489" s="11" customFormat="1" customHeight="1" spans="5:12">
      <c r="E489" s="14"/>
      <c r="F489" s="14"/>
      <c r="G489" s="14"/>
      <c r="H489" s="14"/>
      <c r="I489" s="14"/>
      <c r="L489" s="12"/>
    </row>
    <row r="490" s="11" customFormat="1" customHeight="1" spans="5:12">
      <c r="E490" s="14"/>
      <c r="F490" s="14"/>
      <c r="G490" s="14"/>
      <c r="H490" s="14"/>
      <c r="I490" s="14"/>
      <c r="L490" s="12"/>
    </row>
    <row r="491" s="11" customFormat="1" customHeight="1" spans="5:12">
      <c r="E491" s="14"/>
      <c r="F491" s="14"/>
      <c r="G491" s="14"/>
      <c r="H491" s="14"/>
      <c r="I491" s="14"/>
      <c r="L491" s="12"/>
    </row>
    <row r="492" s="11" customFormat="1" customHeight="1" spans="5:12">
      <c r="E492" s="14"/>
      <c r="F492" s="14"/>
      <c r="G492" s="14"/>
      <c r="H492" s="14"/>
      <c r="I492" s="14"/>
      <c r="L492" s="12"/>
    </row>
    <row r="493" s="11" customFormat="1" customHeight="1" spans="5:12">
      <c r="E493" s="14"/>
      <c r="F493" s="14"/>
      <c r="G493" s="14"/>
      <c r="H493" s="14"/>
      <c r="I493" s="14"/>
      <c r="L493" s="12"/>
    </row>
    <row r="494" s="11" customFormat="1" customHeight="1" spans="5:12">
      <c r="E494" s="14"/>
      <c r="F494" s="14"/>
      <c r="G494" s="14"/>
      <c r="H494" s="14"/>
      <c r="I494" s="14"/>
      <c r="L494" s="12"/>
    </row>
    <row r="495" s="11" customFormat="1" customHeight="1" spans="5:12">
      <c r="E495" s="14"/>
      <c r="F495" s="14"/>
      <c r="G495" s="14"/>
      <c r="H495" s="14"/>
      <c r="I495" s="14"/>
      <c r="L495" s="12"/>
    </row>
    <row r="496" s="11" customFormat="1" customHeight="1" spans="5:12">
      <c r="E496" s="14"/>
      <c r="F496" s="14"/>
      <c r="G496" s="14"/>
      <c r="H496" s="14"/>
      <c r="I496" s="14"/>
      <c r="L496" s="12"/>
    </row>
    <row r="497" s="11" customFormat="1" customHeight="1" spans="5:12">
      <c r="E497" s="14"/>
      <c r="F497" s="14"/>
      <c r="G497" s="14"/>
      <c r="H497" s="14"/>
      <c r="I497" s="14"/>
      <c r="L497" s="12"/>
    </row>
    <row r="498" s="11" customFormat="1" customHeight="1" spans="5:12">
      <c r="E498" s="14"/>
      <c r="F498" s="14"/>
      <c r="G498" s="14"/>
      <c r="H498" s="14"/>
      <c r="I498" s="14"/>
      <c r="L498" s="12"/>
    </row>
    <row r="499" s="11" customFormat="1" customHeight="1" spans="5:12">
      <c r="E499" s="14"/>
      <c r="F499" s="14"/>
      <c r="G499" s="14"/>
      <c r="H499" s="14"/>
      <c r="I499" s="14"/>
      <c r="L499" s="12"/>
    </row>
    <row r="500" s="11" customFormat="1" customHeight="1" spans="5:12">
      <c r="E500" s="14"/>
      <c r="F500" s="14"/>
      <c r="G500" s="14"/>
      <c r="H500" s="14"/>
      <c r="I500" s="14"/>
      <c r="L500" s="12"/>
    </row>
    <row r="501" s="11" customFormat="1" customHeight="1" spans="5:12">
      <c r="E501" s="14"/>
      <c r="F501" s="14"/>
      <c r="G501" s="14"/>
      <c r="H501" s="14"/>
      <c r="I501" s="14"/>
      <c r="L501" s="12"/>
    </row>
    <row r="502" s="11" customFormat="1" customHeight="1" spans="5:12">
      <c r="E502" s="14"/>
      <c r="F502" s="14"/>
      <c r="G502" s="14"/>
      <c r="H502" s="14"/>
      <c r="I502" s="14"/>
      <c r="L502" s="12"/>
    </row>
    <row r="503" s="11" customFormat="1" customHeight="1" spans="5:12">
      <c r="E503" s="14"/>
      <c r="F503" s="14"/>
      <c r="G503" s="14"/>
      <c r="H503" s="14"/>
      <c r="I503" s="14"/>
      <c r="L503" s="12"/>
    </row>
    <row r="504" s="11" customFormat="1" customHeight="1" spans="5:12">
      <c r="E504" s="14"/>
      <c r="F504" s="14"/>
      <c r="G504" s="14"/>
      <c r="H504" s="14"/>
      <c r="I504" s="14"/>
      <c r="L504" s="12"/>
    </row>
    <row r="505" s="11" customFormat="1" customHeight="1" spans="5:12">
      <c r="E505" s="14"/>
      <c r="F505" s="14"/>
      <c r="G505" s="14"/>
      <c r="H505" s="14"/>
      <c r="I505" s="14"/>
      <c r="L505" s="12"/>
    </row>
    <row r="506" s="11" customFormat="1" customHeight="1" spans="5:12">
      <c r="E506" s="14"/>
      <c r="F506" s="14"/>
      <c r="G506" s="14"/>
      <c r="H506" s="14"/>
      <c r="I506" s="14"/>
      <c r="L506" s="12"/>
    </row>
    <row r="507" s="11" customFormat="1" customHeight="1" spans="5:12">
      <c r="E507" s="14"/>
      <c r="F507" s="14"/>
      <c r="G507" s="14"/>
      <c r="H507" s="14"/>
      <c r="I507" s="14"/>
      <c r="L507" s="12"/>
    </row>
    <row r="508" s="11" customFormat="1" customHeight="1" spans="5:12">
      <c r="E508" s="14"/>
      <c r="F508" s="14"/>
      <c r="G508" s="14"/>
      <c r="H508" s="14"/>
      <c r="I508" s="14"/>
      <c r="L508" s="12"/>
    </row>
    <row r="509" s="11" customFormat="1" customHeight="1" spans="5:12">
      <c r="E509" s="14"/>
      <c r="F509" s="14"/>
      <c r="G509" s="14"/>
      <c r="H509" s="14"/>
      <c r="I509" s="14"/>
      <c r="L509" s="12"/>
    </row>
    <row r="510" s="11" customFormat="1" customHeight="1" spans="5:12">
      <c r="E510" s="14"/>
      <c r="F510" s="14"/>
      <c r="G510" s="14"/>
      <c r="H510" s="14"/>
      <c r="I510" s="14"/>
      <c r="L510" s="12"/>
    </row>
    <row r="511" s="11" customFormat="1" customHeight="1" spans="5:12">
      <c r="E511" s="14"/>
      <c r="F511" s="14"/>
      <c r="G511" s="14"/>
      <c r="H511" s="14"/>
      <c r="I511" s="14"/>
      <c r="L511" s="12"/>
    </row>
    <row r="512" s="11" customFormat="1" customHeight="1" spans="5:12">
      <c r="E512" s="14"/>
      <c r="F512" s="14"/>
      <c r="G512" s="14"/>
      <c r="H512" s="14"/>
      <c r="I512" s="14"/>
      <c r="L512" s="12"/>
    </row>
    <row r="513" s="11" customFormat="1" customHeight="1" spans="5:12">
      <c r="E513" s="14"/>
      <c r="F513" s="14"/>
      <c r="G513" s="14"/>
      <c r="H513" s="14"/>
      <c r="I513" s="14"/>
      <c r="L513" s="12"/>
    </row>
    <row r="514" s="11" customFormat="1" customHeight="1" spans="5:12">
      <c r="E514" s="14"/>
      <c r="F514" s="14"/>
      <c r="G514" s="14"/>
      <c r="H514" s="14"/>
      <c r="I514" s="14"/>
      <c r="L514" s="12"/>
    </row>
    <row r="515" s="11" customFormat="1" customHeight="1" spans="5:12">
      <c r="E515" s="14"/>
      <c r="F515" s="14"/>
      <c r="G515" s="14"/>
      <c r="H515" s="14"/>
      <c r="I515" s="14"/>
      <c r="L515" s="12"/>
    </row>
    <row r="516" s="11" customFormat="1" customHeight="1" spans="5:12">
      <c r="E516" s="14"/>
      <c r="F516" s="14"/>
      <c r="G516" s="14"/>
      <c r="H516" s="14"/>
      <c r="I516" s="14"/>
      <c r="L516" s="12"/>
    </row>
    <row r="517" s="11" customFormat="1" customHeight="1" spans="5:12">
      <c r="E517" s="14"/>
      <c r="F517" s="14"/>
      <c r="G517" s="14"/>
      <c r="H517" s="14"/>
      <c r="I517" s="14"/>
      <c r="L517" s="12"/>
    </row>
    <row r="518" s="11" customFormat="1" customHeight="1" spans="5:12">
      <c r="E518" s="14"/>
      <c r="F518" s="14"/>
      <c r="G518" s="14"/>
      <c r="H518" s="14"/>
      <c r="I518" s="14"/>
      <c r="L518" s="12"/>
    </row>
    <row r="519" s="11" customFormat="1" customHeight="1" spans="5:12">
      <c r="E519" s="14"/>
      <c r="F519" s="14"/>
      <c r="G519" s="14"/>
      <c r="H519" s="14"/>
      <c r="I519" s="14"/>
      <c r="L519" s="12"/>
    </row>
    <row r="520" s="11" customFormat="1" customHeight="1" spans="5:12">
      <c r="E520" s="14"/>
      <c r="F520" s="14"/>
      <c r="G520" s="14"/>
      <c r="H520" s="14"/>
      <c r="I520" s="14"/>
      <c r="L520" s="12"/>
    </row>
    <row r="521" s="11" customFormat="1" customHeight="1" spans="5:12">
      <c r="E521" s="14"/>
      <c r="F521" s="14"/>
      <c r="G521" s="14"/>
      <c r="H521" s="14"/>
      <c r="I521" s="14"/>
      <c r="L521" s="12"/>
    </row>
    <row r="522" s="11" customFormat="1" customHeight="1" spans="5:12">
      <c r="E522" s="14"/>
      <c r="F522" s="14"/>
      <c r="G522" s="14"/>
      <c r="H522" s="14"/>
      <c r="I522" s="14"/>
      <c r="L522" s="12"/>
    </row>
    <row r="523" s="11" customFormat="1" customHeight="1" spans="5:12">
      <c r="E523" s="14"/>
      <c r="F523" s="14"/>
      <c r="G523" s="14"/>
      <c r="H523" s="14"/>
      <c r="I523" s="14"/>
      <c r="L523" s="12"/>
    </row>
    <row r="524" s="11" customFormat="1" customHeight="1" spans="5:12">
      <c r="E524" s="14"/>
      <c r="F524" s="14"/>
      <c r="G524" s="14"/>
      <c r="H524" s="14"/>
      <c r="I524" s="14"/>
      <c r="L524" s="12"/>
    </row>
    <row r="525" s="11" customFormat="1" customHeight="1" spans="5:12">
      <c r="E525" s="14"/>
      <c r="F525" s="14"/>
      <c r="G525" s="14"/>
      <c r="H525" s="14"/>
      <c r="I525" s="14"/>
      <c r="L525" s="12"/>
    </row>
    <row r="526" s="11" customFormat="1" customHeight="1" spans="5:12">
      <c r="E526" s="14"/>
      <c r="F526" s="14"/>
      <c r="G526" s="14"/>
      <c r="H526" s="14"/>
      <c r="I526" s="14"/>
      <c r="L526" s="12"/>
    </row>
    <row r="527" s="11" customFormat="1" customHeight="1" spans="5:12">
      <c r="E527" s="14"/>
      <c r="F527" s="14"/>
      <c r="G527" s="14"/>
      <c r="H527" s="14"/>
      <c r="I527" s="14"/>
      <c r="L527" s="12"/>
    </row>
    <row r="528" s="11" customFormat="1" customHeight="1" spans="5:12">
      <c r="E528" s="14"/>
      <c r="F528" s="14"/>
      <c r="G528" s="14"/>
      <c r="H528" s="14"/>
      <c r="I528" s="14"/>
      <c r="L528" s="12"/>
    </row>
    <row r="529" s="11" customFormat="1" customHeight="1" spans="5:12">
      <c r="E529" s="14"/>
      <c r="F529" s="14"/>
      <c r="G529" s="14"/>
      <c r="H529" s="14"/>
      <c r="I529" s="14"/>
      <c r="L529" s="12"/>
    </row>
    <row r="530" s="11" customFormat="1" customHeight="1" spans="5:12">
      <c r="E530" s="14"/>
      <c r="F530" s="14"/>
      <c r="G530" s="14"/>
      <c r="H530" s="14"/>
      <c r="I530" s="14"/>
      <c r="L530" s="12"/>
    </row>
    <row r="531" s="11" customFormat="1" customHeight="1" spans="5:12">
      <c r="E531" s="14"/>
      <c r="F531" s="14"/>
      <c r="G531" s="14"/>
      <c r="H531" s="14"/>
      <c r="I531" s="14"/>
      <c r="L531" s="12"/>
    </row>
    <row r="532" s="11" customFormat="1" customHeight="1" spans="5:12">
      <c r="E532" s="14"/>
      <c r="F532" s="14"/>
      <c r="G532" s="14"/>
      <c r="H532" s="14"/>
      <c r="I532" s="14"/>
      <c r="L532" s="12"/>
    </row>
    <row r="533" s="11" customFormat="1" customHeight="1" spans="5:12">
      <c r="E533" s="14"/>
      <c r="F533" s="14"/>
      <c r="G533" s="14"/>
      <c r="H533" s="14"/>
      <c r="I533" s="14"/>
      <c r="L533" s="12"/>
    </row>
    <row r="534" s="11" customFormat="1" customHeight="1" spans="5:12">
      <c r="E534" s="14"/>
      <c r="F534" s="14"/>
      <c r="G534" s="14"/>
      <c r="H534" s="14"/>
      <c r="I534" s="14"/>
      <c r="L534" s="12"/>
    </row>
    <row r="535" s="11" customFormat="1" customHeight="1" spans="5:12">
      <c r="E535" s="14"/>
      <c r="F535" s="14"/>
      <c r="G535" s="14"/>
      <c r="H535" s="14"/>
      <c r="I535" s="14"/>
      <c r="L535" s="12"/>
    </row>
    <row r="536" s="11" customFormat="1" customHeight="1" spans="5:12">
      <c r="E536" s="14"/>
      <c r="F536" s="14"/>
      <c r="G536" s="14"/>
      <c r="H536" s="14"/>
      <c r="I536" s="14"/>
      <c r="L536" s="12"/>
    </row>
    <row r="537" s="11" customFormat="1" customHeight="1" spans="5:12">
      <c r="E537" s="14"/>
      <c r="F537" s="14"/>
      <c r="G537" s="14"/>
      <c r="H537" s="14"/>
      <c r="I537" s="14"/>
      <c r="L537" s="12"/>
    </row>
    <row r="538" s="11" customFormat="1" customHeight="1" spans="5:12">
      <c r="E538" s="14"/>
      <c r="F538" s="14"/>
      <c r="G538" s="14"/>
      <c r="H538" s="14"/>
      <c r="I538" s="14"/>
      <c r="L538" s="12"/>
    </row>
    <row r="539" s="11" customFormat="1" customHeight="1" spans="5:12">
      <c r="E539" s="14"/>
      <c r="F539" s="14"/>
      <c r="G539" s="14"/>
      <c r="H539" s="14"/>
      <c r="I539" s="14"/>
      <c r="L539" s="12"/>
    </row>
    <row r="540" s="11" customFormat="1" customHeight="1" spans="5:12">
      <c r="E540" s="14"/>
      <c r="F540" s="14"/>
      <c r="G540" s="14"/>
      <c r="H540" s="14"/>
      <c r="I540" s="14"/>
      <c r="L540" s="12"/>
    </row>
    <row r="541" s="11" customFormat="1" customHeight="1" spans="5:12">
      <c r="E541" s="14"/>
      <c r="F541" s="14"/>
      <c r="G541" s="14"/>
      <c r="H541" s="14"/>
      <c r="I541" s="14"/>
      <c r="L541" s="12"/>
    </row>
    <row r="542" s="11" customFormat="1" customHeight="1" spans="5:12">
      <c r="E542" s="14"/>
      <c r="F542" s="14"/>
      <c r="G542" s="14"/>
      <c r="H542" s="14"/>
      <c r="I542" s="14"/>
      <c r="L542" s="12"/>
    </row>
    <row r="543" s="11" customFormat="1" customHeight="1" spans="5:12">
      <c r="E543" s="14"/>
      <c r="F543" s="14"/>
      <c r="G543" s="14"/>
      <c r="H543" s="14"/>
      <c r="I543" s="14"/>
      <c r="L543" s="12"/>
    </row>
    <row r="544" s="11" customFormat="1" customHeight="1" spans="5:12">
      <c r="E544" s="14"/>
      <c r="F544" s="14"/>
      <c r="G544" s="14"/>
      <c r="H544" s="14"/>
      <c r="I544" s="14"/>
      <c r="L544" s="12"/>
    </row>
    <row r="545" s="11" customFormat="1" customHeight="1" spans="5:12">
      <c r="E545" s="14"/>
      <c r="F545" s="14"/>
      <c r="G545" s="14"/>
      <c r="H545" s="14"/>
      <c r="I545" s="14"/>
      <c r="L545" s="12"/>
    </row>
    <row r="546" s="11" customFormat="1" customHeight="1" spans="5:12">
      <c r="E546" s="14"/>
      <c r="F546" s="14"/>
      <c r="G546" s="14"/>
      <c r="H546" s="14"/>
      <c r="I546" s="14"/>
      <c r="L546" s="12"/>
    </row>
    <row r="547" s="11" customFormat="1" customHeight="1" spans="5:12">
      <c r="E547" s="14"/>
      <c r="F547" s="14"/>
      <c r="G547" s="14"/>
      <c r="H547" s="14"/>
      <c r="I547" s="14"/>
      <c r="L547" s="12"/>
    </row>
    <row r="548" s="11" customFormat="1" customHeight="1" spans="5:12">
      <c r="E548" s="14"/>
      <c r="F548" s="14"/>
      <c r="G548" s="14"/>
      <c r="H548" s="14"/>
      <c r="I548" s="14"/>
      <c r="L548" s="12"/>
    </row>
    <row r="549" s="11" customFormat="1" customHeight="1" spans="5:12">
      <c r="E549" s="14"/>
      <c r="F549" s="14"/>
      <c r="G549" s="14"/>
      <c r="H549" s="14"/>
      <c r="I549" s="14"/>
      <c r="L549" s="12"/>
    </row>
    <row r="550" s="11" customFormat="1" customHeight="1" spans="5:12">
      <c r="E550" s="14"/>
      <c r="F550" s="14"/>
      <c r="G550" s="14"/>
      <c r="H550" s="14"/>
      <c r="I550" s="14"/>
      <c r="L550" s="12"/>
    </row>
    <row r="551" s="11" customFormat="1" customHeight="1" spans="5:12">
      <c r="E551" s="14"/>
      <c r="F551" s="14"/>
      <c r="G551" s="14"/>
      <c r="H551" s="14"/>
      <c r="I551" s="14"/>
      <c r="L551" s="12"/>
    </row>
    <row r="552" s="11" customFormat="1" customHeight="1" spans="5:12">
      <c r="E552" s="14"/>
      <c r="F552" s="14"/>
      <c r="G552" s="14"/>
      <c r="H552" s="14"/>
      <c r="I552" s="14"/>
      <c r="L552" s="12"/>
    </row>
    <row r="553" s="11" customFormat="1" customHeight="1" spans="5:12">
      <c r="E553" s="14"/>
      <c r="F553" s="14"/>
      <c r="G553" s="14"/>
      <c r="H553" s="14"/>
      <c r="I553" s="14"/>
      <c r="L553" s="12"/>
    </row>
    <row r="554" s="11" customFormat="1" customHeight="1" spans="5:12">
      <c r="E554" s="14"/>
      <c r="F554" s="14"/>
      <c r="G554" s="14"/>
      <c r="H554" s="14"/>
      <c r="I554" s="14"/>
      <c r="L554" s="12"/>
    </row>
    <row r="555" s="11" customFormat="1" customHeight="1" spans="5:12">
      <c r="E555" s="14"/>
      <c r="F555" s="14"/>
      <c r="G555" s="14"/>
      <c r="H555" s="14"/>
      <c r="I555" s="14"/>
      <c r="L555" s="12"/>
    </row>
    <row r="556" s="11" customFormat="1" customHeight="1" spans="5:12">
      <c r="E556" s="14"/>
      <c r="F556" s="14"/>
      <c r="G556" s="14"/>
      <c r="H556" s="14"/>
      <c r="I556" s="14"/>
      <c r="L556" s="12"/>
    </row>
    <row r="557" s="11" customFormat="1" customHeight="1" spans="5:12">
      <c r="E557" s="14"/>
      <c r="F557" s="14"/>
      <c r="G557" s="14"/>
      <c r="H557" s="14"/>
      <c r="I557" s="14"/>
      <c r="L557" s="12"/>
    </row>
    <row r="558" s="11" customFormat="1" customHeight="1" spans="5:12">
      <c r="E558" s="14"/>
      <c r="F558" s="14"/>
      <c r="G558" s="14"/>
      <c r="H558" s="14"/>
      <c r="I558" s="14"/>
      <c r="L558" s="12"/>
    </row>
    <row r="559" s="11" customFormat="1" customHeight="1" spans="5:12">
      <c r="E559" s="14"/>
      <c r="F559" s="14"/>
      <c r="G559" s="14"/>
      <c r="H559" s="14"/>
      <c r="I559" s="14"/>
      <c r="L559" s="12"/>
    </row>
    <row r="560" s="11" customFormat="1" customHeight="1" spans="5:12">
      <c r="E560" s="14"/>
      <c r="F560" s="14"/>
      <c r="G560" s="14"/>
      <c r="H560" s="14"/>
      <c r="I560" s="14"/>
      <c r="L560" s="12"/>
    </row>
    <row r="561" s="11" customFormat="1" customHeight="1" spans="5:12">
      <c r="E561" s="14"/>
      <c r="F561" s="14"/>
      <c r="G561" s="14"/>
      <c r="H561" s="14"/>
      <c r="I561" s="14"/>
      <c r="L561" s="12"/>
    </row>
    <row r="562" s="11" customFormat="1" customHeight="1" spans="5:12">
      <c r="E562" s="14"/>
      <c r="F562" s="14"/>
      <c r="G562" s="14"/>
      <c r="H562" s="14"/>
      <c r="I562" s="14"/>
      <c r="L562" s="12"/>
    </row>
    <row r="563" s="11" customFormat="1" customHeight="1" spans="5:12">
      <c r="E563" s="14"/>
      <c r="F563" s="14"/>
      <c r="G563" s="14"/>
      <c r="H563" s="14"/>
      <c r="I563" s="14"/>
      <c r="L563" s="12"/>
    </row>
    <row r="564" s="11" customFormat="1" customHeight="1" spans="5:12">
      <c r="E564" s="14"/>
      <c r="F564" s="14"/>
      <c r="G564" s="14"/>
      <c r="H564" s="14"/>
      <c r="I564" s="14"/>
      <c r="L564" s="12"/>
    </row>
    <row r="565" s="11" customFormat="1" customHeight="1" spans="5:12">
      <c r="E565" s="14"/>
      <c r="F565" s="14"/>
      <c r="G565" s="14"/>
      <c r="H565" s="14"/>
      <c r="I565" s="14"/>
      <c r="L565" s="12"/>
    </row>
    <row r="566" s="11" customFormat="1" customHeight="1" spans="5:12">
      <c r="E566" s="14"/>
      <c r="F566" s="14"/>
      <c r="G566" s="14"/>
      <c r="H566" s="14"/>
      <c r="I566" s="14"/>
      <c r="L566" s="12"/>
    </row>
    <row r="567" s="11" customFormat="1" customHeight="1" spans="5:12">
      <c r="E567" s="14"/>
      <c r="F567" s="14"/>
      <c r="G567" s="14"/>
      <c r="H567" s="14"/>
      <c r="I567" s="14"/>
      <c r="L567" s="12"/>
    </row>
    <row r="568" s="11" customFormat="1" customHeight="1" spans="5:12">
      <c r="E568" s="14"/>
      <c r="F568" s="14"/>
      <c r="G568" s="14"/>
      <c r="H568" s="14"/>
      <c r="I568" s="14"/>
      <c r="L568" s="12"/>
    </row>
    <row r="569" s="11" customFormat="1" customHeight="1" spans="5:12">
      <c r="E569" s="14"/>
      <c r="F569" s="14"/>
      <c r="G569" s="14"/>
      <c r="H569" s="14"/>
      <c r="I569" s="14"/>
      <c r="L569" s="12"/>
    </row>
    <row r="570" s="11" customFormat="1" customHeight="1" spans="5:12">
      <c r="E570" s="14"/>
      <c r="F570" s="14"/>
      <c r="G570" s="14"/>
      <c r="H570" s="14"/>
      <c r="I570" s="14"/>
      <c r="L570" s="12"/>
    </row>
    <row r="571" s="11" customFormat="1" customHeight="1" spans="5:12">
      <c r="E571" s="14"/>
      <c r="F571" s="14"/>
      <c r="G571" s="14"/>
      <c r="H571" s="14"/>
      <c r="I571" s="14"/>
      <c r="L571" s="12"/>
    </row>
    <row r="572" s="11" customFormat="1" customHeight="1" spans="5:12">
      <c r="E572" s="14"/>
      <c r="F572" s="14"/>
      <c r="G572" s="14"/>
      <c r="H572" s="14"/>
      <c r="I572" s="14"/>
      <c r="L572" s="12"/>
    </row>
    <row r="573" s="11" customFormat="1" customHeight="1" spans="5:12">
      <c r="E573" s="14"/>
      <c r="F573" s="14"/>
      <c r="G573" s="14"/>
      <c r="H573" s="14"/>
      <c r="I573" s="14"/>
      <c r="L573" s="12"/>
    </row>
    <row r="574" s="11" customFormat="1" customHeight="1" spans="5:12">
      <c r="E574" s="14"/>
      <c r="F574" s="14"/>
      <c r="G574" s="14"/>
      <c r="H574" s="14"/>
      <c r="I574" s="14"/>
      <c r="L574" s="12"/>
    </row>
    <row r="575" s="11" customFormat="1" customHeight="1" spans="5:12">
      <c r="E575" s="14"/>
      <c r="F575" s="14"/>
      <c r="G575" s="14"/>
      <c r="H575" s="14"/>
      <c r="I575" s="14"/>
      <c r="L575" s="12"/>
    </row>
    <row r="576" s="11" customFormat="1" customHeight="1" spans="5:12">
      <c r="E576" s="14"/>
      <c r="F576" s="14"/>
      <c r="G576" s="14"/>
      <c r="H576" s="14"/>
      <c r="I576" s="14"/>
      <c r="L576" s="12"/>
    </row>
    <row r="577" s="11" customFormat="1" customHeight="1" spans="5:12">
      <c r="E577" s="14"/>
      <c r="F577" s="14"/>
      <c r="G577" s="14"/>
      <c r="H577" s="14"/>
      <c r="I577" s="14"/>
      <c r="L577" s="12"/>
    </row>
    <row r="578" s="11" customFormat="1" customHeight="1" spans="5:12">
      <c r="E578" s="14"/>
      <c r="F578" s="14"/>
      <c r="G578" s="14"/>
      <c r="H578" s="14"/>
      <c r="I578" s="14"/>
      <c r="L578" s="12"/>
    </row>
    <row r="579" s="11" customFormat="1" customHeight="1" spans="5:12">
      <c r="E579" s="14"/>
      <c r="F579" s="14"/>
      <c r="G579" s="14"/>
      <c r="H579" s="14"/>
      <c r="I579" s="14"/>
      <c r="L579" s="12"/>
    </row>
    <row r="580" s="11" customFormat="1" customHeight="1" spans="5:12">
      <c r="E580" s="14"/>
      <c r="F580" s="14"/>
      <c r="G580" s="14"/>
      <c r="H580" s="14"/>
      <c r="I580" s="14"/>
      <c r="L580" s="12"/>
    </row>
    <row r="581" s="11" customFormat="1" customHeight="1" spans="5:12">
      <c r="E581" s="14"/>
      <c r="F581" s="14"/>
      <c r="G581" s="14"/>
      <c r="H581" s="14"/>
      <c r="I581" s="14"/>
      <c r="L581" s="12"/>
    </row>
    <row r="582" s="11" customFormat="1" customHeight="1" spans="5:12">
      <c r="E582" s="14"/>
      <c r="F582" s="14"/>
      <c r="G582" s="14"/>
      <c r="H582" s="14"/>
      <c r="I582" s="14"/>
      <c r="L582" s="12"/>
    </row>
    <row r="583" s="11" customFormat="1" customHeight="1" spans="5:12">
      <c r="E583" s="14"/>
      <c r="F583" s="14"/>
      <c r="G583" s="14"/>
      <c r="H583" s="14"/>
      <c r="I583" s="14"/>
      <c r="L583" s="12"/>
    </row>
    <row r="584" s="11" customFormat="1" customHeight="1" spans="5:12">
      <c r="E584" s="14"/>
      <c r="F584" s="14"/>
      <c r="G584" s="14"/>
      <c r="H584" s="14"/>
      <c r="I584" s="14"/>
      <c r="L584" s="12"/>
    </row>
    <row r="585" s="11" customFormat="1" customHeight="1" spans="5:12">
      <c r="E585" s="14"/>
      <c r="F585" s="14"/>
      <c r="G585" s="14"/>
      <c r="H585" s="14"/>
      <c r="I585" s="14"/>
      <c r="L585" s="12"/>
    </row>
    <row r="586" s="11" customFormat="1" customHeight="1" spans="5:12">
      <c r="E586" s="14"/>
      <c r="F586" s="14"/>
      <c r="G586" s="14"/>
      <c r="H586" s="14"/>
      <c r="I586" s="14"/>
      <c r="L586" s="12"/>
    </row>
    <row r="587" s="11" customFormat="1" customHeight="1" spans="5:12">
      <c r="E587" s="14"/>
      <c r="F587" s="14"/>
      <c r="G587" s="14"/>
      <c r="H587" s="14"/>
      <c r="I587" s="14"/>
      <c r="L587" s="12"/>
    </row>
    <row r="588" s="11" customFormat="1" customHeight="1" spans="5:12">
      <c r="E588" s="14"/>
      <c r="F588" s="14"/>
      <c r="G588" s="14"/>
      <c r="H588" s="14"/>
      <c r="I588" s="14"/>
      <c r="L588" s="12"/>
    </row>
    <row r="589" s="11" customFormat="1" customHeight="1" spans="5:12">
      <c r="E589" s="14"/>
      <c r="F589" s="14"/>
      <c r="G589" s="14"/>
      <c r="H589" s="14"/>
      <c r="I589" s="14"/>
      <c r="L589" s="12"/>
    </row>
    <row r="590" s="11" customFormat="1" customHeight="1" spans="5:12">
      <c r="E590" s="14"/>
      <c r="F590" s="14"/>
      <c r="G590" s="14"/>
      <c r="H590" s="14"/>
      <c r="I590" s="14"/>
      <c r="L590" s="12"/>
    </row>
    <row r="591" s="11" customFormat="1" customHeight="1" spans="5:12">
      <c r="E591" s="14"/>
      <c r="F591" s="14"/>
      <c r="G591" s="14"/>
      <c r="H591" s="14"/>
      <c r="I591" s="14"/>
      <c r="L591" s="12"/>
    </row>
    <row r="592" s="11" customFormat="1" customHeight="1" spans="5:12">
      <c r="E592" s="14"/>
      <c r="F592" s="14"/>
      <c r="G592" s="14"/>
      <c r="H592" s="14"/>
      <c r="I592" s="14"/>
      <c r="L592" s="12"/>
    </row>
    <row r="593" s="11" customFormat="1" customHeight="1" spans="5:12">
      <c r="E593" s="14"/>
      <c r="F593" s="14"/>
      <c r="G593" s="14"/>
      <c r="H593" s="14"/>
      <c r="I593" s="14"/>
      <c r="L593" s="12"/>
    </row>
    <row r="594" s="11" customFormat="1" customHeight="1" spans="5:12">
      <c r="E594" s="14"/>
      <c r="F594" s="14"/>
      <c r="G594" s="14"/>
      <c r="H594" s="14"/>
      <c r="I594" s="14"/>
      <c r="L594" s="12"/>
    </row>
    <row r="595" s="11" customFormat="1" customHeight="1" spans="5:12">
      <c r="E595" s="14"/>
      <c r="F595" s="14"/>
      <c r="G595" s="14"/>
      <c r="H595" s="14"/>
      <c r="I595" s="14"/>
      <c r="L595" s="12"/>
    </row>
    <row r="596" s="11" customFormat="1" customHeight="1" spans="5:12">
      <c r="E596" s="14"/>
      <c r="F596" s="14"/>
      <c r="G596" s="14"/>
      <c r="H596" s="14"/>
      <c r="I596" s="14"/>
      <c r="L596" s="12"/>
    </row>
    <row r="597" s="11" customFormat="1" customHeight="1" spans="5:12">
      <c r="E597" s="14"/>
      <c r="F597" s="14"/>
      <c r="G597" s="14"/>
      <c r="H597" s="14"/>
      <c r="I597" s="14"/>
      <c r="L597" s="12"/>
    </row>
    <row r="598" s="11" customFormat="1" customHeight="1" spans="5:12">
      <c r="E598" s="14"/>
      <c r="F598" s="14"/>
      <c r="G598" s="14"/>
      <c r="H598" s="14"/>
      <c r="I598" s="14"/>
      <c r="L598" s="12"/>
    </row>
    <row r="599" s="11" customFormat="1" customHeight="1" spans="5:12">
      <c r="E599" s="14"/>
      <c r="F599" s="14"/>
      <c r="G599" s="14"/>
      <c r="H599" s="14"/>
      <c r="I599" s="14"/>
      <c r="L599" s="12"/>
    </row>
    <row r="600" s="11" customFormat="1" customHeight="1" spans="5:12">
      <c r="E600" s="14"/>
      <c r="F600" s="14"/>
      <c r="G600" s="14"/>
      <c r="H600" s="14"/>
      <c r="I600" s="14"/>
      <c r="L600" s="12"/>
    </row>
    <row r="601" s="11" customFormat="1" customHeight="1" spans="5:12">
      <c r="E601" s="14"/>
      <c r="F601" s="14"/>
      <c r="G601" s="14"/>
      <c r="H601" s="14"/>
      <c r="I601" s="14"/>
      <c r="L601" s="12"/>
    </row>
    <row r="602" s="11" customFormat="1" customHeight="1" spans="5:12">
      <c r="E602" s="14"/>
      <c r="F602" s="14"/>
      <c r="G602" s="14"/>
      <c r="H602" s="14"/>
      <c r="I602" s="14"/>
      <c r="L602" s="12"/>
    </row>
    <row r="603" s="11" customFormat="1" customHeight="1" spans="5:12">
      <c r="E603" s="14"/>
      <c r="F603" s="14"/>
      <c r="G603" s="14"/>
      <c r="H603" s="14"/>
      <c r="I603" s="14"/>
      <c r="L603" s="12"/>
    </row>
    <row r="604" s="11" customFormat="1" customHeight="1" spans="5:12">
      <c r="E604" s="14"/>
      <c r="F604" s="14"/>
      <c r="G604" s="14"/>
      <c r="H604" s="14"/>
      <c r="I604" s="14"/>
      <c r="L604" s="12"/>
    </row>
    <row r="605" s="11" customFormat="1" customHeight="1" spans="5:12">
      <c r="E605" s="14"/>
      <c r="F605" s="14"/>
      <c r="G605" s="14"/>
      <c r="H605" s="14"/>
      <c r="I605" s="14"/>
      <c r="L605" s="12"/>
    </row>
    <row r="606" s="11" customFormat="1" customHeight="1" spans="5:12">
      <c r="E606" s="14"/>
      <c r="F606" s="14"/>
      <c r="G606" s="14"/>
      <c r="H606" s="14"/>
      <c r="I606" s="14"/>
      <c r="L606" s="12"/>
    </row>
    <row r="607" s="11" customFormat="1" customHeight="1" spans="5:12">
      <c r="E607" s="14"/>
      <c r="F607" s="14"/>
      <c r="G607" s="14"/>
      <c r="H607" s="14"/>
      <c r="I607" s="14"/>
      <c r="L607" s="12"/>
    </row>
    <row r="608" s="11" customFormat="1" customHeight="1" spans="5:12">
      <c r="E608" s="14"/>
      <c r="F608" s="14"/>
      <c r="G608" s="14"/>
      <c r="H608" s="14"/>
      <c r="I608" s="14"/>
      <c r="L608" s="12"/>
    </row>
    <row r="609" s="11" customFormat="1" customHeight="1" spans="5:12">
      <c r="E609" s="14"/>
      <c r="F609" s="14"/>
      <c r="G609" s="14"/>
      <c r="H609" s="14"/>
      <c r="I609" s="14"/>
      <c r="L609" s="12"/>
    </row>
    <row r="610" s="11" customFormat="1" customHeight="1" spans="5:12">
      <c r="E610" s="14"/>
      <c r="F610" s="14"/>
      <c r="G610" s="14"/>
      <c r="H610" s="14"/>
      <c r="I610" s="14"/>
      <c r="L610" s="12"/>
    </row>
    <row r="611" s="11" customFormat="1" customHeight="1" spans="5:12">
      <c r="E611" s="14"/>
      <c r="F611" s="14"/>
      <c r="G611" s="14"/>
      <c r="H611" s="14"/>
      <c r="I611" s="14"/>
      <c r="L611" s="12"/>
    </row>
    <row r="612" s="11" customFormat="1" customHeight="1" spans="5:12">
      <c r="E612" s="14"/>
      <c r="F612" s="14"/>
      <c r="G612" s="14"/>
      <c r="H612" s="14"/>
      <c r="I612" s="14"/>
      <c r="L612" s="12"/>
    </row>
    <row r="613" s="11" customFormat="1" customHeight="1" spans="5:12">
      <c r="E613" s="14"/>
      <c r="F613" s="14"/>
      <c r="G613" s="14"/>
      <c r="H613" s="14"/>
      <c r="I613" s="14"/>
      <c r="L613" s="12"/>
    </row>
    <row r="614" s="11" customFormat="1" customHeight="1" spans="5:12">
      <c r="E614" s="14"/>
      <c r="F614" s="14"/>
      <c r="G614" s="14"/>
      <c r="H614" s="14"/>
      <c r="I614" s="14"/>
      <c r="L614" s="12"/>
    </row>
    <row r="615" s="11" customFormat="1" customHeight="1" spans="5:12">
      <c r="E615" s="14"/>
      <c r="F615" s="14"/>
      <c r="G615" s="14"/>
      <c r="H615" s="14"/>
      <c r="I615" s="14"/>
      <c r="L615" s="12"/>
    </row>
    <row r="616" s="11" customFormat="1" customHeight="1" spans="5:12">
      <c r="E616" s="14"/>
      <c r="F616" s="14"/>
      <c r="G616" s="14"/>
      <c r="H616" s="14"/>
      <c r="I616" s="14"/>
      <c r="L616" s="12"/>
    </row>
    <row r="617" s="11" customFormat="1" customHeight="1" spans="5:12">
      <c r="E617" s="14"/>
      <c r="F617" s="14"/>
      <c r="G617" s="14"/>
      <c r="H617" s="14"/>
      <c r="I617" s="14"/>
      <c r="L617" s="12"/>
    </row>
    <row r="618" s="11" customFormat="1" customHeight="1" spans="5:12">
      <c r="E618" s="14"/>
      <c r="F618" s="14"/>
      <c r="G618" s="14"/>
      <c r="H618" s="14"/>
      <c r="I618" s="14"/>
      <c r="L618" s="12"/>
    </row>
    <row r="619" s="11" customFormat="1" customHeight="1" spans="5:12">
      <c r="E619" s="14"/>
      <c r="F619" s="14"/>
      <c r="G619" s="14"/>
      <c r="H619" s="14"/>
      <c r="I619" s="14"/>
      <c r="L619" s="12"/>
    </row>
    <row r="620" s="11" customFormat="1" customHeight="1" spans="5:12">
      <c r="E620" s="14"/>
      <c r="F620" s="14"/>
      <c r="G620" s="14"/>
      <c r="H620" s="14"/>
      <c r="I620" s="14"/>
      <c r="L620" s="12"/>
    </row>
    <row r="621" s="11" customFormat="1" customHeight="1" spans="5:12">
      <c r="E621" s="14"/>
      <c r="F621" s="14"/>
      <c r="G621" s="14"/>
      <c r="H621" s="14"/>
      <c r="I621" s="14"/>
      <c r="L621" s="12"/>
    </row>
    <row r="622" s="11" customFormat="1" customHeight="1" spans="5:12">
      <c r="E622" s="14"/>
      <c r="F622" s="14"/>
      <c r="G622" s="14"/>
      <c r="H622" s="14"/>
      <c r="I622" s="14"/>
      <c r="L622" s="12"/>
    </row>
    <row r="623" s="11" customFormat="1" customHeight="1" spans="5:12">
      <c r="E623" s="14"/>
      <c r="F623" s="14"/>
      <c r="G623" s="14"/>
      <c r="H623" s="14"/>
      <c r="I623" s="14"/>
      <c r="L623" s="12"/>
    </row>
    <row r="624" s="11" customFormat="1" customHeight="1" spans="5:12">
      <c r="E624" s="14"/>
      <c r="F624" s="14"/>
      <c r="G624" s="14"/>
      <c r="H624" s="14"/>
      <c r="I624" s="14"/>
      <c r="L624" s="12"/>
    </row>
    <row r="625" s="11" customFormat="1" customHeight="1" spans="5:12">
      <c r="E625" s="14"/>
      <c r="F625" s="14"/>
      <c r="G625" s="14"/>
      <c r="H625" s="14"/>
      <c r="I625" s="14"/>
      <c r="L625" s="12"/>
    </row>
    <row r="626" s="11" customFormat="1" customHeight="1" spans="5:12">
      <c r="E626" s="14"/>
      <c r="F626" s="14"/>
      <c r="G626" s="14"/>
      <c r="H626" s="14"/>
      <c r="I626" s="14"/>
      <c r="L626" s="12"/>
    </row>
    <row r="627" s="11" customFormat="1" customHeight="1" spans="5:12">
      <c r="E627" s="14"/>
      <c r="F627" s="14"/>
      <c r="G627" s="14"/>
      <c r="H627" s="14"/>
      <c r="I627" s="14"/>
      <c r="L627" s="12"/>
    </row>
    <row r="628" s="11" customFormat="1" customHeight="1" spans="5:12">
      <c r="E628" s="14"/>
      <c r="F628" s="14"/>
      <c r="G628" s="14"/>
      <c r="H628" s="14"/>
      <c r="I628" s="14"/>
      <c r="L628" s="12"/>
    </row>
    <row r="629" s="11" customFormat="1" customHeight="1" spans="5:12">
      <c r="E629" s="14"/>
      <c r="F629" s="14"/>
      <c r="G629" s="14"/>
      <c r="H629" s="14"/>
      <c r="I629" s="14"/>
      <c r="L629" s="12"/>
    </row>
    <row r="630" s="11" customFormat="1" customHeight="1" spans="5:12">
      <c r="E630" s="14"/>
      <c r="F630" s="14"/>
      <c r="G630" s="14"/>
      <c r="H630" s="14"/>
      <c r="I630" s="14"/>
      <c r="L630" s="12"/>
    </row>
    <row r="631" s="11" customFormat="1" customHeight="1" spans="5:12">
      <c r="E631" s="14"/>
      <c r="F631" s="14"/>
      <c r="G631" s="14"/>
      <c r="H631" s="14"/>
      <c r="I631" s="14"/>
      <c r="L631" s="12"/>
    </row>
    <row r="632" s="11" customFormat="1" customHeight="1" spans="5:12">
      <c r="E632" s="14"/>
      <c r="F632" s="14"/>
      <c r="G632" s="14"/>
      <c r="H632" s="14"/>
      <c r="I632" s="14"/>
      <c r="L632" s="12"/>
    </row>
    <row r="633" s="11" customFormat="1" customHeight="1" spans="5:12">
      <c r="E633" s="14"/>
      <c r="F633" s="14"/>
      <c r="G633" s="14"/>
      <c r="H633" s="14"/>
      <c r="I633" s="14"/>
      <c r="L633" s="12"/>
    </row>
    <row r="634" s="11" customFormat="1" customHeight="1" spans="5:12">
      <c r="E634" s="14"/>
      <c r="F634" s="14"/>
      <c r="G634" s="14"/>
      <c r="H634" s="14"/>
      <c r="I634" s="14"/>
      <c r="L634" s="12"/>
    </row>
    <row r="635" s="11" customFormat="1" customHeight="1" spans="5:12">
      <c r="E635" s="14"/>
      <c r="F635" s="14"/>
      <c r="G635" s="14"/>
      <c r="H635" s="14"/>
      <c r="I635" s="14"/>
      <c r="L635" s="12"/>
    </row>
    <row r="636" s="11" customFormat="1" customHeight="1" spans="5:12">
      <c r="E636" s="14"/>
      <c r="F636" s="14"/>
      <c r="G636" s="14"/>
      <c r="H636" s="14"/>
      <c r="I636" s="14"/>
      <c r="L636" s="12"/>
    </row>
    <row r="637" s="11" customFormat="1" customHeight="1" spans="5:12">
      <c r="E637" s="14"/>
      <c r="F637" s="14"/>
      <c r="G637" s="14"/>
      <c r="H637" s="14"/>
      <c r="I637" s="14"/>
      <c r="L637" s="12"/>
    </row>
    <row r="638" s="11" customFormat="1" customHeight="1" spans="5:12">
      <c r="E638" s="14"/>
      <c r="F638" s="14"/>
      <c r="G638" s="14"/>
      <c r="H638" s="14"/>
      <c r="I638" s="14"/>
      <c r="L638" s="12"/>
    </row>
    <row r="639" s="11" customFormat="1" customHeight="1" spans="5:12">
      <c r="E639" s="14"/>
      <c r="F639" s="14"/>
      <c r="G639" s="14"/>
      <c r="H639" s="14"/>
      <c r="I639" s="14"/>
      <c r="L639" s="12"/>
    </row>
    <row r="640" s="11" customFormat="1" customHeight="1" spans="5:12">
      <c r="E640" s="14"/>
      <c r="F640" s="14"/>
      <c r="G640" s="14"/>
      <c r="H640" s="14"/>
      <c r="I640" s="14"/>
      <c r="L640" s="12"/>
    </row>
    <row r="641" s="11" customFormat="1" customHeight="1" spans="5:12">
      <c r="E641" s="14"/>
      <c r="F641" s="14"/>
      <c r="G641" s="14"/>
      <c r="H641" s="14"/>
      <c r="I641" s="14"/>
      <c r="L641" s="12"/>
    </row>
    <row r="642" s="11" customFormat="1" customHeight="1" spans="5:12">
      <c r="E642" s="14"/>
      <c r="F642" s="14"/>
      <c r="G642" s="14"/>
      <c r="H642" s="14"/>
      <c r="I642" s="14"/>
      <c r="L642" s="12"/>
    </row>
    <row r="643" s="11" customFormat="1" customHeight="1" spans="5:12">
      <c r="E643" s="14"/>
      <c r="F643" s="14"/>
      <c r="G643" s="14"/>
      <c r="H643" s="14"/>
      <c r="I643" s="14"/>
      <c r="L643" s="12"/>
    </row>
    <row r="644" s="11" customFormat="1" customHeight="1" spans="5:12">
      <c r="E644" s="14"/>
      <c r="F644" s="14"/>
      <c r="G644" s="14"/>
      <c r="H644" s="14"/>
      <c r="I644" s="14"/>
      <c r="L644" s="12"/>
    </row>
    <row r="645" s="11" customFormat="1" customHeight="1" spans="5:12">
      <c r="E645" s="14"/>
      <c r="F645" s="14"/>
      <c r="G645" s="14"/>
      <c r="H645" s="14"/>
      <c r="I645" s="14"/>
      <c r="L645" s="12"/>
    </row>
    <row r="646" s="11" customFormat="1" customHeight="1" spans="5:12">
      <c r="E646" s="14"/>
      <c r="F646" s="14"/>
      <c r="G646" s="14"/>
      <c r="H646" s="14"/>
      <c r="I646" s="14"/>
      <c r="L646" s="12"/>
    </row>
    <row r="647" s="11" customFormat="1" customHeight="1" spans="5:12">
      <c r="E647" s="14"/>
      <c r="F647" s="14"/>
      <c r="G647" s="14"/>
      <c r="H647" s="14"/>
      <c r="I647" s="14"/>
      <c r="L647" s="12"/>
    </row>
    <row r="648" s="11" customFormat="1" customHeight="1" spans="5:12">
      <c r="E648" s="14"/>
      <c r="F648" s="14"/>
      <c r="G648" s="14"/>
      <c r="H648" s="14"/>
      <c r="I648" s="14"/>
      <c r="L648" s="12"/>
    </row>
    <row r="649" s="11" customFormat="1" customHeight="1" spans="5:12">
      <c r="E649" s="14"/>
      <c r="F649" s="14"/>
      <c r="G649" s="14"/>
      <c r="H649" s="14"/>
      <c r="I649" s="14"/>
      <c r="L649" s="12"/>
    </row>
    <row r="650" s="11" customFormat="1" customHeight="1" spans="5:12">
      <c r="E650" s="14"/>
      <c r="F650" s="14"/>
      <c r="G650" s="14"/>
      <c r="H650" s="14"/>
      <c r="I650" s="14"/>
      <c r="L650" s="12"/>
    </row>
    <row r="651" s="11" customFormat="1" customHeight="1" spans="5:12">
      <c r="E651" s="14"/>
      <c r="F651" s="14"/>
      <c r="G651" s="14"/>
      <c r="H651" s="14"/>
      <c r="I651" s="14"/>
      <c r="L651" s="12"/>
    </row>
    <row r="652" s="11" customFormat="1" customHeight="1" spans="5:12">
      <c r="E652" s="14"/>
      <c r="F652" s="14"/>
      <c r="G652" s="14"/>
      <c r="H652" s="14"/>
      <c r="I652" s="14"/>
      <c r="L652" s="12"/>
    </row>
    <row r="653" s="11" customFormat="1" customHeight="1" spans="5:12">
      <c r="E653" s="14"/>
      <c r="F653" s="14"/>
      <c r="G653" s="14"/>
      <c r="H653" s="14"/>
      <c r="I653" s="14"/>
      <c r="L653" s="12"/>
    </row>
    <row r="654" s="11" customFormat="1" customHeight="1" spans="5:12">
      <c r="E654" s="14"/>
      <c r="F654" s="14"/>
      <c r="G654" s="14"/>
      <c r="H654" s="14"/>
      <c r="I654" s="14"/>
      <c r="L654" s="12"/>
    </row>
    <row r="655" s="11" customFormat="1" customHeight="1" spans="5:12">
      <c r="E655" s="14"/>
      <c r="F655" s="14"/>
      <c r="G655" s="14"/>
      <c r="H655" s="14"/>
      <c r="I655" s="14"/>
      <c r="L655" s="12"/>
    </row>
    <row r="656" s="11" customFormat="1" customHeight="1" spans="5:12">
      <c r="E656" s="14"/>
      <c r="F656" s="14"/>
      <c r="G656" s="14"/>
      <c r="H656" s="14"/>
      <c r="I656" s="14"/>
      <c r="L656" s="12"/>
    </row>
    <row r="657" s="11" customFormat="1" customHeight="1" spans="5:12">
      <c r="E657" s="14"/>
      <c r="F657" s="14"/>
      <c r="G657" s="14"/>
      <c r="H657" s="14"/>
      <c r="I657" s="14"/>
      <c r="L657" s="12"/>
    </row>
    <row r="658" s="11" customFormat="1" customHeight="1" spans="5:12">
      <c r="E658" s="14"/>
      <c r="F658" s="14"/>
      <c r="G658" s="14"/>
      <c r="H658" s="14"/>
      <c r="I658" s="14"/>
      <c r="L658" s="12"/>
    </row>
    <row r="659" s="11" customFormat="1" customHeight="1" spans="5:12">
      <c r="E659" s="14"/>
      <c r="F659" s="14"/>
      <c r="G659" s="14"/>
      <c r="H659" s="14"/>
      <c r="I659" s="14"/>
      <c r="L659" s="12"/>
    </row>
    <row r="660" s="11" customFormat="1" customHeight="1" spans="5:12">
      <c r="E660" s="14"/>
      <c r="F660" s="14"/>
      <c r="G660" s="14"/>
      <c r="H660" s="14"/>
      <c r="I660" s="14"/>
      <c r="L660" s="12"/>
    </row>
    <row r="661" s="11" customFormat="1" customHeight="1" spans="5:12">
      <c r="E661" s="14"/>
      <c r="F661" s="14"/>
      <c r="G661" s="14"/>
      <c r="H661" s="14"/>
      <c r="I661" s="14"/>
      <c r="L661" s="12"/>
    </row>
    <row r="662" s="11" customFormat="1" customHeight="1" spans="5:12">
      <c r="E662" s="14"/>
      <c r="F662" s="14"/>
      <c r="G662" s="14"/>
      <c r="H662" s="14"/>
      <c r="I662" s="14"/>
      <c r="L662" s="12"/>
    </row>
    <row r="663" s="11" customFormat="1" customHeight="1" spans="5:12">
      <c r="E663" s="14"/>
      <c r="F663" s="14"/>
      <c r="G663" s="14"/>
      <c r="H663" s="14"/>
      <c r="I663" s="14"/>
      <c r="L663" s="12"/>
    </row>
    <row r="664" s="11" customFormat="1" customHeight="1" spans="5:12">
      <c r="E664" s="14"/>
      <c r="F664" s="14"/>
      <c r="G664" s="14"/>
      <c r="H664" s="14"/>
      <c r="I664" s="14"/>
      <c r="L664" s="12"/>
    </row>
    <row r="665" s="11" customFormat="1" customHeight="1" spans="5:12">
      <c r="E665" s="14"/>
      <c r="F665" s="14"/>
      <c r="G665" s="14"/>
      <c r="H665" s="14"/>
      <c r="I665" s="14"/>
      <c r="L665" s="12"/>
    </row>
    <row r="666" s="11" customFormat="1" customHeight="1" spans="5:12">
      <c r="E666" s="14"/>
      <c r="F666" s="14"/>
      <c r="G666" s="14"/>
      <c r="H666" s="14"/>
      <c r="I666" s="14"/>
      <c r="L666" s="12"/>
    </row>
    <row r="667" s="11" customFormat="1" customHeight="1" spans="5:12">
      <c r="E667" s="14"/>
      <c r="F667" s="14"/>
      <c r="G667" s="14"/>
      <c r="H667" s="14"/>
      <c r="I667" s="14"/>
      <c r="L667" s="12"/>
    </row>
    <row r="668" s="11" customFormat="1" customHeight="1" spans="5:12">
      <c r="E668" s="14"/>
      <c r="F668" s="14"/>
      <c r="G668" s="14"/>
      <c r="H668" s="14"/>
      <c r="I668" s="14"/>
      <c r="L668" s="12"/>
    </row>
    <row r="669" s="11" customFormat="1" customHeight="1" spans="5:12">
      <c r="E669" s="14"/>
      <c r="F669" s="14"/>
      <c r="G669" s="14"/>
      <c r="H669" s="14"/>
      <c r="I669" s="14"/>
      <c r="L669" s="12"/>
    </row>
    <row r="670" s="11" customFormat="1" customHeight="1" spans="5:12">
      <c r="E670" s="14"/>
      <c r="F670" s="14"/>
      <c r="G670" s="14"/>
      <c r="H670" s="14"/>
      <c r="I670" s="14"/>
      <c r="L670" s="12"/>
    </row>
    <row r="671" s="11" customFormat="1" customHeight="1" spans="5:12">
      <c r="E671" s="14"/>
      <c r="F671" s="14"/>
      <c r="G671" s="14"/>
      <c r="H671" s="14"/>
      <c r="I671" s="14"/>
      <c r="L671" s="12"/>
    </row>
    <row r="672" s="11" customFormat="1" customHeight="1" spans="5:12">
      <c r="E672" s="14"/>
      <c r="F672" s="14"/>
      <c r="G672" s="14"/>
      <c r="H672" s="14"/>
      <c r="I672" s="14"/>
      <c r="L672" s="12"/>
    </row>
    <row r="673" s="11" customFormat="1" customHeight="1" spans="5:12">
      <c r="E673" s="14"/>
      <c r="F673" s="14"/>
      <c r="G673" s="14"/>
      <c r="H673" s="14"/>
      <c r="I673" s="14"/>
      <c r="L673" s="12"/>
    </row>
    <row r="674" s="11" customFormat="1" customHeight="1" spans="5:12">
      <c r="E674" s="14"/>
      <c r="F674" s="14"/>
      <c r="G674" s="14"/>
      <c r="H674" s="14"/>
      <c r="I674" s="14"/>
      <c r="L674" s="12"/>
    </row>
    <row r="675" s="11" customFormat="1" customHeight="1" spans="5:12">
      <c r="E675" s="14"/>
      <c r="F675" s="14"/>
      <c r="G675" s="14"/>
      <c r="H675" s="14"/>
      <c r="I675" s="14"/>
      <c r="L675" s="12"/>
    </row>
    <row r="676" s="11" customFormat="1" customHeight="1" spans="5:12">
      <c r="E676" s="14"/>
      <c r="F676" s="14"/>
      <c r="G676" s="14"/>
      <c r="H676" s="14"/>
      <c r="I676" s="14"/>
      <c r="L676" s="12"/>
    </row>
    <row r="677" s="11" customFormat="1" customHeight="1" spans="5:12">
      <c r="E677" s="14"/>
      <c r="F677" s="14"/>
      <c r="G677" s="14"/>
      <c r="H677" s="14"/>
      <c r="I677" s="14"/>
      <c r="L677" s="12"/>
    </row>
    <row r="678" s="11" customFormat="1" customHeight="1" spans="5:12">
      <c r="E678" s="14"/>
      <c r="F678" s="14"/>
      <c r="G678" s="14"/>
      <c r="H678" s="14"/>
      <c r="I678" s="14"/>
      <c r="L678" s="12"/>
    </row>
    <row r="679" s="11" customFormat="1" customHeight="1" spans="5:12">
      <c r="E679" s="14"/>
      <c r="F679" s="14"/>
      <c r="G679" s="14"/>
      <c r="H679" s="14"/>
      <c r="I679" s="14"/>
      <c r="L679" s="12"/>
    </row>
    <row r="680" s="11" customFormat="1" customHeight="1" spans="5:12">
      <c r="E680" s="14"/>
      <c r="F680" s="14"/>
      <c r="G680" s="14"/>
      <c r="H680" s="14"/>
      <c r="I680" s="14"/>
      <c r="L680" s="12"/>
    </row>
    <row r="681" s="11" customFormat="1" customHeight="1" spans="5:12">
      <c r="E681" s="14"/>
      <c r="F681" s="14"/>
      <c r="G681" s="14"/>
      <c r="H681" s="14"/>
      <c r="I681" s="14"/>
      <c r="L681" s="12"/>
    </row>
    <row r="682" s="11" customFormat="1" customHeight="1" spans="5:12">
      <c r="E682" s="14"/>
      <c r="F682" s="14"/>
      <c r="G682" s="14"/>
      <c r="H682" s="14"/>
      <c r="I682" s="14"/>
      <c r="L682" s="12"/>
    </row>
    <row r="683" s="11" customFormat="1" customHeight="1" spans="5:12">
      <c r="E683" s="14"/>
      <c r="F683" s="14"/>
      <c r="G683" s="14"/>
      <c r="H683" s="14"/>
      <c r="I683" s="14"/>
      <c r="L683" s="12"/>
    </row>
    <row r="684" s="11" customFormat="1" customHeight="1" spans="5:12">
      <c r="E684" s="14"/>
      <c r="F684" s="14"/>
      <c r="G684" s="14"/>
      <c r="H684" s="14"/>
      <c r="I684" s="14"/>
      <c r="L684" s="12"/>
    </row>
    <row r="685" s="11" customFormat="1" customHeight="1" spans="5:12">
      <c r="E685" s="14"/>
      <c r="F685" s="14"/>
      <c r="G685" s="14"/>
      <c r="H685" s="14"/>
      <c r="I685" s="14"/>
      <c r="L685" s="12"/>
    </row>
    <row r="686" s="11" customFormat="1" customHeight="1" spans="5:12">
      <c r="E686" s="14"/>
      <c r="F686" s="14"/>
      <c r="G686" s="14"/>
      <c r="H686" s="14"/>
      <c r="I686" s="14"/>
      <c r="L686" s="12"/>
    </row>
    <row r="687" s="11" customFormat="1" customHeight="1" spans="5:12">
      <c r="E687" s="14"/>
      <c r="F687" s="14"/>
      <c r="G687" s="14"/>
      <c r="H687" s="14"/>
      <c r="I687" s="14"/>
      <c r="L687" s="12"/>
    </row>
    <row r="688" s="11" customFormat="1" customHeight="1" spans="5:12">
      <c r="E688" s="14"/>
      <c r="F688" s="14"/>
      <c r="G688" s="14"/>
      <c r="H688" s="14"/>
      <c r="I688" s="14"/>
      <c r="L688" s="12"/>
    </row>
    <row r="689" s="11" customFormat="1" customHeight="1" spans="5:12">
      <c r="E689" s="14"/>
      <c r="F689" s="14"/>
      <c r="G689" s="14"/>
      <c r="H689" s="14"/>
      <c r="I689" s="14"/>
      <c r="L689" s="12"/>
    </row>
    <row r="690" s="11" customFormat="1" customHeight="1" spans="5:12">
      <c r="E690" s="14"/>
      <c r="F690" s="14"/>
      <c r="G690" s="14"/>
      <c r="H690" s="14"/>
      <c r="I690" s="14"/>
      <c r="L690" s="12"/>
    </row>
    <row r="691" s="11" customFormat="1" customHeight="1" spans="5:12">
      <c r="E691" s="14"/>
      <c r="F691" s="14"/>
      <c r="G691" s="14"/>
      <c r="H691" s="14"/>
      <c r="I691" s="14"/>
      <c r="L691" s="12"/>
    </row>
    <row r="692" s="11" customFormat="1" customHeight="1" spans="5:12">
      <c r="E692" s="14"/>
      <c r="F692" s="14"/>
      <c r="G692" s="14"/>
      <c r="H692" s="14"/>
      <c r="I692" s="14"/>
      <c r="L692" s="12"/>
    </row>
    <row r="693" s="11" customFormat="1" customHeight="1" spans="5:12">
      <c r="E693" s="14"/>
      <c r="F693" s="14"/>
      <c r="G693" s="14"/>
      <c r="H693" s="14"/>
      <c r="I693" s="14"/>
      <c r="L693" s="12"/>
    </row>
    <row r="694" s="11" customFormat="1" customHeight="1" spans="5:12">
      <c r="E694" s="14"/>
      <c r="F694" s="14"/>
      <c r="G694" s="14"/>
      <c r="H694" s="14"/>
      <c r="I694" s="14"/>
      <c r="L694" s="12"/>
    </row>
    <row r="695" s="11" customFormat="1" customHeight="1" spans="5:12">
      <c r="E695" s="14"/>
      <c r="F695" s="14"/>
      <c r="G695" s="14"/>
      <c r="H695" s="14"/>
      <c r="I695" s="14"/>
      <c r="L695" s="12"/>
    </row>
    <row r="696" s="11" customFormat="1" customHeight="1" spans="5:12">
      <c r="E696" s="14"/>
      <c r="F696" s="14"/>
      <c r="G696" s="14"/>
      <c r="H696" s="14"/>
      <c r="I696" s="14"/>
      <c r="L696" s="12"/>
    </row>
    <row r="697" s="11" customFormat="1" customHeight="1" spans="5:12">
      <c r="E697" s="14"/>
      <c r="F697" s="14"/>
      <c r="G697" s="14"/>
      <c r="H697" s="14"/>
      <c r="I697" s="14"/>
      <c r="L697" s="12"/>
    </row>
    <row r="698" s="11" customFormat="1" customHeight="1" spans="5:12">
      <c r="E698" s="14"/>
      <c r="F698" s="14"/>
      <c r="G698" s="14"/>
      <c r="H698" s="14"/>
      <c r="I698" s="14"/>
      <c r="L698" s="12"/>
    </row>
    <row r="699" s="11" customFormat="1" customHeight="1" spans="5:12">
      <c r="E699" s="14"/>
      <c r="F699" s="14"/>
      <c r="G699" s="14"/>
      <c r="H699" s="14"/>
      <c r="I699" s="14"/>
      <c r="L699" s="12"/>
    </row>
    <row r="700" s="11" customFormat="1" customHeight="1" spans="5:12">
      <c r="E700" s="14"/>
      <c r="F700" s="14"/>
      <c r="G700" s="14"/>
      <c r="H700" s="14"/>
      <c r="I700" s="14"/>
      <c r="L700" s="12"/>
    </row>
    <row r="701" s="11" customFormat="1" customHeight="1" spans="5:12">
      <c r="E701" s="14"/>
      <c r="F701" s="14"/>
      <c r="G701" s="14"/>
      <c r="H701" s="14"/>
      <c r="I701" s="14"/>
      <c r="L701" s="12"/>
    </row>
    <row r="702" s="11" customFormat="1" customHeight="1" spans="5:12">
      <c r="E702" s="14"/>
      <c r="F702" s="14"/>
      <c r="G702" s="14"/>
      <c r="H702" s="14"/>
      <c r="I702" s="14"/>
      <c r="L702" s="12"/>
    </row>
    <row r="703" s="11" customFormat="1" customHeight="1" spans="5:12">
      <c r="E703" s="14"/>
      <c r="F703" s="14"/>
      <c r="G703" s="14"/>
      <c r="H703" s="14"/>
      <c r="I703" s="14"/>
      <c r="L703" s="12"/>
    </row>
    <row r="704" s="11" customFormat="1" customHeight="1" spans="5:12">
      <c r="E704" s="14"/>
      <c r="F704" s="14"/>
      <c r="G704" s="14"/>
      <c r="H704" s="14"/>
      <c r="I704" s="14"/>
      <c r="L704" s="12"/>
    </row>
    <row r="705" s="11" customFormat="1" customHeight="1" spans="5:12">
      <c r="E705" s="14"/>
      <c r="F705" s="14"/>
      <c r="G705" s="14"/>
      <c r="H705" s="14"/>
      <c r="I705" s="14"/>
      <c r="L705" s="12"/>
    </row>
    <row r="706" s="11" customFormat="1" customHeight="1" spans="5:12">
      <c r="E706" s="14"/>
      <c r="F706" s="14"/>
      <c r="G706" s="14"/>
      <c r="H706" s="14"/>
      <c r="I706" s="14"/>
      <c r="L706" s="12"/>
    </row>
    <row r="707" s="11" customFormat="1" customHeight="1" spans="5:12">
      <c r="E707" s="14"/>
      <c r="F707" s="14"/>
      <c r="G707" s="14"/>
      <c r="H707" s="14"/>
      <c r="I707" s="14"/>
      <c r="L707" s="12"/>
    </row>
    <row r="708" s="11" customFormat="1" customHeight="1" spans="5:12">
      <c r="E708" s="14"/>
      <c r="F708" s="14"/>
      <c r="G708" s="14"/>
      <c r="H708" s="14"/>
      <c r="I708" s="14"/>
      <c r="L708" s="12"/>
    </row>
    <row r="709" s="11" customFormat="1" customHeight="1" spans="5:12">
      <c r="E709" s="14"/>
      <c r="F709" s="14"/>
      <c r="G709" s="14"/>
      <c r="H709" s="14"/>
      <c r="I709" s="14"/>
      <c r="L709" s="12"/>
    </row>
    <row r="710" s="11" customFormat="1" customHeight="1" spans="5:12">
      <c r="E710" s="14"/>
      <c r="F710" s="14"/>
      <c r="G710" s="14"/>
      <c r="H710" s="14"/>
      <c r="I710" s="14"/>
      <c r="L710" s="12"/>
    </row>
    <row r="711" s="11" customFormat="1" customHeight="1" spans="5:12">
      <c r="E711" s="14"/>
      <c r="F711" s="14"/>
      <c r="G711" s="14"/>
      <c r="H711" s="14"/>
      <c r="I711" s="14"/>
      <c r="L711" s="12"/>
    </row>
    <row r="712" s="11" customFormat="1" customHeight="1" spans="5:12">
      <c r="E712" s="14"/>
      <c r="F712" s="14"/>
      <c r="G712" s="14"/>
      <c r="H712" s="14"/>
      <c r="I712" s="14"/>
      <c r="L712" s="12"/>
    </row>
    <row r="713" s="11" customFormat="1" customHeight="1" spans="5:12">
      <c r="E713" s="14"/>
      <c r="F713" s="14"/>
      <c r="G713" s="14"/>
      <c r="H713" s="14"/>
      <c r="I713" s="14"/>
      <c r="L713" s="12"/>
    </row>
    <row r="714" s="11" customFormat="1" customHeight="1" spans="5:12">
      <c r="E714" s="14"/>
      <c r="F714" s="14"/>
      <c r="G714" s="14"/>
      <c r="H714" s="14"/>
      <c r="I714" s="14"/>
      <c r="L714" s="12"/>
    </row>
    <row r="715" s="11" customFormat="1" customHeight="1" spans="5:12">
      <c r="E715" s="14"/>
      <c r="F715" s="14"/>
      <c r="G715" s="14"/>
      <c r="H715" s="14"/>
      <c r="I715" s="14"/>
      <c r="L715" s="12"/>
    </row>
    <row r="716" s="11" customFormat="1" customHeight="1" spans="5:12">
      <c r="E716" s="14"/>
      <c r="F716" s="14"/>
      <c r="G716" s="14"/>
      <c r="H716" s="14"/>
      <c r="I716" s="14"/>
      <c r="L716" s="12"/>
    </row>
    <row r="717" s="11" customFormat="1" customHeight="1" spans="5:12">
      <c r="E717" s="14"/>
      <c r="F717" s="14"/>
      <c r="G717" s="14"/>
      <c r="H717" s="14"/>
      <c r="I717" s="14"/>
      <c r="L717" s="12"/>
    </row>
    <row r="718" s="11" customFormat="1" customHeight="1" spans="5:12">
      <c r="E718" s="14"/>
      <c r="F718" s="14"/>
      <c r="G718" s="14"/>
      <c r="H718" s="14"/>
      <c r="I718" s="14"/>
      <c r="L718" s="12"/>
    </row>
    <row r="719" s="11" customFormat="1" customHeight="1" spans="5:12">
      <c r="E719" s="14"/>
      <c r="F719" s="14"/>
      <c r="G719" s="14"/>
      <c r="H719" s="14"/>
      <c r="I719" s="14"/>
      <c r="L719" s="12"/>
    </row>
    <row r="720" s="11" customFormat="1" customHeight="1" spans="5:12">
      <c r="E720" s="14"/>
      <c r="F720" s="14"/>
      <c r="G720" s="14"/>
      <c r="H720" s="14"/>
      <c r="I720" s="14"/>
      <c r="L720" s="12"/>
    </row>
    <row r="721" s="11" customFormat="1" customHeight="1" spans="5:12">
      <c r="E721" s="14"/>
      <c r="F721" s="14"/>
      <c r="G721" s="14"/>
      <c r="H721" s="14"/>
      <c r="I721" s="14"/>
      <c r="L721" s="12"/>
    </row>
    <row r="722" s="11" customFormat="1" customHeight="1" spans="5:12">
      <c r="E722" s="14"/>
      <c r="F722" s="14"/>
      <c r="G722" s="14"/>
      <c r="H722" s="14"/>
      <c r="I722" s="14"/>
      <c r="L722" s="12"/>
    </row>
    <row r="723" s="11" customFormat="1" customHeight="1" spans="5:12">
      <c r="E723" s="14"/>
      <c r="F723" s="14"/>
      <c r="G723" s="14"/>
      <c r="H723" s="14"/>
      <c r="I723" s="14"/>
      <c r="L723" s="12"/>
    </row>
    <row r="724" s="11" customFormat="1" customHeight="1" spans="5:12">
      <c r="E724" s="14"/>
      <c r="F724" s="14"/>
      <c r="G724" s="14"/>
      <c r="H724" s="14"/>
      <c r="I724" s="14"/>
      <c r="L724" s="12"/>
    </row>
    <row r="725" s="11" customFormat="1" customHeight="1" spans="5:12">
      <c r="E725" s="14"/>
      <c r="F725" s="14"/>
      <c r="G725" s="14"/>
      <c r="H725" s="14"/>
      <c r="I725" s="14"/>
      <c r="L725" s="12"/>
    </row>
    <row r="726" s="11" customFormat="1" customHeight="1" spans="5:12">
      <c r="E726" s="14"/>
      <c r="F726" s="14"/>
      <c r="G726" s="14"/>
      <c r="H726" s="14"/>
      <c r="I726" s="14"/>
      <c r="L726" s="12"/>
    </row>
    <row r="727" s="11" customFormat="1" customHeight="1" spans="5:12">
      <c r="E727" s="14"/>
      <c r="F727" s="14"/>
      <c r="G727" s="14"/>
      <c r="H727" s="14"/>
      <c r="I727" s="14"/>
      <c r="L727" s="12"/>
    </row>
    <row r="728" s="11" customFormat="1" customHeight="1" spans="5:12">
      <c r="E728" s="14"/>
      <c r="F728" s="14"/>
      <c r="G728" s="14"/>
      <c r="H728" s="14"/>
      <c r="I728" s="14"/>
      <c r="L728" s="12"/>
    </row>
    <row r="729" s="11" customFormat="1" customHeight="1" spans="5:12">
      <c r="E729" s="14"/>
      <c r="F729" s="14"/>
      <c r="G729" s="14"/>
      <c r="H729" s="14"/>
      <c r="I729" s="14"/>
      <c r="L729" s="12"/>
    </row>
    <row r="730" s="11" customFormat="1" customHeight="1" spans="5:12">
      <c r="E730" s="14"/>
      <c r="F730" s="14"/>
      <c r="G730" s="14"/>
      <c r="H730" s="14"/>
      <c r="I730" s="14"/>
      <c r="L730" s="12"/>
    </row>
    <row r="731" s="11" customFormat="1" customHeight="1" spans="5:12">
      <c r="E731" s="14"/>
      <c r="F731" s="14"/>
      <c r="G731" s="14"/>
      <c r="H731" s="14"/>
      <c r="I731" s="14"/>
      <c r="L731" s="12"/>
    </row>
    <row r="732" s="11" customFormat="1" customHeight="1" spans="5:12">
      <c r="E732" s="14"/>
      <c r="F732" s="14"/>
      <c r="G732" s="14"/>
      <c r="H732" s="14"/>
      <c r="I732" s="14"/>
      <c r="L732" s="12"/>
    </row>
    <row r="733" s="11" customFormat="1" customHeight="1" spans="5:12">
      <c r="E733" s="14"/>
      <c r="F733" s="14"/>
      <c r="G733" s="14"/>
      <c r="H733" s="14"/>
      <c r="I733" s="14"/>
      <c r="L733" s="12"/>
    </row>
    <row r="734" s="11" customFormat="1" customHeight="1" spans="5:12">
      <c r="E734" s="14"/>
      <c r="F734" s="14"/>
      <c r="G734" s="14"/>
      <c r="H734" s="14"/>
      <c r="I734" s="14"/>
      <c r="L734" s="12"/>
    </row>
    <row r="735" s="11" customFormat="1" customHeight="1" spans="5:12">
      <c r="E735" s="14"/>
      <c r="F735" s="14"/>
      <c r="G735" s="14"/>
      <c r="H735" s="14"/>
      <c r="I735" s="14"/>
      <c r="L735" s="12"/>
    </row>
    <row r="736" s="11" customFormat="1" customHeight="1" spans="5:12">
      <c r="E736" s="14"/>
      <c r="F736" s="14"/>
      <c r="G736" s="14"/>
      <c r="H736" s="14"/>
      <c r="I736" s="14"/>
      <c r="L736" s="12"/>
    </row>
    <row r="737" s="11" customFormat="1" customHeight="1" spans="5:12">
      <c r="E737" s="14"/>
      <c r="F737" s="14"/>
      <c r="G737" s="14"/>
      <c r="H737" s="14"/>
      <c r="I737" s="14"/>
      <c r="L737" s="12"/>
    </row>
    <row r="738" s="11" customFormat="1" customHeight="1" spans="5:12">
      <c r="E738" s="14"/>
      <c r="F738" s="14"/>
      <c r="G738" s="14"/>
      <c r="H738" s="14"/>
      <c r="I738" s="14"/>
      <c r="L738" s="12"/>
    </row>
    <row r="739" s="11" customFormat="1" customHeight="1" spans="5:12">
      <c r="E739" s="14"/>
      <c r="F739" s="14"/>
      <c r="G739" s="14"/>
      <c r="H739" s="14"/>
      <c r="I739" s="14"/>
      <c r="L739" s="12"/>
    </row>
    <row r="740" s="11" customFormat="1" customHeight="1" spans="5:12">
      <c r="E740" s="14"/>
      <c r="F740" s="14"/>
      <c r="G740" s="14"/>
      <c r="H740" s="14"/>
      <c r="I740" s="14"/>
      <c r="L740" s="12"/>
    </row>
    <row r="741" s="11" customFormat="1" customHeight="1" spans="5:12">
      <c r="E741" s="14"/>
      <c r="F741" s="14"/>
      <c r="G741" s="14"/>
      <c r="H741" s="14"/>
      <c r="I741" s="14"/>
      <c r="L741" s="12"/>
    </row>
    <row r="742" s="11" customFormat="1" customHeight="1" spans="5:12">
      <c r="E742" s="14"/>
      <c r="F742" s="14"/>
      <c r="G742" s="14"/>
      <c r="H742" s="14"/>
      <c r="I742" s="14"/>
      <c r="L742" s="12"/>
    </row>
    <row r="743" s="11" customFormat="1" customHeight="1" spans="5:12">
      <c r="E743" s="14"/>
      <c r="F743" s="14"/>
      <c r="G743" s="14"/>
      <c r="H743" s="14"/>
      <c r="I743" s="14"/>
      <c r="L743" s="12"/>
    </row>
    <row r="744" s="11" customFormat="1" customHeight="1" spans="5:12">
      <c r="E744" s="14"/>
      <c r="F744" s="14"/>
      <c r="G744" s="14"/>
      <c r="H744" s="14"/>
      <c r="I744" s="14"/>
      <c r="L744" s="12"/>
    </row>
    <row r="745" s="11" customFormat="1" customHeight="1" spans="5:12">
      <c r="E745" s="14"/>
      <c r="F745" s="14"/>
      <c r="G745" s="14"/>
      <c r="H745" s="14"/>
      <c r="I745" s="14"/>
      <c r="L745" s="12"/>
    </row>
    <row r="746" s="11" customFormat="1" customHeight="1" spans="5:12">
      <c r="E746" s="14"/>
      <c r="F746" s="14"/>
      <c r="G746" s="14"/>
      <c r="H746" s="14"/>
      <c r="I746" s="14"/>
      <c r="L746" s="12"/>
    </row>
    <row r="747" s="11" customFormat="1" customHeight="1" spans="5:12">
      <c r="E747" s="14"/>
      <c r="F747" s="14"/>
      <c r="G747" s="14"/>
      <c r="H747" s="14"/>
      <c r="I747" s="14"/>
      <c r="L747" s="12"/>
    </row>
    <row r="748" s="11" customFormat="1" customHeight="1" spans="5:12">
      <c r="E748" s="14"/>
      <c r="F748" s="14"/>
      <c r="G748" s="14"/>
      <c r="H748" s="14"/>
      <c r="I748" s="14"/>
      <c r="L748" s="12"/>
    </row>
    <row r="749" s="11" customFormat="1" customHeight="1" spans="5:12">
      <c r="E749" s="14"/>
      <c r="F749" s="14"/>
      <c r="G749" s="14"/>
      <c r="H749" s="14"/>
      <c r="I749" s="14"/>
      <c r="L749" s="12"/>
    </row>
    <row r="750" s="11" customFormat="1" customHeight="1" spans="5:12">
      <c r="E750" s="14"/>
      <c r="F750" s="14"/>
      <c r="G750" s="14"/>
      <c r="H750" s="14"/>
      <c r="I750" s="14"/>
      <c r="L750" s="12"/>
    </row>
    <row r="751" s="11" customFormat="1" customHeight="1" spans="5:12">
      <c r="E751" s="14"/>
      <c r="F751" s="14"/>
      <c r="G751" s="14"/>
      <c r="H751" s="14"/>
      <c r="I751" s="14"/>
      <c r="L751" s="12"/>
    </row>
    <row r="752" s="11" customFormat="1" customHeight="1" spans="5:12">
      <c r="E752" s="14"/>
      <c r="F752" s="14"/>
      <c r="G752" s="14"/>
      <c r="H752" s="14"/>
      <c r="I752" s="14"/>
      <c r="L752" s="12"/>
    </row>
    <row r="753" s="11" customFormat="1" customHeight="1" spans="5:12">
      <c r="E753" s="14"/>
      <c r="F753" s="14"/>
      <c r="G753" s="14"/>
      <c r="H753" s="14"/>
      <c r="I753" s="14"/>
      <c r="L753" s="12"/>
    </row>
    <row r="754" s="11" customFormat="1" customHeight="1" spans="5:12">
      <c r="E754" s="14"/>
      <c r="F754" s="14"/>
      <c r="G754" s="14"/>
      <c r="H754" s="14"/>
      <c r="I754" s="14"/>
      <c r="L754" s="12"/>
    </row>
    <row r="755" s="11" customFormat="1" customHeight="1" spans="5:12">
      <c r="E755" s="14"/>
      <c r="F755" s="14"/>
      <c r="G755" s="14"/>
      <c r="H755" s="14"/>
      <c r="I755" s="14"/>
      <c r="L755" s="12"/>
    </row>
    <row r="756" s="11" customFormat="1" customHeight="1" spans="5:12">
      <c r="E756" s="14"/>
      <c r="F756" s="14"/>
      <c r="G756" s="14"/>
      <c r="H756" s="14"/>
      <c r="I756" s="14"/>
      <c r="L756" s="12"/>
    </row>
    <row r="757" s="11" customFormat="1" customHeight="1" spans="5:12">
      <c r="E757" s="14"/>
      <c r="F757" s="14"/>
      <c r="G757" s="14"/>
      <c r="H757" s="14"/>
      <c r="I757" s="14"/>
      <c r="L757" s="12"/>
    </row>
    <row r="758" s="11" customFormat="1" customHeight="1" spans="5:12">
      <c r="E758" s="14"/>
      <c r="F758" s="14"/>
      <c r="G758" s="14"/>
      <c r="H758" s="14"/>
      <c r="I758" s="14"/>
      <c r="L758" s="12"/>
    </row>
    <row r="759" s="11" customFormat="1" customHeight="1" spans="5:12">
      <c r="E759" s="14"/>
      <c r="F759" s="14"/>
      <c r="G759" s="14"/>
      <c r="H759" s="14"/>
      <c r="I759" s="14"/>
      <c r="L759" s="12"/>
    </row>
    <row r="760" s="11" customFormat="1" customHeight="1" spans="5:12">
      <c r="E760" s="14"/>
      <c r="F760" s="14"/>
      <c r="G760" s="14"/>
      <c r="H760" s="14"/>
      <c r="I760" s="14"/>
      <c r="L760" s="12"/>
    </row>
    <row r="761" s="11" customFormat="1" customHeight="1" spans="5:12">
      <c r="E761" s="14"/>
      <c r="F761" s="14"/>
      <c r="G761" s="14"/>
      <c r="H761" s="14"/>
      <c r="I761" s="14"/>
      <c r="L761" s="12"/>
    </row>
    <row r="762" s="11" customFormat="1" customHeight="1" spans="5:12">
      <c r="E762" s="14"/>
      <c r="F762" s="14"/>
      <c r="G762" s="14"/>
      <c r="H762" s="14"/>
      <c r="I762" s="14"/>
      <c r="L762" s="12"/>
    </row>
    <row r="763" s="11" customFormat="1" customHeight="1" spans="5:12">
      <c r="E763" s="14"/>
      <c r="F763" s="14"/>
      <c r="G763" s="14"/>
      <c r="H763" s="14"/>
      <c r="I763" s="14"/>
      <c r="L763" s="12"/>
    </row>
    <row r="764" s="11" customFormat="1" customHeight="1" spans="5:12">
      <c r="E764" s="14"/>
      <c r="F764" s="14"/>
      <c r="G764" s="14"/>
      <c r="H764" s="14"/>
      <c r="I764" s="14"/>
      <c r="L764" s="12"/>
    </row>
    <row r="765" s="11" customFormat="1" customHeight="1" spans="5:12">
      <c r="E765" s="14"/>
      <c r="F765" s="14"/>
      <c r="G765" s="14"/>
      <c r="H765" s="14"/>
      <c r="I765" s="14"/>
      <c r="L765" s="12"/>
    </row>
    <row r="766" s="11" customFormat="1" customHeight="1" spans="5:12">
      <c r="E766" s="14"/>
      <c r="F766" s="14"/>
      <c r="G766" s="14"/>
      <c r="H766" s="14"/>
      <c r="I766" s="14"/>
      <c r="L766" s="12"/>
    </row>
    <row r="767" s="11" customFormat="1" customHeight="1" spans="5:12">
      <c r="E767" s="14"/>
      <c r="F767" s="14"/>
      <c r="G767" s="14"/>
      <c r="H767" s="14"/>
      <c r="I767" s="14"/>
      <c r="L767" s="12"/>
    </row>
    <row r="768" s="11" customFormat="1" customHeight="1" spans="5:12">
      <c r="E768" s="14"/>
      <c r="F768" s="14"/>
      <c r="G768" s="14"/>
      <c r="H768" s="14"/>
      <c r="I768" s="14"/>
      <c r="L768" s="12"/>
    </row>
    <row r="769" s="11" customFormat="1" customHeight="1" spans="5:12">
      <c r="E769" s="14"/>
      <c r="F769" s="14"/>
      <c r="G769" s="14"/>
      <c r="H769" s="14"/>
      <c r="I769" s="14"/>
      <c r="L769" s="12"/>
    </row>
    <row r="770" s="11" customFormat="1" customHeight="1" spans="5:12">
      <c r="E770" s="14"/>
      <c r="F770" s="14"/>
      <c r="G770" s="14"/>
      <c r="H770" s="14"/>
      <c r="I770" s="14"/>
      <c r="L770" s="12"/>
    </row>
    <row r="771" s="11" customFormat="1" customHeight="1" spans="5:12">
      <c r="E771" s="14"/>
      <c r="F771" s="14"/>
      <c r="G771" s="14"/>
      <c r="H771" s="14"/>
      <c r="I771" s="14"/>
      <c r="L771" s="12"/>
    </row>
    <row r="772" s="11" customFormat="1" customHeight="1" spans="5:12">
      <c r="E772" s="14"/>
      <c r="F772" s="14"/>
      <c r="G772" s="14"/>
      <c r="H772" s="14"/>
      <c r="I772" s="14"/>
      <c r="L772" s="12"/>
    </row>
    <row r="773" s="11" customFormat="1" customHeight="1" spans="5:12">
      <c r="E773" s="14"/>
      <c r="F773" s="14"/>
      <c r="G773" s="14"/>
      <c r="H773" s="14"/>
      <c r="I773" s="14"/>
      <c r="L773" s="12"/>
    </row>
    <row r="774" s="11" customFormat="1" customHeight="1" spans="5:12">
      <c r="E774" s="14"/>
      <c r="F774" s="14"/>
      <c r="G774" s="14"/>
      <c r="H774" s="14"/>
      <c r="I774" s="14"/>
      <c r="L774" s="12"/>
    </row>
    <row r="775" s="11" customFormat="1" customHeight="1" spans="5:12">
      <c r="E775" s="14"/>
      <c r="F775" s="14"/>
      <c r="G775" s="14"/>
      <c r="H775" s="14"/>
      <c r="I775" s="14"/>
      <c r="L775" s="12"/>
    </row>
    <row r="776" s="11" customFormat="1" customHeight="1" spans="5:12">
      <c r="E776" s="14"/>
      <c r="F776" s="14"/>
      <c r="G776" s="14"/>
      <c r="H776" s="14"/>
      <c r="I776" s="14"/>
      <c r="L776" s="12"/>
    </row>
    <row r="777" s="11" customFormat="1" customHeight="1" spans="5:12">
      <c r="E777" s="14"/>
      <c r="F777" s="14"/>
      <c r="G777" s="14"/>
      <c r="H777" s="14"/>
      <c r="I777" s="14"/>
      <c r="L777" s="12"/>
    </row>
    <row r="778" s="11" customFormat="1" customHeight="1" spans="5:12">
      <c r="E778" s="14"/>
      <c r="F778" s="14"/>
      <c r="G778" s="14"/>
      <c r="H778" s="14"/>
      <c r="I778" s="14"/>
      <c r="L778" s="12"/>
    </row>
    <row r="779" s="11" customFormat="1" customHeight="1" spans="5:12">
      <c r="E779" s="14"/>
      <c r="F779" s="14"/>
      <c r="G779" s="14"/>
      <c r="H779" s="14"/>
      <c r="I779" s="14"/>
      <c r="L779" s="12"/>
    </row>
    <row r="780" s="11" customFormat="1" customHeight="1" spans="5:12">
      <c r="E780" s="14"/>
      <c r="F780" s="14"/>
      <c r="G780" s="14"/>
      <c r="H780" s="14"/>
      <c r="I780" s="14"/>
      <c r="L780" s="12"/>
    </row>
    <row r="781" s="11" customFormat="1" customHeight="1" spans="5:12">
      <c r="E781" s="14"/>
      <c r="F781" s="14"/>
      <c r="G781" s="14"/>
      <c r="H781" s="14"/>
      <c r="I781" s="14"/>
      <c r="L781" s="12"/>
    </row>
    <row r="782" s="11" customFormat="1" customHeight="1" spans="5:12">
      <c r="E782" s="14"/>
      <c r="F782" s="14"/>
      <c r="G782" s="14"/>
      <c r="H782" s="14"/>
      <c r="I782" s="14"/>
      <c r="L782" s="12"/>
    </row>
    <row r="783" s="11" customFormat="1" customHeight="1" spans="5:12">
      <c r="E783" s="14"/>
      <c r="F783" s="14"/>
      <c r="G783" s="14"/>
      <c r="H783" s="14"/>
      <c r="I783" s="14"/>
      <c r="L783" s="12"/>
    </row>
    <row r="784" s="11" customFormat="1" customHeight="1" spans="5:12">
      <c r="E784" s="14"/>
      <c r="F784" s="14"/>
      <c r="G784" s="14"/>
      <c r="H784" s="14"/>
      <c r="I784" s="14"/>
      <c r="L784" s="12"/>
    </row>
    <row r="785" s="11" customFormat="1" customHeight="1" spans="5:12">
      <c r="E785" s="14"/>
      <c r="F785" s="14"/>
      <c r="G785" s="14"/>
      <c r="H785" s="14"/>
      <c r="I785" s="14"/>
      <c r="L785" s="12"/>
    </row>
    <row r="786" s="11" customFormat="1" customHeight="1" spans="5:12">
      <c r="E786" s="14"/>
      <c r="F786" s="14"/>
      <c r="G786" s="14"/>
      <c r="H786" s="14"/>
      <c r="I786" s="14"/>
      <c r="L786" s="12"/>
    </row>
    <row r="787" s="11" customFormat="1" customHeight="1" spans="5:12">
      <c r="E787" s="14"/>
      <c r="F787" s="14"/>
      <c r="G787" s="14"/>
      <c r="H787" s="14"/>
      <c r="I787" s="14"/>
      <c r="L787" s="12"/>
    </row>
    <row r="788" s="11" customFormat="1" customHeight="1" spans="5:12">
      <c r="E788" s="14"/>
      <c r="F788" s="14"/>
      <c r="G788" s="14"/>
      <c r="H788" s="14"/>
      <c r="I788" s="14"/>
      <c r="L788" s="12"/>
    </row>
    <row r="789" s="11" customFormat="1" customHeight="1" spans="5:12">
      <c r="E789" s="14"/>
      <c r="F789" s="14"/>
      <c r="G789" s="14"/>
      <c r="H789" s="14"/>
      <c r="I789" s="14"/>
      <c r="L789" s="12"/>
    </row>
    <row r="790" s="11" customFormat="1" customHeight="1" spans="5:12">
      <c r="E790" s="14"/>
      <c r="F790" s="14"/>
      <c r="G790" s="14"/>
      <c r="H790" s="14"/>
      <c r="I790" s="14"/>
      <c r="L790" s="12"/>
    </row>
    <row r="791" s="11" customFormat="1" customHeight="1" spans="5:12">
      <c r="E791" s="14"/>
      <c r="F791" s="14"/>
      <c r="G791" s="14"/>
      <c r="H791" s="14"/>
      <c r="I791" s="14"/>
      <c r="L791" s="12"/>
    </row>
    <row r="792" s="11" customFormat="1" customHeight="1" spans="5:12">
      <c r="E792" s="14"/>
      <c r="F792" s="14"/>
      <c r="G792" s="14"/>
      <c r="H792" s="14"/>
      <c r="I792" s="14"/>
      <c r="L792" s="12"/>
    </row>
    <row r="793" s="11" customFormat="1" customHeight="1" spans="5:12">
      <c r="E793" s="14"/>
      <c r="F793" s="14"/>
      <c r="G793" s="14"/>
      <c r="H793" s="14"/>
      <c r="I793" s="14"/>
      <c r="L793" s="12"/>
    </row>
    <row r="794" s="11" customFormat="1" customHeight="1" spans="5:12">
      <c r="E794" s="14"/>
      <c r="F794" s="14"/>
      <c r="G794" s="14"/>
      <c r="H794" s="14"/>
      <c r="I794" s="14"/>
      <c r="L794" s="12"/>
    </row>
    <row r="795" s="11" customFormat="1" customHeight="1" spans="5:12">
      <c r="E795" s="14"/>
      <c r="F795" s="14"/>
      <c r="G795" s="14"/>
      <c r="H795" s="14"/>
      <c r="I795" s="14"/>
      <c r="L795" s="12"/>
    </row>
    <row r="796" s="11" customFormat="1" customHeight="1" spans="5:12">
      <c r="E796" s="14"/>
      <c r="F796" s="14"/>
      <c r="G796" s="14"/>
      <c r="H796" s="14"/>
      <c r="I796" s="14"/>
      <c r="L796" s="12"/>
    </row>
    <row r="797" s="11" customFormat="1" customHeight="1" spans="5:12">
      <c r="E797" s="14"/>
      <c r="F797" s="14"/>
      <c r="G797" s="14"/>
      <c r="H797" s="14"/>
      <c r="I797" s="14"/>
      <c r="L797" s="12"/>
    </row>
    <row r="798" s="11" customFormat="1" customHeight="1" spans="5:12">
      <c r="E798" s="14"/>
      <c r="F798" s="14"/>
      <c r="G798" s="14"/>
      <c r="H798" s="14"/>
      <c r="I798" s="14"/>
      <c r="L798" s="12"/>
    </row>
    <row r="799" s="11" customFormat="1" customHeight="1" spans="5:12">
      <c r="E799" s="14"/>
      <c r="F799" s="14"/>
      <c r="G799" s="14"/>
      <c r="H799" s="14"/>
      <c r="I799" s="14"/>
      <c r="L799" s="12"/>
    </row>
    <row r="800" s="11" customFormat="1" customHeight="1" spans="5:12">
      <c r="E800" s="14"/>
      <c r="F800" s="14"/>
      <c r="G800" s="14"/>
      <c r="H800" s="14"/>
      <c r="I800" s="14"/>
      <c r="L800" s="12"/>
    </row>
    <row r="801" s="11" customFormat="1" customHeight="1" spans="5:12">
      <c r="E801" s="14"/>
      <c r="F801" s="14"/>
      <c r="G801" s="14"/>
      <c r="H801" s="14"/>
      <c r="I801" s="14"/>
      <c r="L801" s="12"/>
    </row>
    <row r="802" s="11" customFormat="1" customHeight="1" spans="5:12">
      <c r="E802" s="14"/>
      <c r="F802" s="14"/>
      <c r="G802" s="14"/>
      <c r="H802" s="14"/>
      <c r="I802" s="14"/>
      <c r="L802" s="12"/>
    </row>
    <row r="803" s="11" customFormat="1" customHeight="1" spans="5:12">
      <c r="E803" s="14"/>
      <c r="F803" s="14"/>
      <c r="G803" s="14"/>
      <c r="H803" s="14"/>
      <c r="I803" s="14"/>
      <c r="L803" s="12"/>
    </row>
    <row r="804" s="11" customFormat="1" customHeight="1" spans="5:12">
      <c r="E804" s="14"/>
      <c r="F804" s="14"/>
      <c r="G804" s="14"/>
      <c r="H804" s="14"/>
      <c r="I804" s="14"/>
      <c r="L804" s="12"/>
    </row>
    <row r="805" s="11" customFormat="1" customHeight="1" spans="5:12">
      <c r="E805" s="14"/>
      <c r="F805" s="14"/>
      <c r="G805" s="14"/>
      <c r="H805" s="14"/>
      <c r="I805" s="14"/>
      <c r="L805" s="12"/>
    </row>
    <row r="806" s="11" customFormat="1" customHeight="1" spans="5:12">
      <c r="E806" s="14"/>
      <c r="F806" s="14"/>
      <c r="G806" s="14"/>
      <c r="H806" s="14"/>
      <c r="I806" s="14"/>
      <c r="L806" s="12"/>
    </row>
    <row r="807" s="11" customFormat="1" customHeight="1" spans="5:12">
      <c r="E807" s="14"/>
      <c r="F807" s="14"/>
      <c r="G807" s="14"/>
      <c r="H807" s="14"/>
      <c r="I807" s="14"/>
      <c r="L807" s="12"/>
    </row>
    <row r="808" s="11" customFormat="1" customHeight="1" spans="5:12">
      <c r="E808" s="14"/>
      <c r="F808" s="14"/>
      <c r="G808" s="14"/>
      <c r="H808" s="14"/>
      <c r="I808" s="14"/>
      <c r="L808" s="12"/>
    </row>
    <row r="809" s="11" customFormat="1" customHeight="1" spans="5:12">
      <c r="E809" s="14"/>
      <c r="F809" s="14"/>
      <c r="G809" s="14"/>
      <c r="H809" s="14"/>
      <c r="I809" s="14"/>
      <c r="L809" s="12"/>
    </row>
    <row r="810" s="11" customFormat="1" customHeight="1" spans="5:12">
      <c r="E810" s="14"/>
      <c r="F810" s="14"/>
      <c r="G810" s="14"/>
      <c r="H810" s="14"/>
      <c r="I810" s="14"/>
      <c r="L810" s="12"/>
    </row>
    <row r="811" s="11" customFormat="1" customHeight="1" spans="5:12">
      <c r="E811" s="14"/>
      <c r="F811" s="14"/>
      <c r="G811" s="14"/>
      <c r="H811" s="14"/>
      <c r="I811" s="14"/>
      <c r="L811" s="12"/>
    </row>
    <row r="812" s="11" customFormat="1" customHeight="1" spans="5:12">
      <c r="E812" s="14"/>
      <c r="F812" s="14"/>
      <c r="G812" s="14"/>
      <c r="H812" s="14"/>
      <c r="I812" s="14"/>
      <c r="L812" s="12"/>
    </row>
    <row r="813" s="11" customFormat="1" customHeight="1" spans="5:12">
      <c r="E813" s="14"/>
      <c r="F813" s="14"/>
      <c r="G813" s="14"/>
      <c r="H813" s="14"/>
      <c r="I813" s="14"/>
      <c r="L813" s="12"/>
    </row>
    <row r="814" s="11" customFormat="1" customHeight="1" spans="5:12">
      <c r="E814" s="14"/>
      <c r="F814" s="14"/>
      <c r="G814" s="14"/>
      <c r="H814" s="14"/>
      <c r="I814" s="14"/>
      <c r="L814" s="12"/>
    </row>
    <row r="815" s="11" customFormat="1" customHeight="1" spans="5:12">
      <c r="E815" s="14"/>
      <c r="F815" s="14"/>
      <c r="G815" s="14"/>
      <c r="H815" s="14"/>
      <c r="I815" s="14"/>
      <c r="L815" s="12"/>
    </row>
    <row r="816" s="11" customFormat="1" customHeight="1" spans="5:12">
      <c r="E816" s="14"/>
      <c r="F816" s="14"/>
      <c r="G816" s="14"/>
      <c r="H816" s="14"/>
      <c r="I816" s="14"/>
      <c r="L816" s="12"/>
    </row>
    <row r="817" s="11" customFormat="1" customHeight="1" spans="5:12">
      <c r="E817" s="14"/>
      <c r="F817" s="14"/>
      <c r="G817" s="14"/>
      <c r="H817" s="14"/>
      <c r="I817" s="14"/>
      <c r="L817" s="12"/>
    </row>
    <row r="818" s="11" customFormat="1" customHeight="1" spans="5:12">
      <c r="E818" s="14"/>
      <c r="F818" s="14"/>
      <c r="G818" s="14"/>
      <c r="H818" s="14"/>
      <c r="I818" s="14"/>
      <c r="L818" s="12"/>
    </row>
    <row r="819" s="11" customFormat="1" customHeight="1" spans="5:12">
      <c r="E819" s="14"/>
      <c r="F819" s="14"/>
      <c r="G819" s="14"/>
      <c r="H819" s="14"/>
      <c r="I819" s="14"/>
      <c r="L819" s="12"/>
    </row>
    <row r="820" s="11" customFormat="1" customHeight="1" spans="5:12">
      <c r="E820" s="14"/>
      <c r="F820" s="14"/>
      <c r="G820" s="14"/>
      <c r="H820" s="14"/>
      <c r="I820" s="14"/>
      <c r="L820" s="12"/>
    </row>
    <row r="821" s="11" customFormat="1" customHeight="1" spans="5:12">
      <c r="E821" s="14"/>
      <c r="F821" s="14"/>
      <c r="G821" s="14"/>
      <c r="H821" s="14"/>
      <c r="I821" s="14"/>
      <c r="L821" s="12"/>
    </row>
    <row r="822" s="11" customFormat="1" customHeight="1" spans="5:12">
      <c r="E822" s="14"/>
      <c r="F822" s="14"/>
      <c r="G822" s="14"/>
      <c r="H822" s="14"/>
      <c r="I822" s="14"/>
      <c r="L822" s="12"/>
    </row>
    <row r="823" s="11" customFormat="1" customHeight="1" spans="5:12">
      <c r="E823" s="14"/>
      <c r="F823" s="14"/>
      <c r="G823" s="14"/>
      <c r="H823" s="14"/>
      <c r="I823" s="14"/>
      <c r="L823" s="12"/>
    </row>
    <row r="824" s="11" customFormat="1" customHeight="1" spans="5:12">
      <c r="E824" s="14"/>
      <c r="F824" s="14"/>
      <c r="G824" s="14"/>
      <c r="H824" s="14"/>
      <c r="I824" s="14"/>
      <c r="L824" s="12"/>
    </row>
    <row r="825" s="11" customFormat="1" customHeight="1" spans="5:12">
      <c r="E825" s="14"/>
      <c r="F825" s="14"/>
      <c r="G825" s="14"/>
      <c r="H825" s="14"/>
      <c r="I825" s="14"/>
      <c r="L825" s="12"/>
    </row>
    <row r="826" s="11" customFormat="1" customHeight="1" spans="5:12">
      <c r="E826" s="14"/>
      <c r="F826" s="14"/>
      <c r="G826" s="14"/>
      <c r="H826" s="14"/>
      <c r="I826" s="14"/>
      <c r="L826" s="12"/>
    </row>
    <row r="827" s="11" customFormat="1" customHeight="1" spans="5:12">
      <c r="E827" s="14"/>
      <c r="F827" s="14"/>
      <c r="G827" s="14"/>
      <c r="H827" s="14"/>
      <c r="I827" s="14"/>
      <c r="L827" s="12"/>
    </row>
    <row r="828" s="11" customFormat="1" customHeight="1" spans="5:12">
      <c r="E828" s="14"/>
      <c r="F828" s="14"/>
      <c r="G828" s="14"/>
      <c r="H828" s="14"/>
      <c r="I828" s="14"/>
      <c r="L828" s="12"/>
    </row>
    <row r="829" s="11" customFormat="1" customHeight="1" spans="5:12">
      <c r="E829" s="14"/>
      <c r="F829" s="14"/>
      <c r="G829" s="14"/>
      <c r="H829" s="14"/>
      <c r="I829" s="14"/>
      <c r="L829" s="12"/>
    </row>
    <row r="830" s="11" customFormat="1" customHeight="1" spans="5:12">
      <c r="E830" s="14"/>
      <c r="F830" s="14"/>
      <c r="G830" s="14"/>
      <c r="H830" s="14"/>
      <c r="I830" s="14"/>
      <c r="L830" s="12"/>
    </row>
    <row r="831" s="11" customFormat="1" customHeight="1" spans="5:12">
      <c r="E831" s="14"/>
      <c r="F831" s="14"/>
      <c r="G831" s="14"/>
      <c r="H831" s="14"/>
      <c r="I831" s="14"/>
      <c r="L831" s="12"/>
    </row>
    <row r="832" s="11" customFormat="1" customHeight="1" spans="5:12">
      <c r="E832" s="14"/>
      <c r="F832" s="14"/>
      <c r="G832" s="14"/>
      <c r="H832" s="14"/>
      <c r="I832" s="14"/>
      <c r="L832" s="12"/>
    </row>
    <row r="833" s="11" customFormat="1" customHeight="1" spans="5:12">
      <c r="E833" s="14"/>
      <c r="F833" s="14"/>
      <c r="G833" s="14"/>
      <c r="H833" s="14"/>
      <c r="I833" s="14"/>
      <c r="L833" s="12"/>
    </row>
    <row r="834" s="11" customFormat="1" customHeight="1" spans="5:12">
      <c r="E834" s="14"/>
      <c r="F834" s="14"/>
      <c r="G834" s="14"/>
      <c r="H834" s="14"/>
      <c r="I834" s="14"/>
      <c r="L834" s="12"/>
    </row>
    <row r="835" s="11" customFormat="1" customHeight="1" spans="5:12">
      <c r="E835" s="14"/>
      <c r="F835" s="14"/>
      <c r="G835" s="14"/>
      <c r="H835" s="14"/>
      <c r="I835" s="14"/>
      <c r="L835" s="12"/>
    </row>
    <row r="836" s="11" customFormat="1" customHeight="1" spans="5:12">
      <c r="E836" s="14"/>
      <c r="F836" s="14"/>
      <c r="G836" s="14"/>
      <c r="H836" s="14"/>
      <c r="I836" s="14"/>
      <c r="L836" s="12"/>
    </row>
    <row r="837" s="11" customFormat="1" customHeight="1" spans="5:12">
      <c r="E837" s="14"/>
      <c r="F837" s="14"/>
      <c r="G837" s="14"/>
      <c r="H837" s="14"/>
      <c r="I837" s="14"/>
      <c r="L837" s="12"/>
    </row>
    <row r="838" s="11" customFormat="1" customHeight="1" spans="5:12">
      <c r="E838" s="14"/>
      <c r="F838" s="14"/>
      <c r="G838" s="14"/>
      <c r="H838" s="14"/>
      <c r="I838" s="14"/>
      <c r="L838" s="12"/>
    </row>
    <row r="839" s="11" customFormat="1" customHeight="1" spans="5:12">
      <c r="E839" s="14"/>
      <c r="F839" s="14"/>
      <c r="G839" s="14"/>
      <c r="H839" s="14"/>
      <c r="I839" s="14"/>
      <c r="L839" s="12"/>
    </row>
    <row r="840" s="11" customFormat="1" customHeight="1" spans="5:12">
      <c r="E840" s="14"/>
      <c r="F840" s="14"/>
      <c r="G840" s="14"/>
      <c r="H840" s="14"/>
      <c r="I840" s="14"/>
      <c r="L840" s="12"/>
    </row>
    <row r="841" s="11" customFormat="1" customHeight="1" spans="5:12">
      <c r="E841" s="14"/>
      <c r="F841" s="14"/>
      <c r="G841" s="14"/>
      <c r="H841" s="14"/>
      <c r="I841" s="14"/>
      <c r="L841" s="12"/>
    </row>
    <row r="842" s="11" customFormat="1" customHeight="1" spans="5:12">
      <c r="E842" s="14"/>
      <c r="F842" s="14"/>
      <c r="G842" s="14"/>
      <c r="H842" s="14"/>
      <c r="I842" s="14"/>
      <c r="L842" s="12"/>
    </row>
    <row r="843" s="11" customFormat="1" customHeight="1" spans="5:12">
      <c r="E843" s="14"/>
      <c r="F843" s="14"/>
      <c r="G843" s="14"/>
      <c r="H843" s="14"/>
      <c r="I843" s="14"/>
      <c r="L843" s="12"/>
    </row>
    <row r="844" s="11" customFormat="1" customHeight="1" spans="5:12">
      <c r="E844" s="14"/>
      <c r="F844" s="14"/>
      <c r="G844" s="14"/>
      <c r="H844" s="14"/>
      <c r="I844" s="14"/>
      <c r="L844" s="12"/>
    </row>
    <row r="845" s="11" customFormat="1" customHeight="1" spans="5:12">
      <c r="E845" s="14"/>
      <c r="F845" s="14"/>
      <c r="G845" s="14"/>
      <c r="H845" s="14"/>
      <c r="I845" s="14"/>
      <c r="L845" s="12"/>
    </row>
    <row r="846" s="11" customFormat="1" customHeight="1" spans="5:12">
      <c r="E846" s="14"/>
      <c r="F846" s="14"/>
      <c r="G846" s="14"/>
      <c r="H846" s="14"/>
      <c r="I846" s="14"/>
      <c r="L846" s="12"/>
    </row>
    <row r="847" s="11" customFormat="1" customHeight="1" spans="5:12">
      <c r="E847" s="14"/>
      <c r="F847" s="14"/>
      <c r="G847" s="14"/>
      <c r="H847" s="14"/>
      <c r="I847" s="14"/>
      <c r="L847" s="12"/>
    </row>
    <row r="848" s="11" customFormat="1" customHeight="1" spans="5:12">
      <c r="E848" s="14"/>
      <c r="F848" s="14"/>
      <c r="G848" s="14"/>
      <c r="H848" s="14"/>
      <c r="I848" s="14"/>
      <c r="L848" s="12"/>
    </row>
  </sheetData>
  <sheetProtection formatCells="0" formatColumns="0" formatRows="0" insertRows="0" insertColumns="0" insertHyperlinks="0" deleteColumns="0" deleteRows="0" sort="0" autoFilter="0" pivotTables="0"/>
  <mergeCells count="21">
    <mergeCell ref="A42:I42"/>
    <mergeCell ref="B23:B26"/>
    <mergeCell ref="B28:B30"/>
    <mergeCell ref="B31:B32"/>
    <mergeCell ref="B44:B47"/>
    <mergeCell ref="B49:B51"/>
    <mergeCell ref="C44:C47"/>
    <mergeCell ref="C49:C51"/>
    <mergeCell ref="D23:D26"/>
    <mergeCell ref="D28:D30"/>
    <mergeCell ref="D31:D32"/>
    <mergeCell ref="E23:E26"/>
    <mergeCell ref="E28:E30"/>
    <mergeCell ref="E31:E32"/>
    <mergeCell ref="E44:E47"/>
    <mergeCell ref="E49:E51"/>
    <mergeCell ref="G44:G47"/>
    <mergeCell ref="G49:G51"/>
    <mergeCell ref="H23:H26"/>
    <mergeCell ref="H28:H30"/>
    <mergeCell ref="H31:H32"/>
  </mergeCells>
  <pageMargins left="0.75" right="0.75" top="1" bottom="1" header="0.5" footer="0.5"/>
  <pageSetup paperSize="9" orientation="portrait"/>
  <headerFooter/>
  <ignoredErrors>
    <ignoredError sqref="C35" formula="1"/>
  </ignoredErrors>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866"/>
  <sheetViews>
    <sheetView topLeftCell="A34" workbookViewId="0">
      <selection activeCell="O26" sqref="O26:O28"/>
    </sheetView>
  </sheetViews>
  <sheetFormatPr defaultColWidth="15.625" defaultRowHeight="20" customHeight="1"/>
  <cols>
    <col min="1" max="4" width="15.625" style="11" customWidth="1"/>
    <col min="5" max="9" width="15.625" style="14" customWidth="1"/>
    <col min="10" max="10" width="2.625" style="15" customWidth="1"/>
    <col min="11" max="11" width="12.625" style="11" customWidth="1"/>
    <col min="12" max="12" width="10.625" style="11" customWidth="1"/>
    <col min="13" max="13" width="10.625" style="12" customWidth="1"/>
    <col min="14" max="15" width="10.625" style="11" customWidth="1"/>
    <col min="16" max="17" width="12.625" style="11" customWidth="1"/>
    <col min="18" max="18" width="8.625" style="11" customWidth="1"/>
    <col min="19" max="16384" width="15.625" style="11" customWidth="1"/>
  </cols>
  <sheetData>
    <row r="1" customHeight="1" spans="1:13">
      <c r="A1" s="16" t="s">
        <v>536</v>
      </c>
      <c r="B1" s="16"/>
      <c r="C1" s="16"/>
      <c r="D1" s="16"/>
      <c r="E1" s="16"/>
      <c r="F1" s="16"/>
      <c r="H1" s="11"/>
      <c r="I1" s="11"/>
      <c r="J1" s="17"/>
      <c r="M1" s="11"/>
    </row>
    <row r="2" customHeight="1" spans="1:13">
      <c r="A2" s="18" t="s">
        <v>58</v>
      </c>
      <c r="B2" s="19" t="s">
        <v>535</v>
      </c>
      <c r="C2" s="19" t="s">
        <v>256</v>
      </c>
      <c r="D2" s="20" t="s">
        <v>257</v>
      </c>
      <c r="E2" s="20" t="s">
        <v>258</v>
      </c>
      <c r="F2" s="21" t="s">
        <v>698</v>
      </c>
      <c r="H2" s="11"/>
      <c r="I2" s="11"/>
      <c r="J2" s="17"/>
      <c r="M2" s="11"/>
    </row>
    <row r="3" s="11" customFormat="1" customHeight="1" spans="1:13">
      <c r="A3" s="22" t="s">
        <v>6</v>
      </c>
      <c r="B3" s="23">
        <v>207336</v>
      </c>
      <c r="C3" s="24">
        <v>4.5</v>
      </c>
      <c r="D3" s="24">
        <v>279903.6</v>
      </c>
      <c r="E3" s="24">
        <v>2169252.9</v>
      </c>
      <c r="F3" s="25"/>
      <c r="J3" s="15"/>
    </row>
    <row r="4" s="11" customFormat="1" customHeight="1" spans="1:13">
      <c r="A4" s="22" t="s">
        <v>9</v>
      </c>
      <c r="B4" s="23">
        <v>45000</v>
      </c>
      <c r="C4" s="24">
        <v>4.52</v>
      </c>
      <c r="D4" s="24">
        <v>61020</v>
      </c>
      <c r="E4" s="24">
        <v>472905</v>
      </c>
      <c r="F4" s="25"/>
      <c r="J4" s="15"/>
    </row>
    <row r="5" s="11" customFormat="1" customHeight="1" spans="1:13">
      <c r="A5" s="22" t="s">
        <v>4</v>
      </c>
      <c r="B5" s="23">
        <v>125286</v>
      </c>
      <c r="C5" s="24">
        <v>2.1</v>
      </c>
      <c r="D5" s="24">
        <v>78930.18</v>
      </c>
      <c r="E5" s="24">
        <v>611708.9</v>
      </c>
      <c r="F5" s="26"/>
      <c r="J5" s="15"/>
    </row>
    <row r="6" s="11" customFormat="1" customHeight="1" spans="1:13">
      <c r="A6" s="22" t="s">
        <v>4</v>
      </c>
      <c r="B6" s="23">
        <v>111000</v>
      </c>
      <c r="C6" s="24">
        <v>2.1</v>
      </c>
      <c r="D6" s="24">
        <v>69930</v>
      </c>
      <c r="E6" s="24">
        <v>541957.5</v>
      </c>
      <c r="F6" s="25"/>
      <c r="J6" s="15"/>
    </row>
    <row r="7" s="11" customFormat="1" customHeight="1" spans="1:13">
      <c r="A7" s="22" t="s">
        <v>4</v>
      </c>
      <c r="B7" s="23">
        <v>50001</v>
      </c>
      <c r="C7" s="24">
        <v>2.1</v>
      </c>
      <c r="D7" s="24">
        <v>31500.63</v>
      </c>
      <c r="E7" s="24">
        <v>244129.88</v>
      </c>
      <c r="F7" s="25"/>
      <c r="J7" s="15"/>
    </row>
    <row r="8" s="11" customFormat="1" customHeight="1" spans="1:13">
      <c r="A8" s="22" t="s">
        <v>4</v>
      </c>
      <c r="B8" s="23">
        <v>44253</v>
      </c>
      <c r="C8" s="24">
        <v>2.1</v>
      </c>
      <c r="D8" s="24">
        <v>27879.39</v>
      </c>
      <c r="E8" s="24">
        <v>216065.27</v>
      </c>
      <c r="F8" s="26"/>
      <c r="J8" s="15"/>
    </row>
    <row r="9" s="11" customFormat="1" customHeight="1" spans="1:13">
      <c r="A9" s="22" t="s">
        <v>4</v>
      </c>
      <c r="B9" s="23">
        <v>66384</v>
      </c>
      <c r="C9" s="24">
        <v>2.1</v>
      </c>
      <c r="D9" s="24">
        <v>41821.92</v>
      </c>
      <c r="E9" s="24">
        <v>324119.88</v>
      </c>
      <c r="F9" s="27">
        <v>45863</v>
      </c>
      <c r="J9" s="15"/>
    </row>
    <row r="10" s="11" customFormat="1" customHeight="1" spans="1:13">
      <c r="A10" s="23" t="s">
        <v>18</v>
      </c>
      <c r="B10" s="23">
        <v>60000</v>
      </c>
      <c r="C10" s="24">
        <v>2.1</v>
      </c>
      <c r="D10" s="24">
        <v>37800</v>
      </c>
      <c r="E10" s="24">
        <v>292950</v>
      </c>
      <c r="F10" s="27">
        <v>45898</v>
      </c>
      <c r="J10" s="15"/>
    </row>
    <row r="11" s="11" customFormat="1" customHeight="1" spans="1:13">
      <c r="A11" s="23" t="s">
        <v>20</v>
      </c>
      <c r="B11" s="23">
        <v>6500</v>
      </c>
      <c r="C11" s="24">
        <v>6.34</v>
      </c>
      <c r="D11" s="24">
        <v>12363</v>
      </c>
      <c r="E11" s="24">
        <v>95813.25</v>
      </c>
      <c r="F11" s="27">
        <v>45973</v>
      </c>
      <c r="J11" s="15"/>
    </row>
    <row r="12" s="11" customFormat="1" customHeight="1" spans="1:13">
      <c r="A12" s="23" t="s">
        <v>23</v>
      </c>
      <c r="B12" s="23">
        <v>6500</v>
      </c>
      <c r="C12" s="24">
        <v>6.64</v>
      </c>
      <c r="D12" s="24">
        <v>12948</v>
      </c>
      <c r="E12" s="24">
        <v>100347</v>
      </c>
      <c r="F12" s="27">
        <v>45973</v>
      </c>
      <c r="J12" s="15"/>
    </row>
    <row r="13" s="11" customFormat="1" customHeight="1" spans="1:13">
      <c r="A13" s="23" t="s">
        <v>8</v>
      </c>
      <c r="B13" s="23"/>
      <c r="C13" s="24">
        <v>4.5</v>
      </c>
      <c r="D13" s="24">
        <v>0</v>
      </c>
      <c r="E13" s="24">
        <v>0</v>
      </c>
      <c r="F13" s="26"/>
      <c r="J13" s="15"/>
    </row>
    <row r="14" s="11" customFormat="1" customHeight="1" spans="1:13">
      <c r="A14" s="23" t="s">
        <v>14</v>
      </c>
      <c r="B14" s="23"/>
      <c r="C14" s="24">
        <v>4.5</v>
      </c>
      <c r="D14" s="24">
        <v>0</v>
      </c>
      <c r="E14" s="24">
        <v>0</v>
      </c>
      <c r="F14" s="26"/>
      <c r="J14" s="15"/>
    </row>
    <row r="15" s="11" customFormat="1" customHeight="1" spans="1:13">
      <c r="A15" s="23" t="s">
        <v>12</v>
      </c>
      <c r="B15" s="23"/>
      <c r="C15" s="24">
        <v>4.5</v>
      </c>
      <c r="D15" s="24">
        <v>0</v>
      </c>
      <c r="E15" s="24">
        <v>0</v>
      </c>
      <c r="F15" s="26"/>
      <c r="G15" s="14"/>
      <c r="J15" s="17"/>
    </row>
    <row r="16" s="11" customFormat="1" customHeight="1" spans="1:13">
      <c r="A16" s="23" t="s">
        <v>32</v>
      </c>
      <c r="B16" s="23"/>
      <c r="C16" s="23">
        <v>6.67</v>
      </c>
      <c r="D16" s="24">
        <v>0</v>
      </c>
      <c r="E16" s="24">
        <v>0</v>
      </c>
      <c r="F16" s="26"/>
      <c r="G16" s="14"/>
      <c r="J16" s="15"/>
    </row>
    <row r="17" s="11" customFormat="1" customHeight="1" spans="1:17 16365:16384">
      <c r="A17" s="23" t="s">
        <v>39</v>
      </c>
      <c r="B17" s="23">
        <v>9568</v>
      </c>
      <c r="C17" s="24">
        <v>5.6</v>
      </c>
      <c r="D17" s="24">
        <v>12916.8</v>
      </c>
      <c r="E17" s="24">
        <v>100105.2</v>
      </c>
      <c r="F17" s="27">
        <v>46167</v>
      </c>
      <c r="G17" s="14"/>
      <c r="J17" s="15"/>
    </row>
    <row r="18" s="11" customFormat="1" customHeight="1" spans="1:17 16365:16384">
      <c r="A18" s="23"/>
      <c r="B18" s="23"/>
      <c r="C18" s="24"/>
      <c r="D18" s="24">
        <v>0</v>
      </c>
      <c r="E18" s="24">
        <v>0</v>
      </c>
      <c r="F18" s="26"/>
      <c r="G18" s="14"/>
      <c r="J18" s="15"/>
    </row>
    <row r="19" s="11" customFormat="1" customHeight="1" spans="1:17 16365:16384">
      <c r="A19" s="23"/>
      <c r="B19" s="23"/>
      <c r="C19" s="24"/>
      <c r="D19" s="24">
        <v>0</v>
      </c>
      <c r="E19" s="24">
        <v>0</v>
      </c>
      <c r="F19" s="26"/>
      <c r="G19" s="14"/>
      <c r="J19" s="15"/>
    </row>
    <row r="20" s="11" customFormat="1" customHeight="1" spans="1:17 16365:16384">
      <c r="A20" s="23"/>
      <c r="B20" s="23"/>
      <c r="C20" s="24"/>
      <c r="D20" s="24">
        <v>0</v>
      </c>
      <c r="E20" s="24">
        <v>0</v>
      </c>
      <c r="F20" s="26"/>
      <c r="G20" s="14"/>
      <c r="J20" s="15"/>
    </row>
    <row r="21" s="11" customFormat="1" customHeight="1" spans="1:17 16365:16384">
      <c r="A21" s="23"/>
      <c r="B21" s="23"/>
      <c r="C21" s="24"/>
      <c r="D21" s="24">
        <v>0</v>
      </c>
      <c r="E21" s="24">
        <v>0</v>
      </c>
      <c r="F21" s="26"/>
      <c r="G21" s="14"/>
      <c r="J21" s="15"/>
    </row>
    <row r="22" s="11" customFormat="1" customHeight="1" spans="1:17 16365:16384">
      <c r="A22" s="23"/>
      <c r="B22" s="23"/>
      <c r="C22" s="24"/>
      <c r="D22" s="24">
        <v>0</v>
      </c>
      <c r="E22" s="24">
        <v>0</v>
      </c>
      <c r="F22" s="26"/>
      <c r="G22" s="14"/>
      <c r="J22" s="15"/>
    </row>
    <row r="23" s="12" customFormat="1" customHeight="1" spans="1:17 16365:16384">
      <c r="A23" s="28" t="s">
        <v>699</v>
      </c>
      <c r="B23" s="28">
        <v>731828</v>
      </c>
      <c r="C23" s="28"/>
      <c r="D23" s="29">
        <v>667013.52</v>
      </c>
      <c r="E23" s="29">
        <v>5169354.78</v>
      </c>
      <c r="F23" s="29"/>
      <c r="G23" s="14"/>
      <c r="H23" s="30"/>
      <c r="I23" s="30"/>
      <c r="J23" s="31"/>
      <c r="K23" s="30"/>
      <c r="L23" s="30"/>
      <c r="M23" s="30"/>
      <c r="N23" s="12"/>
      <c r="XFB23" s="30"/>
      <c r="XFC23" s="30"/>
      <c r="XFD23" s="30"/>
    </row>
    <row r="24" customHeight="1" spans="1:17 16365:16384">
      <c r="C24" s="14"/>
      <c r="D24" s="14"/>
      <c r="H24" s="11"/>
      <c r="I24" s="11"/>
      <c r="J24" s="17"/>
      <c r="M24" s="11"/>
    </row>
    <row r="25" s="13" customFormat="1" customHeight="1" spans="1:17 16365:16384">
      <c r="A25" s="18" t="s">
        <v>58</v>
      </c>
      <c r="B25" s="32" t="s">
        <v>673</v>
      </c>
      <c r="C25" s="19" t="s">
        <v>256</v>
      </c>
      <c r="D25" s="33" t="s">
        <v>700</v>
      </c>
      <c r="E25" s="34" t="s">
        <v>675</v>
      </c>
      <c r="F25" s="20" t="s">
        <v>701</v>
      </c>
      <c r="G25" s="20" t="s">
        <v>702</v>
      </c>
      <c r="J25" s="35"/>
      <c r="K25" s="36" t="s">
        <v>703</v>
      </c>
      <c r="L25" s="37" t="s">
        <v>704</v>
      </c>
      <c r="M25" s="38" t="s">
        <v>683</v>
      </c>
      <c r="N25" s="38" t="s">
        <v>694</v>
      </c>
      <c r="O25" s="38" t="s">
        <v>705</v>
      </c>
      <c r="P25" s="38" t="s">
        <v>706</v>
      </c>
      <c r="XEK25" s="11"/>
    </row>
    <row r="26" s="11" customFormat="1" customHeight="1" spans="1:17 16365:16384">
      <c r="A26" s="22" t="s">
        <v>9</v>
      </c>
      <c r="B26" s="23">
        <v>5004</v>
      </c>
      <c r="C26" s="24">
        <v>4.52</v>
      </c>
      <c r="D26" s="24">
        <v>4.52</v>
      </c>
      <c r="E26" s="39">
        <v>0</v>
      </c>
      <c r="F26" s="24">
        <v>15832.66</v>
      </c>
      <c r="G26" s="24">
        <v>122703.12</v>
      </c>
      <c r="H26" s="11" t="s">
        <v>507</v>
      </c>
      <c r="J26" s="15"/>
      <c r="K26" s="40" t="s">
        <v>9</v>
      </c>
      <c r="L26" s="41">
        <v>0</v>
      </c>
      <c r="M26" s="42">
        <v>5004</v>
      </c>
      <c r="N26" s="43">
        <v>0</v>
      </c>
      <c r="O26" s="44">
        <v>15832.66</v>
      </c>
      <c r="P26" s="44">
        <v>122703.12</v>
      </c>
      <c r="Q26" s="11" t="s">
        <v>507</v>
      </c>
    </row>
    <row r="27" s="11" customFormat="1" customHeight="1" spans="1:17 16365:16384">
      <c r="A27" s="22" t="s">
        <v>4</v>
      </c>
      <c r="B27" s="23">
        <v>15924</v>
      </c>
      <c r="C27" s="24">
        <v>2.1</v>
      </c>
      <c r="D27" s="24">
        <v>2.1</v>
      </c>
      <c r="E27" s="39">
        <v>0</v>
      </c>
      <c r="F27" s="24">
        <v>23408.28</v>
      </c>
      <c r="G27" s="24">
        <v>181414.17</v>
      </c>
      <c r="H27" s="11" t="s">
        <v>507</v>
      </c>
      <c r="J27" s="15"/>
      <c r="K27" s="40" t="s">
        <v>11</v>
      </c>
      <c r="L27" s="41">
        <v>0</v>
      </c>
      <c r="M27" s="45"/>
      <c r="N27" s="43">
        <v>0</v>
      </c>
      <c r="O27" s="46"/>
      <c r="P27" s="46"/>
      <c r="Q27" s="11" t="s">
        <v>507</v>
      </c>
    </row>
    <row r="28" s="11" customFormat="1" customHeight="1" spans="1:17 16365:16384">
      <c r="A28" s="22" t="s">
        <v>4</v>
      </c>
      <c r="B28" s="23">
        <v>15924</v>
      </c>
      <c r="C28" s="24">
        <v>2.1</v>
      </c>
      <c r="D28" s="24">
        <v>2.1</v>
      </c>
      <c r="E28" s="39">
        <v>0</v>
      </c>
      <c r="F28" s="24">
        <v>23408.28</v>
      </c>
      <c r="G28" s="24">
        <v>181414.17</v>
      </c>
      <c r="H28" s="11" t="s">
        <v>507</v>
      </c>
      <c r="J28" s="15"/>
      <c r="K28" s="40" t="s">
        <v>61</v>
      </c>
      <c r="L28" s="41">
        <v>0</v>
      </c>
      <c r="M28" s="47"/>
      <c r="N28" s="43">
        <v>0</v>
      </c>
      <c r="O28" s="48"/>
      <c r="P28" s="48"/>
      <c r="Q28" s="11" t="s">
        <v>507</v>
      </c>
    </row>
    <row r="29" s="11" customFormat="1" customHeight="1" spans="1:17 16365:16384">
      <c r="A29" s="22" t="s">
        <v>4</v>
      </c>
      <c r="B29" s="23">
        <v>15924</v>
      </c>
      <c r="C29" s="24">
        <v>2.1</v>
      </c>
      <c r="D29" s="24">
        <v>2.1</v>
      </c>
      <c r="E29" s="39">
        <v>0</v>
      </c>
      <c r="F29" s="24">
        <v>23408.28</v>
      </c>
      <c r="G29" s="24">
        <v>181414.17</v>
      </c>
      <c r="H29" s="11" t="s">
        <v>507</v>
      </c>
      <c r="J29" s="15"/>
      <c r="K29" s="40" t="s">
        <v>4</v>
      </c>
      <c r="L29" s="41">
        <v>0</v>
      </c>
      <c r="M29" s="49">
        <v>47772</v>
      </c>
      <c r="N29" s="43">
        <v>0</v>
      </c>
      <c r="O29" s="43">
        <v>70224.84</v>
      </c>
      <c r="P29" s="43">
        <v>544242.51</v>
      </c>
      <c r="Q29" s="11" t="s">
        <v>507</v>
      </c>
    </row>
    <row r="30" customHeight="1" spans="1:17 16365:16384">
      <c r="A30" s="22" t="s">
        <v>6</v>
      </c>
      <c r="B30" s="23">
        <v>9492</v>
      </c>
      <c r="C30" s="24">
        <v>4.5</v>
      </c>
      <c r="D30" s="24">
        <v>3.55</v>
      </c>
      <c r="E30" s="39">
        <v>0.95</v>
      </c>
      <c r="F30" s="24">
        <v>20882.4</v>
      </c>
      <c r="G30" s="24">
        <v>161838.6</v>
      </c>
      <c r="H30" s="11" t="s">
        <v>505</v>
      </c>
      <c r="I30" s="11"/>
      <c r="K30" s="40" t="s">
        <v>6</v>
      </c>
      <c r="L30" s="41">
        <v>0</v>
      </c>
      <c r="M30" s="42">
        <v>44780</v>
      </c>
      <c r="N30" s="43">
        <v>0</v>
      </c>
      <c r="O30" s="44">
        <v>98516</v>
      </c>
      <c r="P30" s="44">
        <v>763499</v>
      </c>
      <c r="Q30" s="11" t="s">
        <v>505</v>
      </c>
    </row>
    <row r="31" customHeight="1" spans="1:17 16365:16384">
      <c r="A31" s="22" t="s">
        <v>6</v>
      </c>
      <c r="B31" s="23">
        <v>35288</v>
      </c>
      <c r="C31" s="24">
        <v>4.5</v>
      </c>
      <c r="D31" s="24">
        <v>3.55</v>
      </c>
      <c r="E31" s="39">
        <v>0.95</v>
      </c>
      <c r="F31" s="24">
        <v>77633.6</v>
      </c>
      <c r="G31" s="24">
        <v>601660.4</v>
      </c>
      <c r="H31" s="11" t="s">
        <v>505</v>
      </c>
      <c r="I31" s="11"/>
      <c r="K31" s="40" t="s">
        <v>14</v>
      </c>
      <c r="L31" s="41">
        <v>0</v>
      </c>
      <c r="M31" s="45"/>
      <c r="N31" s="43">
        <v>0</v>
      </c>
      <c r="O31" s="46"/>
      <c r="P31" s="46"/>
      <c r="Q31" s="11" t="s">
        <v>505</v>
      </c>
    </row>
    <row r="32" s="11" customFormat="1" customHeight="1" spans="1:17 16365:16384">
      <c r="A32" s="22" t="s">
        <v>9</v>
      </c>
      <c r="B32" s="23">
        <v>11922</v>
      </c>
      <c r="C32" s="24">
        <v>4.52</v>
      </c>
      <c r="D32" s="24">
        <v>3.66</v>
      </c>
      <c r="E32" s="39">
        <v>0.86</v>
      </c>
      <c r="F32" s="24">
        <v>27468.29</v>
      </c>
      <c r="G32" s="24">
        <v>212879.25</v>
      </c>
      <c r="H32" s="11" t="s">
        <v>505</v>
      </c>
      <c r="J32" s="15"/>
      <c r="K32" s="40" t="s">
        <v>12</v>
      </c>
      <c r="L32" s="41">
        <v>0</v>
      </c>
      <c r="M32" s="47"/>
      <c r="N32" s="43">
        <v>0</v>
      </c>
      <c r="O32" s="48"/>
      <c r="P32" s="48"/>
      <c r="Q32" s="11" t="s">
        <v>505</v>
      </c>
    </row>
    <row r="33" s="11" customFormat="1" customHeight="1" spans="1:17">
      <c r="A33" s="23"/>
      <c r="B33" s="23"/>
      <c r="C33" s="24"/>
      <c r="D33" s="24"/>
      <c r="E33" s="39"/>
      <c r="F33" s="24">
        <v>0</v>
      </c>
      <c r="G33" s="24">
        <v>0</v>
      </c>
      <c r="J33" s="15"/>
      <c r="K33" s="41" t="s">
        <v>9</v>
      </c>
      <c r="L33" s="41">
        <v>0</v>
      </c>
      <c r="M33" s="49">
        <v>11922</v>
      </c>
      <c r="N33" s="43">
        <v>0</v>
      </c>
      <c r="O33" s="43">
        <v>27468.29</v>
      </c>
      <c r="P33" s="43">
        <v>212879.25</v>
      </c>
      <c r="Q33" s="11" t="s">
        <v>505</v>
      </c>
    </row>
    <row r="34" s="11" customFormat="1" customHeight="1" spans="1:17">
      <c r="A34" s="23"/>
      <c r="B34" s="23"/>
      <c r="C34" s="24"/>
      <c r="D34" s="24"/>
      <c r="E34" s="39"/>
      <c r="F34" s="24">
        <v>0</v>
      </c>
      <c r="G34" s="24">
        <v>0</v>
      </c>
      <c r="J34" s="15"/>
      <c r="K34" s="50"/>
      <c r="L34" s="51">
        <v>0</v>
      </c>
      <c r="M34" s="51">
        <v>109478</v>
      </c>
      <c r="N34" s="52">
        <v>0</v>
      </c>
      <c r="O34" s="52">
        <v>212041.79</v>
      </c>
      <c r="P34" s="52">
        <v>1643323.88</v>
      </c>
    </row>
    <row r="35" s="11" customFormat="1" customHeight="1" spans="1:17">
      <c r="A35" s="23"/>
      <c r="B35" s="23"/>
      <c r="C35" s="24"/>
      <c r="D35" s="24"/>
      <c r="E35" s="39"/>
      <c r="F35" s="24">
        <v>0</v>
      </c>
      <c r="G35" s="24">
        <v>0</v>
      </c>
      <c r="J35" s="15"/>
    </row>
    <row r="36" s="11" customFormat="1" customHeight="1" spans="1:17">
      <c r="A36" s="23"/>
      <c r="B36" s="23"/>
      <c r="C36" s="24"/>
      <c r="D36" s="24"/>
      <c r="E36" s="39"/>
      <c r="F36" s="24">
        <v>0</v>
      </c>
      <c r="G36" s="24">
        <v>0</v>
      </c>
      <c r="J36" s="15"/>
    </row>
    <row r="37" s="11" customFormat="1" customHeight="1" spans="1:17">
      <c r="A37" s="28" t="s">
        <v>699</v>
      </c>
      <c r="B37" s="28">
        <v>109478</v>
      </c>
      <c r="C37" s="28"/>
      <c r="D37" s="28"/>
      <c r="E37" s="28"/>
      <c r="F37" s="29">
        <v>212041.79</v>
      </c>
      <c r="G37" s="29">
        <v>1643323.88</v>
      </c>
      <c r="J37" s="15"/>
    </row>
    <row r="38" s="11" customFormat="1" customHeight="1" spans="1:17">
      <c r="B38" s="11">
        <v>0</v>
      </c>
      <c r="F38" s="11">
        <v>0</v>
      </c>
      <c r="J38" s="15"/>
    </row>
    <row r="39" customHeight="1" spans="1:17">
      <c r="C39" s="12"/>
      <c r="E39" s="11"/>
      <c r="F39" s="11"/>
      <c r="G39" s="11"/>
      <c r="H39" s="11"/>
      <c r="I39" s="11"/>
      <c r="M39" s="11"/>
    </row>
    <row r="40" customHeight="1" spans="1:17">
      <c r="A40" s="53"/>
      <c r="B40" s="53"/>
      <c r="C40" s="53"/>
      <c r="D40" s="12"/>
      <c r="E40" s="12"/>
      <c r="F40" s="54"/>
      <c r="G40" s="54"/>
    </row>
    <row r="41" customHeight="1" spans="1:17">
      <c r="A41" s="55" t="s">
        <v>58</v>
      </c>
      <c r="B41" s="56" t="s">
        <v>691</v>
      </c>
      <c r="C41" s="57" t="s">
        <v>692</v>
      </c>
      <c r="D41" s="37" t="s">
        <v>693</v>
      </c>
      <c r="E41" s="58" t="s">
        <v>683</v>
      </c>
      <c r="F41" s="38" t="s">
        <v>694</v>
      </c>
      <c r="G41" s="38" t="s">
        <v>695</v>
      </c>
      <c r="H41" s="37" t="s">
        <v>696</v>
      </c>
      <c r="I41" s="38" t="s">
        <v>689</v>
      </c>
    </row>
    <row r="42" customHeight="1" spans="1:17">
      <c r="A42" s="40" t="s">
        <v>6</v>
      </c>
      <c r="B42" s="59">
        <v>58808</v>
      </c>
      <c r="C42" s="44">
        <v>615278.61</v>
      </c>
      <c r="D42" s="41">
        <v>10524</v>
      </c>
      <c r="E42" s="42">
        <v>44780</v>
      </c>
      <c r="F42" s="43">
        <v>110107.36</v>
      </c>
      <c r="G42" s="44">
        <v>468510.65</v>
      </c>
      <c r="H42" s="43">
        <v>367024.5</v>
      </c>
      <c r="I42" s="43">
        <v>14207.4</v>
      </c>
    </row>
    <row r="43" s="11" customFormat="1" customHeight="1" spans="1:17">
      <c r="A43" s="40" t="s">
        <v>14</v>
      </c>
      <c r="B43" s="60"/>
      <c r="C43" s="46"/>
      <c r="D43" s="41">
        <v>504</v>
      </c>
      <c r="E43" s="45"/>
      <c r="F43" s="43">
        <v>5273.1</v>
      </c>
      <c r="G43" s="46"/>
      <c r="H43" s="43">
        <v>19139.4</v>
      </c>
      <c r="I43" s="43">
        <v>680.4</v>
      </c>
      <c r="J43" s="15"/>
    </row>
    <row r="44" customHeight="1" spans="1:17">
      <c r="A44" s="40" t="s">
        <v>12</v>
      </c>
      <c r="B44" s="60"/>
      <c r="C44" s="46"/>
      <c r="D44" s="41">
        <v>0</v>
      </c>
      <c r="E44" s="45"/>
      <c r="F44" s="43">
        <v>0</v>
      </c>
      <c r="G44" s="46"/>
      <c r="H44" s="43">
        <v>0</v>
      </c>
      <c r="I44" s="43">
        <v>0</v>
      </c>
    </row>
    <row r="45" customHeight="1" spans="1:17">
      <c r="A45" s="40" t="s">
        <v>8</v>
      </c>
      <c r="B45" s="61"/>
      <c r="C45" s="48"/>
      <c r="D45" s="41">
        <v>3000</v>
      </c>
      <c r="E45" s="47"/>
      <c r="F45" s="43">
        <v>31387.5</v>
      </c>
      <c r="G45" s="48"/>
      <c r="H45" s="43">
        <v>104625</v>
      </c>
      <c r="I45" s="43">
        <v>4050</v>
      </c>
    </row>
    <row r="46" s="11" customFormat="1" customHeight="1" spans="1:17">
      <c r="A46" s="40" t="s">
        <v>4</v>
      </c>
      <c r="B46" s="41">
        <v>49248</v>
      </c>
      <c r="C46" s="43">
        <v>241449.39</v>
      </c>
      <c r="D46" s="41">
        <v>0</v>
      </c>
      <c r="E46" s="62">
        <v>49248</v>
      </c>
      <c r="F46" s="43">
        <v>0</v>
      </c>
      <c r="G46" s="43">
        <v>241449.39</v>
      </c>
      <c r="H46" s="43">
        <v>0</v>
      </c>
      <c r="I46" s="43">
        <v>0</v>
      </c>
      <c r="J46" s="15"/>
    </row>
    <row r="47" s="11" customFormat="1" customHeight="1" spans="1:17">
      <c r="A47" s="63" t="s">
        <v>9</v>
      </c>
      <c r="B47" s="59">
        <v>17076</v>
      </c>
      <c r="C47" s="44">
        <v>179766.97</v>
      </c>
      <c r="D47" s="41">
        <v>180</v>
      </c>
      <c r="E47" s="62">
        <v>16896</v>
      </c>
      <c r="F47" s="43">
        <v>1891.62</v>
      </c>
      <c r="G47" s="64">
        <v>177875.35</v>
      </c>
      <c r="H47" s="43">
        <v>6179.85</v>
      </c>
      <c r="I47" s="43">
        <v>244.08</v>
      </c>
      <c r="J47" s="15"/>
    </row>
    <row r="48" s="11" customFormat="1" customHeight="1" spans="1:17">
      <c r="A48" s="65" t="s">
        <v>11</v>
      </c>
      <c r="B48" s="61"/>
      <c r="C48" s="48"/>
      <c r="D48" s="41">
        <v>0</v>
      </c>
      <c r="E48" s="62"/>
      <c r="F48" s="43">
        <v>0</v>
      </c>
      <c r="G48" s="66"/>
      <c r="H48" s="43">
        <v>0</v>
      </c>
      <c r="I48" s="43">
        <v>0</v>
      </c>
      <c r="J48" s="15"/>
    </row>
    <row r="49" s="11" customFormat="1" customHeight="1" spans="1:18">
      <c r="A49" s="65" t="s">
        <v>61</v>
      </c>
      <c r="B49" s="61"/>
      <c r="C49" s="48"/>
      <c r="D49" s="41">
        <v>0</v>
      </c>
      <c r="E49" s="62"/>
      <c r="F49" s="43">
        <v>0</v>
      </c>
      <c r="G49" s="66"/>
      <c r="H49" s="43">
        <v>0</v>
      </c>
      <c r="I49" s="43">
        <v>0</v>
      </c>
      <c r="J49" s="15"/>
    </row>
    <row r="50" s="11" customFormat="1" customHeight="1" spans="1:18">
      <c r="A50" s="23" t="s">
        <v>18</v>
      </c>
      <c r="B50" s="41">
        <v>60000</v>
      </c>
      <c r="C50" s="43">
        <v>292950</v>
      </c>
      <c r="D50" s="41">
        <v>17820</v>
      </c>
      <c r="E50" s="62">
        <v>42180</v>
      </c>
      <c r="F50" s="43">
        <v>87006.15</v>
      </c>
      <c r="G50" s="65">
        <v>205943.85</v>
      </c>
      <c r="H50" s="43">
        <v>290020.5</v>
      </c>
      <c r="I50" s="43">
        <v>11226.6</v>
      </c>
      <c r="J50" s="15"/>
    </row>
    <row r="51" s="11" customFormat="1" customHeight="1" spans="1:18">
      <c r="A51" s="23" t="s">
        <v>20</v>
      </c>
      <c r="B51" s="41">
        <v>5604</v>
      </c>
      <c r="C51" s="43">
        <v>82605.78</v>
      </c>
      <c r="D51" s="41">
        <v>5604</v>
      </c>
      <c r="E51" s="62">
        <v>0</v>
      </c>
      <c r="F51" s="43">
        <v>82605.78</v>
      </c>
      <c r="G51" s="65">
        <v>0</v>
      </c>
      <c r="H51" s="43">
        <v>269272.2</v>
      </c>
      <c r="I51" s="43">
        <v>10658.81</v>
      </c>
      <c r="J51" s="15"/>
      <c r="M51" s="12"/>
    </row>
    <row r="52" s="11" customFormat="1" customHeight="1" spans="1:18">
      <c r="A52" s="23" t="s">
        <v>23</v>
      </c>
      <c r="B52" s="41">
        <v>5604</v>
      </c>
      <c r="C52" s="43">
        <v>86514.57</v>
      </c>
      <c r="D52" s="41">
        <v>5604</v>
      </c>
      <c r="E52" s="62">
        <v>0</v>
      </c>
      <c r="F52" s="43">
        <v>86514.57</v>
      </c>
      <c r="G52" s="65">
        <v>0</v>
      </c>
      <c r="H52" s="43">
        <v>282301.5</v>
      </c>
      <c r="I52" s="43">
        <v>11163.17</v>
      </c>
      <c r="J52" s="15"/>
      <c r="M52" s="12"/>
    </row>
    <row r="53" s="11" customFormat="1" customHeight="1" spans="1:18">
      <c r="A53" s="23" t="s">
        <v>32</v>
      </c>
      <c r="B53" s="61">
        <v>1792</v>
      </c>
      <c r="C53" s="43">
        <v>27039.9</v>
      </c>
      <c r="D53" s="41">
        <v>1792</v>
      </c>
      <c r="E53" s="62">
        <v>0</v>
      </c>
      <c r="F53" s="43">
        <v>0</v>
      </c>
      <c r="G53" s="65">
        <v>27039.9</v>
      </c>
      <c r="H53" s="43">
        <v>27039.91</v>
      </c>
      <c r="I53" s="43">
        <v>3489.02</v>
      </c>
      <c r="J53" s="15"/>
      <c r="M53" s="12"/>
    </row>
    <row r="54" s="11" customFormat="1" customHeight="1" spans="1:18">
      <c r="A54" s="23" t="s">
        <v>39</v>
      </c>
      <c r="B54" s="61">
        <v>9568</v>
      </c>
      <c r="C54" s="48">
        <v>100105.2</v>
      </c>
      <c r="D54" s="41">
        <v>0</v>
      </c>
      <c r="E54" s="62">
        <v>9568</v>
      </c>
      <c r="F54" s="43">
        <v>0</v>
      </c>
      <c r="G54" s="65"/>
      <c r="H54" s="43">
        <v>0</v>
      </c>
      <c r="I54" s="43">
        <v>0</v>
      </c>
      <c r="J54" s="15"/>
      <c r="M54" s="12"/>
    </row>
    <row r="55" customHeight="1" spans="1:18">
      <c r="A55" s="41"/>
      <c r="B55" s="67"/>
      <c r="C55" s="67"/>
      <c r="D55" s="41"/>
      <c r="E55" s="43"/>
      <c r="F55" s="43"/>
      <c r="G55" s="43"/>
      <c r="H55" s="43">
        <v>0</v>
      </c>
      <c r="I55" s="43">
        <v>0</v>
      </c>
    </row>
    <row r="56" s="12" customFormat="1" customHeight="1" spans="1:18">
      <c r="A56" s="50"/>
      <c r="B56" s="51">
        <v>207700</v>
      </c>
      <c r="C56" s="51">
        <v>1625710.42</v>
      </c>
      <c r="D56" s="51">
        <v>45028</v>
      </c>
      <c r="E56" s="52">
        <v>162672</v>
      </c>
      <c r="F56" s="52">
        <v>404786.08</v>
      </c>
      <c r="G56" s="52">
        <v>1120819.14</v>
      </c>
      <c r="H56" s="52">
        <v>1365602.86</v>
      </c>
      <c r="I56" s="52">
        <v>55719.48</v>
      </c>
      <c r="J56" s="15"/>
      <c r="K56" s="11"/>
      <c r="L56" s="11"/>
      <c r="M56" s="12"/>
      <c r="N56" s="11"/>
      <c r="O56" s="11"/>
      <c r="P56" s="11"/>
      <c r="Q56" s="11"/>
      <c r="R56" s="11"/>
    </row>
    <row r="57" customHeight="1" spans="1:18">
      <c r="D57" s="11" t="b">
        <v>1</v>
      </c>
      <c r="F57" s="14" t="b">
        <v>1</v>
      </c>
      <c r="G57" s="14" t="b">
        <v>1</v>
      </c>
      <c r="H57" s="14" t="b">
        <v>1</v>
      </c>
      <c r="I57" s="14" t="b">
        <v>1</v>
      </c>
      <c r="Q57" s="12"/>
      <c r="R57" s="12"/>
    </row>
    <row r="60" customHeight="1" spans="1:18">
      <c r="A60" s="41" t="s">
        <v>690</v>
      </c>
      <c r="B60" s="41"/>
      <c r="C60" s="41"/>
      <c r="D60" s="41"/>
      <c r="E60" s="41"/>
      <c r="F60" s="41"/>
      <c r="G60" s="41"/>
      <c r="H60" s="41"/>
      <c r="I60" s="41"/>
    </row>
    <row r="61" s="11" customFormat="1" customHeight="1" spans="1:18">
      <c r="A61" s="55" t="s">
        <v>58</v>
      </c>
      <c r="B61" s="56" t="s">
        <v>691</v>
      </c>
      <c r="C61" s="57" t="s">
        <v>692</v>
      </c>
      <c r="D61" s="37" t="s">
        <v>693</v>
      </c>
      <c r="E61" s="58" t="s">
        <v>683</v>
      </c>
      <c r="F61" s="38" t="s">
        <v>694</v>
      </c>
      <c r="G61" s="38" t="s">
        <v>695</v>
      </c>
      <c r="H61" s="37" t="s">
        <v>696</v>
      </c>
      <c r="I61" s="38" t="s">
        <v>689</v>
      </c>
      <c r="J61" s="15"/>
      <c r="M61" s="12"/>
    </row>
    <row r="62" s="11" customFormat="1" customHeight="1" spans="1:18">
      <c r="A62" s="40" t="s">
        <v>6</v>
      </c>
      <c r="B62" s="59">
        <v>58808</v>
      </c>
      <c r="C62" s="44">
        <v>615278.61</v>
      </c>
      <c r="D62" s="41">
        <v>10524</v>
      </c>
      <c r="E62" s="42">
        <v>44780</v>
      </c>
      <c r="F62" s="43">
        <v>110107.36</v>
      </c>
      <c r="G62" s="44">
        <v>468510.65</v>
      </c>
      <c r="H62" s="43">
        <v>367024.5</v>
      </c>
      <c r="I62" s="43">
        <v>14207.4</v>
      </c>
      <c r="J62" s="15"/>
      <c r="M62" s="12"/>
    </row>
    <row r="63" s="11" customFormat="1" customHeight="1" spans="1:18">
      <c r="A63" s="40" t="s">
        <v>14</v>
      </c>
      <c r="B63" s="60"/>
      <c r="C63" s="46"/>
      <c r="D63" s="41">
        <v>504</v>
      </c>
      <c r="E63" s="45"/>
      <c r="F63" s="43">
        <v>5273.1</v>
      </c>
      <c r="G63" s="46"/>
      <c r="H63" s="43">
        <v>19139.4</v>
      </c>
      <c r="I63" s="43">
        <v>680.4</v>
      </c>
      <c r="J63" s="15"/>
    </row>
    <row r="64" s="11" customFormat="1" customHeight="1" spans="1:18">
      <c r="A64" s="40" t="s">
        <v>12</v>
      </c>
      <c r="B64" s="60"/>
      <c r="C64" s="46"/>
      <c r="D64" s="41">
        <v>0</v>
      </c>
      <c r="E64" s="45"/>
      <c r="F64" s="43">
        <v>0</v>
      </c>
      <c r="G64" s="46"/>
      <c r="H64" s="43">
        <v>0</v>
      </c>
      <c r="I64" s="43">
        <v>0</v>
      </c>
      <c r="J64" s="15"/>
      <c r="M64" s="12"/>
    </row>
    <row r="65" s="11" customFormat="1" customHeight="1" spans="1:18">
      <c r="A65" s="40" t="s">
        <v>8</v>
      </c>
      <c r="B65" s="61"/>
      <c r="C65" s="48"/>
      <c r="D65" s="41">
        <v>3000</v>
      </c>
      <c r="E65" s="47"/>
      <c r="F65" s="43">
        <v>31387.5</v>
      </c>
      <c r="G65" s="48"/>
      <c r="H65" s="43">
        <v>104625</v>
      </c>
      <c r="I65" s="43">
        <v>4050</v>
      </c>
      <c r="J65" s="15"/>
      <c r="M65" s="12"/>
    </row>
    <row r="66" s="11" customFormat="1" customHeight="1" spans="1:18">
      <c r="A66" s="40" t="s">
        <v>4</v>
      </c>
      <c r="B66" s="41">
        <v>49248</v>
      </c>
      <c r="C66" s="43">
        <v>241449.39</v>
      </c>
      <c r="D66" s="41">
        <v>0</v>
      </c>
      <c r="E66" s="62">
        <v>49248</v>
      </c>
      <c r="F66" s="43">
        <v>0</v>
      </c>
      <c r="G66" s="43">
        <v>241449.39</v>
      </c>
      <c r="H66" s="43">
        <v>0</v>
      </c>
      <c r="I66" s="43">
        <v>0</v>
      </c>
      <c r="J66" s="15"/>
    </row>
    <row r="67" s="11" customFormat="1" customHeight="1" spans="1:18">
      <c r="A67" s="63" t="s">
        <v>9</v>
      </c>
      <c r="B67" s="59">
        <v>17076</v>
      </c>
      <c r="C67" s="44">
        <v>179766.97</v>
      </c>
      <c r="D67" s="41">
        <v>180</v>
      </c>
      <c r="E67" s="62">
        <v>16896</v>
      </c>
      <c r="F67" s="43">
        <v>1891.62</v>
      </c>
      <c r="G67" s="64">
        <v>177875.35</v>
      </c>
      <c r="H67" s="43">
        <v>6179.85</v>
      </c>
      <c r="I67" s="43">
        <v>244.08</v>
      </c>
      <c r="J67" s="15"/>
    </row>
    <row r="68" s="11" customFormat="1" customHeight="1" spans="1:18">
      <c r="A68" s="65" t="s">
        <v>11</v>
      </c>
      <c r="B68" s="61"/>
      <c r="C68" s="48"/>
      <c r="D68" s="41">
        <v>0</v>
      </c>
      <c r="E68" s="62"/>
      <c r="F68" s="43">
        <v>0</v>
      </c>
      <c r="G68" s="66"/>
      <c r="H68" s="43">
        <v>0</v>
      </c>
      <c r="I68" s="43">
        <v>0</v>
      </c>
      <c r="J68" s="15"/>
    </row>
    <row r="69" s="11" customFormat="1" customHeight="1" spans="1:18">
      <c r="A69" s="65" t="s">
        <v>61</v>
      </c>
      <c r="B69" s="61"/>
      <c r="C69" s="48"/>
      <c r="D69" s="41">
        <v>0</v>
      </c>
      <c r="E69" s="62"/>
      <c r="F69" s="43">
        <v>0</v>
      </c>
      <c r="G69" s="66"/>
      <c r="H69" s="43">
        <v>0</v>
      </c>
      <c r="I69" s="43">
        <v>0</v>
      </c>
      <c r="J69" s="15"/>
    </row>
    <row r="70" s="11" customFormat="1" customHeight="1" spans="1:18">
      <c r="A70" s="23" t="s">
        <v>18</v>
      </c>
      <c r="B70" s="41">
        <v>60000</v>
      </c>
      <c r="C70" s="43">
        <v>292950</v>
      </c>
      <c r="D70" s="41">
        <v>17820</v>
      </c>
      <c r="E70" s="62">
        <v>42180</v>
      </c>
      <c r="F70" s="43">
        <v>87006.15</v>
      </c>
      <c r="G70" s="65">
        <v>205943.85</v>
      </c>
      <c r="H70" s="43">
        <v>290020.5</v>
      </c>
      <c r="I70" s="43">
        <v>11226.6</v>
      </c>
      <c r="J70" s="15"/>
    </row>
    <row r="71" s="11" customFormat="1" customHeight="1" spans="1:18">
      <c r="A71" s="23" t="s">
        <v>20</v>
      </c>
      <c r="B71" s="41">
        <v>5604</v>
      </c>
      <c r="C71" s="43">
        <v>82605.78</v>
      </c>
      <c r="D71" s="41">
        <v>5604</v>
      </c>
      <c r="E71" s="62">
        <v>0</v>
      </c>
      <c r="F71" s="43">
        <v>82605.78</v>
      </c>
      <c r="G71" s="65">
        <v>0</v>
      </c>
      <c r="H71" s="43">
        <v>269272.2</v>
      </c>
      <c r="I71" s="43">
        <v>10658.81</v>
      </c>
      <c r="J71" s="15"/>
      <c r="M71" s="12"/>
    </row>
    <row r="72" s="11" customFormat="1" customHeight="1" spans="1:18">
      <c r="A72" s="23" t="s">
        <v>23</v>
      </c>
      <c r="B72" s="41">
        <v>5604</v>
      </c>
      <c r="C72" s="43">
        <v>86514.57</v>
      </c>
      <c r="D72" s="41">
        <v>5604</v>
      </c>
      <c r="E72" s="62">
        <v>0</v>
      </c>
      <c r="F72" s="43">
        <v>86514.57</v>
      </c>
      <c r="G72" s="65">
        <v>0</v>
      </c>
      <c r="H72" s="43">
        <v>282301.5</v>
      </c>
      <c r="I72" s="43">
        <v>11163.17</v>
      </c>
      <c r="J72" s="15"/>
      <c r="M72" s="12"/>
    </row>
    <row r="73" s="11" customFormat="1" customHeight="1" spans="1:18">
      <c r="A73" s="23" t="s">
        <v>32</v>
      </c>
      <c r="B73" s="61">
        <v>1792</v>
      </c>
      <c r="C73" s="43">
        <v>27039.9</v>
      </c>
      <c r="D73" s="41">
        <v>0</v>
      </c>
      <c r="E73" s="61">
        <v>1792</v>
      </c>
      <c r="F73" s="43">
        <v>0</v>
      </c>
      <c r="G73" s="65">
        <v>27039.9</v>
      </c>
      <c r="H73" s="43">
        <v>0</v>
      </c>
      <c r="I73" s="43">
        <v>0</v>
      </c>
      <c r="J73" s="15"/>
      <c r="M73" s="12"/>
    </row>
    <row r="74" s="11" customFormat="1" customHeight="1" spans="1:18">
      <c r="A74" s="41"/>
      <c r="B74" s="67"/>
      <c r="C74" s="67"/>
      <c r="D74" s="41"/>
      <c r="E74" s="43"/>
      <c r="F74" s="43"/>
      <c r="G74" s="43"/>
      <c r="H74" s="43">
        <v>0</v>
      </c>
      <c r="I74" s="43">
        <v>0</v>
      </c>
      <c r="J74" s="15"/>
      <c r="M74" s="12"/>
    </row>
    <row r="75" s="11" customFormat="1" customHeight="1" spans="1:18">
      <c r="A75" s="41"/>
      <c r="B75" s="67"/>
      <c r="C75" s="67"/>
      <c r="D75" s="41"/>
      <c r="E75" s="43"/>
      <c r="F75" s="43"/>
      <c r="G75" s="43"/>
      <c r="H75" s="43">
        <v>0</v>
      </c>
      <c r="I75" s="43">
        <v>0</v>
      </c>
      <c r="J75" s="15"/>
      <c r="M75" s="12"/>
    </row>
    <row r="76" s="12" customFormat="1" customHeight="1" spans="1:18">
      <c r="A76" s="50"/>
      <c r="B76" s="68">
        <f>SUM(B62:B75)</f>
        <v>198132</v>
      </c>
      <c r="C76" s="68">
        <f>SUM(C62:C75)</f>
        <v>1525605.22</v>
      </c>
      <c r="D76" s="69">
        <f t="shared" ref="D76:I76" si="0">SUM(D62:D75)</f>
        <v>43236</v>
      </c>
      <c r="E76" s="69">
        <f t="shared" si="0"/>
        <v>154896</v>
      </c>
      <c r="F76" s="68">
        <f t="shared" si="0"/>
        <v>404786.08</v>
      </c>
      <c r="G76" s="68">
        <f t="shared" si="0"/>
        <v>1120819.14</v>
      </c>
      <c r="H76" s="68">
        <f t="shared" si="0"/>
        <v>1338562.95</v>
      </c>
      <c r="I76" s="68">
        <f t="shared" si="0"/>
        <v>52230.46</v>
      </c>
      <c r="J76" s="15"/>
      <c r="K76" s="11"/>
      <c r="L76" s="11"/>
      <c r="M76" s="12"/>
      <c r="N76" s="11"/>
      <c r="O76" s="11"/>
      <c r="P76" s="11"/>
      <c r="Q76" s="11"/>
      <c r="R76" s="11"/>
    </row>
    <row r="77" s="11" customFormat="1" customHeight="1" spans="1:18">
      <c r="E77" s="14"/>
      <c r="F77" s="14"/>
      <c r="G77" s="14"/>
      <c r="H77" s="14"/>
      <c r="I77" s="14"/>
      <c r="J77" s="15"/>
      <c r="M77" s="12"/>
      <c r="Q77" s="12"/>
      <c r="R77" s="12"/>
    </row>
    <row r="78" s="11" customFormat="1" customHeight="1" spans="1:18">
      <c r="E78" s="14"/>
      <c r="F78" s="14"/>
      <c r="G78" s="14"/>
      <c r="H78" s="14"/>
      <c r="I78" s="14"/>
      <c r="J78" s="15"/>
      <c r="M78" s="12"/>
    </row>
    <row r="79" s="11" customFormat="1" customHeight="1" spans="1:18">
      <c r="E79" s="14"/>
      <c r="F79" s="14"/>
      <c r="G79" s="14"/>
      <c r="H79" s="14"/>
      <c r="I79" s="14"/>
      <c r="J79" s="15"/>
      <c r="M79" s="12"/>
    </row>
    <row r="80" s="11" customFormat="1" customHeight="1" spans="1:18">
      <c r="E80" s="14"/>
      <c r="F80" s="14"/>
      <c r="G80" s="14"/>
      <c r="H80" s="14"/>
      <c r="I80" s="14"/>
      <c r="J80" s="15"/>
      <c r="M80" s="12"/>
    </row>
    <row r="81" s="11" customFormat="1" customHeight="1" spans="5:13">
      <c r="E81" s="14"/>
      <c r="F81" s="14"/>
      <c r="G81" s="14"/>
      <c r="H81" s="14"/>
      <c r="I81" s="14"/>
      <c r="J81" s="15"/>
      <c r="M81" s="12"/>
    </row>
    <row r="82" s="11" customFormat="1" customHeight="1" spans="5:13">
      <c r="E82" s="14"/>
      <c r="F82" s="14"/>
      <c r="G82" s="14"/>
      <c r="H82" s="14"/>
      <c r="I82" s="14"/>
      <c r="J82" s="15"/>
      <c r="M82" s="12"/>
    </row>
    <row r="83" s="11" customFormat="1" customHeight="1" spans="5:13">
      <c r="E83" s="14"/>
      <c r="F83" s="14"/>
      <c r="G83" s="14"/>
      <c r="H83" s="14"/>
      <c r="I83" s="14"/>
      <c r="J83" s="15"/>
      <c r="M83" s="12"/>
    </row>
    <row r="84" s="11" customFormat="1" customHeight="1" spans="5:13">
      <c r="E84" s="14"/>
      <c r="F84" s="14"/>
      <c r="G84" s="14"/>
      <c r="H84" s="14"/>
      <c r="I84" s="14"/>
      <c r="J84" s="15"/>
      <c r="M84" s="12"/>
    </row>
    <row r="85" s="11" customFormat="1" customHeight="1" spans="5:13">
      <c r="E85" s="14"/>
      <c r="F85" s="14"/>
      <c r="G85" s="14"/>
      <c r="H85" s="14"/>
      <c r="I85" s="14"/>
      <c r="J85" s="15"/>
      <c r="M85" s="12"/>
    </row>
    <row r="86" s="11" customFormat="1" customHeight="1" spans="5:13">
      <c r="E86" s="14"/>
      <c r="F86" s="14"/>
      <c r="G86" s="14"/>
      <c r="H86" s="14"/>
      <c r="I86" s="14"/>
      <c r="J86" s="15"/>
      <c r="M86" s="12"/>
    </row>
    <row r="87" s="11" customFormat="1" customHeight="1" spans="5:13">
      <c r="E87" s="14"/>
      <c r="F87" s="14"/>
      <c r="G87" s="14"/>
      <c r="H87" s="14"/>
      <c r="I87" s="14"/>
      <c r="J87" s="15"/>
      <c r="M87" s="12"/>
    </row>
    <row r="88" s="11" customFormat="1" customHeight="1" spans="5:13">
      <c r="E88" s="14"/>
      <c r="F88" s="14"/>
      <c r="G88" s="14"/>
      <c r="H88" s="14"/>
      <c r="I88" s="14"/>
      <c r="J88" s="15"/>
      <c r="M88" s="12"/>
    </row>
    <row r="89" s="11" customFormat="1" customHeight="1" spans="5:13">
      <c r="E89" s="14"/>
      <c r="F89" s="14"/>
      <c r="G89" s="14"/>
      <c r="H89" s="14"/>
      <c r="I89" s="14"/>
      <c r="J89" s="15"/>
      <c r="M89" s="12"/>
    </row>
    <row r="90" s="11" customFormat="1" customHeight="1" spans="5:13">
      <c r="E90" s="14"/>
      <c r="F90" s="14"/>
      <c r="G90" s="14"/>
      <c r="H90" s="14"/>
      <c r="I90" s="14"/>
      <c r="J90" s="15"/>
      <c r="M90" s="12"/>
    </row>
    <row r="91" s="11" customFormat="1" customHeight="1" spans="5:13">
      <c r="E91" s="14"/>
      <c r="F91" s="14"/>
      <c r="G91" s="14"/>
      <c r="H91" s="14"/>
      <c r="I91" s="14"/>
      <c r="J91" s="15"/>
      <c r="M91" s="12"/>
    </row>
    <row r="92" s="11" customFormat="1" customHeight="1" spans="5:13">
      <c r="E92" s="14"/>
      <c r="F92" s="14"/>
      <c r="G92" s="14"/>
      <c r="H92" s="14"/>
      <c r="I92" s="14"/>
      <c r="J92" s="15"/>
      <c r="M92" s="12"/>
    </row>
    <row r="93" s="11" customFormat="1" customHeight="1" spans="5:13">
      <c r="E93" s="14"/>
      <c r="F93" s="14"/>
      <c r="G93" s="14"/>
      <c r="H93" s="14"/>
      <c r="I93" s="14"/>
      <c r="J93" s="15"/>
      <c r="M93" s="12"/>
    </row>
    <row r="94" s="11" customFormat="1" customHeight="1" spans="5:13">
      <c r="E94" s="14"/>
      <c r="F94" s="14"/>
      <c r="G94" s="14"/>
      <c r="H94" s="14"/>
      <c r="I94" s="14"/>
      <c r="J94" s="15"/>
      <c r="M94" s="12"/>
    </row>
    <row r="95" s="11" customFormat="1" customHeight="1" spans="5:13">
      <c r="E95" s="14"/>
      <c r="F95" s="14"/>
      <c r="G95" s="14"/>
      <c r="H95" s="14"/>
      <c r="I95" s="14"/>
      <c r="J95" s="15"/>
      <c r="M95" s="12"/>
    </row>
    <row r="96" s="11" customFormat="1" customHeight="1" spans="5:13">
      <c r="E96" s="14"/>
      <c r="F96" s="14"/>
      <c r="G96" s="14"/>
      <c r="H96" s="14"/>
      <c r="I96" s="14"/>
      <c r="J96" s="15"/>
      <c r="M96" s="12"/>
    </row>
    <row r="97" s="11" customFormat="1" customHeight="1" spans="5:13">
      <c r="E97" s="14"/>
      <c r="F97" s="14"/>
      <c r="G97" s="14"/>
      <c r="H97" s="14"/>
      <c r="I97" s="14"/>
      <c r="J97" s="15"/>
      <c r="M97" s="12"/>
    </row>
    <row r="98" s="11" customFormat="1" customHeight="1" spans="5:13">
      <c r="E98" s="14"/>
      <c r="F98" s="14"/>
      <c r="G98" s="14"/>
      <c r="H98" s="14"/>
      <c r="I98" s="14"/>
      <c r="J98" s="15"/>
      <c r="M98" s="12"/>
    </row>
    <row r="99" s="11" customFormat="1" customHeight="1" spans="5:13">
      <c r="E99" s="14"/>
      <c r="F99" s="14"/>
      <c r="G99" s="14"/>
      <c r="H99" s="14"/>
      <c r="I99" s="14"/>
      <c r="J99" s="15"/>
      <c r="M99" s="12"/>
    </row>
    <row r="100" s="11" customFormat="1" customHeight="1" spans="5:13">
      <c r="E100" s="14"/>
      <c r="F100" s="14"/>
      <c r="G100" s="14"/>
      <c r="H100" s="14"/>
      <c r="I100" s="14"/>
      <c r="J100" s="15"/>
      <c r="M100" s="12"/>
    </row>
    <row r="101" s="11" customFormat="1" customHeight="1" spans="5:13">
      <c r="E101" s="14"/>
      <c r="F101" s="14"/>
      <c r="G101" s="14"/>
      <c r="H101" s="14"/>
      <c r="I101" s="14"/>
      <c r="J101" s="15"/>
      <c r="M101" s="12"/>
    </row>
    <row r="102" s="11" customFormat="1" customHeight="1" spans="5:13">
      <c r="E102" s="14"/>
      <c r="F102" s="14"/>
      <c r="G102" s="14"/>
      <c r="H102" s="14"/>
      <c r="I102" s="14"/>
      <c r="J102" s="15"/>
      <c r="M102" s="12"/>
    </row>
    <row r="103" s="11" customFormat="1" customHeight="1" spans="5:13">
      <c r="E103" s="14"/>
      <c r="F103" s="14"/>
      <c r="G103" s="14"/>
      <c r="H103" s="14"/>
      <c r="I103" s="14"/>
      <c r="J103" s="15"/>
      <c r="M103" s="12"/>
    </row>
    <row r="104" s="11" customFormat="1" customHeight="1" spans="5:13">
      <c r="E104" s="14"/>
      <c r="F104" s="14"/>
      <c r="G104" s="14"/>
      <c r="H104" s="14"/>
      <c r="I104" s="14"/>
      <c r="J104" s="15"/>
      <c r="M104" s="12"/>
    </row>
    <row r="105" s="11" customFormat="1" customHeight="1" spans="5:13">
      <c r="E105" s="14"/>
      <c r="F105" s="14"/>
      <c r="G105" s="14"/>
      <c r="H105" s="14"/>
      <c r="I105" s="14"/>
      <c r="J105" s="15"/>
      <c r="M105" s="12"/>
    </row>
    <row r="106" s="11" customFormat="1" customHeight="1" spans="5:13">
      <c r="E106" s="14"/>
      <c r="F106" s="14"/>
      <c r="G106" s="14"/>
      <c r="H106" s="14"/>
      <c r="I106" s="14"/>
      <c r="J106" s="15"/>
      <c r="M106" s="12"/>
    </row>
    <row r="107" s="11" customFormat="1" customHeight="1" spans="5:13">
      <c r="E107" s="14"/>
      <c r="F107" s="14"/>
      <c r="G107" s="14"/>
      <c r="H107" s="14"/>
      <c r="I107" s="14"/>
      <c r="J107" s="15"/>
      <c r="M107" s="12"/>
    </row>
    <row r="108" s="11" customFormat="1" customHeight="1" spans="5:13">
      <c r="E108" s="14"/>
      <c r="F108" s="14"/>
      <c r="G108" s="14"/>
      <c r="H108" s="14"/>
      <c r="I108" s="14"/>
      <c r="J108" s="15"/>
      <c r="M108" s="12"/>
    </row>
    <row r="109" s="11" customFormat="1" customHeight="1" spans="5:13">
      <c r="E109" s="14"/>
      <c r="F109" s="14"/>
      <c r="G109" s="14"/>
      <c r="H109" s="14"/>
      <c r="I109" s="14"/>
      <c r="J109" s="15"/>
      <c r="M109" s="12"/>
    </row>
    <row r="110" s="11" customFormat="1" customHeight="1" spans="5:13">
      <c r="E110" s="14"/>
      <c r="F110" s="14"/>
      <c r="G110" s="14"/>
      <c r="H110" s="14"/>
      <c r="I110" s="14"/>
      <c r="J110" s="15"/>
      <c r="M110" s="12"/>
    </row>
    <row r="111" s="11" customFormat="1" customHeight="1" spans="5:13">
      <c r="E111" s="14"/>
      <c r="F111" s="14"/>
      <c r="G111" s="14"/>
      <c r="H111" s="14"/>
      <c r="I111" s="14"/>
      <c r="J111" s="15"/>
      <c r="M111" s="12"/>
    </row>
    <row r="112" s="11" customFormat="1" customHeight="1" spans="5:13">
      <c r="E112" s="14"/>
      <c r="F112" s="14"/>
      <c r="G112" s="14"/>
      <c r="H112" s="14"/>
      <c r="I112" s="14"/>
      <c r="J112" s="15"/>
      <c r="M112" s="12"/>
    </row>
    <row r="113" s="11" customFormat="1" customHeight="1" spans="5:13">
      <c r="E113" s="14"/>
      <c r="F113" s="14"/>
      <c r="G113" s="14"/>
      <c r="H113" s="14"/>
      <c r="I113" s="14"/>
      <c r="J113" s="15"/>
      <c r="M113" s="12"/>
    </row>
    <row r="114" s="11" customFormat="1" customHeight="1" spans="5:13">
      <c r="E114" s="14"/>
      <c r="F114" s="14"/>
      <c r="G114" s="14"/>
      <c r="H114" s="14"/>
      <c r="I114" s="14"/>
      <c r="J114" s="15"/>
      <c r="M114" s="12"/>
    </row>
    <row r="115" s="11" customFormat="1" customHeight="1" spans="5:13">
      <c r="E115" s="14"/>
      <c r="F115" s="14"/>
      <c r="G115" s="14"/>
      <c r="H115" s="14"/>
      <c r="I115" s="14"/>
      <c r="J115" s="15"/>
      <c r="M115" s="12"/>
    </row>
    <row r="116" s="11" customFormat="1" customHeight="1" spans="5:13">
      <c r="E116" s="14"/>
      <c r="F116" s="14"/>
      <c r="G116" s="14"/>
      <c r="H116" s="14"/>
      <c r="I116" s="14"/>
      <c r="J116" s="15"/>
      <c r="M116" s="12"/>
    </row>
    <row r="117" s="11" customFormat="1" customHeight="1" spans="5:13">
      <c r="E117" s="14"/>
      <c r="F117" s="14"/>
      <c r="G117" s="14"/>
      <c r="H117" s="14"/>
      <c r="I117" s="14"/>
      <c r="J117" s="15"/>
      <c r="M117" s="12"/>
    </row>
    <row r="118" s="11" customFormat="1" customHeight="1" spans="5:13">
      <c r="E118" s="14"/>
      <c r="F118" s="14"/>
      <c r="G118" s="14"/>
      <c r="H118" s="14"/>
      <c r="I118" s="14"/>
      <c r="J118" s="15"/>
      <c r="M118" s="12"/>
    </row>
    <row r="119" s="11" customFormat="1" customHeight="1" spans="5:13">
      <c r="E119" s="14"/>
      <c r="F119" s="14"/>
      <c r="G119" s="14"/>
      <c r="H119" s="14"/>
      <c r="I119" s="14"/>
      <c r="J119" s="15"/>
      <c r="M119" s="12"/>
    </row>
    <row r="120" s="11" customFormat="1" customHeight="1" spans="5:13">
      <c r="E120" s="14"/>
      <c r="F120" s="14"/>
      <c r="G120" s="14"/>
      <c r="H120" s="14"/>
      <c r="I120" s="14"/>
      <c r="J120" s="15"/>
      <c r="M120" s="12"/>
    </row>
    <row r="121" s="11" customFormat="1" customHeight="1" spans="5:13">
      <c r="E121" s="14"/>
      <c r="F121" s="14"/>
      <c r="G121" s="14"/>
      <c r="H121" s="14"/>
      <c r="I121" s="14"/>
      <c r="J121" s="15"/>
      <c r="M121" s="12"/>
    </row>
    <row r="122" s="11" customFormat="1" customHeight="1" spans="5:13">
      <c r="E122" s="14"/>
      <c r="F122" s="14"/>
      <c r="G122" s="14"/>
      <c r="H122" s="14"/>
      <c r="I122" s="14"/>
      <c r="J122" s="15"/>
      <c r="M122" s="12"/>
    </row>
    <row r="123" s="11" customFormat="1" customHeight="1" spans="5:13">
      <c r="E123" s="14"/>
      <c r="F123" s="14"/>
      <c r="G123" s="14"/>
      <c r="H123" s="14"/>
      <c r="I123" s="14"/>
      <c r="J123" s="15"/>
      <c r="M123" s="12"/>
    </row>
    <row r="124" s="11" customFormat="1" customHeight="1" spans="5:13">
      <c r="E124" s="14"/>
      <c r="F124" s="14"/>
      <c r="G124" s="14"/>
      <c r="H124" s="14"/>
      <c r="I124" s="14"/>
      <c r="J124" s="15"/>
      <c r="M124" s="12"/>
    </row>
    <row r="125" s="11" customFormat="1" customHeight="1" spans="5:13">
      <c r="E125" s="14"/>
      <c r="F125" s="14"/>
      <c r="G125" s="14"/>
      <c r="H125" s="14"/>
      <c r="I125" s="14"/>
      <c r="J125" s="15"/>
      <c r="M125" s="12"/>
    </row>
    <row r="126" s="11" customFormat="1" customHeight="1" spans="5:13">
      <c r="E126" s="14"/>
      <c r="F126" s="14"/>
      <c r="G126" s="14"/>
      <c r="H126" s="14"/>
      <c r="I126" s="14"/>
      <c r="J126" s="15"/>
      <c r="M126" s="12"/>
    </row>
    <row r="127" s="11" customFormat="1" customHeight="1" spans="5:13">
      <c r="E127" s="14"/>
      <c r="F127" s="14"/>
      <c r="G127" s="14"/>
      <c r="H127" s="14"/>
      <c r="I127" s="14"/>
      <c r="J127" s="15"/>
      <c r="M127" s="12"/>
    </row>
    <row r="128" s="11" customFormat="1" customHeight="1" spans="5:13">
      <c r="E128" s="14"/>
      <c r="F128" s="14"/>
      <c r="G128" s="14"/>
      <c r="H128" s="14"/>
      <c r="I128" s="14"/>
      <c r="J128" s="15"/>
      <c r="M128" s="12"/>
    </row>
    <row r="129" s="11" customFormat="1" customHeight="1" spans="5:13">
      <c r="E129" s="14"/>
      <c r="F129" s="14"/>
      <c r="G129" s="14"/>
      <c r="H129" s="14"/>
      <c r="I129" s="14"/>
      <c r="J129" s="15"/>
      <c r="M129" s="12"/>
    </row>
    <row r="130" s="11" customFormat="1" customHeight="1" spans="5:13">
      <c r="E130" s="14"/>
      <c r="F130" s="14"/>
      <c r="G130" s="14"/>
      <c r="H130" s="14"/>
      <c r="I130" s="14"/>
      <c r="J130" s="15"/>
      <c r="M130" s="12"/>
    </row>
    <row r="131" s="11" customFormat="1" customHeight="1" spans="5:13">
      <c r="E131" s="14"/>
      <c r="F131" s="14"/>
      <c r="G131" s="14"/>
      <c r="H131" s="14"/>
      <c r="I131" s="14"/>
      <c r="J131" s="15"/>
      <c r="M131" s="12"/>
    </row>
    <row r="132" s="11" customFormat="1" customHeight="1" spans="5:13">
      <c r="E132" s="14"/>
      <c r="F132" s="14"/>
      <c r="G132" s="14"/>
      <c r="H132" s="14"/>
      <c r="I132" s="14"/>
      <c r="J132" s="15"/>
      <c r="M132" s="12"/>
    </row>
    <row r="133" s="11" customFormat="1" customHeight="1" spans="5:13">
      <c r="E133" s="14"/>
      <c r="F133" s="14"/>
      <c r="G133" s="14"/>
      <c r="H133" s="14"/>
      <c r="I133" s="14"/>
      <c r="J133" s="15"/>
      <c r="M133" s="12"/>
    </row>
    <row r="134" s="11" customFormat="1" customHeight="1" spans="5:13">
      <c r="E134" s="14"/>
      <c r="F134" s="14"/>
      <c r="G134" s="14"/>
      <c r="H134" s="14"/>
      <c r="I134" s="14"/>
      <c r="J134" s="15"/>
      <c r="M134" s="12"/>
    </row>
    <row r="135" s="11" customFormat="1" customHeight="1" spans="5:13">
      <c r="E135" s="14"/>
      <c r="F135" s="14"/>
      <c r="G135" s="14"/>
      <c r="H135" s="14"/>
      <c r="I135" s="14"/>
      <c r="J135" s="15"/>
      <c r="M135" s="12"/>
    </row>
    <row r="136" s="11" customFormat="1" customHeight="1" spans="5:13">
      <c r="E136" s="14"/>
      <c r="F136" s="14"/>
      <c r="G136" s="14"/>
      <c r="H136" s="14"/>
      <c r="I136" s="14"/>
      <c r="J136" s="15"/>
      <c r="M136" s="12"/>
    </row>
    <row r="137" s="11" customFormat="1" customHeight="1" spans="5:13">
      <c r="E137" s="14"/>
      <c r="F137" s="14"/>
      <c r="G137" s="14"/>
      <c r="H137" s="14"/>
      <c r="I137" s="14"/>
      <c r="J137" s="15"/>
      <c r="M137" s="12"/>
    </row>
    <row r="138" s="11" customFormat="1" customHeight="1" spans="5:13">
      <c r="E138" s="14"/>
      <c r="F138" s="14"/>
      <c r="G138" s="14"/>
      <c r="H138" s="14"/>
      <c r="I138" s="14"/>
      <c r="J138" s="15"/>
      <c r="M138" s="12"/>
    </row>
    <row r="139" s="11" customFormat="1" customHeight="1" spans="5:13">
      <c r="E139" s="14"/>
      <c r="F139" s="14"/>
      <c r="G139" s="14"/>
      <c r="H139" s="14"/>
      <c r="I139" s="14"/>
      <c r="J139" s="15"/>
      <c r="M139" s="12"/>
    </row>
    <row r="140" s="11" customFormat="1" customHeight="1" spans="5:13">
      <c r="E140" s="14"/>
      <c r="F140" s="14"/>
      <c r="G140" s="14"/>
      <c r="H140" s="14"/>
      <c r="I140" s="14"/>
      <c r="J140" s="15"/>
      <c r="M140" s="12"/>
    </row>
    <row r="141" s="11" customFormat="1" customHeight="1" spans="5:13">
      <c r="E141" s="14"/>
      <c r="F141" s="14"/>
      <c r="G141" s="14"/>
      <c r="H141" s="14"/>
      <c r="I141" s="14"/>
      <c r="J141" s="15"/>
      <c r="M141" s="12"/>
    </row>
    <row r="142" s="11" customFormat="1" customHeight="1" spans="5:13">
      <c r="E142" s="14"/>
      <c r="F142" s="14"/>
      <c r="G142" s="14"/>
      <c r="H142" s="14"/>
      <c r="I142" s="14"/>
      <c r="J142" s="15"/>
      <c r="M142" s="12"/>
    </row>
    <row r="143" s="11" customFormat="1" customHeight="1" spans="5:13">
      <c r="E143" s="14"/>
      <c r="F143" s="14"/>
      <c r="G143" s="14"/>
      <c r="H143" s="14"/>
      <c r="I143" s="14"/>
      <c r="J143" s="15"/>
      <c r="M143" s="12"/>
    </row>
    <row r="144" s="11" customFormat="1" customHeight="1" spans="5:13">
      <c r="E144" s="14"/>
      <c r="F144" s="14"/>
      <c r="G144" s="14"/>
      <c r="H144" s="14"/>
      <c r="I144" s="14"/>
      <c r="J144" s="15"/>
      <c r="M144" s="12"/>
    </row>
    <row r="145" s="11" customFormat="1" customHeight="1" spans="5:13">
      <c r="E145" s="14"/>
      <c r="F145" s="14"/>
      <c r="G145" s="14"/>
      <c r="H145" s="14"/>
      <c r="I145" s="14"/>
      <c r="J145" s="15"/>
      <c r="M145" s="12"/>
    </row>
    <row r="146" s="11" customFormat="1" customHeight="1" spans="5:13">
      <c r="E146" s="14"/>
      <c r="F146" s="14"/>
      <c r="G146" s="14"/>
      <c r="H146" s="14"/>
      <c r="I146" s="14"/>
      <c r="J146" s="15"/>
      <c r="M146" s="12"/>
    </row>
    <row r="147" s="11" customFormat="1" customHeight="1" spans="5:13">
      <c r="E147" s="14"/>
      <c r="F147" s="14"/>
      <c r="G147" s="14"/>
      <c r="H147" s="14"/>
      <c r="I147" s="14"/>
      <c r="J147" s="15"/>
      <c r="M147" s="12"/>
    </row>
    <row r="148" s="11" customFormat="1" customHeight="1" spans="5:13">
      <c r="E148" s="14"/>
      <c r="F148" s="14"/>
      <c r="G148" s="14"/>
      <c r="H148" s="14"/>
      <c r="I148" s="14"/>
      <c r="J148" s="15"/>
      <c r="M148" s="12"/>
    </row>
    <row r="149" s="11" customFormat="1" customHeight="1" spans="5:13">
      <c r="E149" s="14"/>
      <c r="F149" s="14"/>
      <c r="G149" s="14"/>
      <c r="H149" s="14"/>
      <c r="I149" s="14"/>
      <c r="J149" s="15"/>
      <c r="M149" s="12"/>
    </row>
    <row r="150" s="11" customFormat="1" customHeight="1" spans="5:13">
      <c r="E150" s="14"/>
      <c r="F150" s="14"/>
      <c r="G150" s="14"/>
      <c r="H150" s="14"/>
      <c r="I150" s="14"/>
      <c r="J150" s="15"/>
      <c r="M150" s="12"/>
    </row>
    <row r="151" s="11" customFormat="1" customHeight="1" spans="5:13">
      <c r="E151" s="14"/>
      <c r="F151" s="14"/>
      <c r="G151" s="14"/>
      <c r="H151" s="14"/>
      <c r="I151" s="14"/>
      <c r="J151" s="15"/>
      <c r="M151" s="12"/>
    </row>
    <row r="152" s="11" customFormat="1" customHeight="1" spans="5:13">
      <c r="E152" s="14"/>
      <c r="F152" s="14"/>
      <c r="G152" s="14"/>
      <c r="H152" s="14"/>
      <c r="I152" s="14"/>
      <c r="J152" s="15"/>
      <c r="M152" s="12"/>
    </row>
    <row r="153" s="11" customFormat="1" customHeight="1" spans="5:13">
      <c r="E153" s="14"/>
      <c r="F153" s="14"/>
      <c r="G153" s="14"/>
      <c r="H153" s="14"/>
      <c r="I153" s="14"/>
      <c r="J153" s="15"/>
      <c r="M153" s="12"/>
    </row>
    <row r="154" s="11" customFormat="1" customHeight="1" spans="5:13">
      <c r="E154" s="14"/>
      <c r="F154" s="14"/>
      <c r="G154" s="14"/>
      <c r="H154" s="14"/>
      <c r="I154" s="14"/>
      <c r="J154" s="15"/>
      <c r="M154" s="12"/>
    </row>
    <row r="155" s="11" customFormat="1" customHeight="1" spans="5:13">
      <c r="E155" s="14"/>
      <c r="F155" s="14"/>
      <c r="G155" s="14"/>
      <c r="H155" s="14"/>
      <c r="I155" s="14"/>
      <c r="J155" s="15"/>
      <c r="M155" s="12"/>
    </row>
    <row r="156" s="11" customFormat="1" customHeight="1" spans="5:13">
      <c r="E156" s="14"/>
      <c r="F156" s="14"/>
      <c r="G156" s="14"/>
      <c r="H156" s="14"/>
      <c r="I156" s="14"/>
      <c r="J156" s="15"/>
      <c r="M156" s="12"/>
    </row>
    <row r="157" s="11" customFormat="1" customHeight="1" spans="5:13">
      <c r="E157" s="14"/>
      <c r="F157" s="14"/>
      <c r="G157" s="14"/>
      <c r="H157" s="14"/>
      <c r="I157" s="14"/>
      <c r="J157" s="15"/>
      <c r="M157" s="12"/>
    </row>
    <row r="158" s="11" customFormat="1" customHeight="1" spans="5:13">
      <c r="E158" s="14"/>
      <c r="F158" s="14"/>
      <c r="G158" s="14"/>
      <c r="H158" s="14"/>
      <c r="I158" s="14"/>
      <c r="J158" s="15"/>
      <c r="M158" s="12"/>
    </row>
    <row r="159" s="11" customFormat="1" customHeight="1" spans="5:13">
      <c r="E159" s="14"/>
      <c r="F159" s="14"/>
      <c r="G159" s="14"/>
      <c r="H159" s="14"/>
      <c r="I159" s="14"/>
      <c r="J159" s="15"/>
      <c r="M159" s="12"/>
    </row>
    <row r="160" s="11" customFormat="1" customHeight="1" spans="5:13">
      <c r="E160" s="14"/>
      <c r="F160" s="14"/>
      <c r="G160" s="14"/>
      <c r="H160" s="14"/>
      <c r="I160" s="14"/>
      <c r="J160" s="15"/>
      <c r="M160" s="12"/>
    </row>
    <row r="161" s="11" customFormat="1" customHeight="1" spans="5:13">
      <c r="E161" s="14"/>
      <c r="F161" s="14"/>
      <c r="G161" s="14"/>
      <c r="H161" s="14"/>
      <c r="I161" s="14"/>
      <c r="J161" s="15"/>
      <c r="M161" s="12"/>
    </row>
    <row r="162" s="11" customFormat="1" customHeight="1" spans="5:13">
      <c r="E162" s="14"/>
      <c r="F162" s="14"/>
      <c r="G162" s="14"/>
      <c r="H162" s="14"/>
      <c r="I162" s="14"/>
      <c r="J162" s="15"/>
      <c r="M162" s="12"/>
    </row>
    <row r="163" s="11" customFormat="1" customHeight="1" spans="5:13">
      <c r="E163" s="14"/>
      <c r="F163" s="14"/>
      <c r="G163" s="14"/>
      <c r="H163" s="14"/>
      <c r="I163" s="14"/>
      <c r="J163" s="15"/>
      <c r="M163" s="12"/>
    </row>
    <row r="164" s="11" customFormat="1" customHeight="1" spans="5:13">
      <c r="E164" s="14"/>
      <c r="F164" s="14"/>
      <c r="G164" s="14"/>
      <c r="H164" s="14"/>
      <c r="I164" s="14"/>
      <c r="J164" s="15"/>
      <c r="M164" s="12"/>
    </row>
    <row r="165" s="11" customFormat="1" customHeight="1" spans="5:13">
      <c r="E165" s="14"/>
      <c r="F165" s="14"/>
      <c r="G165" s="14"/>
      <c r="H165" s="14"/>
      <c r="I165" s="14"/>
      <c r="J165" s="15"/>
      <c r="M165" s="12"/>
    </row>
    <row r="166" s="11" customFormat="1" customHeight="1" spans="5:13">
      <c r="E166" s="14"/>
      <c r="F166" s="14"/>
      <c r="G166" s="14"/>
      <c r="H166" s="14"/>
      <c r="I166" s="14"/>
      <c r="J166" s="15"/>
      <c r="M166" s="12"/>
    </row>
    <row r="167" s="11" customFormat="1" customHeight="1" spans="5:13">
      <c r="E167" s="14"/>
      <c r="F167" s="14"/>
      <c r="G167" s="14"/>
      <c r="H167" s="14"/>
      <c r="I167" s="14"/>
      <c r="J167" s="15"/>
      <c r="M167" s="12"/>
    </row>
    <row r="168" s="11" customFormat="1" customHeight="1" spans="5:13">
      <c r="E168" s="14"/>
      <c r="F168" s="14"/>
      <c r="G168" s="14"/>
      <c r="H168" s="14"/>
      <c r="I168" s="14"/>
      <c r="J168" s="15"/>
      <c r="M168" s="12"/>
    </row>
    <row r="169" s="11" customFormat="1" customHeight="1" spans="5:13">
      <c r="E169" s="14"/>
      <c r="F169" s="14"/>
      <c r="G169" s="14"/>
      <c r="H169" s="14"/>
      <c r="I169" s="14"/>
      <c r="J169" s="15"/>
      <c r="M169" s="12"/>
    </row>
    <row r="170" s="11" customFormat="1" customHeight="1" spans="5:13">
      <c r="E170" s="14"/>
      <c r="F170" s="14"/>
      <c r="G170" s="14"/>
      <c r="H170" s="14"/>
      <c r="I170" s="14"/>
      <c r="J170" s="15"/>
      <c r="M170" s="12"/>
    </row>
    <row r="171" s="11" customFormat="1" customHeight="1" spans="5:13">
      <c r="E171" s="14"/>
      <c r="F171" s="14"/>
      <c r="G171" s="14"/>
      <c r="H171" s="14"/>
      <c r="I171" s="14"/>
      <c r="J171" s="15"/>
      <c r="M171" s="12"/>
    </row>
    <row r="172" s="11" customFormat="1" customHeight="1" spans="5:13">
      <c r="E172" s="14"/>
      <c r="F172" s="14"/>
      <c r="G172" s="14"/>
      <c r="H172" s="14"/>
      <c r="I172" s="14"/>
      <c r="J172" s="15"/>
      <c r="M172" s="12"/>
    </row>
    <row r="173" s="11" customFormat="1" customHeight="1" spans="5:13">
      <c r="E173" s="14"/>
      <c r="F173" s="14"/>
      <c r="G173" s="14"/>
      <c r="H173" s="14"/>
      <c r="I173" s="14"/>
      <c r="J173" s="15"/>
      <c r="M173" s="12"/>
    </row>
    <row r="174" s="11" customFormat="1" customHeight="1" spans="5:13">
      <c r="E174" s="14"/>
      <c r="F174" s="14"/>
      <c r="G174" s="14"/>
      <c r="H174" s="14"/>
      <c r="I174" s="14"/>
      <c r="J174" s="15"/>
      <c r="M174" s="12"/>
    </row>
    <row r="175" s="11" customFormat="1" customHeight="1" spans="5:13">
      <c r="E175" s="14"/>
      <c r="F175" s="14"/>
      <c r="G175" s="14"/>
      <c r="H175" s="14"/>
      <c r="I175" s="14"/>
      <c r="J175" s="15"/>
      <c r="M175" s="12"/>
    </row>
    <row r="176" s="11" customFormat="1" customHeight="1" spans="5:13">
      <c r="E176" s="14"/>
      <c r="F176" s="14"/>
      <c r="G176" s="14"/>
      <c r="H176" s="14"/>
      <c r="I176" s="14"/>
      <c r="J176" s="15"/>
      <c r="M176" s="12"/>
    </row>
    <row r="177" s="11" customFormat="1" customHeight="1" spans="5:13">
      <c r="E177" s="14"/>
      <c r="F177" s="14"/>
      <c r="G177" s="14"/>
      <c r="H177" s="14"/>
      <c r="I177" s="14"/>
      <c r="J177" s="15"/>
      <c r="M177" s="12"/>
    </row>
    <row r="178" s="11" customFormat="1" customHeight="1" spans="5:13">
      <c r="E178" s="14"/>
      <c r="F178" s="14"/>
      <c r="G178" s="14"/>
      <c r="H178" s="14"/>
      <c r="I178" s="14"/>
      <c r="J178" s="15"/>
      <c r="M178" s="12"/>
    </row>
    <row r="179" s="11" customFormat="1" customHeight="1" spans="5:13">
      <c r="E179" s="14"/>
      <c r="F179" s="14"/>
      <c r="G179" s="14"/>
      <c r="H179" s="14"/>
      <c r="I179" s="14"/>
      <c r="J179" s="15"/>
      <c r="M179" s="12"/>
    </row>
    <row r="180" s="11" customFormat="1" customHeight="1" spans="5:13">
      <c r="E180" s="14"/>
      <c r="F180" s="14"/>
      <c r="G180" s="14"/>
      <c r="H180" s="14"/>
      <c r="I180" s="14"/>
      <c r="J180" s="15"/>
      <c r="M180" s="12"/>
    </row>
    <row r="181" s="11" customFormat="1" customHeight="1" spans="5:13">
      <c r="E181" s="14"/>
      <c r="F181" s="14"/>
      <c r="G181" s="14"/>
      <c r="H181" s="14"/>
      <c r="I181" s="14"/>
      <c r="J181" s="15"/>
      <c r="M181" s="12"/>
    </row>
    <row r="182" s="11" customFormat="1" customHeight="1" spans="5:13">
      <c r="E182" s="14"/>
      <c r="F182" s="14"/>
      <c r="G182" s="14"/>
      <c r="H182" s="14"/>
      <c r="I182" s="14"/>
      <c r="J182" s="15"/>
      <c r="M182" s="12"/>
    </row>
    <row r="183" s="11" customFormat="1" customHeight="1" spans="5:13">
      <c r="E183" s="14"/>
      <c r="F183" s="14"/>
      <c r="G183" s="14"/>
      <c r="H183" s="14"/>
      <c r="I183" s="14"/>
      <c r="J183" s="15"/>
      <c r="M183" s="12"/>
    </row>
    <row r="184" s="11" customFormat="1" customHeight="1" spans="5:13">
      <c r="E184" s="14"/>
      <c r="F184" s="14"/>
      <c r="G184" s="14"/>
      <c r="H184" s="14"/>
      <c r="I184" s="14"/>
      <c r="J184" s="15"/>
      <c r="M184" s="12"/>
    </row>
    <row r="185" s="11" customFormat="1" customHeight="1" spans="5:13">
      <c r="E185" s="14"/>
      <c r="F185" s="14"/>
      <c r="G185" s="14"/>
      <c r="H185" s="14"/>
      <c r="I185" s="14"/>
      <c r="J185" s="15"/>
      <c r="M185" s="12"/>
    </row>
    <row r="186" s="11" customFormat="1" customHeight="1" spans="5:13">
      <c r="E186" s="14"/>
      <c r="F186" s="14"/>
      <c r="G186" s="14"/>
      <c r="H186" s="14"/>
      <c r="I186" s="14"/>
      <c r="J186" s="15"/>
      <c r="M186" s="12"/>
    </row>
    <row r="187" s="11" customFormat="1" customHeight="1" spans="5:13">
      <c r="E187" s="14"/>
      <c r="F187" s="14"/>
      <c r="G187" s="14"/>
      <c r="H187" s="14"/>
      <c r="I187" s="14"/>
      <c r="J187" s="15"/>
      <c r="M187" s="12"/>
    </row>
    <row r="188" s="11" customFormat="1" customHeight="1" spans="5:13">
      <c r="E188" s="14"/>
      <c r="F188" s="14"/>
      <c r="G188" s="14"/>
      <c r="H188" s="14"/>
      <c r="I188" s="14"/>
      <c r="J188" s="15"/>
      <c r="M188" s="12"/>
    </row>
    <row r="189" s="11" customFormat="1" customHeight="1" spans="5:13">
      <c r="E189" s="14"/>
      <c r="F189" s="14"/>
      <c r="G189" s="14"/>
      <c r="H189" s="14"/>
      <c r="I189" s="14"/>
      <c r="J189" s="15"/>
      <c r="M189" s="12"/>
    </row>
    <row r="190" s="11" customFormat="1" customHeight="1" spans="5:13">
      <c r="E190" s="14"/>
      <c r="F190" s="14"/>
      <c r="G190" s="14"/>
      <c r="H190" s="14"/>
      <c r="I190" s="14"/>
      <c r="J190" s="15"/>
      <c r="M190" s="12"/>
    </row>
    <row r="191" s="11" customFormat="1" customHeight="1" spans="5:13">
      <c r="E191" s="14"/>
      <c r="F191" s="14"/>
      <c r="G191" s="14"/>
      <c r="H191" s="14"/>
      <c r="I191" s="14"/>
      <c r="J191" s="15"/>
      <c r="M191" s="12"/>
    </row>
    <row r="192" s="11" customFormat="1" customHeight="1" spans="5:13">
      <c r="E192" s="14"/>
      <c r="F192" s="14"/>
      <c r="G192" s="14"/>
      <c r="H192" s="14"/>
      <c r="I192" s="14"/>
      <c r="J192" s="15"/>
      <c r="M192" s="12"/>
    </row>
    <row r="193" s="11" customFormat="1" customHeight="1" spans="5:13">
      <c r="E193" s="14"/>
      <c r="F193" s="14"/>
      <c r="G193" s="14"/>
      <c r="H193" s="14"/>
      <c r="I193" s="14"/>
      <c r="J193" s="15"/>
      <c r="M193" s="12"/>
    </row>
    <row r="194" s="11" customFormat="1" customHeight="1" spans="5:13">
      <c r="E194" s="14"/>
      <c r="F194" s="14"/>
      <c r="G194" s="14"/>
      <c r="H194" s="14"/>
      <c r="I194" s="14"/>
      <c r="J194" s="15"/>
      <c r="M194" s="12"/>
    </row>
    <row r="195" s="11" customFormat="1" customHeight="1" spans="5:13">
      <c r="E195" s="14"/>
      <c r="F195" s="14"/>
      <c r="G195" s="14"/>
      <c r="H195" s="14"/>
      <c r="I195" s="14"/>
      <c r="J195" s="15"/>
      <c r="M195" s="12"/>
    </row>
    <row r="196" s="11" customFormat="1" customHeight="1" spans="5:13">
      <c r="E196" s="14"/>
      <c r="F196" s="14"/>
      <c r="G196" s="14"/>
      <c r="H196" s="14"/>
      <c r="I196" s="14"/>
      <c r="J196" s="15"/>
      <c r="M196" s="12"/>
    </row>
    <row r="197" s="11" customFormat="1" customHeight="1" spans="5:13">
      <c r="E197" s="14"/>
      <c r="F197" s="14"/>
      <c r="G197" s="14"/>
      <c r="H197" s="14"/>
      <c r="I197" s="14"/>
      <c r="J197" s="15"/>
      <c r="M197" s="12"/>
    </row>
    <row r="198" s="11" customFormat="1" customHeight="1" spans="5:13">
      <c r="E198" s="14"/>
      <c r="F198" s="14"/>
      <c r="G198" s="14"/>
      <c r="H198" s="14"/>
      <c r="I198" s="14"/>
      <c r="J198" s="15"/>
      <c r="M198" s="12"/>
    </row>
    <row r="199" s="11" customFormat="1" customHeight="1" spans="5:13">
      <c r="E199" s="14"/>
      <c r="F199" s="14"/>
      <c r="G199" s="14"/>
      <c r="H199" s="14"/>
      <c r="I199" s="14"/>
      <c r="J199" s="15"/>
      <c r="M199" s="12"/>
    </row>
    <row r="200" s="11" customFormat="1" customHeight="1" spans="5:13">
      <c r="E200" s="14"/>
      <c r="F200" s="14"/>
      <c r="G200" s="14"/>
      <c r="H200" s="14"/>
      <c r="I200" s="14"/>
      <c r="J200" s="15"/>
      <c r="M200" s="12"/>
    </row>
    <row r="201" s="11" customFormat="1" customHeight="1" spans="5:13">
      <c r="E201" s="14"/>
      <c r="F201" s="14"/>
      <c r="G201" s="14"/>
      <c r="H201" s="14"/>
      <c r="I201" s="14"/>
      <c r="J201" s="15"/>
      <c r="M201" s="12"/>
    </row>
    <row r="202" s="11" customFormat="1" customHeight="1" spans="5:13">
      <c r="E202" s="14"/>
      <c r="F202" s="14"/>
      <c r="G202" s="14"/>
      <c r="H202" s="14"/>
      <c r="I202" s="14"/>
      <c r="J202" s="15"/>
      <c r="M202" s="12"/>
    </row>
    <row r="203" s="11" customFormat="1" customHeight="1" spans="5:13">
      <c r="E203" s="14"/>
      <c r="F203" s="14"/>
      <c r="G203" s="14"/>
      <c r="H203" s="14"/>
      <c r="I203" s="14"/>
      <c r="J203" s="15"/>
      <c r="M203" s="12"/>
    </row>
    <row r="204" s="11" customFormat="1" customHeight="1" spans="5:13">
      <c r="E204" s="14"/>
      <c r="F204" s="14"/>
      <c r="G204" s="14"/>
      <c r="H204" s="14"/>
      <c r="I204" s="14"/>
      <c r="J204" s="15"/>
      <c r="M204" s="12"/>
    </row>
    <row r="205" s="11" customFormat="1" customHeight="1" spans="5:13">
      <c r="E205" s="14"/>
      <c r="F205" s="14"/>
      <c r="G205" s="14"/>
      <c r="H205" s="14"/>
      <c r="I205" s="14"/>
      <c r="J205" s="15"/>
      <c r="M205" s="12"/>
    </row>
    <row r="206" s="11" customFormat="1" customHeight="1" spans="5:13">
      <c r="E206" s="14"/>
      <c r="F206" s="14"/>
      <c r="G206" s="14"/>
      <c r="H206" s="14"/>
      <c r="I206" s="14"/>
      <c r="J206" s="15"/>
      <c r="M206" s="12"/>
    </row>
    <row r="207" s="11" customFormat="1" customHeight="1" spans="5:13">
      <c r="E207" s="14"/>
      <c r="F207" s="14"/>
      <c r="G207" s="14"/>
      <c r="H207" s="14"/>
      <c r="I207" s="14"/>
      <c r="J207" s="15"/>
      <c r="M207" s="12"/>
    </row>
    <row r="208" s="11" customFormat="1" customHeight="1" spans="5:13">
      <c r="E208" s="14"/>
      <c r="F208" s="14"/>
      <c r="G208" s="14"/>
      <c r="H208" s="14"/>
      <c r="I208" s="14"/>
      <c r="J208" s="15"/>
      <c r="M208" s="12"/>
    </row>
    <row r="209" s="11" customFormat="1" customHeight="1" spans="5:13">
      <c r="E209" s="14"/>
      <c r="F209" s="14"/>
      <c r="G209" s="14"/>
      <c r="H209" s="14"/>
      <c r="I209" s="14"/>
      <c r="J209" s="15"/>
      <c r="M209" s="12"/>
    </row>
    <row r="210" s="11" customFormat="1" customHeight="1" spans="5:13">
      <c r="E210" s="14"/>
      <c r="F210" s="14"/>
      <c r="G210" s="14"/>
      <c r="H210" s="14"/>
      <c r="I210" s="14"/>
      <c r="J210" s="15"/>
      <c r="M210" s="12"/>
    </row>
    <row r="211" s="11" customFormat="1" customHeight="1" spans="5:13">
      <c r="E211" s="14"/>
      <c r="F211" s="14"/>
      <c r="G211" s="14"/>
      <c r="H211" s="14"/>
      <c r="I211" s="14"/>
      <c r="J211" s="15"/>
      <c r="M211" s="12"/>
    </row>
    <row r="212" s="11" customFormat="1" customHeight="1" spans="5:13">
      <c r="E212" s="14"/>
      <c r="F212" s="14"/>
      <c r="G212" s="14"/>
      <c r="H212" s="14"/>
      <c r="I212" s="14"/>
      <c r="J212" s="15"/>
      <c r="M212" s="12"/>
    </row>
    <row r="213" s="11" customFormat="1" customHeight="1" spans="5:13">
      <c r="E213" s="14"/>
      <c r="F213" s="14"/>
      <c r="G213" s="14"/>
      <c r="H213" s="14"/>
      <c r="I213" s="14"/>
      <c r="J213" s="15"/>
      <c r="M213" s="12"/>
    </row>
    <row r="214" s="11" customFormat="1" customHeight="1" spans="5:13">
      <c r="E214" s="14"/>
      <c r="F214" s="14"/>
      <c r="G214" s="14"/>
      <c r="H214" s="14"/>
      <c r="I214" s="14"/>
      <c r="J214" s="15"/>
      <c r="M214" s="12"/>
    </row>
    <row r="215" s="11" customFormat="1" customHeight="1" spans="5:13">
      <c r="E215" s="14"/>
      <c r="F215" s="14"/>
      <c r="G215" s="14"/>
      <c r="H215" s="14"/>
      <c r="I215" s="14"/>
      <c r="J215" s="15"/>
      <c r="M215" s="12"/>
    </row>
    <row r="216" s="11" customFormat="1" customHeight="1" spans="5:13">
      <c r="E216" s="14"/>
      <c r="F216" s="14"/>
      <c r="G216" s="14"/>
      <c r="H216" s="14"/>
      <c r="I216" s="14"/>
      <c r="J216" s="15"/>
      <c r="M216" s="12"/>
    </row>
    <row r="217" s="11" customFormat="1" customHeight="1" spans="5:13">
      <c r="E217" s="14"/>
      <c r="F217" s="14"/>
      <c r="G217" s="14"/>
      <c r="H217" s="14"/>
      <c r="I217" s="14"/>
      <c r="J217" s="15"/>
      <c r="M217" s="12"/>
    </row>
    <row r="218" s="11" customFormat="1" customHeight="1" spans="5:13">
      <c r="E218" s="14"/>
      <c r="F218" s="14"/>
      <c r="G218" s="14"/>
      <c r="H218" s="14"/>
      <c r="I218" s="14"/>
      <c r="J218" s="15"/>
      <c r="M218" s="12"/>
    </row>
    <row r="219" s="11" customFormat="1" customHeight="1" spans="5:13">
      <c r="E219" s="14"/>
      <c r="F219" s="14"/>
      <c r="G219" s="14"/>
      <c r="H219" s="14"/>
      <c r="I219" s="14"/>
      <c r="J219" s="15"/>
      <c r="M219" s="12"/>
    </row>
    <row r="220" s="11" customFormat="1" customHeight="1" spans="5:13">
      <c r="E220" s="14"/>
      <c r="F220" s="14"/>
      <c r="G220" s="14"/>
      <c r="H220" s="14"/>
      <c r="I220" s="14"/>
      <c r="J220" s="15"/>
      <c r="M220" s="12"/>
    </row>
    <row r="221" s="11" customFormat="1" customHeight="1" spans="5:13">
      <c r="E221" s="14"/>
      <c r="F221" s="14"/>
      <c r="G221" s="14"/>
      <c r="H221" s="14"/>
      <c r="I221" s="14"/>
      <c r="J221" s="15"/>
      <c r="M221" s="12"/>
    </row>
    <row r="222" s="11" customFormat="1" customHeight="1" spans="5:13">
      <c r="E222" s="14"/>
      <c r="F222" s="14"/>
      <c r="G222" s="14"/>
      <c r="H222" s="14"/>
      <c r="I222" s="14"/>
      <c r="J222" s="15"/>
      <c r="M222" s="12"/>
    </row>
    <row r="223" s="11" customFormat="1" customHeight="1" spans="5:13">
      <c r="E223" s="14"/>
      <c r="F223" s="14"/>
      <c r="G223" s="14"/>
      <c r="H223" s="14"/>
      <c r="I223" s="14"/>
      <c r="J223" s="15"/>
      <c r="M223" s="12"/>
    </row>
    <row r="224" s="11" customFormat="1" customHeight="1" spans="5:13">
      <c r="E224" s="14"/>
      <c r="F224" s="14"/>
      <c r="G224" s="14"/>
      <c r="H224" s="14"/>
      <c r="I224" s="14"/>
      <c r="J224" s="15"/>
      <c r="M224" s="12"/>
    </row>
    <row r="225" s="11" customFormat="1" customHeight="1" spans="5:13">
      <c r="E225" s="14"/>
      <c r="F225" s="14"/>
      <c r="G225" s="14"/>
      <c r="H225" s="14"/>
      <c r="I225" s="14"/>
      <c r="J225" s="15"/>
      <c r="M225" s="12"/>
    </row>
    <row r="226" s="11" customFormat="1" customHeight="1" spans="5:13">
      <c r="E226" s="14"/>
      <c r="F226" s="14"/>
      <c r="G226" s="14"/>
      <c r="H226" s="14"/>
      <c r="I226" s="14"/>
      <c r="J226" s="15"/>
      <c r="M226" s="12"/>
    </row>
    <row r="227" s="11" customFormat="1" customHeight="1" spans="5:13">
      <c r="E227" s="14"/>
      <c r="F227" s="14"/>
      <c r="G227" s="14"/>
      <c r="H227" s="14"/>
      <c r="I227" s="14"/>
      <c r="J227" s="15"/>
      <c r="M227" s="12"/>
    </row>
    <row r="228" s="11" customFormat="1" customHeight="1" spans="5:13">
      <c r="E228" s="14"/>
      <c r="F228" s="14"/>
      <c r="G228" s="14"/>
      <c r="H228" s="14"/>
      <c r="I228" s="14"/>
      <c r="J228" s="15"/>
      <c r="M228" s="12"/>
    </row>
    <row r="229" s="11" customFormat="1" customHeight="1" spans="5:13">
      <c r="E229" s="14"/>
      <c r="F229" s="14"/>
      <c r="G229" s="14"/>
      <c r="H229" s="14"/>
      <c r="I229" s="14"/>
      <c r="J229" s="15"/>
      <c r="M229" s="12"/>
    </row>
    <row r="230" s="11" customFormat="1" customHeight="1" spans="5:13">
      <c r="E230" s="14"/>
      <c r="F230" s="14"/>
      <c r="G230" s="14"/>
      <c r="H230" s="14"/>
      <c r="I230" s="14"/>
      <c r="J230" s="15"/>
      <c r="M230" s="12"/>
    </row>
    <row r="231" s="11" customFormat="1" customHeight="1" spans="5:13">
      <c r="E231" s="14"/>
      <c r="F231" s="14"/>
      <c r="G231" s="14"/>
      <c r="H231" s="14"/>
      <c r="I231" s="14"/>
      <c r="J231" s="15"/>
      <c r="M231" s="12"/>
    </row>
    <row r="232" s="11" customFormat="1" customHeight="1" spans="5:13">
      <c r="E232" s="14"/>
      <c r="F232" s="14"/>
      <c r="G232" s="14"/>
      <c r="H232" s="14"/>
      <c r="I232" s="14"/>
      <c r="J232" s="15"/>
      <c r="M232" s="12"/>
    </row>
    <row r="233" s="11" customFormat="1" customHeight="1" spans="5:13">
      <c r="E233" s="14"/>
      <c r="F233" s="14"/>
      <c r="G233" s="14"/>
      <c r="H233" s="14"/>
      <c r="I233" s="14"/>
      <c r="J233" s="15"/>
      <c r="M233" s="12"/>
    </row>
    <row r="234" s="11" customFormat="1" customHeight="1" spans="5:13">
      <c r="E234" s="14"/>
      <c r="F234" s="14"/>
      <c r="G234" s="14"/>
      <c r="H234" s="14"/>
      <c r="I234" s="14"/>
      <c r="J234" s="15"/>
      <c r="M234" s="12"/>
    </row>
    <row r="235" s="11" customFormat="1" customHeight="1" spans="5:13">
      <c r="E235" s="14"/>
      <c r="F235" s="14"/>
      <c r="G235" s="14"/>
      <c r="H235" s="14"/>
      <c r="I235" s="14"/>
      <c r="J235" s="15"/>
      <c r="M235" s="12"/>
    </row>
    <row r="236" s="11" customFormat="1" customHeight="1" spans="5:13">
      <c r="E236" s="14"/>
      <c r="F236" s="14"/>
      <c r="G236" s="14"/>
      <c r="H236" s="14"/>
      <c r="I236" s="14"/>
      <c r="J236" s="15"/>
      <c r="M236" s="12"/>
    </row>
    <row r="237" s="11" customFormat="1" customHeight="1" spans="5:13">
      <c r="E237" s="14"/>
      <c r="F237" s="14"/>
      <c r="G237" s="14"/>
      <c r="H237" s="14"/>
      <c r="I237" s="14"/>
      <c r="J237" s="15"/>
      <c r="M237" s="12"/>
    </row>
    <row r="238" s="11" customFormat="1" customHeight="1" spans="5:13">
      <c r="E238" s="14"/>
      <c r="F238" s="14"/>
      <c r="G238" s="14"/>
      <c r="H238" s="14"/>
      <c r="I238" s="14"/>
      <c r="J238" s="15"/>
      <c r="M238" s="12"/>
    </row>
    <row r="239" s="11" customFormat="1" customHeight="1" spans="5:13">
      <c r="E239" s="14"/>
      <c r="F239" s="14"/>
      <c r="G239" s="14"/>
      <c r="H239" s="14"/>
      <c r="I239" s="14"/>
      <c r="J239" s="15"/>
      <c r="M239" s="12"/>
    </row>
    <row r="240" s="11" customFormat="1" customHeight="1" spans="5:13">
      <c r="E240" s="14"/>
      <c r="F240" s="14"/>
      <c r="G240" s="14"/>
      <c r="H240" s="14"/>
      <c r="I240" s="14"/>
      <c r="J240" s="15"/>
      <c r="M240" s="12"/>
    </row>
    <row r="241" s="11" customFormat="1" customHeight="1" spans="5:13">
      <c r="E241" s="14"/>
      <c r="F241" s="14"/>
      <c r="G241" s="14"/>
      <c r="H241" s="14"/>
      <c r="I241" s="14"/>
      <c r="J241" s="15"/>
      <c r="M241" s="12"/>
    </row>
    <row r="242" s="11" customFormat="1" customHeight="1" spans="5:13">
      <c r="E242" s="14"/>
      <c r="F242" s="14"/>
      <c r="G242" s="14"/>
      <c r="H242" s="14"/>
      <c r="I242" s="14"/>
      <c r="J242" s="15"/>
      <c r="M242" s="12"/>
    </row>
    <row r="243" s="11" customFormat="1" customHeight="1" spans="5:13">
      <c r="E243" s="14"/>
      <c r="F243" s="14"/>
      <c r="G243" s="14"/>
      <c r="H243" s="14"/>
      <c r="I243" s="14"/>
      <c r="J243" s="15"/>
      <c r="M243" s="12"/>
    </row>
    <row r="244" s="11" customFormat="1" customHeight="1" spans="5:13">
      <c r="E244" s="14"/>
      <c r="F244" s="14"/>
      <c r="G244" s="14"/>
      <c r="H244" s="14"/>
      <c r="I244" s="14"/>
      <c r="J244" s="15"/>
      <c r="M244" s="12"/>
    </row>
    <row r="245" s="11" customFormat="1" customHeight="1" spans="5:13">
      <c r="E245" s="14"/>
      <c r="F245" s="14"/>
      <c r="G245" s="14"/>
      <c r="H245" s="14"/>
      <c r="I245" s="14"/>
      <c r="J245" s="15"/>
      <c r="M245" s="12"/>
    </row>
    <row r="246" s="11" customFormat="1" customHeight="1" spans="5:13">
      <c r="E246" s="14"/>
      <c r="F246" s="14"/>
      <c r="G246" s="14"/>
      <c r="H246" s="14"/>
      <c r="I246" s="14"/>
      <c r="J246" s="15"/>
      <c r="M246" s="12"/>
    </row>
    <row r="247" s="11" customFormat="1" customHeight="1" spans="5:13">
      <c r="E247" s="14"/>
      <c r="F247" s="14"/>
      <c r="G247" s="14"/>
      <c r="H247" s="14"/>
      <c r="I247" s="14"/>
      <c r="J247" s="15"/>
      <c r="M247" s="12"/>
    </row>
    <row r="248" s="11" customFormat="1" customHeight="1" spans="5:13">
      <c r="E248" s="14"/>
      <c r="F248" s="14"/>
      <c r="G248" s="14"/>
      <c r="H248" s="14"/>
      <c r="I248" s="14"/>
      <c r="J248" s="15"/>
      <c r="M248" s="12"/>
    </row>
    <row r="249" s="11" customFormat="1" customHeight="1" spans="5:13">
      <c r="E249" s="14"/>
      <c r="F249" s="14"/>
      <c r="G249" s="14"/>
      <c r="H249" s="14"/>
      <c r="I249" s="14"/>
      <c r="J249" s="15"/>
      <c r="M249" s="12"/>
    </row>
    <row r="250" s="11" customFormat="1" customHeight="1" spans="5:13">
      <c r="E250" s="14"/>
      <c r="F250" s="14"/>
      <c r="G250" s="14"/>
      <c r="H250" s="14"/>
      <c r="I250" s="14"/>
      <c r="J250" s="15"/>
      <c r="M250" s="12"/>
    </row>
    <row r="251" s="11" customFormat="1" customHeight="1" spans="5:13">
      <c r="E251" s="14"/>
      <c r="F251" s="14"/>
      <c r="G251" s="14"/>
      <c r="H251" s="14"/>
      <c r="I251" s="14"/>
      <c r="J251" s="15"/>
      <c r="M251" s="12"/>
    </row>
    <row r="252" s="11" customFormat="1" customHeight="1" spans="5:13">
      <c r="E252" s="14"/>
      <c r="F252" s="14"/>
      <c r="G252" s="14"/>
      <c r="H252" s="14"/>
      <c r="I252" s="14"/>
      <c r="J252" s="15"/>
      <c r="M252" s="12"/>
    </row>
    <row r="253" s="11" customFormat="1" customHeight="1" spans="5:13">
      <c r="E253" s="14"/>
      <c r="F253" s="14"/>
      <c r="G253" s="14"/>
      <c r="H253" s="14"/>
      <c r="I253" s="14"/>
      <c r="J253" s="15"/>
      <c r="M253" s="12"/>
    </row>
    <row r="254" s="11" customFormat="1" customHeight="1" spans="5:13">
      <c r="E254" s="14"/>
      <c r="F254" s="14"/>
      <c r="G254" s="14"/>
      <c r="H254" s="14"/>
      <c r="I254" s="14"/>
      <c r="J254" s="15"/>
      <c r="M254" s="12"/>
    </row>
    <row r="255" s="11" customFormat="1" customHeight="1" spans="5:13">
      <c r="E255" s="14"/>
      <c r="F255" s="14"/>
      <c r="G255" s="14"/>
      <c r="H255" s="14"/>
      <c r="I255" s="14"/>
      <c r="J255" s="15"/>
      <c r="M255" s="12"/>
    </row>
    <row r="256" s="11" customFormat="1" customHeight="1" spans="5:13">
      <c r="E256" s="14"/>
      <c r="F256" s="14"/>
      <c r="G256" s="14"/>
      <c r="H256" s="14"/>
      <c r="I256" s="14"/>
      <c r="J256" s="15"/>
      <c r="M256" s="12"/>
    </row>
    <row r="257" s="11" customFormat="1" customHeight="1" spans="5:13">
      <c r="E257" s="14"/>
      <c r="F257" s="14"/>
      <c r="G257" s="14"/>
      <c r="H257" s="14"/>
      <c r="I257" s="14"/>
      <c r="J257" s="15"/>
      <c r="M257" s="12"/>
    </row>
    <row r="258" s="11" customFormat="1" customHeight="1" spans="5:13">
      <c r="E258" s="14"/>
      <c r="F258" s="14"/>
      <c r="G258" s="14"/>
      <c r="H258" s="14"/>
      <c r="I258" s="14"/>
      <c r="J258" s="15"/>
      <c r="M258" s="12"/>
    </row>
    <row r="259" s="11" customFormat="1" customHeight="1" spans="5:13">
      <c r="E259" s="14"/>
      <c r="F259" s="14"/>
      <c r="G259" s="14"/>
      <c r="H259" s="14"/>
      <c r="I259" s="14"/>
      <c r="J259" s="15"/>
      <c r="M259" s="12"/>
    </row>
    <row r="260" s="11" customFormat="1" customHeight="1" spans="5:13">
      <c r="E260" s="14"/>
      <c r="F260" s="14"/>
      <c r="G260" s="14"/>
      <c r="H260" s="14"/>
      <c r="I260" s="14"/>
      <c r="J260" s="15"/>
      <c r="M260" s="12"/>
    </row>
    <row r="261" s="11" customFormat="1" customHeight="1" spans="5:13">
      <c r="E261" s="14"/>
      <c r="F261" s="14"/>
      <c r="G261" s="14"/>
      <c r="H261" s="14"/>
      <c r="I261" s="14"/>
      <c r="J261" s="15"/>
      <c r="M261" s="12"/>
    </row>
    <row r="262" s="11" customFormat="1" customHeight="1" spans="5:13">
      <c r="E262" s="14"/>
      <c r="F262" s="14"/>
      <c r="G262" s="14"/>
      <c r="H262" s="14"/>
      <c r="I262" s="14"/>
      <c r="J262" s="15"/>
      <c r="M262" s="12"/>
    </row>
    <row r="263" s="11" customFormat="1" customHeight="1" spans="5:13">
      <c r="E263" s="14"/>
      <c r="F263" s="14"/>
      <c r="G263" s="14"/>
      <c r="H263" s="14"/>
      <c r="I263" s="14"/>
      <c r="J263" s="15"/>
      <c r="M263" s="12"/>
    </row>
    <row r="264" s="11" customFormat="1" customHeight="1" spans="5:13">
      <c r="E264" s="14"/>
      <c r="F264" s="14"/>
      <c r="G264" s="14"/>
      <c r="H264" s="14"/>
      <c r="I264" s="14"/>
      <c r="J264" s="15"/>
      <c r="M264" s="12"/>
    </row>
    <row r="265" s="11" customFormat="1" customHeight="1" spans="5:13">
      <c r="E265" s="14"/>
      <c r="F265" s="14"/>
      <c r="G265" s="14"/>
      <c r="H265" s="14"/>
      <c r="I265" s="14"/>
      <c r="J265" s="15"/>
      <c r="M265" s="12"/>
    </row>
    <row r="266" s="11" customFormat="1" customHeight="1" spans="5:13">
      <c r="E266" s="14"/>
      <c r="F266" s="14"/>
      <c r="G266" s="14"/>
      <c r="H266" s="14"/>
      <c r="I266" s="14"/>
      <c r="J266" s="15"/>
      <c r="M266" s="12"/>
    </row>
    <row r="267" s="11" customFormat="1" customHeight="1" spans="5:13">
      <c r="E267" s="14"/>
      <c r="F267" s="14"/>
      <c r="G267" s="14"/>
      <c r="H267" s="14"/>
      <c r="I267" s="14"/>
      <c r="J267" s="15"/>
      <c r="M267" s="12"/>
    </row>
    <row r="268" s="11" customFormat="1" customHeight="1" spans="5:13">
      <c r="E268" s="14"/>
      <c r="F268" s="14"/>
      <c r="G268" s="14"/>
      <c r="H268" s="14"/>
      <c r="I268" s="14"/>
      <c r="J268" s="15"/>
      <c r="M268" s="12"/>
    </row>
    <row r="269" s="11" customFormat="1" customHeight="1" spans="5:13">
      <c r="E269" s="14"/>
      <c r="F269" s="14"/>
      <c r="G269" s="14"/>
      <c r="H269" s="14"/>
      <c r="I269" s="14"/>
      <c r="J269" s="15"/>
      <c r="M269" s="12"/>
    </row>
    <row r="270" s="11" customFormat="1" customHeight="1" spans="5:13">
      <c r="E270" s="14"/>
      <c r="F270" s="14"/>
      <c r="G270" s="14"/>
      <c r="H270" s="14"/>
      <c r="I270" s="14"/>
      <c r="J270" s="15"/>
      <c r="M270" s="12"/>
    </row>
    <row r="271" s="11" customFormat="1" customHeight="1" spans="5:13">
      <c r="E271" s="14"/>
      <c r="F271" s="14"/>
      <c r="G271" s="14"/>
      <c r="H271" s="14"/>
      <c r="I271" s="14"/>
      <c r="J271" s="15"/>
      <c r="M271" s="12"/>
    </row>
    <row r="272" s="11" customFormat="1" customHeight="1" spans="5:13">
      <c r="E272" s="14"/>
      <c r="F272" s="14"/>
      <c r="G272" s="14"/>
      <c r="H272" s="14"/>
      <c r="I272" s="14"/>
      <c r="J272" s="15"/>
      <c r="M272" s="12"/>
    </row>
    <row r="273" s="11" customFormat="1" customHeight="1" spans="5:13">
      <c r="E273" s="14"/>
      <c r="F273" s="14"/>
      <c r="G273" s="14"/>
      <c r="H273" s="14"/>
      <c r="I273" s="14"/>
      <c r="J273" s="15"/>
      <c r="M273" s="12"/>
    </row>
    <row r="274" s="11" customFormat="1" customHeight="1" spans="5:13">
      <c r="E274" s="14"/>
      <c r="F274" s="14"/>
      <c r="G274" s="14"/>
      <c r="H274" s="14"/>
      <c r="I274" s="14"/>
      <c r="J274" s="15"/>
      <c r="M274" s="12"/>
    </row>
    <row r="275" s="11" customFormat="1" customHeight="1" spans="5:13">
      <c r="E275" s="14"/>
      <c r="F275" s="14"/>
      <c r="G275" s="14"/>
      <c r="H275" s="14"/>
      <c r="I275" s="14"/>
      <c r="J275" s="15"/>
      <c r="M275" s="12"/>
    </row>
    <row r="276" s="11" customFormat="1" customHeight="1" spans="5:13">
      <c r="E276" s="14"/>
      <c r="F276" s="14"/>
      <c r="G276" s="14"/>
      <c r="H276" s="14"/>
      <c r="I276" s="14"/>
      <c r="J276" s="15"/>
      <c r="M276" s="12"/>
    </row>
    <row r="277" s="11" customFormat="1" customHeight="1" spans="5:13">
      <c r="E277" s="14"/>
      <c r="F277" s="14"/>
      <c r="G277" s="14"/>
      <c r="H277" s="14"/>
      <c r="I277" s="14"/>
      <c r="J277" s="15"/>
      <c r="M277" s="12"/>
    </row>
    <row r="278" s="11" customFormat="1" customHeight="1" spans="5:13">
      <c r="E278" s="14"/>
      <c r="F278" s="14"/>
      <c r="G278" s="14"/>
      <c r="H278" s="14"/>
      <c r="I278" s="14"/>
      <c r="J278" s="15"/>
      <c r="M278" s="12"/>
    </row>
    <row r="279" s="11" customFormat="1" customHeight="1" spans="5:13">
      <c r="E279" s="14"/>
      <c r="F279" s="14"/>
      <c r="G279" s="14"/>
      <c r="H279" s="14"/>
      <c r="I279" s="14"/>
      <c r="J279" s="15"/>
      <c r="M279" s="12"/>
    </row>
    <row r="280" s="11" customFormat="1" customHeight="1" spans="5:13">
      <c r="E280" s="14"/>
      <c r="F280" s="14"/>
      <c r="G280" s="14"/>
      <c r="H280" s="14"/>
      <c r="I280" s="14"/>
      <c r="J280" s="15"/>
      <c r="M280" s="12"/>
    </row>
    <row r="281" s="11" customFormat="1" customHeight="1" spans="5:13">
      <c r="E281" s="14"/>
      <c r="F281" s="14"/>
      <c r="G281" s="14"/>
      <c r="H281" s="14"/>
      <c r="I281" s="14"/>
      <c r="J281" s="15"/>
      <c r="M281" s="12"/>
    </row>
    <row r="282" s="11" customFormat="1" customHeight="1" spans="5:13">
      <c r="E282" s="14"/>
      <c r="F282" s="14"/>
      <c r="G282" s="14"/>
      <c r="H282" s="14"/>
      <c r="I282" s="14"/>
      <c r="J282" s="15"/>
      <c r="M282" s="12"/>
    </row>
    <row r="283" s="11" customFormat="1" customHeight="1" spans="5:13">
      <c r="E283" s="14"/>
      <c r="F283" s="14"/>
      <c r="G283" s="14"/>
      <c r="H283" s="14"/>
      <c r="I283" s="14"/>
      <c r="J283" s="15"/>
      <c r="M283" s="12"/>
    </row>
    <row r="284" s="11" customFormat="1" customHeight="1" spans="5:13">
      <c r="E284" s="14"/>
      <c r="F284" s="14"/>
      <c r="G284" s="14"/>
      <c r="H284" s="14"/>
      <c r="I284" s="14"/>
      <c r="J284" s="15"/>
      <c r="M284" s="12"/>
    </row>
    <row r="285" s="11" customFormat="1" customHeight="1" spans="5:13">
      <c r="E285" s="14"/>
      <c r="F285" s="14"/>
      <c r="G285" s="14"/>
      <c r="H285" s="14"/>
      <c r="I285" s="14"/>
      <c r="J285" s="15"/>
      <c r="M285" s="12"/>
    </row>
    <row r="286" s="11" customFormat="1" customHeight="1" spans="5:13">
      <c r="E286" s="14"/>
      <c r="F286" s="14"/>
      <c r="G286" s="14"/>
      <c r="H286" s="14"/>
      <c r="I286" s="14"/>
      <c r="J286" s="15"/>
      <c r="M286" s="12"/>
    </row>
    <row r="287" s="11" customFormat="1" customHeight="1" spans="5:13">
      <c r="E287" s="14"/>
      <c r="F287" s="14"/>
      <c r="G287" s="14"/>
      <c r="H287" s="14"/>
      <c r="I287" s="14"/>
      <c r="J287" s="15"/>
      <c r="M287" s="12"/>
    </row>
    <row r="288" s="11" customFormat="1" customHeight="1" spans="5:13">
      <c r="E288" s="14"/>
      <c r="F288" s="14"/>
      <c r="G288" s="14"/>
      <c r="H288" s="14"/>
      <c r="I288" s="14"/>
      <c r="J288" s="15"/>
      <c r="M288" s="12"/>
    </row>
    <row r="289" s="11" customFormat="1" customHeight="1" spans="5:13">
      <c r="E289" s="14"/>
      <c r="F289" s="14"/>
      <c r="G289" s="14"/>
      <c r="H289" s="14"/>
      <c r="I289" s="14"/>
      <c r="J289" s="15"/>
      <c r="M289" s="12"/>
    </row>
    <row r="290" s="11" customFormat="1" customHeight="1" spans="5:13">
      <c r="E290" s="14"/>
      <c r="F290" s="14"/>
      <c r="G290" s="14"/>
      <c r="H290" s="14"/>
      <c r="I290" s="14"/>
      <c r="J290" s="15"/>
      <c r="M290" s="12"/>
    </row>
    <row r="291" s="11" customFormat="1" customHeight="1" spans="5:13">
      <c r="E291" s="14"/>
      <c r="F291" s="14"/>
      <c r="G291" s="14"/>
      <c r="H291" s="14"/>
      <c r="I291" s="14"/>
      <c r="J291" s="15"/>
      <c r="M291" s="12"/>
    </row>
    <row r="292" s="11" customFormat="1" customHeight="1" spans="5:13">
      <c r="E292" s="14"/>
      <c r="F292" s="14"/>
      <c r="G292" s="14"/>
      <c r="H292" s="14"/>
      <c r="I292" s="14"/>
      <c r="J292" s="15"/>
      <c r="M292" s="12"/>
    </row>
    <row r="293" s="11" customFormat="1" customHeight="1" spans="5:13">
      <c r="E293" s="14"/>
      <c r="F293" s="14"/>
      <c r="G293" s="14"/>
      <c r="H293" s="14"/>
      <c r="I293" s="14"/>
      <c r="J293" s="15"/>
      <c r="M293" s="12"/>
    </row>
    <row r="294" s="11" customFormat="1" customHeight="1" spans="5:13">
      <c r="E294" s="14"/>
      <c r="F294" s="14"/>
      <c r="G294" s="14"/>
      <c r="H294" s="14"/>
      <c r="I294" s="14"/>
      <c r="J294" s="15"/>
      <c r="M294" s="12"/>
    </row>
    <row r="295" s="11" customFormat="1" customHeight="1" spans="5:13">
      <c r="E295" s="14"/>
      <c r="F295" s="14"/>
      <c r="G295" s="14"/>
      <c r="H295" s="14"/>
      <c r="I295" s="14"/>
      <c r="J295" s="15"/>
      <c r="M295" s="12"/>
    </row>
    <row r="296" s="11" customFormat="1" customHeight="1" spans="5:13">
      <c r="E296" s="14"/>
      <c r="F296" s="14"/>
      <c r="G296" s="14"/>
      <c r="H296" s="14"/>
      <c r="I296" s="14"/>
      <c r="J296" s="15"/>
      <c r="M296" s="12"/>
    </row>
    <row r="297" s="11" customFormat="1" customHeight="1" spans="5:13">
      <c r="E297" s="14"/>
      <c r="F297" s="14"/>
      <c r="G297" s="14"/>
      <c r="H297" s="14"/>
      <c r="I297" s="14"/>
      <c r="J297" s="15"/>
      <c r="M297" s="12"/>
    </row>
    <row r="298" s="11" customFormat="1" customHeight="1" spans="5:13">
      <c r="E298" s="14"/>
      <c r="F298" s="14"/>
      <c r="G298" s="14"/>
      <c r="H298" s="14"/>
      <c r="I298" s="14"/>
      <c r="J298" s="15"/>
      <c r="M298" s="12"/>
    </row>
    <row r="299" s="11" customFormat="1" customHeight="1" spans="5:13">
      <c r="E299" s="14"/>
      <c r="F299" s="14"/>
      <c r="G299" s="14"/>
      <c r="H299" s="14"/>
      <c r="I299" s="14"/>
      <c r="J299" s="15"/>
      <c r="M299" s="12"/>
    </row>
    <row r="300" s="11" customFormat="1" customHeight="1" spans="5:13">
      <c r="E300" s="14"/>
      <c r="F300" s="14"/>
      <c r="G300" s="14"/>
      <c r="H300" s="14"/>
      <c r="I300" s="14"/>
      <c r="J300" s="15"/>
      <c r="M300" s="12"/>
    </row>
    <row r="301" s="11" customFormat="1" customHeight="1" spans="5:13">
      <c r="E301" s="14"/>
      <c r="F301" s="14"/>
      <c r="G301" s="14"/>
      <c r="H301" s="14"/>
      <c r="I301" s="14"/>
      <c r="J301" s="15"/>
      <c r="M301" s="12"/>
    </row>
    <row r="302" s="11" customFormat="1" customHeight="1" spans="5:13">
      <c r="E302" s="14"/>
      <c r="F302" s="14"/>
      <c r="G302" s="14"/>
      <c r="H302" s="14"/>
      <c r="I302" s="14"/>
      <c r="J302" s="15"/>
      <c r="M302" s="12"/>
    </row>
    <row r="303" s="11" customFormat="1" customHeight="1" spans="5:13">
      <c r="E303" s="14"/>
      <c r="F303" s="14"/>
      <c r="G303" s="14"/>
      <c r="H303" s="14"/>
      <c r="I303" s="14"/>
      <c r="J303" s="15"/>
      <c r="M303" s="12"/>
    </row>
    <row r="304" s="11" customFormat="1" customHeight="1" spans="5:13">
      <c r="E304" s="14"/>
      <c r="F304" s="14"/>
      <c r="G304" s="14"/>
      <c r="H304" s="14"/>
      <c r="I304" s="14"/>
      <c r="J304" s="15"/>
      <c r="M304" s="12"/>
    </row>
    <row r="305" s="11" customFormat="1" customHeight="1" spans="5:13">
      <c r="E305" s="14"/>
      <c r="F305" s="14"/>
      <c r="G305" s="14"/>
      <c r="H305" s="14"/>
      <c r="I305" s="14"/>
      <c r="J305" s="15"/>
      <c r="M305" s="12"/>
    </row>
    <row r="306" s="11" customFormat="1" customHeight="1" spans="5:13">
      <c r="E306" s="14"/>
      <c r="F306" s="14"/>
      <c r="G306" s="14"/>
      <c r="H306" s="14"/>
      <c r="I306" s="14"/>
      <c r="J306" s="15"/>
      <c r="M306" s="12"/>
    </row>
    <row r="307" s="11" customFormat="1" customHeight="1" spans="5:13">
      <c r="E307" s="14"/>
      <c r="F307" s="14"/>
      <c r="G307" s="14"/>
      <c r="H307" s="14"/>
      <c r="I307" s="14"/>
      <c r="J307" s="15"/>
      <c r="M307" s="12"/>
    </row>
    <row r="308" s="11" customFormat="1" customHeight="1" spans="5:13">
      <c r="E308" s="14"/>
      <c r="F308" s="14"/>
      <c r="G308" s="14"/>
      <c r="H308" s="14"/>
      <c r="I308" s="14"/>
      <c r="J308" s="15"/>
      <c r="M308" s="12"/>
    </row>
    <row r="309" s="11" customFormat="1" customHeight="1" spans="5:13">
      <c r="E309" s="14"/>
      <c r="F309" s="14"/>
      <c r="G309" s="14"/>
      <c r="H309" s="14"/>
      <c r="I309" s="14"/>
      <c r="J309" s="15"/>
      <c r="M309" s="12"/>
    </row>
    <row r="310" s="11" customFormat="1" customHeight="1" spans="5:13">
      <c r="E310" s="14"/>
      <c r="F310" s="14"/>
      <c r="G310" s="14"/>
      <c r="H310" s="14"/>
      <c r="I310" s="14"/>
      <c r="J310" s="15"/>
      <c r="M310" s="12"/>
    </row>
    <row r="311" s="11" customFormat="1" customHeight="1" spans="5:13">
      <c r="E311" s="14"/>
      <c r="F311" s="14"/>
      <c r="G311" s="14"/>
      <c r="H311" s="14"/>
      <c r="I311" s="14"/>
      <c r="J311" s="15"/>
      <c r="M311" s="12"/>
    </row>
    <row r="312" s="11" customFormat="1" customHeight="1" spans="5:13">
      <c r="E312" s="14"/>
      <c r="F312" s="14"/>
      <c r="G312" s="14"/>
      <c r="H312" s="14"/>
      <c r="I312" s="14"/>
      <c r="J312" s="15"/>
      <c r="M312" s="12"/>
    </row>
    <row r="313" s="11" customFormat="1" customHeight="1" spans="5:13">
      <c r="E313" s="14"/>
      <c r="F313" s="14"/>
      <c r="G313" s="14"/>
      <c r="H313" s="14"/>
      <c r="I313" s="14"/>
      <c r="J313" s="15"/>
      <c r="M313" s="12"/>
    </row>
    <row r="314" s="11" customFormat="1" customHeight="1" spans="5:13">
      <c r="E314" s="14"/>
      <c r="F314" s="14"/>
      <c r="G314" s="14"/>
      <c r="H314" s="14"/>
      <c r="I314" s="14"/>
      <c r="J314" s="15"/>
      <c r="M314" s="12"/>
    </row>
    <row r="315" s="11" customFormat="1" customHeight="1" spans="5:13">
      <c r="E315" s="14"/>
      <c r="F315" s="14"/>
      <c r="G315" s="14"/>
      <c r="H315" s="14"/>
      <c r="I315" s="14"/>
      <c r="J315" s="15"/>
      <c r="M315" s="12"/>
    </row>
    <row r="316" s="11" customFormat="1" customHeight="1" spans="5:13">
      <c r="E316" s="14"/>
      <c r="F316" s="14"/>
      <c r="G316" s="14"/>
      <c r="H316" s="14"/>
      <c r="I316" s="14"/>
      <c r="J316" s="15"/>
      <c r="M316" s="12"/>
    </row>
    <row r="317" s="11" customFormat="1" customHeight="1" spans="5:13">
      <c r="E317" s="14"/>
      <c r="F317" s="14"/>
      <c r="G317" s="14"/>
      <c r="H317" s="14"/>
      <c r="I317" s="14"/>
      <c r="J317" s="15"/>
      <c r="M317" s="12"/>
    </row>
    <row r="318" s="11" customFormat="1" customHeight="1" spans="5:13">
      <c r="E318" s="14"/>
      <c r="F318" s="14"/>
      <c r="G318" s="14"/>
      <c r="H318" s="14"/>
      <c r="I318" s="14"/>
      <c r="J318" s="15"/>
      <c r="M318" s="12"/>
    </row>
    <row r="319" s="11" customFormat="1" customHeight="1" spans="5:13">
      <c r="E319" s="14"/>
      <c r="F319" s="14"/>
      <c r="G319" s="14"/>
      <c r="H319" s="14"/>
      <c r="I319" s="14"/>
      <c r="J319" s="15"/>
      <c r="M319" s="12"/>
    </row>
    <row r="320" s="11" customFormat="1" customHeight="1" spans="5:13">
      <c r="E320" s="14"/>
      <c r="F320" s="14"/>
      <c r="G320" s="14"/>
      <c r="H320" s="14"/>
      <c r="I320" s="14"/>
      <c r="J320" s="15"/>
      <c r="M320" s="12"/>
    </row>
    <row r="321" s="11" customFormat="1" customHeight="1" spans="5:13">
      <c r="E321" s="14"/>
      <c r="F321" s="14"/>
      <c r="G321" s="14"/>
      <c r="H321" s="14"/>
      <c r="I321" s="14"/>
      <c r="J321" s="15"/>
      <c r="M321" s="12"/>
    </row>
    <row r="322" s="11" customFormat="1" customHeight="1" spans="5:13">
      <c r="E322" s="14"/>
      <c r="F322" s="14"/>
      <c r="G322" s="14"/>
      <c r="H322" s="14"/>
      <c r="I322" s="14"/>
      <c r="J322" s="15"/>
      <c r="M322" s="12"/>
    </row>
    <row r="323" s="11" customFormat="1" customHeight="1" spans="5:13">
      <c r="E323" s="14"/>
      <c r="F323" s="14"/>
      <c r="G323" s="14"/>
      <c r="H323" s="14"/>
      <c r="I323" s="14"/>
      <c r="J323" s="15"/>
      <c r="M323" s="12"/>
    </row>
    <row r="324" s="11" customFormat="1" customHeight="1" spans="5:13">
      <c r="E324" s="14"/>
      <c r="F324" s="14"/>
      <c r="G324" s="14"/>
      <c r="H324" s="14"/>
      <c r="I324" s="14"/>
      <c r="J324" s="15"/>
      <c r="M324" s="12"/>
    </row>
    <row r="325" s="11" customFormat="1" customHeight="1" spans="5:13">
      <c r="E325" s="14"/>
      <c r="F325" s="14"/>
      <c r="G325" s="14"/>
      <c r="H325" s="14"/>
      <c r="I325" s="14"/>
      <c r="J325" s="15"/>
      <c r="M325" s="12"/>
    </row>
    <row r="326" s="11" customFormat="1" customHeight="1" spans="5:13">
      <c r="E326" s="14"/>
      <c r="F326" s="14"/>
      <c r="G326" s="14"/>
      <c r="H326" s="14"/>
      <c r="I326" s="14"/>
      <c r="J326" s="15"/>
      <c r="M326" s="12"/>
    </row>
    <row r="327" s="11" customFormat="1" customHeight="1" spans="5:13">
      <c r="E327" s="14"/>
      <c r="F327" s="14"/>
      <c r="G327" s="14"/>
      <c r="H327" s="14"/>
      <c r="I327" s="14"/>
      <c r="J327" s="15"/>
      <c r="M327" s="12"/>
    </row>
    <row r="328" s="11" customFormat="1" customHeight="1" spans="5:13">
      <c r="E328" s="14"/>
      <c r="F328" s="14"/>
      <c r="G328" s="14"/>
      <c r="H328" s="14"/>
      <c r="I328" s="14"/>
      <c r="J328" s="15"/>
      <c r="M328" s="12"/>
    </row>
    <row r="329" s="11" customFormat="1" customHeight="1" spans="5:13">
      <c r="E329" s="14"/>
      <c r="F329" s="14"/>
      <c r="G329" s="14"/>
      <c r="H329" s="14"/>
      <c r="I329" s="14"/>
      <c r="J329" s="15"/>
      <c r="M329" s="12"/>
    </row>
    <row r="330" s="11" customFormat="1" customHeight="1" spans="5:13">
      <c r="E330" s="14"/>
      <c r="F330" s="14"/>
      <c r="G330" s="14"/>
      <c r="H330" s="14"/>
      <c r="I330" s="14"/>
      <c r="J330" s="15"/>
      <c r="M330" s="12"/>
    </row>
    <row r="331" s="11" customFormat="1" customHeight="1" spans="5:13">
      <c r="E331" s="14"/>
      <c r="F331" s="14"/>
      <c r="G331" s="14"/>
      <c r="H331" s="14"/>
      <c r="I331" s="14"/>
      <c r="J331" s="15"/>
      <c r="M331" s="12"/>
    </row>
    <row r="332" s="11" customFormat="1" customHeight="1" spans="5:13">
      <c r="E332" s="14"/>
      <c r="F332" s="14"/>
      <c r="G332" s="14"/>
      <c r="H332" s="14"/>
      <c r="I332" s="14"/>
      <c r="J332" s="15"/>
      <c r="M332" s="12"/>
    </row>
    <row r="333" s="11" customFormat="1" customHeight="1" spans="5:13">
      <c r="E333" s="14"/>
      <c r="F333" s="14"/>
      <c r="G333" s="14"/>
      <c r="H333" s="14"/>
      <c r="I333" s="14"/>
      <c r="J333" s="15"/>
      <c r="M333" s="12"/>
    </row>
    <row r="334" s="11" customFormat="1" customHeight="1" spans="5:13">
      <c r="E334" s="14"/>
      <c r="F334" s="14"/>
      <c r="G334" s="14"/>
      <c r="H334" s="14"/>
      <c r="I334" s="14"/>
      <c r="J334" s="15"/>
      <c r="M334" s="12"/>
    </row>
    <row r="335" s="11" customFormat="1" customHeight="1" spans="5:13">
      <c r="E335" s="14"/>
      <c r="F335" s="14"/>
      <c r="G335" s="14"/>
      <c r="H335" s="14"/>
      <c r="I335" s="14"/>
      <c r="J335" s="15"/>
      <c r="M335" s="12"/>
    </row>
    <row r="336" s="11" customFormat="1" customHeight="1" spans="5:13">
      <c r="E336" s="14"/>
      <c r="F336" s="14"/>
      <c r="G336" s="14"/>
      <c r="H336" s="14"/>
      <c r="I336" s="14"/>
      <c r="J336" s="15"/>
      <c r="M336" s="12"/>
    </row>
    <row r="337" s="11" customFormat="1" customHeight="1" spans="5:13">
      <c r="E337" s="14"/>
      <c r="F337" s="14"/>
      <c r="G337" s="14"/>
      <c r="H337" s="14"/>
      <c r="I337" s="14"/>
      <c r="J337" s="15"/>
      <c r="M337" s="12"/>
    </row>
    <row r="338" s="11" customFormat="1" customHeight="1" spans="5:13">
      <c r="E338" s="14"/>
      <c r="F338" s="14"/>
      <c r="G338" s="14"/>
      <c r="H338" s="14"/>
      <c r="I338" s="14"/>
      <c r="J338" s="15"/>
      <c r="M338" s="12"/>
    </row>
    <row r="339" s="11" customFormat="1" customHeight="1" spans="5:13">
      <c r="E339" s="14"/>
      <c r="F339" s="14"/>
      <c r="G339" s="14"/>
      <c r="H339" s="14"/>
      <c r="I339" s="14"/>
      <c r="J339" s="15"/>
      <c r="M339" s="12"/>
    </row>
    <row r="340" s="11" customFormat="1" customHeight="1" spans="5:13">
      <c r="E340" s="14"/>
      <c r="F340" s="14"/>
      <c r="G340" s="14"/>
      <c r="H340" s="14"/>
      <c r="I340" s="14"/>
      <c r="J340" s="15"/>
      <c r="M340" s="12"/>
    </row>
    <row r="341" s="11" customFormat="1" customHeight="1" spans="5:13">
      <c r="E341" s="14"/>
      <c r="F341" s="14"/>
      <c r="G341" s="14"/>
      <c r="H341" s="14"/>
      <c r="I341" s="14"/>
      <c r="J341" s="15"/>
      <c r="M341" s="12"/>
    </row>
    <row r="342" s="11" customFormat="1" customHeight="1" spans="5:13">
      <c r="E342" s="14"/>
      <c r="F342" s="14"/>
      <c r="G342" s="14"/>
      <c r="H342" s="14"/>
      <c r="I342" s="14"/>
      <c r="J342" s="15"/>
      <c r="M342" s="12"/>
    </row>
    <row r="343" s="11" customFormat="1" customHeight="1" spans="5:13">
      <c r="E343" s="14"/>
      <c r="F343" s="14"/>
      <c r="G343" s="14"/>
      <c r="H343" s="14"/>
      <c r="I343" s="14"/>
      <c r="J343" s="15"/>
      <c r="M343" s="12"/>
    </row>
    <row r="344" s="11" customFormat="1" customHeight="1" spans="5:13">
      <c r="E344" s="14"/>
      <c r="F344" s="14"/>
      <c r="G344" s="14"/>
      <c r="H344" s="14"/>
      <c r="I344" s="14"/>
      <c r="J344" s="15"/>
      <c r="M344" s="12"/>
    </row>
    <row r="345" s="11" customFormat="1" customHeight="1" spans="5:13">
      <c r="E345" s="14"/>
      <c r="F345" s="14"/>
      <c r="G345" s="14"/>
      <c r="H345" s="14"/>
      <c r="I345" s="14"/>
      <c r="J345" s="15"/>
      <c r="M345" s="12"/>
    </row>
    <row r="346" s="11" customFormat="1" customHeight="1" spans="5:13">
      <c r="E346" s="14"/>
      <c r="F346" s="14"/>
      <c r="G346" s="14"/>
      <c r="H346" s="14"/>
      <c r="I346" s="14"/>
      <c r="J346" s="15"/>
      <c r="M346" s="12"/>
    </row>
    <row r="347" s="11" customFormat="1" customHeight="1" spans="5:13">
      <c r="E347" s="14"/>
      <c r="F347" s="14"/>
      <c r="G347" s="14"/>
      <c r="H347" s="14"/>
      <c r="I347" s="14"/>
      <c r="J347" s="15"/>
      <c r="M347" s="12"/>
    </row>
    <row r="348" s="11" customFormat="1" customHeight="1" spans="5:13">
      <c r="E348" s="14"/>
      <c r="F348" s="14"/>
      <c r="G348" s="14"/>
      <c r="H348" s="14"/>
      <c r="I348" s="14"/>
      <c r="J348" s="15"/>
      <c r="M348" s="12"/>
    </row>
    <row r="349" s="11" customFormat="1" customHeight="1" spans="5:13">
      <c r="E349" s="14"/>
      <c r="F349" s="14"/>
      <c r="G349" s="14"/>
      <c r="H349" s="14"/>
      <c r="I349" s="14"/>
      <c r="J349" s="15"/>
      <c r="M349" s="12"/>
    </row>
    <row r="350" s="11" customFormat="1" customHeight="1" spans="5:13">
      <c r="E350" s="14"/>
      <c r="F350" s="14"/>
      <c r="G350" s="14"/>
      <c r="H350" s="14"/>
      <c r="I350" s="14"/>
      <c r="J350" s="15"/>
      <c r="M350" s="12"/>
    </row>
    <row r="351" s="11" customFormat="1" customHeight="1" spans="5:13">
      <c r="E351" s="14"/>
      <c r="F351" s="14"/>
      <c r="G351" s="14"/>
      <c r="H351" s="14"/>
      <c r="I351" s="14"/>
      <c r="J351" s="15"/>
      <c r="M351" s="12"/>
    </row>
    <row r="352" s="11" customFormat="1" customHeight="1" spans="5:13">
      <c r="E352" s="14"/>
      <c r="F352" s="14"/>
      <c r="G352" s="14"/>
      <c r="H352" s="14"/>
      <c r="I352" s="14"/>
      <c r="J352" s="15"/>
      <c r="M352" s="12"/>
    </row>
    <row r="353" s="11" customFormat="1" customHeight="1" spans="5:13">
      <c r="E353" s="14"/>
      <c r="F353" s="14"/>
      <c r="G353" s="14"/>
      <c r="H353" s="14"/>
      <c r="I353" s="14"/>
      <c r="J353" s="15"/>
      <c r="M353" s="12"/>
    </row>
    <row r="354" s="11" customFormat="1" customHeight="1" spans="5:13">
      <c r="E354" s="14"/>
      <c r="F354" s="14"/>
      <c r="G354" s="14"/>
      <c r="H354" s="14"/>
      <c r="I354" s="14"/>
      <c r="J354" s="15"/>
      <c r="M354" s="12"/>
    </row>
    <row r="355" s="11" customFormat="1" customHeight="1" spans="5:13">
      <c r="E355" s="14"/>
      <c r="F355" s="14"/>
      <c r="G355" s="14"/>
      <c r="H355" s="14"/>
      <c r="I355" s="14"/>
      <c r="J355" s="15"/>
      <c r="M355" s="12"/>
    </row>
    <row r="356" s="11" customFormat="1" customHeight="1" spans="5:13">
      <c r="E356" s="14"/>
      <c r="F356" s="14"/>
      <c r="G356" s="14"/>
      <c r="H356" s="14"/>
      <c r="I356" s="14"/>
      <c r="J356" s="15"/>
      <c r="M356" s="12"/>
    </row>
    <row r="357" s="11" customFormat="1" customHeight="1" spans="5:13">
      <c r="E357" s="14"/>
      <c r="F357" s="14"/>
      <c r="G357" s="14"/>
      <c r="H357" s="14"/>
      <c r="I357" s="14"/>
      <c r="J357" s="15"/>
      <c r="M357" s="12"/>
    </row>
    <row r="358" s="11" customFormat="1" customHeight="1" spans="5:13">
      <c r="E358" s="14"/>
      <c r="F358" s="14"/>
      <c r="G358" s="14"/>
      <c r="H358" s="14"/>
      <c r="I358" s="14"/>
      <c r="J358" s="15"/>
      <c r="M358" s="12"/>
    </row>
    <row r="359" s="11" customFormat="1" customHeight="1" spans="5:13">
      <c r="E359" s="14"/>
      <c r="F359" s="14"/>
      <c r="G359" s="14"/>
      <c r="H359" s="14"/>
      <c r="I359" s="14"/>
      <c r="J359" s="15"/>
      <c r="M359" s="12"/>
    </row>
    <row r="360" s="11" customFormat="1" customHeight="1" spans="5:13">
      <c r="E360" s="14"/>
      <c r="F360" s="14"/>
      <c r="G360" s="14"/>
      <c r="H360" s="14"/>
      <c r="I360" s="14"/>
      <c r="J360" s="15"/>
      <c r="M360" s="12"/>
    </row>
    <row r="361" s="11" customFormat="1" customHeight="1" spans="5:13">
      <c r="E361" s="14"/>
      <c r="F361" s="14"/>
      <c r="G361" s="14"/>
      <c r="H361" s="14"/>
      <c r="I361" s="14"/>
      <c r="J361" s="15"/>
      <c r="M361" s="12"/>
    </row>
    <row r="362" s="11" customFormat="1" customHeight="1" spans="5:13">
      <c r="E362" s="14"/>
      <c r="F362" s="14"/>
      <c r="G362" s="14"/>
      <c r="H362" s="14"/>
      <c r="I362" s="14"/>
      <c r="J362" s="15"/>
      <c r="M362" s="12"/>
    </row>
    <row r="363" s="11" customFormat="1" customHeight="1" spans="5:13">
      <c r="E363" s="14"/>
      <c r="F363" s="14"/>
      <c r="G363" s="14"/>
      <c r="H363" s="14"/>
      <c r="I363" s="14"/>
      <c r="J363" s="15"/>
      <c r="M363" s="12"/>
    </row>
    <row r="364" s="11" customFormat="1" customHeight="1" spans="5:13">
      <c r="E364" s="14"/>
      <c r="F364" s="14"/>
      <c r="G364" s="14"/>
      <c r="H364" s="14"/>
      <c r="I364" s="14"/>
      <c r="J364" s="15"/>
      <c r="M364" s="12"/>
    </row>
    <row r="365" s="11" customFormat="1" customHeight="1" spans="5:13">
      <c r="E365" s="14"/>
      <c r="F365" s="14"/>
      <c r="G365" s="14"/>
      <c r="H365" s="14"/>
      <c r="I365" s="14"/>
      <c r="J365" s="15"/>
      <c r="M365" s="12"/>
    </row>
    <row r="366" s="11" customFormat="1" customHeight="1" spans="5:13">
      <c r="E366" s="14"/>
      <c r="F366" s="14"/>
      <c r="G366" s="14"/>
      <c r="H366" s="14"/>
      <c r="I366" s="14"/>
      <c r="J366" s="15"/>
      <c r="M366" s="12"/>
    </row>
    <row r="367" s="11" customFormat="1" customHeight="1" spans="5:13">
      <c r="E367" s="14"/>
      <c r="F367" s="14"/>
      <c r="G367" s="14"/>
      <c r="H367" s="14"/>
      <c r="I367" s="14"/>
      <c r="J367" s="15"/>
      <c r="M367" s="12"/>
    </row>
    <row r="368" s="11" customFormat="1" customHeight="1" spans="5:13">
      <c r="E368" s="14"/>
      <c r="F368" s="14"/>
      <c r="G368" s="14"/>
      <c r="H368" s="14"/>
      <c r="I368" s="14"/>
      <c r="J368" s="15"/>
      <c r="M368" s="12"/>
    </row>
    <row r="369" s="11" customFormat="1" customHeight="1" spans="5:13">
      <c r="E369" s="14"/>
      <c r="F369" s="14"/>
      <c r="G369" s="14"/>
      <c r="H369" s="14"/>
      <c r="I369" s="14"/>
      <c r="J369" s="15"/>
      <c r="M369" s="12"/>
    </row>
    <row r="370" s="11" customFormat="1" customHeight="1" spans="5:13">
      <c r="E370" s="14"/>
      <c r="F370" s="14"/>
      <c r="G370" s="14"/>
      <c r="H370" s="14"/>
      <c r="I370" s="14"/>
      <c r="J370" s="15"/>
      <c r="M370" s="12"/>
    </row>
    <row r="371" s="11" customFormat="1" customHeight="1" spans="5:13">
      <c r="E371" s="14"/>
      <c r="F371" s="14"/>
      <c r="G371" s="14"/>
      <c r="H371" s="14"/>
      <c r="I371" s="14"/>
      <c r="J371" s="15"/>
      <c r="M371" s="12"/>
    </row>
    <row r="372" s="11" customFormat="1" customHeight="1" spans="5:13">
      <c r="E372" s="14"/>
      <c r="F372" s="14"/>
      <c r="G372" s="14"/>
      <c r="H372" s="14"/>
      <c r="I372" s="14"/>
      <c r="J372" s="15"/>
      <c r="M372" s="12"/>
    </row>
    <row r="373" s="11" customFormat="1" customHeight="1" spans="5:13">
      <c r="E373" s="14"/>
      <c r="F373" s="14"/>
      <c r="G373" s="14"/>
      <c r="H373" s="14"/>
      <c r="I373" s="14"/>
      <c r="J373" s="15"/>
      <c r="M373" s="12"/>
    </row>
    <row r="374" s="11" customFormat="1" customHeight="1" spans="5:13">
      <c r="E374" s="14"/>
      <c r="F374" s="14"/>
      <c r="G374" s="14"/>
      <c r="H374" s="14"/>
      <c r="I374" s="14"/>
      <c r="J374" s="15"/>
      <c r="M374" s="12"/>
    </row>
    <row r="375" s="11" customFormat="1" customHeight="1" spans="5:13">
      <c r="E375" s="14"/>
      <c r="F375" s="14"/>
      <c r="G375" s="14"/>
      <c r="H375" s="14"/>
      <c r="I375" s="14"/>
      <c r="J375" s="15"/>
      <c r="M375" s="12"/>
    </row>
    <row r="376" s="11" customFormat="1" customHeight="1" spans="5:13">
      <c r="E376" s="14"/>
      <c r="F376" s="14"/>
      <c r="G376" s="14"/>
      <c r="H376" s="14"/>
      <c r="I376" s="14"/>
      <c r="J376" s="15"/>
      <c r="M376" s="12"/>
    </row>
    <row r="377" s="11" customFormat="1" customHeight="1" spans="5:13">
      <c r="E377" s="14"/>
      <c r="F377" s="14"/>
      <c r="G377" s="14"/>
      <c r="H377" s="14"/>
      <c r="I377" s="14"/>
      <c r="J377" s="15"/>
      <c r="M377" s="12"/>
    </row>
    <row r="378" s="11" customFormat="1" customHeight="1" spans="5:13">
      <c r="E378" s="14"/>
      <c r="F378" s="14"/>
      <c r="G378" s="14"/>
      <c r="H378" s="14"/>
      <c r="I378" s="14"/>
      <c r="J378" s="15"/>
      <c r="M378" s="12"/>
    </row>
    <row r="379" s="11" customFormat="1" customHeight="1" spans="5:13">
      <c r="E379" s="14"/>
      <c r="F379" s="14"/>
      <c r="G379" s="14"/>
      <c r="H379" s="14"/>
      <c r="I379" s="14"/>
      <c r="J379" s="15"/>
      <c r="M379" s="12"/>
    </row>
    <row r="380" s="11" customFormat="1" customHeight="1" spans="5:13">
      <c r="E380" s="14"/>
      <c r="F380" s="14"/>
      <c r="G380" s="14"/>
      <c r="H380" s="14"/>
      <c r="I380" s="14"/>
      <c r="J380" s="15"/>
      <c r="M380" s="12"/>
    </row>
    <row r="381" s="11" customFormat="1" customHeight="1" spans="5:13">
      <c r="E381" s="14"/>
      <c r="F381" s="14"/>
      <c r="G381" s="14"/>
      <c r="H381" s="14"/>
      <c r="I381" s="14"/>
      <c r="J381" s="15"/>
      <c r="M381" s="12"/>
    </row>
    <row r="382" s="11" customFormat="1" customHeight="1" spans="5:13">
      <c r="E382" s="14"/>
      <c r="F382" s="14"/>
      <c r="G382" s="14"/>
      <c r="H382" s="14"/>
      <c r="I382" s="14"/>
      <c r="J382" s="15"/>
      <c r="M382" s="12"/>
    </row>
    <row r="383" s="11" customFormat="1" customHeight="1" spans="5:13">
      <c r="E383" s="14"/>
      <c r="F383" s="14"/>
      <c r="G383" s="14"/>
      <c r="H383" s="14"/>
      <c r="I383" s="14"/>
      <c r="J383" s="15"/>
      <c r="M383" s="12"/>
    </row>
    <row r="384" s="11" customFormat="1" customHeight="1" spans="5:13">
      <c r="E384" s="14"/>
      <c r="F384" s="14"/>
      <c r="G384" s="14"/>
      <c r="H384" s="14"/>
      <c r="I384" s="14"/>
      <c r="J384" s="15"/>
      <c r="M384" s="12"/>
    </row>
    <row r="385" s="11" customFormat="1" customHeight="1" spans="5:13">
      <c r="E385" s="14"/>
      <c r="F385" s="14"/>
      <c r="G385" s="14"/>
      <c r="H385" s="14"/>
      <c r="I385" s="14"/>
      <c r="J385" s="15"/>
      <c r="M385" s="12"/>
    </row>
    <row r="386" s="11" customFormat="1" customHeight="1" spans="5:13">
      <c r="E386" s="14"/>
      <c r="F386" s="14"/>
      <c r="G386" s="14"/>
      <c r="H386" s="14"/>
      <c r="I386" s="14"/>
      <c r="J386" s="15"/>
      <c r="M386" s="12"/>
    </row>
    <row r="387" s="11" customFormat="1" customHeight="1" spans="5:13">
      <c r="E387" s="14"/>
      <c r="F387" s="14"/>
      <c r="G387" s="14"/>
      <c r="H387" s="14"/>
      <c r="I387" s="14"/>
      <c r="J387" s="15"/>
      <c r="M387" s="12"/>
    </row>
    <row r="388" s="11" customFormat="1" customHeight="1" spans="5:13">
      <c r="E388" s="14"/>
      <c r="F388" s="14"/>
      <c r="G388" s="14"/>
      <c r="H388" s="14"/>
      <c r="I388" s="14"/>
      <c r="J388" s="15"/>
      <c r="M388" s="12"/>
    </row>
    <row r="389" s="11" customFormat="1" customHeight="1" spans="5:13">
      <c r="E389" s="14"/>
      <c r="F389" s="14"/>
      <c r="G389" s="14"/>
      <c r="H389" s="14"/>
      <c r="I389" s="14"/>
      <c r="J389" s="15"/>
      <c r="M389" s="12"/>
    </row>
    <row r="390" s="11" customFormat="1" customHeight="1" spans="5:13">
      <c r="E390" s="14"/>
      <c r="F390" s="14"/>
      <c r="G390" s="14"/>
      <c r="H390" s="14"/>
      <c r="I390" s="14"/>
      <c r="J390" s="15"/>
      <c r="M390" s="12"/>
    </row>
    <row r="391" s="11" customFormat="1" customHeight="1" spans="5:13">
      <c r="E391" s="14"/>
      <c r="F391" s="14"/>
      <c r="G391" s="14"/>
      <c r="H391" s="14"/>
      <c r="I391" s="14"/>
      <c r="J391" s="15"/>
      <c r="M391" s="12"/>
    </row>
    <row r="392" s="11" customFormat="1" customHeight="1" spans="5:13">
      <c r="E392" s="14"/>
      <c r="F392" s="14"/>
      <c r="G392" s="14"/>
      <c r="H392" s="14"/>
      <c r="I392" s="14"/>
      <c r="J392" s="15"/>
      <c r="M392" s="12"/>
    </row>
    <row r="393" s="11" customFormat="1" customHeight="1" spans="5:13">
      <c r="E393" s="14"/>
      <c r="F393" s="14"/>
      <c r="G393" s="14"/>
      <c r="H393" s="14"/>
      <c r="I393" s="14"/>
      <c r="J393" s="15"/>
      <c r="M393" s="12"/>
    </row>
    <row r="394" s="11" customFormat="1" customHeight="1" spans="5:13">
      <c r="E394" s="14"/>
      <c r="F394" s="14"/>
      <c r="G394" s="14"/>
      <c r="H394" s="14"/>
      <c r="I394" s="14"/>
      <c r="J394" s="15"/>
      <c r="M394" s="12"/>
    </row>
    <row r="395" s="11" customFormat="1" customHeight="1" spans="5:13">
      <c r="E395" s="14"/>
      <c r="F395" s="14"/>
      <c r="G395" s="14"/>
      <c r="H395" s="14"/>
      <c r="I395" s="14"/>
      <c r="J395" s="15"/>
      <c r="M395" s="12"/>
    </row>
    <row r="396" s="11" customFormat="1" customHeight="1" spans="5:13">
      <c r="E396" s="14"/>
      <c r="F396" s="14"/>
      <c r="G396" s="14"/>
      <c r="H396" s="14"/>
      <c r="I396" s="14"/>
      <c r="J396" s="15"/>
      <c r="M396" s="12"/>
    </row>
    <row r="397" s="11" customFormat="1" customHeight="1" spans="5:13">
      <c r="E397" s="14"/>
      <c r="F397" s="14"/>
      <c r="G397" s="14"/>
      <c r="H397" s="14"/>
      <c r="I397" s="14"/>
      <c r="J397" s="15"/>
      <c r="M397" s="12"/>
    </row>
    <row r="398" s="11" customFormat="1" customHeight="1" spans="5:13">
      <c r="E398" s="14"/>
      <c r="F398" s="14"/>
      <c r="G398" s="14"/>
      <c r="H398" s="14"/>
      <c r="I398" s="14"/>
      <c r="J398" s="15"/>
      <c r="M398" s="12"/>
    </row>
    <row r="399" s="11" customFormat="1" customHeight="1" spans="5:13">
      <c r="E399" s="14"/>
      <c r="F399" s="14"/>
      <c r="G399" s="14"/>
      <c r="H399" s="14"/>
      <c r="I399" s="14"/>
      <c r="J399" s="15"/>
      <c r="M399" s="12"/>
    </row>
    <row r="400" s="11" customFormat="1" customHeight="1" spans="5:13">
      <c r="E400" s="14"/>
      <c r="F400" s="14"/>
      <c r="G400" s="14"/>
      <c r="H400" s="14"/>
      <c r="I400" s="14"/>
      <c r="J400" s="15"/>
      <c r="M400" s="12"/>
    </row>
    <row r="401" s="11" customFormat="1" customHeight="1" spans="5:13">
      <c r="E401" s="14"/>
      <c r="F401" s="14"/>
      <c r="G401" s="14"/>
      <c r="H401" s="14"/>
      <c r="I401" s="14"/>
      <c r="J401" s="15"/>
      <c r="M401" s="12"/>
    </row>
    <row r="402" s="11" customFormat="1" customHeight="1" spans="5:13">
      <c r="E402" s="14"/>
      <c r="F402" s="14"/>
      <c r="G402" s="14"/>
      <c r="H402" s="14"/>
      <c r="I402" s="14"/>
      <c r="J402" s="15"/>
      <c r="M402" s="12"/>
    </row>
    <row r="403" s="11" customFormat="1" customHeight="1" spans="5:13">
      <c r="E403" s="14"/>
      <c r="F403" s="14"/>
      <c r="G403" s="14"/>
      <c r="H403" s="14"/>
      <c r="I403" s="14"/>
      <c r="J403" s="15"/>
      <c r="M403" s="12"/>
    </row>
    <row r="404" s="11" customFormat="1" customHeight="1" spans="5:13">
      <c r="E404" s="14"/>
      <c r="F404" s="14"/>
      <c r="G404" s="14"/>
      <c r="H404" s="14"/>
      <c r="I404" s="14"/>
      <c r="J404" s="15"/>
      <c r="M404" s="12"/>
    </row>
    <row r="405" s="11" customFormat="1" customHeight="1" spans="5:13">
      <c r="E405" s="14"/>
      <c r="F405" s="14"/>
      <c r="G405" s="14"/>
      <c r="H405" s="14"/>
      <c r="I405" s="14"/>
      <c r="J405" s="15"/>
      <c r="M405" s="12"/>
    </row>
    <row r="406" s="11" customFormat="1" customHeight="1" spans="5:13">
      <c r="E406" s="14"/>
      <c r="F406" s="14"/>
      <c r="G406" s="14"/>
      <c r="H406" s="14"/>
      <c r="I406" s="14"/>
      <c r="J406" s="15"/>
      <c r="M406" s="12"/>
    </row>
    <row r="407" s="11" customFormat="1" customHeight="1" spans="5:13">
      <c r="E407" s="14"/>
      <c r="F407" s="14"/>
      <c r="G407" s="14"/>
      <c r="H407" s="14"/>
      <c r="I407" s="14"/>
      <c r="J407" s="15"/>
      <c r="M407" s="12"/>
    </row>
    <row r="408" s="11" customFormat="1" customHeight="1" spans="5:13">
      <c r="E408" s="14"/>
      <c r="F408" s="14"/>
      <c r="G408" s="14"/>
      <c r="H408" s="14"/>
      <c r="I408" s="14"/>
      <c r="J408" s="15"/>
      <c r="M408" s="12"/>
    </row>
    <row r="409" s="11" customFormat="1" customHeight="1" spans="5:13">
      <c r="E409" s="14"/>
      <c r="F409" s="14"/>
      <c r="G409" s="14"/>
      <c r="H409" s="14"/>
      <c r="I409" s="14"/>
      <c r="J409" s="15"/>
      <c r="M409" s="12"/>
    </row>
    <row r="410" s="11" customFormat="1" customHeight="1" spans="5:13">
      <c r="E410" s="14"/>
      <c r="F410" s="14"/>
      <c r="G410" s="14"/>
      <c r="H410" s="14"/>
      <c r="I410" s="14"/>
      <c r="J410" s="15"/>
      <c r="M410" s="12"/>
    </row>
    <row r="411" s="11" customFormat="1" customHeight="1" spans="5:13">
      <c r="E411" s="14"/>
      <c r="F411" s="14"/>
      <c r="G411" s="14"/>
      <c r="H411" s="14"/>
      <c r="I411" s="14"/>
      <c r="J411" s="15"/>
      <c r="M411" s="12"/>
    </row>
    <row r="412" s="11" customFormat="1" customHeight="1" spans="5:13">
      <c r="E412" s="14"/>
      <c r="F412" s="14"/>
      <c r="G412" s="14"/>
      <c r="H412" s="14"/>
      <c r="I412" s="14"/>
      <c r="J412" s="15"/>
      <c r="M412" s="12"/>
    </row>
    <row r="413" s="11" customFormat="1" customHeight="1" spans="5:13">
      <c r="E413" s="14"/>
      <c r="F413" s="14"/>
      <c r="G413" s="14"/>
      <c r="H413" s="14"/>
      <c r="I413" s="14"/>
      <c r="J413" s="15"/>
      <c r="M413" s="12"/>
    </row>
    <row r="414" s="11" customFormat="1" customHeight="1" spans="5:13">
      <c r="E414" s="14"/>
      <c r="F414" s="14"/>
      <c r="G414" s="14"/>
      <c r="H414" s="14"/>
      <c r="I414" s="14"/>
      <c r="J414" s="15"/>
      <c r="M414" s="12"/>
    </row>
    <row r="415" s="11" customFormat="1" customHeight="1" spans="5:13">
      <c r="E415" s="14"/>
      <c r="F415" s="14"/>
      <c r="G415" s="14"/>
      <c r="H415" s="14"/>
      <c r="I415" s="14"/>
      <c r="J415" s="15"/>
      <c r="M415" s="12"/>
    </row>
    <row r="416" s="11" customFormat="1" customHeight="1" spans="5:13">
      <c r="E416" s="14"/>
      <c r="F416" s="14"/>
      <c r="G416" s="14"/>
      <c r="H416" s="14"/>
      <c r="I416" s="14"/>
      <c r="J416" s="15"/>
      <c r="M416" s="12"/>
    </row>
    <row r="417" s="11" customFormat="1" customHeight="1" spans="5:13">
      <c r="E417" s="14"/>
      <c r="F417" s="14"/>
      <c r="G417" s="14"/>
      <c r="H417" s="14"/>
      <c r="I417" s="14"/>
      <c r="J417" s="15"/>
      <c r="M417" s="12"/>
    </row>
    <row r="418" s="11" customFormat="1" customHeight="1" spans="5:13">
      <c r="E418" s="14"/>
      <c r="F418" s="14"/>
      <c r="G418" s="14"/>
      <c r="H418" s="14"/>
      <c r="I418" s="14"/>
      <c r="J418" s="15"/>
      <c r="M418" s="12"/>
    </row>
    <row r="419" s="11" customFormat="1" customHeight="1" spans="5:13">
      <c r="E419" s="14"/>
      <c r="F419" s="14"/>
      <c r="G419" s="14"/>
      <c r="H419" s="14"/>
      <c r="I419" s="14"/>
      <c r="J419" s="15"/>
      <c r="M419" s="12"/>
    </row>
    <row r="420" s="11" customFormat="1" customHeight="1" spans="5:13">
      <c r="E420" s="14"/>
      <c r="F420" s="14"/>
      <c r="G420" s="14"/>
      <c r="H420" s="14"/>
      <c r="I420" s="14"/>
      <c r="J420" s="15"/>
      <c r="M420" s="12"/>
    </row>
    <row r="421" s="11" customFormat="1" customHeight="1" spans="5:13">
      <c r="E421" s="14"/>
      <c r="F421" s="14"/>
      <c r="G421" s="14"/>
      <c r="H421" s="14"/>
      <c r="I421" s="14"/>
      <c r="J421" s="15"/>
      <c r="M421" s="12"/>
    </row>
    <row r="422" s="11" customFormat="1" customHeight="1" spans="5:13">
      <c r="E422" s="14"/>
      <c r="F422" s="14"/>
      <c r="G422" s="14"/>
      <c r="H422" s="14"/>
      <c r="I422" s="14"/>
      <c r="J422" s="15"/>
      <c r="M422" s="12"/>
    </row>
    <row r="423" s="11" customFormat="1" customHeight="1" spans="5:13">
      <c r="E423" s="14"/>
      <c r="F423" s="14"/>
      <c r="G423" s="14"/>
      <c r="H423" s="14"/>
      <c r="I423" s="14"/>
      <c r="J423" s="15"/>
      <c r="M423" s="12"/>
    </row>
    <row r="424" s="11" customFormat="1" customHeight="1" spans="5:13">
      <c r="E424" s="14"/>
      <c r="F424" s="14"/>
      <c r="G424" s="14"/>
      <c r="H424" s="14"/>
      <c r="I424" s="14"/>
      <c r="J424" s="15"/>
      <c r="M424" s="12"/>
    </row>
    <row r="425" s="11" customFormat="1" customHeight="1" spans="5:13">
      <c r="E425" s="14"/>
      <c r="F425" s="14"/>
      <c r="G425" s="14"/>
      <c r="H425" s="14"/>
      <c r="I425" s="14"/>
      <c r="J425" s="15"/>
      <c r="M425" s="12"/>
    </row>
    <row r="426" s="11" customFormat="1" customHeight="1" spans="5:13">
      <c r="E426" s="14"/>
      <c r="F426" s="14"/>
      <c r="G426" s="14"/>
      <c r="H426" s="14"/>
      <c r="I426" s="14"/>
      <c r="J426" s="15"/>
      <c r="M426" s="12"/>
    </row>
    <row r="427" s="11" customFormat="1" customHeight="1" spans="5:13">
      <c r="E427" s="14"/>
      <c r="F427" s="14"/>
      <c r="G427" s="14"/>
      <c r="H427" s="14"/>
      <c r="I427" s="14"/>
      <c r="J427" s="15"/>
      <c r="M427" s="12"/>
    </row>
    <row r="428" s="11" customFormat="1" customHeight="1" spans="5:13">
      <c r="E428" s="14"/>
      <c r="F428" s="14"/>
      <c r="G428" s="14"/>
      <c r="H428" s="14"/>
      <c r="I428" s="14"/>
      <c r="J428" s="15"/>
      <c r="M428" s="12"/>
    </row>
    <row r="429" s="11" customFormat="1" customHeight="1" spans="5:13">
      <c r="E429" s="14"/>
      <c r="F429" s="14"/>
      <c r="G429" s="14"/>
      <c r="H429" s="14"/>
      <c r="I429" s="14"/>
      <c r="J429" s="15"/>
      <c r="M429" s="12"/>
    </row>
    <row r="430" s="11" customFormat="1" customHeight="1" spans="5:13">
      <c r="E430" s="14"/>
      <c r="F430" s="14"/>
      <c r="G430" s="14"/>
      <c r="H430" s="14"/>
      <c r="I430" s="14"/>
      <c r="J430" s="15"/>
      <c r="M430" s="12"/>
    </row>
    <row r="431" s="11" customFormat="1" customHeight="1" spans="5:13">
      <c r="E431" s="14"/>
      <c r="F431" s="14"/>
      <c r="G431" s="14"/>
      <c r="H431" s="14"/>
      <c r="I431" s="14"/>
      <c r="J431" s="15"/>
      <c r="M431" s="12"/>
    </row>
    <row r="432" s="11" customFormat="1" customHeight="1" spans="5:13">
      <c r="E432" s="14"/>
      <c r="F432" s="14"/>
      <c r="G432" s="14"/>
      <c r="H432" s="14"/>
      <c r="I432" s="14"/>
      <c r="J432" s="15"/>
      <c r="M432" s="12"/>
    </row>
    <row r="433" s="11" customFormat="1" customHeight="1" spans="5:13">
      <c r="E433" s="14"/>
      <c r="F433" s="14"/>
      <c r="G433" s="14"/>
      <c r="H433" s="14"/>
      <c r="I433" s="14"/>
      <c r="J433" s="15"/>
      <c r="M433" s="12"/>
    </row>
    <row r="434" s="11" customFormat="1" customHeight="1" spans="5:13">
      <c r="E434" s="14"/>
      <c r="F434" s="14"/>
      <c r="G434" s="14"/>
      <c r="H434" s="14"/>
      <c r="I434" s="14"/>
      <c r="J434" s="15"/>
      <c r="M434" s="12"/>
    </row>
    <row r="435" s="11" customFormat="1" customHeight="1" spans="5:13">
      <c r="E435" s="14"/>
      <c r="F435" s="14"/>
      <c r="G435" s="14"/>
      <c r="H435" s="14"/>
      <c r="I435" s="14"/>
      <c r="J435" s="15"/>
      <c r="M435" s="12"/>
    </row>
    <row r="436" s="11" customFormat="1" customHeight="1" spans="5:13">
      <c r="E436" s="14"/>
      <c r="F436" s="14"/>
      <c r="G436" s="14"/>
      <c r="H436" s="14"/>
      <c r="I436" s="14"/>
      <c r="J436" s="15"/>
      <c r="M436" s="12"/>
    </row>
    <row r="437" s="11" customFormat="1" customHeight="1" spans="5:13">
      <c r="E437" s="14"/>
      <c r="F437" s="14"/>
      <c r="G437" s="14"/>
      <c r="H437" s="14"/>
      <c r="I437" s="14"/>
      <c r="J437" s="15"/>
      <c r="M437" s="12"/>
    </row>
    <row r="438" s="11" customFormat="1" customHeight="1" spans="5:13">
      <c r="E438" s="14"/>
      <c r="F438" s="14"/>
      <c r="G438" s="14"/>
      <c r="H438" s="14"/>
      <c r="I438" s="14"/>
      <c r="J438" s="15"/>
      <c r="M438" s="12"/>
    </row>
    <row r="439" s="11" customFormat="1" customHeight="1" spans="5:13">
      <c r="E439" s="14"/>
      <c r="F439" s="14"/>
      <c r="G439" s="14"/>
      <c r="H439" s="14"/>
      <c r="I439" s="14"/>
      <c r="J439" s="15"/>
      <c r="M439" s="12"/>
    </row>
    <row r="440" s="11" customFormat="1" customHeight="1" spans="5:13">
      <c r="E440" s="14"/>
      <c r="F440" s="14"/>
      <c r="G440" s="14"/>
      <c r="H440" s="14"/>
      <c r="I440" s="14"/>
      <c r="J440" s="15"/>
      <c r="M440" s="12"/>
    </row>
    <row r="441" s="11" customFormat="1" customHeight="1" spans="5:13">
      <c r="E441" s="14"/>
      <c r="F441" s="14"/>
      <c r="G441" s="14"/>
      <c r="H441" s="14"/>
      <c r="I441" s="14"/>
      <c r="J441" s="15"/>
      <c r="M441" s="12"/>
    </row>
    <row r="442" s="11" customFormat="1" customHeight="1" spans="5:13">
      <c r="E442" s="14"/>
      <c r="F442" s="14"/>
      <c r="G442" s="14"/>
      <c r="H442" s="14"/>
      <c r="I442" s="14"/>
      <c r="J442" s="15"/>
      <c r="M442" s="12"/>
    </row>
    <row r="443" s="11" customFormat="1" customHeight="1" spans="5:13">
      <c r="E443" s="14"/>
      <c r="F443" s="14"/>
      <c r="G443" s="14"/>
      <c r="H443" s="14"/>
      <c r="I443" s="14"/>
      <c r="J443" s="15"/>
      <c r="M443" s="12"/>
    </row>
    <row r="444" s="11" customFormat="1" customHeight="1" spans="5:13">
      <c r="E444" s="14"/>
      <c r="F444" s="14"/>
      <c r="G444" s="14"/>
      <c r="H444" s="14"/>
      <c r="I444" s="14"/>
      <c r="J444" s="15"/>
      <c r="M444" s="12"/>
    </row>
    <row r="445" s="11" customFormat="1" customHeight="1" spans="5:13">
      <c r="E445" s="14"/>
      <c r="F445" s="14"/>
      <c r="G445" s="14"/>
      <c r="H445" s="14"/>
      <c r="I445" s="14"/>
      <c r="J445" s="15"/>
      <c r="M445" s="12"/>
    </row>
    <row r="446" s="11" customFormat="1" customHeight="1" spans="5:13">
      <c r="E446" s="14"/>
      <c r="F446" s="14"/>
      <c r="G446" s="14"/>
      <c r="H446" s="14"/>
      <c r="I446" s="14"/>
      <c r="J446" s="15"/>
      <c r="M446" s="12"/>
    </row>
    <row r="447" s="11" customFormat="1" customHeight="1" spans="5:13">
      <c r="E447" s="14"/>
      <c r="F447" s="14"/>
      <c r="G447" s="14"/>
      <c r="H447" s="14"/>
      <c r="I447" s="14"/>
      <c r="J447" s="15"/>
      <c r="M447" s="12"/>
    </row>
    <row r="448" s="11" customFormat="1" customHeight="1" spans="5:13">
      <c r="E448" s="14"/>
      <c r="F448" s="14"/>
      <c r="G448" s="14"/>
      <c r="H448" s="14"/>
      <c r="I448" s="14"/>
      <c r="J448" s="15"/>
      <c r="M448" s="12"/>
    </row>
    <row r="449" s="11" customFormat="1" customHeight="1" spans="5:13">
      <c r="E449" s="14"/>
      <c r="F449" s="14"/>
      <c r="G449" s="14"/>
      <c r="H449" s="14"/>
      <c r="I449" s="14"/>
      <c r="J449" s="15"/>
      <c r="M449" s="12"/>
    </row>
    <row r="450" s="11" customFormat="1" customHeight="1" spans="5:13">
      <c r="E450" s="14"/>
      <c r="F450" s="14"/>
      <c r="G450" s="14"/>
      <c r="H450" s="14"/>
      <c r="I450" s="14"/>
      <c r="J450" s="15"/>
      <c r="M450" s="12"/>
    </row>
    <row r="451" s="11" customFormat="1" customHeight="1" spans="5:13">
      <c r="E451" s="14"/>
      <c r="F451" s="14"/>
      <c r="G451" s="14"/>
      <c r="H451" s="14"/>
      <c r="I451" s="14"/>
      <c r="J451" s="15"/>
      <c r="M451" s="12"/>
    </row>
    <row r="452" s="11" customFormat="1" customHeight="1" spans="5:13">
      <c r="E452" s="14"/>
      <c r="F452" s="14"/>
      <c r="G452" s="14"/>
      <c r="H452" s="14"/>
      <c r="I452" s="14"/>
      <c r="J452" s="15"/>
      <c r="M452" s="12"/>
    </row>
    <row r="453" s="11" customFormat="1" customHeight="1" spans="5:13">
      <c r="E453" s="14"/>
      <c r="F453" s="14"/>
      <c r="G453" s="14"/>
      <c r="H453" s="14"/>
      <c r="I453" s="14"/>
      <c r="J453" s="15"/>
      <c r="M453" s="12"/>
    </row>
    <row r="454" s="11" customFormat="1" customHeight="1" spans="5:13">
      <c r="E454" s="14"/>
      <c r="F454" s="14"/>
      <c r="G454" s="14"/>
      <c r="H454" s="14"/>
      <c r="I454" s="14"/>
      <c r="J454" s="15"/>
      <c r="M454" s="12"/>
    </row>
    <row r="455" s="11" customFormat="1" customHeight="1" spans="5:13">
      <c r="E455" s="14"/>
      <c r="F455" s="14"/>
      <c r="G455" s="14"/>
      <c r="H455" s="14"/>
      <c r="I455" s="14"/>
      <c r="J455" s="15"/>
      <c r="M455" s="12"/>
    </row>
    <row r="456" s="11" customFormat="1" customHeight="1" spans="5:13">
      <c r="E456" s="14"/>
      <c r="F456" s="14"/>
      <c r="G456" s="14"/>
      <c r="H456" s="14"/>
      <c r="I456" s="14"/>
      <c r="J456" s="15"/>
      <c r="M456" s="12"/>
    </row>
    <row r="457" s="11" customFormat="1" customHeight="1" spans="5:13">
      <c r="E457" s="14"/>
      <c r="F457" s="14"/>
      <c r="G457" s="14"/>
      <c r="H457" s="14"/>
      <c r="I457" s="14"/>
      <c r="J457" s="15"/>
      <c r="M457" s="12"/>
    </row>
    <row r="458" s="11" customFormat="1" customHeight="1" spans="5:13">
      <c r="E458" s="14"/>
      <c r="F458" s="14"/>
      <c r="G458" s="14"/>
      <c r="H458" s="14"/>
      <c r="I458" s="14"/>
      <c r="J458" s="15"/>
      <c r="M458" s="12"/>
    </row>
    <row r="459" s="11" customFormat="1" customHeight="1" spans="5:13">
      <c r="E459" s="14"/>
      <c r="F459" s="14"/>
      <c r="G459" s="14"/>
      <c r="H459" s="14"/>
      <c r="I459" s="14"/>
      <c r="J459" s="15"/>
      <c r="M459" s="12"/>
    </row>
    <row r="460" s="11" customFormat="1" customHeight="1" spans="5:13">
      <c r="E460" s="14"/>
      <c r="F460" s="14"/>
      <c r="G460" s="14"/>
      <c r="H460" s="14"/>
      <c r="I460" s="14"/>
      <c r="J460" s="15"/>
      <c r="M460" s="12"/>
    </row>
    <row r="461" s="11" customFormat="1" customHeight="1" spans="5:13">
      <c r="E461" s="14"/>
      <c r="F461" s="14"/>
      <c r="G461" s="14"/>
      <c r="H461" s="14"/>
      <c r="I461" s="14"/>
      <c r="J461" s="15"/>
      <c r="M461" s="12"/>
    </row>
    <row r="462" s="11" customFormat="1" customHeight="1" spans="5:13">
      <c r="E462" s="14"/>
      <c r="F462" s="14"/>
      <c r="G462" s="14"/>
      <c r="H462" s="14"/>
      <c r="I462" s="14"/>
      <c r="J462" s="15"/>
      <c r="M462" s="12"/>
    </row>
    <row r="463" s="11" customFormat="1" customHeight="1" spans="5:13">
      <c r="E463" s="14"/>
      <c r="F463" s="14"/>
      <c r="G463" s="14"/>
      <c r="H463" s="14"/>
      <c r="I463" s="14"/>
      <c r="J463" s="15"/>
      <c r="M463" s="12"/>
    </row>
    <row r="464" s="11" customFormat="1" customHeight="1" spans="5:13">
      <c r="E464" s="14"/>
      <c r="F464" s="14"/>
      <c r="G464" s="14"/>
      <c r="H464" s="14"/>
      <c r="I464" s="14"/>
      <c r="J464" s="15"/>
      <c r="M464" s="12"/>
    </row>
    <row r="465" s="11" customFormat="1" customHeight="1" spans="5:13">
      <c r="E465" s="14"/>
      <c r="F465" s="14"/>
      <c r="G465" s="14"/>
      <c r="H465" s="14"/>
      <c r="I465" s="14"/>
      <c r="J465" s="15"/>
      <c r="M465" s="12"/>
    </row>
    <row r="466" s="11" customFormat="1" customHeight="1" spans="5:13">
      <c r="E466" s="14"/>
      <c r="F466" s="14"/>
      <c r="G466" s="14"/>
      <c r="H466" s="14"/>
      <c r="I466" s="14"/>
      <c r="J466" s="15"/>
      <c r="M466" s="12"/>
    </row>
    <row r="467" s="11" customFormat="1" customHeight="1" spans="5:13">
      <c r="E467" s="14"/>
      <c r="F467" s="14"/>
      <c r="G467" s="14"/>
      <c r="H467" s="14"/>
      <c r="I467" s="14"/>
      <c r="J467" s="15"/>
      <c r="M467" s="12"/>
    </row>
    <row r="468" s="11" customFormat="1" customHeight="1" spans="5:13">
      <c r="E468" s="14"/>
      <c r="F468" s="14"/>
      <c r="G468" s="14"/>
      <c r="H468" s="14"/>
      <c r="I468" s="14"/>
      <c r="J468" s="15"/>
      <c r="M468" s="12"/>
    </row>
    <row r="469" s="11" customFormat="1" customHeight="1" spans="5:13">
      <c r="E469" s="14"/>
      <c r="F469" s="14"/>
      <c r="G469" s="14"/>
      <c r="H469" s="14"/>
      <c r="I469" s="14"/>
      <c r="J469" s="15"/>
      <c r="M469" s="12"/>
    </row>
    <row r="470" s="11" customFormat="1" customHeight="1" spans="5:13">
      <c r="E470" s="14"/>
      <c r="F470" s="14"/>
      <c r="G470" s="14"/>
      <c r="H470" s="14"/>
      <c r="I470" s="14"/>
      <c r="J470" s="15"/>
      <c r="M470" s="12"/>
    </row>
    <row r="471" s="11" customFormat="1" customHeight="1" spans="5:13">
      <c r="E471" s="14"/>
      <c r="F471" s="14"/>
      <c r="G471" s="14"/>
      <c r="H471" s="14"/>
      <c r="I471" s="14"/>
      <c r="J471" s="15"/>
      <c r="M471" s="12"/>
    </row>
    <row r="472" s="11" customFormat="1" customHeight="1" spans="5:13">
      <c r="E472" s="14"/>
      <c r="F472" s="14"/>
      <c r="G472" s="14"/>
      <c r="H472" s="14"/>
      <c r="I472" s="14"/>
      <c r="J472" s="15"/>
      <c r="M472" s="12"/>
    </row>
    <row r="473" s="11" customFormat="1" customHeight="1" spans="5:13">
      <c r="E473" s="14"/>
      <c r="F473" s="14"/>
      <c r="G473" s="14"/>
      <c r="H473" s="14"/>
      <c r="I473" s="14"/>
      <c r="J473" s="15"/>
      <c r="M473" s="12"/>
    </row>
    <row r="474" s="11" customFormat="1" customHeight="1" spans="5:13">
      <c r="E474" s="14"/>
      <c r="F474" s="14"/>
      <c r="G474" s="14"/>
      <c r="H474" s="14"/>
      <c r="I474" s="14"/>
      <c r="J474" s="15"/>
      <c r="M474" s="12"/>
    </row>
    <row r="475" s="11" customFormat="1" customHeight="1" spans="5:13">
      <c r="E475" s="14"/>
      <c r="F475" s="14"/>
      <c r="G475" s="14"/>
      <c r="H475" s="14"/>
      <c r="I475" s="14"/>
      <c r="J475" s="15"/>
      <c r="M475" s="12"/>
    </row>
    <row r="476" s="11" customFormat="1" customHeight="1" spans="5:13">
      <c r="E476" s="14"/>
      <c r="F476" s="14"/>
      <c r="G476" s="14"/>
      <c r="H476" s="14"/>
      <c r="I476" s="14"/>
      <c r="J476" s="15"/>
      <c r="M476" s="12"/>
    </row>
    <row r="477" s="11" customFormat="1" customHeight="1" spans="5:13">
      <c r="E477" s="14"/>
      <c r="F477" s="14"/>
      <c r="G477" s="14"/>
      <c r="H477" s="14"/>
      <c r="I477" s="14"/>
      <c r="J477" s="15"/>
      <c r="M477" s="12"/>
    </row>
    <row r="478" s="11" customFormat="1" customHeight="1" spans="5:13">
      <c r="E478" s="14"/>
      <c r="F478" s="14"/>
      <c r="G478" s="14"/>
      <c r="H478" s="14"/>
      <c r="I478" s="14"/>
      <c r="J478" s="15"/>
      <c r="M478" s="12"/>
    </row>
    <row r="479" s="11" customFormat="1" customHeight="1" spans="5:13">
      <c r="E479" s="14"/>
      <c r="F479" s="14"/>
      <c r="G479" s="14"/>
      <c r="H479" s="14"/>
      <c r="I479" s="14"/>
      <c r="J479" s="15"/>
      <c r="M479" s="12"/>
    </row>
    <row r="480" s="11" customFormat="1" customHeight="1" spans="5:13">
      <c r="E480" s="14"/>
      <c r="F480" s="14"/>
      <c r="G480" s="14"/>
      <c r="H480" s="14"/>
      <c r="I480" s="14"/>
      <c r="J480" s="15"/>
      <c r="M480" s="12"/>
    </row>
    <row r="481" s="11" customFormat="1" customHeight="1" spans="5:13">
      <c r="E481" s="14"/>
      <c r="F481" s="14"/>
      <c r="G481" s="14"/>
      <c r="H481" s="14"/>
      <c r="I481" s="14"/>
      <c r="J481" s="15"/>
      <c r="M481" s="12"/>
    </row>
    <row r="482" s="11" customFormat="1" customHeight="1" spans="5:13">
      <c r="E482" s="14"/>
      <c r="F482" s="14"/>
      <c r="G482" s="14"/>
      <c r="H482" s="14"/>
      <c r="I482" s="14"/>
      <c r="J482" s="15"/>
      <c r="M482" s="12"/>
    </row>
    <row r="483" s="11" customFormat="1" customHeight="1" spans="5:13">
      <c r="E483" s="14"/>
      <c r="F483" s="14"/>
      <c r="G483" s="14"/>
      <c r="H483" s="14"/>
      <c r="I483" s="14"/>
      <c r="J483" s="15"/>
      <c r="M483" s="12"/>
    </row>
    <row r="484" s="11" customFormat="1" customHeight="1" spans="5:13">
      <c r="E484" s="14"/>
      <c r="F484" s="14"/>
      <c r="G484" s="14"/>
      <c r="H484" s="14"/>
      <c r="I484" s="14"/>
      <c r="J484" s="15"/>
      <c r="M484" s="12"/>
    </row>
    <row r="485" s="11" customFormat="1" customHeight="1" spans="5:13">
      <c r="E485" s="14"/>
      <c r="F485" s="14"/>
      <c r="G485" s="14"/>
      <c r="H485" s="14"/>
      <c r="I485" s="14"/>
      <c r="J485" s="15"/>
      <c r="M485" s="12"/>
    </row>
    <row r="486" s="11" customFormat="1" customHeight="1" spans="5:13">
      <c r="E486" s="14"/>
      <c r="F486" s="14"/>
      <c r="G486" s="14"/>
      <c r="H486" s="14"/>
      <c r="I486" s="14"/>
      <c r="J486" s="15"/>
      <c r="M486" s="12"/>
    </row>
    <row r="487" s="11" customFormat="1" customHeight="1" spans="5:13">
      <c r="E487" s="14"/>
      <c r="F487" s="14"/>
      <c r="G487" s="14"/>
      <c r="H487" s="14"/>
      <c r="I487" s="14"/>
      <c r="J487" s="15"/>
      <c r="M487" s="12"/>
    </row>
    <row r="488" s="11" customFormat="1" customHeight="1" spans="5:13">
      <c r="E488" s="14"/>
      <c r="F488" s="14"/>
      <c r="G488" s="14"/>
      <c r="H488" s="14"/>
      <c r="I488" s="14"/>
      <c r="J488" s="15"/>
      <c r="M488" s="12"/>
    </row>
    <row r="489" s="11" customFormat="1" customHeight="1" spans="5:13">
      <c r="E489" s="14"/>
      <c r="F489" s="14"/>
      <c r="G489" s="14"/>
      <c r="H489" s="14"/>
      <c r="I489" s="14"/>
      <c r="J489" s="15"/>
      <c r="M489" s="12"/>
    </row>
    <row r="490" s="11" customFormat="1" customHeight="1" spans="5:13">
      <c r="E490" s="14"/>
      <c r="F490" s="14"/>
      <c r="G490" s="14"/>
      <c r="H490" s="14"/>
      <c r="I490" s="14"/>
      <c r="J490" s="15"/>
      <c r="M490" s="12"/>
    </row>
    <row r="491" s="11" customFormat="1" customHeight="1" spans="5:13">
      <c r="E491" s="14"/>
      <c r="F491" s="14"/>
      <c r="G491" s="14"/>
      <c r="H491" s="14"/>
      <c r="I491" s="14"/>
      <c r="J491" s="15"/>
      <c r="M491" s="12"/>
    </row>
    <row r="492" s="11" customFormat="1" customHeight="1" spans="5:13">
      <c r="E492" s="14"/>
      <c r="F492" s="14"/>
      <c r="G492" s="14"/>
      <c r="H492" s="14"/>
      <c r="I492" s="14"/>
      <c r="J492" s="15"/>
      <c r="M492" s="12"/>
    </row>
    <row r="493" s="11" customFormat="1" customHeight="1" spans="5:13">
      <c r="E493" s="14"/>
      <c r="F493" s="14"/>
      <c r="G493" s="14"/>
      <c r="H493" s="14"/>
      <c r="I493" s="14"/>
      <c r="J493" s="15"/>
      <c r="M493" s="12"/>
    </row>
    <row r="494" s="11" customFormat="1" customHeight="1" spans="5:13">
      <c r="E494" s="14"/>
      <c r="F494" s="14"/>
      <c r="G494" s="14"/>
      <c r="H494" s="14"/>
      <c r="I494" s="14"/>
      <c r="J494" s="15"/>
      <c r="M494" s="12"/>
    </row>
    <row r="495" s="11" customFormat="1" customHeight="1" spans="5:13">
      <c r="E495" s="14"/>
      <c r="F495" s="14"/>
      <c r="G495" s="14"/>
      <c r="H495" s="14"/>
      <c r="I495" s="14"/>
      <c r="J495" s="15"/>
      <c r="M495" s="12"/>
    </row>
    <row r="496" s="11" customFormat="1" customHeight="1" spans="5:13">
      <c r="E496" s="14"/>
      <c r="F496" s="14"/>
      <c r="G496" s="14"/>
      <c r="H496" s="14"/>
      <c r="I496" s="14"/>
      <c r="J496" s="15"/>
      <c r="M496" s="12"/>
    </row>
    <row r="497" s="11" customFormat="1" customHeight="1" spans="5:13">
      <c r="E497" s="14"/>
      <c r="F497" s="14"/>
      <c r="G497" s="14"/>
      <c r="H497" s="14"/>
      <c r="I497" s="14"/>
      <c r="J497" s="15"/>
      <c r="M497" s="12"/>
    </row>
    <row r="498" s="11" customFormat="1" customHeight="1" spans="5:13">
      <c r="E498" s="14"/>
      <c r="F498" s="14"/>
      <c r="G498" s="14"/>
      <c r="H498" s="14"/>
      <c r="I498" s="14"/>
      <c r="J498" s="15"/>
      <c r="M498" s="12"/>
    </row>
    <row r="499" s="11" customFormat="1" customHeight="1" spans="5:13">
      <c r="E499" s="14"/>
      <c r="F499" s="14"/>
      <c r="G499" s="14"/>
      <c r="H499" s="14"/>
      <c r="I499" s="14"/>
      <c r="J499" s="15"/>
      <c r="M499" s="12"/>
    </row>
    <row r="500" s="11" customFormat="1" customHeight="1" spans="5:13">
      <c r="E500" s="14"/>
      <c r="F500" s="14"/>
      <c r="G500" s="14"/>
      <c r="H500" s="14"/>
      <c r="I500" s="14"/>
      <c r="J500" s="15"/>
      <c r="M500" s="12"/>
    </row>
    <row r="501" s="11" customFormat="1" customHeight="1" spans="5:13">
      <c r="E501" s="14"/>
      <c r="F501" s="14"/>
      <c r="G501" s="14"/>
      <c r="H501" s="14"/>
      <c r="I501" s="14"/>
      <c r="J501" s="15"/>
      <c r="M501" s="12"/>
    </row>
    <row r="502" s="11" customFormat="1" customHeight="1" spans="5:13">
      <c r="E502" s="14"/>
      <c r="F502" s="14"/>
      <c r="G502" s="14"/>
      <c r="H502" s="14"/>
      <c r="I502" s="14"/>
      <c r="J502" s="15"/>
      <c r="M502" s="12"/>
    </row>
    <row r="503" s="11" customFormat="1" customHeight="1" spans="5:13">
      <c r="E503" s="14"/>
      <c r="F503" s="14"/>
      <c r="G503" s="14"/>
      <c r="H503" s="14"/>
      <c r="I503" s="14"/>
      <c r="J503" s="15"/>
      <c r="M503" s="12"/>
    </row>
    <row r="504" s="11" customFormat="1" customHeight="1" spans="5:13">
      <c r="E504" s="14"/>
      <c r="F504" s="14"/>
      <c r="G504" s="14"/>
      <c r="H504" s="14"/>
      <c r="I504" s="14"/>
      <c r="J504" s="15"/>
      <c r="M504" s="12"/>
    </row>
    <row r="505" s="11" customFormat="1" customHeight="1" spans="5:13">
      <c r="E505" s="14"/>
      <c r="F505" s="14"/>
      <c r="G505" s="14"/>
      <c r="H505" s="14"/>
      <c r="I505" s="14"/>
      <c r="J505" s="15"/>
      <c r="M505" s="12"/>
    </row>
    <row r="506" s="11" customFormat="1" customHeight="1" spans="5:13">
      <c r="E506" s="14"/>
      <c r="F506" s="14"/>
      <c r="G506" s="14"/>
      <c r="H506" s="14"/>
      <c r="I506" s="14"/>
      <c r="J506" s="15"/>
      <c r="M506" s="12"/>
    </row>
    <row r="507" s="11" customFormat="1" customHeight="1" spans="5:13">
      <c r="E507" s="14"/>
      <c r="F507" s="14"/>
      <c r="G507" s="14"/>
      <c r="H507" s="14"/>
      <c r="I507" s="14"/>
      <c r="J507" s="15"/>
      <c r="M507" s="12"/>
    </row>
    <row r="508" s="11" customFormat="1" customHeight="1" spans="5:13">
      <c r="E508" s="14"/>
      <c r="F508" s="14"/>
      <c r="G508" s="14"/>
      <c r="H508" s="14"/>
      <c r="I508" s="14"/>
      <c r="J508" s="15"/>
      <c r="M508" s="12"/>
    </row>
    <row r="509" s="11" customFormat="1" customHeight="1" spans="5:13">
      <c r="E509" s="14"/>
      <c r="F509" s="14"/>
      <c r="G509" s="14"/>
      <c r="H509" s="14"/>
      <c r="I509" s="14"/>
      <c r="J509" s="15"/>
      <c r="M509" s="12"/>
    </row>
    <row r="510" s="11" customFormat="1" customHeight="1" spans="5:13">
      <c r="E510" s="14"/>
      <c r="F510" s="14"/>
      <c r="G510" s="14"/>
      <c r="H510" s="14"/>
      <c r="I510" s="14"/>
      <c r="J510" s="15"/>
      <c r="M510" s="12"/>
    </row>
    <row r="511" s="11" customFormat="1" customHeight="1" spans="5:13">
      <c r="E511" s="14"/>
      <c r="F511" s="14"/>
      <c r="G511" s="14"/>
      <c r="H511" s="14"/>
      <c r="I511" s="14"/>
      <c r="J511" s="15"/>
      <c r="M511" s="12"/>
    </row>
    <row r="512" s="11" customFormat="1" customHeight="1" spans="5:13">
      <c r="E512" s="14"/>
      <c r="F512" s="14"/>
      <c r="G512" s="14"/>
      <c r="H512" s="14"/>
      <c r="I512" s="14"/>
      <c r="J512" s="15"/>
      <c r="M512" s="12"/>
    </row>
    <row r="513" s="11" customFormat="1" customHeight="1" spans="5:13">
      <c r="E513" s="14"/>
      <c r="F513" s="14"/>
      <c r="G513" s="14"/>
      <c r="H513" s="14"/>
      <c r="I513" s="14"/>
      <c r="J513" s="15"/>
      <c r="M513" s="12"/>
    </row>
    <row r="514" s="11" customFormat="1" customHeight="1" spans="5:13">
      <c r="E514" s="14"/>
      <c r="F514" s="14"/>
      <c r="G514" s="14"/>
      <c r="H514" s="14"/>
      <c r="I514" s="14"/>
      <c r="J514" s="15"/>
      <c r="M514" s="12"/>
    </row>
    <row r="515" s="11" customFormat="1" customHeight="1" spans="5:13">
      <c r="E515" s="14"/>
      <c r="F515" s="14"/>
      <c r="G515" s="14"/>
      <c r="H515" s="14"/>
      <c r="I515" s="14"/>
      <c r="J515" s="15"/>
      <c r="M515" s="12"/>
    </row>
    <row r="516" s="11" customFormat="1" customHeight="1" spans="5:13">
      <c r="E516" s="14"/>
      <c r="F516" s="14"/>
      <c r="G516" s="14"/>
      <c r="H516" s="14"/>
      <c r="I516" s="14"/>
      <c r="J516" s="15"/>
      <c r="M516" s="12"/>
    </row>
    <row r="517" s="11" customFormat="1" customHeight="1" spans="5:13">
      <c r="E517" s="14"/>
      <c r="F517" s="14"/>
      <c r="G517" s="14"/>
      <c r="H517" s="14"/>
      <c r="I517" s="14"/>
      <c r="J517" s="15"/>
      <c r="M517" s="12"/>
    </row>
    <row r="518" s="11" customFormat="1" customHeight="1" spans="5:13">
      <c r="E518" s="14"/>
      <c r="F518" s="14"/>
      <c r="G518" s="14"/>
      <c r="H518" s="14"/>
      <c r="I518" s="14"/>
      <c r="J518" s="15"/>
      <c r="M518" s="12"/>
    </row>
    <row r="519" s="11" customFormat="1" customHeight="1" spans="5:13">
      <c r="E519" s="14"/>
      <c r="F519" s="14"/>
      <c r="G519" s="14"/>
      <c r="H519" s="14"/>
      <c r="I519" s="14"/>
      <c r="J519" s="15"/>
      <c r="M519" s="12"/>
    </row>
    <row r="520" s="11" customFormat="1" customHeight="1" spans="5:13">
      <c r="E520" s="14"/>
      <c r="F520" s="14"/>
      <c r="G520" s="14"/>
      <c r="H520" s="14"/>
      <c r="I520" s="14"/>
      <c r="J520" s="15"/>
      <c r="M520" s="12"/>
    </row>
    <row r="521" s="11" customFormat="1" customHeight="1" spans="5:13">
      <c r="E521" s="14"/>
      <c r="F521" s="14"/>
      <c r="G521" s="14"/>
      <c r="H521" s="14"/>
      <c r="I521" s="14"/>
      <c r="J521" s="15"/>
      <c r="M521" s="12"/>
    </row>
    <row r="522" s="11" customFormat="1" customHeight="1" spans="5:13">
      <c r="E522" s="14"/>
      <c r="F522" s="14"/>
      <c r="G522" s="14"/>
      <c r="H522" s="14"/>
      <c r="I522" s="14"/>
      <c r="J522" s="15"/>
      <c r="M522" s="12"/>
    </row>
    <row r="523" s="11" customFormat="1" customHeight="1" spans="5:13">
      <c r="E523" s="14"/>
      <c r="F523" s="14"/>
      <c r="G523" s="14"/>
      <c r="H523" s="14"/>
      <c r="I523" s="14"/>
      <c r="J523" s="15"/>
      <c r="M523" s="12"/>
    </row>
    <row r="524" s="11" customFormat="1" customHeight="1" spans="5:13">
      <c r="E524" s="14"/>
      <c r="F524" s="14"/>
      <c r="G524" s="14"/>
      <c r="H524" s="14"/>
      <c r="I524" s="14"/>
      <c r="J524" s="15"/>
      <c r="M524" s="12"/>
    </row>
    <row r="525" s="11" customFormat="1" customHeight="1" spans="5:13">
      <c r="E525" s="14"/>
      <c r="F525" s="14"/>
      <c r="G525" s="14"/>
      <c r="H525" s="14"/>
      <c r="I525" s="14"/>
      <c r="J525" s="15"/>
      <c r="M525" s="12"/>
    </row>
    <row r="526" s="11" customFormat="1" customHeight="1" spans="5:13">
      <c r="E526" s="14"/>
      <c r="F526" s="14"/>
      <c r="G526" s="14"/>
      <c r="H526" s="14"/>
      <c r="I526" s="14"/>
      <c r="J526" s="15"/>
      <c r="M526" s="12"/>
    </row>
    <row r="527" s="11" customFormat="1" customHeight="1" spans="5:13">
      <c r="E527" s="14"/>
      <c r="F527" s="14"/>
      <c r="G527" s="14"/>
      <c r="H527" s="14"/>
      <c r="I527" s="14"/>
      <c r="J527" s="15"/>
      <c r="M527" s="12"/>
    </row>
    <row r="528" s="11" customFormat="1" customHeight="1" spans="5:13">
      <c r="E528" s="14"/>
      <c r="F528" s="14"/>
      <c r="G528" s="14"/>
      <c r="H528" s="14"/>
      <c r="I528" s="14"/>
      <c r="J528" s="15"/>
      <c r="M528" s="12"/>
    </row>
    <row r="529" s="11" customFormat="1" customHeight="1" spans="5:13">
      <c r="E529" s="14"/>
      <c r="F529" s="14"/>
      <c r="G529" s="14"/>
      <c r="H529" s="14"/>
      <c r="I529" s="14"/>
      <c r="J529" s="15"/>
      <c r="M529" s="12"/>
    </row>
    <row r="530" s="11" customFormat="1" customHeight="1" spans="5:13">
      <c r="E530" s="14"/>
      <c r="F530" s="14"/>
      <c r="G530" s="14"/>
      <c r="H530" s="14"/>
      <c r="I530" s="14"/>
      <c r="J530" s="15"/>
      <c r="M530" s="12"/>
    </row>
    <row r="531" s="11" customFormat="1" customHeight="1" spans="5:13">
      <c r="E531" s="14"/>
      <c r="F531" s="14"/>
      <c r="G531" s="14"/>
      <c r="H531" s="14"/>
      <c r="I531" s="14"/>
      <c r="J531" s="15"/>
      <c r="M531" s="12"/>
    </row>
    <row r="532" s="11" customFormat="1" customHeight="1" spans="5:13">
      <c r="E532" s="14"/>
      <c r="F532" s="14"/>
      <c r="G532" s="14"/>
      <c r="H532" s="14"/>
      <c r="I532" s="14"/>
      <c r="J532" s="15"/>
      <c r="M532" s="12"/>
    </row>
    <row r="533" s="11" customFormat="1" customHeight="1" spans="5:13">
      <c r="E533" s="14"/>
      <c r="F533" s="14"/>
      <c r="G533" s="14"/>
      <c r="H533" s="14"/>
      <c r="I533" s="14"/>
      <c r="J533" s="15"/>
      <c r="M533" s="12"/>
    </row>
    <row r="534" s="11" customFormat="1" customHeight="1" spans="5:13">
      <c r="E534" s="14"/>
      <c r="F534" s="14"/>
      <c r="G534" s="14"/>
      <c r="H534" s="14"/>
      <c r="I534" s="14"/>
      <c r="J534" s="15"/>
      <c r="M534" s="12"/>
    </row>
    <row r="535" s="11" customFormat="1" customHeight="1" spans="5:13">
      <c r="E535" s="14"/>
      <c r="F535" s="14"/>
      <c r="G535" s="14"/>
      <c r="H535" s="14"/>
      <c r="I535" s="14"/>
      <c r="J535" s="15"/>
      <c r="M535" s="12"/>
    </row>
    <row r="536" s="11" customFormat="1" customHeight="1" spans="5:13">
      <c r="E536" s="14"/>
      <c r="F536" s="14"/>
      <c r="G536" s="14"/>
      <c r="H536" s="14"/>
      <c r="I536" s="14"/>
      <c r="J536" s="15"/>
      <c r="M536" s="12"/>
    </row>
    <row r="537" s="11" customFormat="1" customHeight="1" spans="5:13">
      <c r="E537" s="14"/>
      <c r="F537" s="14"/>
      <c r="G537" s="14"/>
      <c r="H537" s="14"/>
      <c r="I537" s="14"/>
      <c r="J537" s="15"/>
      <c r="M537" s="12"/>
    </row>
    <row r="538" s="11" customFormat="1" customHeight="1" spans="5:13">
      <c r="E538" s="14"/>
      <c r="F538" s="14"/>
      <c r="G538" s="14"/>
      <c r="H538" s="14"/>
      <c r="I538" s="14"/>
      <c r="J538" s="15"/>
      <c r="M538" s="12"/>
    </row>
    <row r="539" s="11" customFormat="1" customHeight="1" spans="5:13">
      <c r="E539" s="14"/>
      <c r="F539" s="14"/>
      <c r="G539" s="14"/>
      <c r="H539" s="14"/>
      <c r="I539" s="14"/>
      <c r="J539" s="15"/>
      <c r="M539" s="12"/>
    </row>
    <row r="540" s="11" customFormat="1" customHeight="1" spans="5:13">
      <c r="E540" s="14"/>
      <c r="F540" s="14"/>
      <c r="G540" s="14"/>
      <c r="H540" s="14"/>
      <c r="I540" s="14"/>
      <c r="J540" s="15"/>
      <c r="M540" s="12"/>
    </row>
    <row r="541" s="11" customFormat="1" customHeight="1" spans="5:13">
      <c r="E541" s="14"/>
      <c r="F541" s="14"/>
      <c r="G541" s="14"/>
      <c r="H541" s="14"/>
      <c r="I541" s="14"/>
      <c r="J541" s="15"/>
      <c r="M541" s="12"/>
    </row>
    <row r="542" s="11" customFormat="1" customHeight="1" spans="5:13">
      <c r="E542" s="14"/>
      <c r="F542" s="14"/>
      <c r="G542" s="14"/>
      <c r="H542" s="14"/>
      <c r="I542" s="14"/>
      <c r="J542" s="15"/>
      <c r="M542" s="12"/>
    </row>
    <row r="543" s="11" customFormat="1" customHeight="1" spans="5:13">
      <c r="E543" s="14"/>
      <c r="F543" s="14"/>
      <c r="G543" s="14"/>
      <c r="H543" s="14"/>
      <c r="I543" s="14"/>
      <c r="J543" s="15"/>
      <c r="M543" s="12"/>
    </row>
    <row r="544" s="11" customFormat="1" customHeight="1" spans="5:13">
      <c r="E544" s="14"/>
      <c r="F544" s="14"/>
      <c r="G544" s="14"/>
      <c r="H544" s="14"/>
      <c r="I544" s="14"/>
      <c r="J544" s="15"/>
      <c r="M544" s="12"/>
    </row>
    <row r="545" s="11" customFormat="1" customHeight="1" spans="5:13">
      <c r="E545" s="14"/>
      <c r="F545" s="14"/>
      <c r="G545" s="14"/>
      <c r="H545" s="14"/>
      <c r="I545" s="14"/>
      <c r="J545" s="15"/>
      <c r="M545" s="12"/>
    </row>
    <row r="546" s="11" customFormat="1" customHeight="1" spans="5:13">
      <c r="E546" s="14"/>
      <c r="F546" s="14"/>
      <c r="G546" s="14"/>
      <c r="H546" s="14"/>
      <c r="I546" s="14"/>
      <c r="J546" s="15"/>
      <c r="M546" s="12"/>
    </row>
    <row r="547" s="11" customFormat="1" customHeight="1" spans="5:13">
      <c r="E547" s="14"/>
      <c r="F547" s="14"/>
      <c r="G547" s="14"/>
      <c r="H547" s="14"/>
      <c r="I547" s="14"/>
      <c r="J547" s="15"/>
      <c r="M547" s="12"/>
    </row>
    <row r="548" s="11" customFormat="1" customHeight="1" spans="5:13">
      <c r="E548" s="14"/>
      <c r="F548" s="14"/>
      <c r="G548" s="14"/>
      <c r="H548" s="14"/>
      <c r="I548" s="14"/>
      <c r="J548" s="15"/>
      <c r="M548" s="12"/>
    </row>
    <row r="549" s="11" customFormat="1" customHeight="1" spans="5:13">
      <c r="E549" s="14"/>
      <c r="F549" s="14"/>
      <c r="G549" s="14"/>
      <c r="H549" s="14"/>
      <c r="I549" s="14"/>
      <c r="J549" s="15"/>
      <c r="M549" s="12"/>
    </row>
    <row r="550" s="11" customFormat="1" customHeight="1" spans="5:13">
      <c r="E550" s="14"/>
      <c r="F550" s="14"/>
      <c r="G550" s="14"/>
      <c r="H550" s="14"/>
      <c r="I550" s="14"/>
      <c r="J550" s="15"/>
      <c r="M550" s="12"/>
    </row>
    <row r="551" s="11" customFormat="1" customHeight="1" spans="5:13">
      <c r="E551" s="14"/>
      <c r="F551" s="14"/>
      <c r="G551" s="14"/>
      <c r="H551" s="14"/>
      <c r="I551" s="14"/>
      <c r="J551" s="15"/>
      <c r="M551" s="12"/>
    </row>
    <row r="552" s="11" customFormat="1" customHeight="1" spans="5:13">
      <c r="E552" s="14"/>
      <c r="F552" s="14"/>
      <c r="G552" s="14"/>
      <c r="H552" s="14"/>
      <c r="I552" s="14"/>
      <c r="J552" s="15"/>
      <c r="M552" s="12"/>
    </row>
    <row r="553" s="11" customFormat="1" customHeight="1" spans="5:13">
      <c r="E553" s="14"/>
      <c r="F553" s="14"/>
      <c r="G553" s="14"/>
      <c r="H553" s="14"/>
      <c r="I553" s="14"/>
      <c r="J553" s="15"/>
      <c r="M553" s="12"/>
    </row>
    <row r="554" s="11" customFormat="1" customHeight="1" spans="5:13">
      <c r="E554" s="14"/>
      <c r="F554" s="14"/>
      <c r="G554" s="14"/>
      <c r="H554" s="14"/>
      <c r="I554" s="14"/>
      <c r="J554" s="15"/>
      <c r="M554" s="12"/>
    </row>
    <row r="555" s="11" customFormat="1" customHeight="1" spans="5:13">
      <c r="E555" s="14"/>
      <c r="F555" s="14"/>
      <c r="G555" s="14"/>
      <c r="H555" s="14"/>
      <c r="I555" s="14"/>
      <c r="J555" s="15"/>
      <c r="M555" s="12"/>
    </row>
    <row r="556" s="11" customFormat="1" customHeight="1" spans="5:13">
      <c r="E556" s="14"/>
      <c r="F556" s="14"/>
      <c r="G556" s="14"/>
      <c r="H556" s="14"/>
      <c r="I556" s="14"/>
      <c r="J556" s="15"/>
      <c r="M556" s="12"/>
    </row>
    <row r="557" s="11" customFormat="1" customHeight="1" spans="5:13">
      <c r="E557" s="14"/>
      <c r="F557" s="14"/>
      <c r="G557" s="14"/>
      <c r="H557" s="14"/>
      <c r="I557" s="14"/>
      <c r="J557" s="15"/>
      <c r="M557" s="12"/>
    </row>
    <row r="558" s="11" customFormat="1" customHeight="1" spans="5:13">
      <c r="E558" s="14"/>
      <c r="F558" s="14"/>
      <c r="G558" s="14"/>
      <c r="H558" s="14"/>
      <c r="I558" s="14"/>
      <c r="J558" s="15"/>
      <c r="M558" s="12"/>
    </row>
    <row r="559" s="11" customFormat="1" customHeight="1" spans="5:13">
      <c r="E559" s="14"/>
      <c r="F559" s="14"/>
      <c r="G559" s="14"/>
      <c r="H559" s="14"/>
      <c r="I559" s="14"/>
      <c r="J559" s="15"/>
      <c r="M559" s="12"/>
    </row>
    <row r="560" s="11" customFormat="1" customHeight="1" spans="5:13">
      <c r="E560" s="14"/>
      <c r="F560" s="14"/>
      <c r="G560" s="14"/>
      <c r="H560" s="14"/>
      <c r="I560" s="14"/>
      <c r="J560" s="15"/>
      <c r="M560" s="12"/>
    </row>
    <row r="561" s="11" customFormat="1" customHeight="1" spans="5:13">
      <c r="E561" s="14"/>
      <c r="F561" s="14"/>
      <c r="G561" s="14"/>
      <c r="H561" s="14"/>
      <c r="I561" s="14"/>
      <c r="J561" s="15"/>
      <c r="M561" s="12"/>
    </row>
    <row r="562" s="11" customFormat="1" customHeight="1" spans="5:13">
      <c r="E562" s="14"/>
      <c r="F562" s="14"/>
      <c r="G562" s="14"/>
      <c r="H562" s="14"/>
      <c r="I562" s="14"/>
      <c r="J562" s="15"/>
      <c r="M562" s="12"/>
    </row>
    <row r="563" s="11" customFormat="1" customHeight="1" spans="5:13">
      <c r="E563" s="14"/>
      <c r="F563" s="14"/>
      <c r="G563" s="14"/>
      <c r="H563" s="14"/>
      <c r="I563" s="14"/>
      <c r="J563" s="15"/>
      <c r="M563" s="12"/>
    </row>
    <row r="564" s="11" customFormat="1" customHeight="1" spans="5:13">
      <c r="E564" s="14"/>
      <c r="F564" s="14"/>
      <c r="G564" s="14"/>
      <c r="H564" s="14"/>
      <c r="I564" s="14"/>
      <c r="J564" s="15"/>
      <c r="M564" s="12"/>
    </row>
    <row r="565" s="11" customFormat="1" customHeight="1" spans="5:13">
      <c r="E565" s="14"/>
      <c r="F565" s="14"/>
      <c r="G565" s="14"/>
      <c r="H565" s="14"/>
      <c r="I565" s="14"/>
      <c r="J565" s="15"/>
      <c r="M565" s="12"/>
    </row>
    <row r="566" s="11" customFormat="1" customHeight="1" spans="5:13">
      <c r="E566" s="14"/>
      <c r="F566" s="14"/>
      <c r="G566" s="14"/>
      <c r="H566" s="14"/>
      <c r="I566" s="14"/>
      <c r="J566" s="15"/>
      <c r="M566" s="12"/>
    </row>
    <row r="567" s="11" customFormat="1" customHeight="1" spans="5:13">
      <c r="E567" s="14"/>
      <c r="F567" s="14"/>
      <c r="G567" s="14"/>
      <c r="H567" s="14"/>
      <c r="I567" s="14"/>
      <c r="J567" s="15"/>
      <c r="M567" s="12"/>
    </row>
    <row r="568" s="11" customFormat="1" customHeight="1" spans="5:13">
      <c r="E568" s="14"/>
      <c r="F568" s="14"/>
      <c r="G568" s="14"/>
      <c r="H568" s="14"/>
      <c r="I568" s="14"/>
      <c r="J568" s="15"/>
      <c r="M568" s="12"/>
    </row>
    <row r="569" s="11" customFormat="1" customHeight="1" spans="5:13">
      <c r="E569" s="14"/>
      <c r="F569" s="14"/>
      <c r="G569" s="14"/>
      <c r="H569" s="14"/>
      <c r="I569" s="14"/>
      <c r="J569" s="15"/>
      <c r="M569" s="12"/>
    </row>
    <row r="570" s="11" customFormat="1" customHeight="1" spans="5:13">
      <c r="E570" s="14"/>
      <c r="F570" s="14"/>
      <c r="G570" s="14"/>
      <c r="H570" s="14"/>
      <c r="I570" s="14"/>
      <c r="J570" s="15"/>
      <c r="M570" s="12"/>
    </row>
    <row r="571" s="11" customFormat="1" customHeight="1" spans="5:13">
      <c r="E571" s="14"/>
      <c r="F571" s="14"/>
      <c r="G571" s="14"/>
      <c r="H571" s="14"/>
      <c r="I571" s="14"/>
      <c r="J571" s="15"/>
      <c r="M571" s="12"/>
    </row>
    <row r="572" s="11" customFormat="1" customHeight="1" spans="5:13">
      <c r="E572" s="14"/>
      <c r="F572" s="14"/>
      <c r="G572" s="14"/>
      <c r="H572" s="14"/>
      <c r="I572" s="14"/>
      <c r="J572" s="15"/>
      <c r="M572" s="12"/>
    </row>
    <row r="573" s="11" customFormat="1" customHeight="1" spans="5:13">
      <c r="E573" s="14"/>
      <c r="F573" s="14"/>
      <c r="G573" s="14"/>
      <c r="H573" s="14"/>
      <c r="I573" s="14"/>
      <c r="J573" s="15"/>
      <c r="M573" s="12"/>
    </row>
    <row r="574" s="11" customFormat="1" customHeight="1" spans="5:13">
      <c r="E574" s="14"/>
      <c r="F574" s="14"/>
      <c r="G574" s="14"/>
      <c r="H574" s="14"/>
      <c r="I574" s="14"/>
      <c r="J574" s="15"/>
      <c r="M574" s="12"/>
    </row>
    <row r="575" s="11" customFormat="1" customHeight="1" spans="5:13">
      <c r="E575" s="14"/>
      <c r="F575" s="14"/>
      <c r="G575" s="14"/>
      <c r="H575" s="14"/>
      <c r="I575" s="14"/>
      <c r="J575" s="15"/>
      <c r="M575" s="12"/>
    </row>
    <row r="576" s="11" customFormat="1" customHeight="1" spans="5:13">
      <c r="E576" s="14"/>
      <c r="F576" s="14"/>
      <c r="G576" s="14"/>
      <c r="H576" s="14"/>
      <c r="I576" s="14"/>
      <c r="J576" s="15"/>
      <c r="M576" s="12"/>
    </row>
    <row r="577" s="11" customFormat="1" customHeight="1" spans="5:13">
      <c r="E577" s="14"/>
      <c r="F577" s="14"/>
      <c r="G577" s="14"/>
      <c r="H577" s="14"/>
      <c r="I577" s="14"/>
      <c r="J577" s="15"/>
      <c r="M577" s="12"/>
    </row>
    <row r="578" s="11" customFormat="1" customHeight="1" spans="5:13">
      <c r="E578" s="14"/>
      <c r="F578" s="14"/>
      <c r="G578" s="14"/>
      <c r="H578" s="14"/>
      <c r="I578" s="14"/>
      <c r="J578" s="15"/>
      <c r="M578" s="12"/>
    </row>
    <row r="579" s="11" customFormat="1" customHeight="1" spans="5:13">
      <c r="E579" s="14"/>
      <c r="F579" s="14"/>
      <c r="G579" s="14"/>
      <c r="H579" s="14"/>
      <c r="I579" s="14"/>
      <c r="J579" s="15"/>
      <c r="M579" s="12"/>
    </row>
    <row r="580" s="11" customFormat="1" customHeight="1" spans="5:13">
      <c r="E580" s="14"/>
      <c r="F580" s="14"/>
      <c r="G580" s="14"/>
      <c r="H580" s="14"/>
      <c r="I580" s="14"/>
      <c r="J580" s="15"/>
      <c r="M580" s="12"/>
    </row>
    <row r="581" s="11" customFormat="1" customHeight="1" spans="5:13">
      <c r="E581" s="14"/>
      <c r="F581" s="14"/>
      <c r="G581" s="14"/>
      <c r="H581" s="14"/>
      <c r="I581" s="14"/>
      <c r="J581" s="15"/>
      <c r="M581" s="12"/>
    </row>
    <row r="582" s="11" customFormat="1" customHeight="1" spans="5:13">
      <c r="E582" s="14"/>
      <c r="F582" s="14"/>
      <c r="G582" s="14"/>
      <c r="H582" s="14"/>
      <c r="I582" s="14"/>
      <c r="J582" s="15"/>
      <c r="M582" s="12"/>
    </row>
    <row r="583" s="11" customFormat="1" customHeight="1" spans="5:13">
      <c r="E583" s="14"/>
      <c r="F583" s="14"/>
      <c r="G583" s="14"/>
      <c r="H583" s="14"/>
      <c r="I583" s="14"/>
      <c r="J583" s="15"/>
      <c r="M583" s="12"/>
    </row>
    <row r="584" s="11" customFormat="1" customHeight="1" spans="5:13">
      <c r="E584" s="14"/>
      <c r="F584" s="14"/>
      <c r="G584" s="14"/>
      <c r="H584" s="14"/>
      <c r="I584" s="14"/>
      <c r="J584" s="15"/>
      <c r="M584" s="12"/>
    </row>
    <row r="585" s="11" customFormat="1" customHeight="1" spans="5:13">
      <c r="E585" s="14"/>
      <c r="F585" s="14"/>
      <c r="G585" s="14"/>
      <c r="H585" s="14"/>
      <c r="I585" s="14"/>
      <c r="J585" s="15"/>
      <c r="M585" s="12"/>
    </row>
    <row r="586" s="11" customFormat="1" customHeight="1" spans="5:13">
      <c r="E586" s="14"/>
      <c r="F586" s="14"/>
      <c r="G586" s="14"/>
      <c r="H586" s="14"/>
      <c r="I586" s="14"/>
      <c r="J586" s="15"/>
      <c r="M586" s="12"/>
    </row>
    <row r="587" s="11" customFormat="1" customHeight="1" spans="5:13">
      <c r="E587" s="14"/>
      <c r="F587" s="14"/>
      <c r="G587" s="14"/>
      <c r="H587" s="14"/>
      <c r="I587" s="14"/>
      <c r="J587" s="15"/>
      <c r="M587" s="12"/>
    </row>
    <row r="588" s="11" customFormat="1" customHeight="1" spans="5:13">
      <c r="E588" s="14"/>
      <c r="F588" s="14"/>
      <c r="G588" s="14"/>
      <c r="H588" s="14"/>
      <c r="I588" s="14"/>
      <c r="J588" s="15"/>
      <c r="M588" s="12"/>
    </row>
    <row r="589" s="11" customFormat="1" customHeight="1" spans="5:13">
      <c r="E589" s="14"/>
      <c r="F589" s="14"/>
      <c r="G589" s="14"/>
      <c r="H589" s="14"/>
      <c r="I589" s="14"/>
      <c r="J589" s="15"/>
      <c r="M589" s="12"/>
    </row>
    <row r="590" s="11" customFormat="1" customHeight="1" spans="5:13">
      <c r="E590" s="14"/>
      <c r="F590" s="14"/>
      <c r="G590" s="14"/>
      <c r="H590" s="14"/>
      <c r="I590" s="14"/>
      <c r="J590" s="15"/>
      <c r="M590" s="12"/>
    </row>
    <row r="591" s="11" customFormat="1" customHeight="1" spans="5:13">
      <c r="E591" s="14"/>
      <c r="F591" s="14"/>
      <c r="G591" s="14"/>
      <c r="H591" s="14"/>
      <c r="I591" s="14"/>
      <c r="J591" s="15"/>
      <c r="M591" s="12"/>
    </row>
    <row r="592" s="11" customFormat="1" customHeight="1" spans="5:13">
      <c r="E592" s="14"/>
      <c r="F592" s="14"/>
      <c r="G592" s="14"/>
      <c r="H592" s="14"/>
      <c r="I592" s="14"/>
      <c r="J592" s="15"/>
      <c r="M592" s="12"/>
    </row>
    <row r="593" s="11" customFormat="1" customHeight="1" spans="5:13">
      <c r="E593" s="14"/>
      <c r="F593" s="14"/>
      <c r="G593" s="14"/>
      <c r="H593" s="14"/>
      <c r="I593" s="14"/>
      <c r="J593" s="15"/>
      <c r="M593" s="12"/>
    </row>
    <row r="594" s="11" customFormat="1" customHeight="1" spans="5:13">
      <c r="E594" s="14"/>
      <c r="F594" s="14"/>
      <c r="G594" s="14"/>
      <c r="H594" s="14"/>
      <c r="I594" s="14"/>
      <c r="J594" s="15"/>
      <c r="M594" s="12"/>
    </row>
    <row r="595" s="11" customFormat="1" customHeight="1" spans="5:13">
      <c r="E595" s="14"/>
      <c r="F595" s="14"/>
      <c r="G595" s="14"/>
      <c r="H595" s="14"/>
      <c r="I595" s="14"/>
      <c r="J595" s="15"/>
      <c r="M595" s="12"/>
    </row>
    <row r="596" s="11" customFormat="1" customHeight="1" spans="5:13">
      <c r="E596" s="14"/>
      <c r="F596" s="14"/>
      <c r="G596" s="14"/>
      <c r="H596" s="14"/>
      <c r="I596" s="14"/>
      <c r="J596" s="15"/>
      <c r="M596" s="12"/>
    </row>
    <row r="597" s="11" customFormat="1" customHeight="1" spans="5:13">
      <c r="E597" s="14"/>
      <c r="F597" s="14"/>
      <c r="G597" s="14"/>
      <c r="H597" s="14"/>
      <c r="I597" s="14"/>
      <c r="J597" s="15"/>
      <c r="M597" s="12"/>
    </row>
    <row r="598" s="11" customFormat="1" customHeight="1" spans="5:13">
      <c r="E598" s="14"/>
      <c r="F598" s="14"/>
      <c r="G598" s="14"/>
      <c r="H598" s="14"/>
      <c r="I598" s="14"/>
      <c r="J598" s="15"/>
      <c r="M598" s="12"/>
    </row>
    <row r="599" s="11" customFormat="1" customHeight="1" spans="5:13">
      <c r="E599" s="14"/>
      <c r="F599" s="14"/>
      <c r="G599" s="14"/>
      <c r="H599" s="14"/>
      <c r="I599" s="14"/>
      <c r="J599" s="15"/>
      <c r="M599" s="12"/>
    </row>
    <row r="600" s="11" customFormat="1" customHeight="1" spans="5:13">
      <c r="E600" s="14"/>
      <c r="F600" s="14"/>
      <c r="G600" s="14"/>
      <c r="H600" s="14"/>
      <c r="I600" s="14"/>
      <c r="J600" s="15"/>
      <c r="M600" s="12"/>
    </row>
    <row r="601" s="11" customFormat="1" customHeight="1" spans="5:13">
      <c r="E601" s="14"/>
      <c r="F601" s="14"/>
      <c r="G601" s="14"/>
      <c r="H601" s="14"/>
      <c r="I601" s="14"/>
      <c r="J601" s="15"/>
      <c r="M601" s="12"/>
    </row>
    <row r="602" s="11" customFormat="1" customHeight="1" spans="5:13">
      <c r="E602" s="14"/>
      <c r="F602" s="14"/>
      <c r="G602" s="14"/>
      <c r="H602" s="14"/>
      <c r="I602" s="14"/>
      <c r="J602" s="15"/>
      <c r="M602" s="12"/>
    </row>
    <row r="603" s="11" customFormat="1" customHeight="1" spans="5:13">
      <c r="E603" s="14"/>
      <c r="F603" s="14"/>
      <c r="G603" s="14"/>
      <c r="H603" s="14"/>
      <c r="I603" s="14"/>
      <c r="J603" s="15"/>
      <c r="M603" s="12"/>
    </row>
    <row r="604" s="11" customFormat="1" customHeight="1" spans="5:13">
      <c r="E604" s="14"/>
      <c r="F604" s="14"/>
      <c r="G604" s="14"/>
      <c r="H604" s="14"/>
      <c r="I604" s="14"/>
      <c r="J604" s="15"/>
      <c r="M604" s="12"/>
    </row>
    <row r="605" s="11" customFormat="1" customHeight="1" spans="5:13">
      <c r="E605" s="14"/>
      <c r="F605" s="14"/>
      <c r="G605" s="14"/>
      <c r="H605" s="14"/>
      <c r="I605" s="14"/>
      <c r="J605" s="15"/>
      <c r="M605" s="12"/>
    </row>
    <row r="606" s="11" customFormat="1" customHeight="1" spans="5:13">
      <c r="E606" s="14"/>
      <c r="F606" s="14"/>
      <c r="G606" s="14"/>
      <c r="H606" s="14"/>
      <c r="I606" s="14"/>
      <c r="J606" s="15"/>
      <c r="M606" s="12"/>
    </row>
    <row r="607" s="11" customFormat="1" customHeight="1" spans="5:13">
      <c r="E607" s="14"/>
      <c r="F607" s="14"/>
      <c r="G607" s="14"/>
      <c r="H607" s="14"/>
      <c r="I607" s="14"/>
      <c r="J607" s="15"/>
      <c r="M607" s="12"/>
    </row>
    <row r="608" s="11" customFormat="1" customHeight="1" spans="5:13">
      <c r="E608" s="14"/>
      <c r="F608" s="14"/>
      <c r="G608" s="14"/>
      <c r="H608" s="14"/>
      <c r="I608" s="14"/>
      <c r="J608" s="15"/>
      <c r="M608" s="12"/>
    </row>
    <row r="609" s="11" customFormat="1" customHeight="1" spans="5:13">
      <c r="E609" s="14"/>
      <c r="F609" s="14"/>
      <c r="G609" s="14"/>
      <c r="H609" s="14"/>
      <c r="I609" s="14"/>
      <c r="J609" s="15"/>
      <c r="M609" s="12"/>
    </row>
    <row r="610" s="11" customFormat="1" customHeight="1" spans="5:13">
      <c r="E610" s="14"/>
      <c r="F610" s="14"/>
      <c r="G610" s="14"/>
      <c r="H610" s="14"/>
      <c r="I610" s="14"/>
      <c r="J610" s="15"/>
      <c r="M610" s="12"/>
    </row>
    <row r="611" s="11" customFormat="1" customHeight="1" spans="5:13">
      <c r="E611" s="14"/>
      <c r="F611" s="14"/>
      <c r="G611" s="14"/>
      <c r="H611" s="14"/>
      <c r="I611" s="14"/>
      <c r="J611" s="15"/>
      <c r="M611" s="12"/>
    </row>
    <row r="612" s="11" customFormat="1" customHeight="1" spans="5:13">
      <c r="E612" s="14"/>
      <c r="F612" s="14"/>
      <c r="G612" s="14"/>
      <c r="H612" s="14"/>
      <c r="I612" s="14"/>
      <c r="J612" s="15"/>
      <c r="M612" s="12"/>
    </row>
    <row r="613" s="11" customFormat="1" customHeight="1" spans="5:13">
      <c r="E613" s="14"/>
      <c r="F613" s="14"/>
      <c r="G613" s="14"/>
      <c r="H613" s="14"/>
      <c r="I613" s="14"/>
      <c r="J613" s="15"/>
      <c r="M613" s="12"/>
    </row>
    <row r="614" s="11" customFormat="1" customHeight="1" spans="5:13">
      <c r="E614" s="14"/>
      <c r="F614" s="14"/>
      <c r="G614" s="14"/>
      <c r="H614" s="14"/>
      <c r="I614" s="14"/>
      <c r="J614" s="15"/>
      <c r="M614" s="12"/>
    </row>
    <row r="615" s="11" customFormat="1" customHeight="1" spans="5:13">
      <c r="E615" s="14"/>
      <c r="F615" s="14"/>
      <c r="G615" s="14"/>
      <c r="H615" s="14"/>
      <c r="I615" s="14"/>
      <c r="J615" s="15"/>
      <c r="M615" s="12"/>
    </row>
    <row r="616" s="11" customFormat="1" customHeight="1" spans="5:13">
      <c r="E616" s="14"/>
      <c r="F616" s="14"/>
      <c r="G616" s="14"/>
      <c r="H616" s="14"/>
      <c r="I616" s="14"/>
      <c r="J616" s="15"/>
      <c r="M616" s="12"/>
    </row>
    <row r="617" s="11" customFormat="1" customHeight="1" spans="5:13">
      <c r="E617" s="14"/>
      <c r="F617" s="14"/>
      <c r="G617" s="14"/>
      <c r="H617" s="14"/>
      <c r="I617" s="14"/>
      <c r="J617" s="15"/>
      <c r="M617" s="12"/>
    </row>
    <row r="618" s="11" customFormat="1" customHeight="1" spans="5:13">
      <c r="E618" s="14"/>
      <c r="F618" s="14"/>
      <c r="G618" s="14"/>
      <c r="H618" s="14"/>
      <c r="I618" s="14"/>
      <c r="J618" s="15"/>
      <c r="M618" s="12"/>
    </row>
    <row r="619" s="11" customFormat="1" customHeight="1" spans="5:13">
      <c r="E619" s="14"/>
      <c r="F619" s="14"/>
      <c r="G619" s="14"/>
      <c r="H619" s="14"/>
      <c r="I619" s="14"/>
      <c r="J619" s="15"/>
      <c r="M619" s="12"/>
    </row>
    <row r="620" s="11" customFormat="1" customHeight="1" spans="5:13">
      <c r="E620" s="14"/>
      <c r="F620" s="14"/>
      <c r="G620" s="14"/>
      <c r="H620" s="14"/>
      <c r="I620" s="14"/>
      <c r="J620" s="15"/>
      <c r="M620" s="12"/>
    </row>
    <row r="621" s="11" customFormat="1" customHeight="1" spans="5:13">
      <c r="E621" s="14"/>
      <c r="F621" s="14"/>
      <c r="G621" s="14"/>
      <c r="H621" s="14"/>
      <c r="I621" s="14"/>
      <c r="J621" s="15"/>
      <c r="M621" s="12"/>
    </row>
    <row r="622" s="11" customFormat="1" customHeight="1" spans="5:13">
      <c r="E622" s="14"/>
      <c r="F622" s="14"/>
      <c r="G622" s="14"/>
      <c r="H622" s="14"/>
      <c r="I622" s="14"/>
      <c r="J622" s="15"/>
      <c r="M622" s="12"/>
    </row>
    <row r="623" s="11" customFormat="1" customHeight="1" spans="5:13">
      <c r="E623" s="14"/>
      <c r="F623" s="14"/>
      <c r="G623" s="14"/>
      <c r="H623" s="14"/>
      <c r="I623" s="14"/>
      <c r="J623" s="15"/>
      <c r="M623" s="12"/>
    </row>
    <row r="624" s="11" customFormat="1" customHeight="1" spans="5:13">
      <c r="E624" s="14"/>
      <c r="F624" s="14"/>
      <c r="G624" s="14"/>
      <c r="H624" s="14"/>
      <c r="I624" s="14"/>
      <c r="J624" s="15"/>
      <c r="M624" s="12"/>
    </row>
    <row r="625" s="11" customFormat="1" customHeight="1" spans="5:13">
      <c r="E625" s="14"/>
      <c r="F625" s="14"/>
      <c r="G625" s="14"/>
      <c r="H625" s="14"/>
      <c r="I625" s="14"/>
      <c r="J625" s="15"/>
      <c r="M625" s="12"/>
    </row>
    <row r="626" s="11" customFormat="1" customHeight="1" spans="5:13">
      <c r="E626" s="14"/>
      <c r="F626" s="14"/>
      <c r="G626" s="14"/>
      <c r="H626" s="14"/>
      <c r="I626" s="14"/>
      <c r="J626" s="15"/>
      <c r="M626" s="12"/>
    </row>
    <row r="627" s="11" customFormat="1" customHeight="1" spans="5:13">
      <c r="E627" s="14"/>
      <c r="F627" s="14"/>
      <c r="G627" s="14"/>
      <c r="H627" s="14"/>
      <c r="I627" s="14"/>
      <c r="J627" s="15"/>
      <c r="M627" s="12"/>
    </row>
    <row r="628" s="11" customFormat="1" customHeight="1" spans="5:13">
      <c r="E628" s="14"/>
      <c r="F628" s="14"/>
      <c r="G628" s="14"/>
      <c r="H628" s="14"/>
      <c r="I628" s="14"/>
      <c r="J628" s="15"/>
      <c r="M628" s="12"/>
    </row>
    <row r="629" s="11" customFormat="1" customHeight="1" spans="5:13">
      <c r="E629" s="14"/>
      <c r="F629" s="14"/>
      <c r="G629" s="14"/>
      <c r="H629" s="14"/>
      <c r="I629" s="14"/>
      <c r="J629" s="15"/>
      <c r="M629" s="12"/>
    </row>
    <row r="630" s="11" customFormat="1" customHeight="1" spans="5:13">
      <c r="E630" s="14"/>
      <c r="F630" s="14"/>
      <c r="G630" s="14"/>
      <c r="H630" s="14"/>
      <c r="I630" s="14"/>
      <c r="J630" s="15"/>
      <c r="M630" s="12"/>
    </row>
    <row r="631" s="11" customFormat="1" customHeight="1" spans="5:13">
      <c r="E631" s="14"/>
      <c r="F631" s="14"/>
      <c r="G631" s="14"/>
      <c r="H631" s="14"/>
      <c r="I631" s="14"/>
      <c r="J631" s="15"/>
      <c r="M631" s="12"/>
    </row>
    <row r="632" s="11" customFormat="1" customHeight="1" spans="5:13">
      <c r="E632" s="14"/>
      <c r="F632" s="14"/>
      <c r="G632" s="14"/>
      <c r="H632" s="14"/>
      <c r="I632" s="14"/>
      <c r="J632" s="15"/>
      <c r="M632" s="12"/>
    </row>
    <row r="633" s="11" customFormat="1" customHeight="1" spans="5:13">
      <c r="E633" s="14"/>
      <c r="F633" s="14"/>
      <c r="G633" s="14"/>
      <c r="H633" s="14"/>
      <c r="I633" s="14"/>
      <c r="J633" s="15"/>
      <c r="M633" s="12"/>
    </row>
    <row r="634" s="11" customFormat="1" customHeight="1" spans="5:13">
      <c r="E634" s="14"/>
      <c r="F634" s="14"/>
      <c r="G634" s="14"/>
      <c r="H634" s="14"/>
      <c r="I634" s="14"/>
      <c r="J634" s="15"/>
      <c r="M634" s="12"/>
    </row>
    <row r="635" s="11" customFormat="1" customHeight="1" spans="5:13">
      <c r="E635" s="14"/>
      <c r="F635" s="14"/>
      <c r="G635" s="14"/>
      <c r="H635" s="14"/>
      <c r="I635" s="14"/>
      <c r="J635" s="15"/>
      <c r="M635" s="12"/>
    </row>
    <row r="636" s="11" customFormat="1" customHeight="1" spans="5:13">
      <c r="E636" s="14"/>
      <c r="F636" s="14"/>
      <c r="G636" s="14"/>
      <c r="H636" s="14"/>
      <c r="I636" s="14"/>
      <c r="J636" s="15"/>
      <c r="M636" s="12"/>
    </row>
    <row r="637" s="11" customFormat="1" customHeight="1" spans="5:13">
      <c r="E637" s="14"/>
      <c r="F637" s="14"/>
      <c r="G637" s="14"/>
      <c r="H637" s="14"/>
      <c r="I637" s="14"/>
      <c r="J637" s="15"/>
      <c r="M637" s="12"/>
    </row>
    <row r="638" s="11" customFormat="1" customHeight="1" spans="5:13">
      <c r="E638" s="14"/>
      <c r="F638" s="14"/>
      <c r="G638" s="14"/>
      <c r="H638" s="14"/>
      <c r="I638" s="14"/>
      <c r="J638" s="15"/>
      <c r="M638" s="12"/>
    </row>
    <row r="639" s="11" customFormat="1" customHeight="1" spans="5:13">
      <c r="E639" s="14"/>
      <c r="F639" s="14"/>
      <c r="G639" s="14"/>
      <c r="H639" s="14"/>
      <c r="I639" s="14"/>
      <c r="J639" s="15"/>
      <c r="M639" s="12"/>
    </row>
    <row r="640" s="11" customFormat="1" customHeight="1" spans="5:13">
      <c r="E640" s="14"/>
      <c r="F640" s="14"/>
      <c r="G640" s="14"/>
      <c r="H640" s="14"/>
      <c r="I640" s="14"/>
      <c r="J640" s="15"/>
      <c r="M640" s="12"/>
    </row>
    <row r="641" s="11" customFormat="1" customHeight="1" spans="5:13">
      <c r="E641" s="14"/>
      <c r="F641" s="14"/>
      <c r="G641" s="14"/>
      <c r="H641" s="14"/>
      <c r="I641" s="14"/>
      <c r="J641" s="15"/>
      <c r="M641" s="12"/>
    </row>
    <row r="642" s="11" customFormat="1" customHeight="1" spans="5:13">
      <c r="E642" s="14"/>
      <c r="F642" s="14"/>
      <c r="G642" s="14"/>
      <c r="H642" s="14"/>
      <c r="I642" s="14"/>
      <c r="J642" s="15"/>
      <c r="M642" s="12"/>
    </row>
    <row r="643" s="11" customFormat="1" customHeight="1" spans="5:13">
      <c r="E643" s="14"/>
      <c r="F643" s="14"/>
      <c r="G643" s="14"/>
      <c r="H643" s="14"/>
      <c r="I643" s="14"/>
      <c r="J643" s="15"/>
      <c r="M643" s="12"/>
    </row>
    <row r="644" s="11" customFormat="1" customHeight="1" spans="5:13">
      <c r="E644" s="14"/>
      <c r="F644" s="14"/>
      <c r="G644" s="14"/>
      <c r="H644" s="14"/>
      <c r="I644" s="14"/>
      <c r="J644" s="15"/>
      <c r="M644" s="12"/>
    </row>
    <row r="645" s="11" customFormat="1" customHeight="1" spans="5:13">
      <c r="E645" s="14"/>
      <c r="F645" s="14"/>
      <c r="G645" s="14"/>
      <c r="H645" s="14"/>
      <c r="I645" s="14"/>
      <c r="J645" s="15"/>
      <c r="M645" s="12"/>
    </row>
    <row r="646" s="11" customFormat="1" customHeight="1" spans="5:13">
      <c r="E646" s="14"/>
      <c r="F646" s="14"/>
      <c r="G646" s="14"/>
      <c r="H646" s="14"/>
      <c r="I646" s="14"/>
      <c r="J646" s="15"/>
      <c r="M646" s="12"/>
    </row>
    <row r="647" s="11" customFormat="1" customHeight="1" spans="5:13">
      <c r="E647" s="14"/>
      <c r="F647" s="14"/>
      <c r="G647" s="14"/>
      <c r="H647" s="14"/>
      <c r="I647" s="14"/>
      <c r="J647" s="15"/>
      <c r="M647" s="12"/>
    </row>
    <row r="648" s="11" customFormat="1" customHeight="1" spans="5:13">
      <c r="E648" s="14"/>
      <c r="F648" s="14"/>
      <c r="G648" s="14"/>
      <c r="H648" s="14"/>
      <c r="I648" s="14"/>
      <c r="J648" s="15"/>
      <c r="M648" s="12"/>
    </row>
    <row r="649" s="11" customFormat="1" customHeight="1" spans="5:13">
      <c r="E649" s="14"/>
      <c r="F649" s="14"/>
      <c r="G649" s="14"/>
      <c r="H649" s="14"/>
      <c r="I649" s="14"/>
      <c r="J649" s="15"/>
      <c r="M649" s="12"/>
    </row>
    <row r="650" s="11" customFormat="1" customHeight="1" spans="5:13">
      <c r="E650" s="14"/>
      <c r="F650" s="14"/>
      <c r="G650" s="14"/>
      <c r="H650" s="14"/>
      <c r="I650" s="14"/>
      <c r="J650" s="15"/>
      <c r="M650" s="12"/>
    </row>
    <row r="651" s="11" customFormat="1" customHeight="1" spans="5:13">
      <c r="E651" s="14"/>
      <c r="F651" s="14"/>
      <c r="G651" s="14"/>
      <c r="H651" s="14"/>
      <c r="I651" s="14"/>
      <c r="J651" s="15"/>
      <c r="M651" s="12"/>
    </row>
    <row r="652" s="11" customFormat="1" customHeight="1" spans="5:13">
      <c r="E652" s="14"/>
      <c r="F652" s="14"/>
      <c r="G652" s="14"/>
      <c r="H652" s="14"/>
      <c r="I652" s="14"/>
      <c r="J652" s="15"/>
      <c r="M652" s="12"/>
    </row>
    <row r="653" s="11" customFormat="1" customHeight="1" spans="5:13">
      <c r="E653" s="14"/>
      <c r="F653" s="14"/>
      <c r="G653" s="14"/>
      <c r="H653" s="14"/>
      <c r="I653" s="14"/>
      <c r="J653" s="15"/>
      <c r="M653" s="12"/>
    </row>
    <row r="654" s="11" customFormat="1" customHeight="1" spans="5:13">
      <c r="E654" s="14"/>
      <c r="F654" s="14"/>
      <c r="G654" s="14"/>
      <c r="H654" s="14"/>
      <c r="I654" s="14"/>
      <c r="J654" s="15"/>
      <c r="M654" s="12"/>
    </row>
    <row r="655" s="11" customFormat="1" customHeight="1" spans="5:13">
      <c r="E655" s="14"/>
      <c r="F655" s="14"/>
      <c r="G655" s="14"/>
      <c r="H655" s="14"/>
      <c r="I655" s="14"/>
      <c r="J655" s="15"/>
      <c r="M655" s="12"/>
    </row>
    <row r="656" s="11" customFormat="1" customHeight="1" spans="5:13">
      <c r="E656" s="14"/>
      <c r="F656" s="14"/>
      <c r="G656" s="14"/>
      <c r="H656" s="14"/>
      <c r="I656" s="14"/>
      <c r="J656" s="15"/>
      <c r="M656" s="12"/>
    </row>
    <row r="657" s="11" customFormat="1" customHeight="1" spans="5:13">
      <c r="E657" s="14"/>
      <c r="F657" s="14"/>
      <c r="G657" s="14"/>
      <c r="H657" s="14"/>
      <c r="I657" s="14"/>
      <c r="J657" s="15"/>
      <c r="M657" s="12"/>
    </row>
    <row r="658" s="11" customFormat="1" customHeight="1" spans="5:13">
      <c r="E658" s="14"/>
      <c r="F658" s="14"/>
      <c r="G658" s="14"/>
      <c r="H658" s="14"/>
      <c r="I658" s="14"/>
      <c r="J658" s="15"/>
      <c r="M658" s="12"/>
    </row>
    <row r="659" s="11" customFormat="1" customHeight="1" spans="5:13">
      <c r="E659" s="14"/>
      <c r="F659" s="14"/>
      <c r="G659" s="14"/>
      <c r="H659" s="14"/>
      <c r="I659" s="14"/>
      <c r="J659" s="15"/>
      <c r="M659" s="12"/>
    </row>
    <row r="660" s="11" customFormat="1" customHeight="1" spans="5:13">
      <c r="E660" s="14"/>
      <c r="F660" s="14"/>
      <c r="G660" s="14"/>
      <c r="H660" s="14"/>
      <c r="I660" s="14"/>
      <c r="J660" s="15"/>
      <c r="M660" s="12"/>
    </row>
    <row r="661" s="11" customFormat="1" customHeight="1" spans="5:13">
      <c r="E661" s="14"/>
      <c r="F661" s="14"/>
      <c r="G661" s="14"/>
      <c r="H661" s="14"/>
      <c r="I661" s="14"/>
      <c r="J661" s="15"/>
      <c r="M661" s="12"/>
    </row>
    <row r="662" s="11" customFormat="1" customHeight="1" spans="5:13">
      <c r="E662" s="14"/>
      <c r="F662" s="14"/>
      <c r="G662" s="14"/>
      <c r="H662" s="14"/>
      <c r="I662" s="14"/>
      <c r="J662" s="15"/>
      <c r="M662" s="12"/>
    </row>
    <row r="663" s="11" customFormat="1" customHeight="1" spans="5:13">
      <c r="E663" s="14"/>
      <c r="F663" s="14"/>
      <c r="G663" s="14"/>
      <c r="H663" s="14"/>
      <c r="I663" s="14"/>
      <c r="J663" s="15"/>
      <c r="M663" s="12"/>
    </row>
    <row r="664" s="11" customFormat="1" customHeight="1" spans="5:13">
      <c r="E664" s="14"/>
      <c r="F664" s="14"/>
      <c r="G664" s="14"/>
      <c r="H664" s="14"/>
      <c r="I664" s="14"/>
      <c r="J664" s="15"/>
      <c r="M664" s="12"/>
    </row>
    <row r="665" s="11" customFormat="1" customHeight="1" spans="5:13">
      <c r="E665" s="14"/>
      <c r="F665" s="14"/>
      <c r="G665" s="14"/>
      <c r="H665" s="14"/>
      <c r="I665" s="14"/>
      <c r="J665" s="15"/>
      <c r="M665" s="12"/>
    </row>
    <row r="666" s="11" customFormat="1" customHeight="1" spans="5:13">
      <c r="E666" s="14"/>
      <c r="F666" s="14"/>
      <c r="G666" s="14"/>
      <c r="H666" s="14"/>
      <c r="I666" s="14"/>
      <c r="J666" s="15"/>
      <c r="M666" s="12"/>
    </row>
    <row r="667" s="11" customFormat="1" customHeight="1" spans="5:13">
      <c r="E667" s="14"/>
      <c r="F667" s="14"/>
      <c r="G667" s="14"/>
      <c r="H667" s="14"/>
      <c r="I667" s="14"/>
      <c r="J667" s="15"/>
      <c r="M667" s="12"/>
    </row>
    <row r="668" s="11" customFormat="1" customHeight="1" spans="5:13">
      <c r="E668" s="14"/>
      <c r="F668" s="14"/>
      <c r="G668" s="14"/>
      <c r="H668" s="14"/>
      <c r="I668" s="14"/>
      <c r="J668" s="15"/>
      <c r="M668" s="12"/>
    </row>
    <row r="669" s="11" customFormat="1" customHeight="1" spans="5:13">
      <c r="E669" s="14"/>
      <c r="F669" s="14"/>
      <c r="G669" s="14"/>
      <c r="H669" s="14"/>
      <c r="I669" s="14"/>
      <c r="J669" s="15"/>
      <c r="M669" s="12"/>
    </row>
    <row r="670" s="11" customFormat="1" customHeight="1" spans="5:13">
      <c r="E670" s="14"/>
      <c r="F670" s="14"/>
      <c r="G670" s="14"/>
      <c r="H670" s="14"/>
      <c r="I670" s="14"/>
      <c r="J670" s="15"/>
      <c r="M670" s="12"/>
    </row>
    <row r="671" s="11" customFormat="1" customHeight="1" spans="5:13">
      <c r="E671" s="14"/>
      <c r="F671" s="14"/>
      <c r="G671" s="14"/>
      <c r="H671" s="14"/>
      <c r="I671" s="14"/>
      <c r="J671" s="15"/>
      <c r="M671" s="12"/>
    </row>
    <row r="672" s="11" customFormat="1" customHeight="1" spans="5:13">
      <c r="E672" s="14"/>
      <c r="F672" s="14"/>
      <c r="G672" s="14"/>
      <c r="H672" s="14"/>
      <c r="I672" s="14"/>
      <c r="J672" s="15"/>
      <c r="M672" s="12"/>
    </row>
    <row r="673" s="11" customFormat="1" customHeight="1" spans="5:13">
      <c r="E673" s="14"/>
      <c r="F673" s="14"/>
      <c r="G673" s="14"/>
      <c r="H673" s="14"/>
      <c r="I673" s="14"/>
      <c r="J673" s="15"/>
      <c r="M673" s="12"/>
    </row>
    <row r="674" s="11" customFormat="1" customHeight="1" spans="5:13">
      <c r="E674" s="14"/>
      <c r="F674" s="14"/>
      <c r="G674" s="14"/>
      <c r="H674" s="14"/>
      <c r="I674" s="14"/>
      <c r="J674" s="15"/>
      <c r="M674" s="12"/>
    </row>
    <row r="675" s="11" customFormat="1" customHeight="1" spans="5:13">
      <c r="E675" s="14"/>
      <c r="F675" s="14"/>
      <c r="G675" s="14"/>
      <c r="H675" s="14"/>
      <c r="I675" s="14"/>
      <c r="J675" s="15"/>
      <c r="M675" s="12"/>
    </row>
    <row r="676" s="11" customFormat="1" customHeight="1" spans="5:13">
      <c r="E676" s="14"/>
      <c r="F676" s="14"/>
      <c r="G676" s="14"/>
      <c r="H676" s="14"/>
      <c r="I676" s="14"/>
      <c r="J676" s="15"/>
      <c r="M676" s="12"/>
    </row>
    <row r="677" s="11" customFormat="1" customHeight="1" spans="5:13">
      <c r="E677" s="14"/>
      <c r="F677" s="14"/>
      <c r="G677" s="14"/>
      <c r="H677" s="14"/>
      <c r="I677" s="14"/>
      <c r="J677" s="15"/>
      <c r="M677" s="12"/>
    </row>
    <row r="678" s="11" customFormat="1" customHeight="1" spans="5:13">
      <c r="E678" s="14"/>
      <c r="F678" s="14"/>
      <c r="G678" s="14"/>
      <c r="H678" s="14"/>
      <c r="I678" s="14"/>
      <c r="J678" s="15"/>
      <c r="M678" s="12"/>
    </row>
    <row r="679" s="11" customFormat="1" customHeight="1" spans="5:13">
      <c r="E679" s="14"/>
      <c r="F679" s="14"/>
      <c r="G679" s="14"/>
      <c r="H679" s="14"/>
      <c r="I679" s="14"/>
      <c r="J679" s="15"/>
      <c r="M679" s="12"/>
    </row>
    <row r="680" s="11" customFormat="1" customHeight="1" spans="5:13">
      <c r="E680" s="14"/>
      <c r="F680" s="14"/>
      <c r="G680" s="14"/>
      <c r="H680" s="14"/>
      <c r="I680" s="14"/>
      <c r="J680" s="15"/>
      <c r="M680" s="12"/>
    </row>
    <row r="681" s="11" customFormat="1" customHeight="1" spans="5:13">
      <c r="E681" s="14"/>
      <c r="F681" s="14"/>
      <c r="G681" s="14"/>
      <c r="H681" s="14"/>
      <c r="I681" s="14"/>
      <c r="J681" s="15"/>
      <c r="M681" s="12"/>
    </row>
    <row r="682" s="11" customFormat="1" customHeight="1" spans="5:13">
      <c r="E682" s="14"/>
      <c r="F682" s="14"/>
      <c r="G682" s="14"/>
      <c r="H682" s="14"/>
      <c r="I682" s="14"/>
      <c r="J682" s="15"/>
      <c r="M682" s="12"/>
    </row>
    <row r="683" s="11" customFormat="1" customHeight="1" spans="5:13">
      <c r="E683" s="14"/>
      <c r="F683" s="14"/>
      <c r="G683" s="14"/>
      <c r="H683" s="14"/>
      <c r="I683" s="14"/>
      <c r="J683" s="15"/>
      <c r="M683" s="12"/>
    </row>
    <row r="684" s="11" customFormat="1" customHeight="1" spans="5:13">
      <c r="E684" s="14"/>
      <c r="F684" s="14"/>
      <c r="G684" s="14"/>
      <c r="H684" s="14"/>
      <c r="I684" s="14"/>
      <c r="J684" s="15"/>
      <c r="M684" s="12"/>
    </row>
    <row r="685" s="11" customFormat="1" customHeight="1" spans="5:13">
      <c r="E685" s="14"/>
      <c r="F685" s="14"/>
      <c r="G685" s="14"/>
      <c r="H685" s="14"/>
      <c r="I685" s="14"/>
      <c r="J685" s="15"/>
      <c r="M685" s="12"/>
    </row>
    <row r="686" s="11" customFormat="1" customHeight="1" spans="5:13">
      <c r="E686" s="14"/>
      <c r="F686" s="14"/>
      <c r="G686" s="14"/>
      <c r="H686" s="14"/>
      <c r="I686" s="14"/>
      <c r="J686" s="15"/>
      <c r="M686" s="12"/>
    </row>
    <row r="687" s="11" customFormat="1" customHeight="1" spans="5:13">
      <c r="E687" s="14"/>
      <c r="F687" s="14"/>
      <c r="G687" s="14"/>
      <c r="H687" s="14"/>
      <c r="I687" s="14"/>
      <c r="J687" s="15"/>
      <c r="M687" s="12"/>
    </row>
    <row r="688" s="11" customFormat="1" customHeight="1" spans="5:13">
      <c r="E688" s="14"/>
      <c r="F688" s="14"/>
      <c r="G688" s="14"/>
      <c r="H688" s="14"/>
      <c r="I688" s="14"/>
      <c r="J688" s="15"/>
      <c r="M688" s="12"/>
    </row>
    <row r="689" s="11" customFormat="1" customHeight="1" spans="5:13">
      <c r="E689" s="14"/>
      <c r="F689" s="14"/>
      <c r="G689" s="14"/>
      <c r="H689" s="14"/>
      <c r="I689" s="14"/>
      <c r="J689" s="15"/>
      <c r="M689" s="12"/>
    </row>
    <row r="690" s="11" customFormat="1" customHeight="1" spans="5:13">
      <c r="E690" s="14"/>
      <c r="F690" s="14"/>
      <c r="G690" s="14"/>
      <c r="H690" s="14"/>
      <c r="I690" s="14"/>
      <c r="J690" s="15"/>
      <c r="M690" s="12"/>
    </row>
    <row r="691" s="11" customFormat="1" customHeight="1" spans="5:13">
      <c r="E691" s="14"/>
      <c r="F691" s="14"/>
      <c r="G691" s="14"/>
      <c r="H691" s="14"/>
      <c r="I691" s="14"/>
      <c r="J691" s="15"/>
      <c r="M691" s="12"/>
    </row>
    <row r="692" s="11" customFormat="1" customHeight="1" spans="5:13">
      <c r="E692" s="14"/>
      <c r="F692" s="14"/>
      <c r="G692" s="14"/>
      <c r="H692" s="14"/>
      <c r="I692" s="14"/>
      <c r="J692" s="15"/>
      <c r="M692" s="12"/>
    </row>
    <row r="693" s="11" customFormat="1" customHeight="1" spans="5:13">
      <c r="E693" s="14"/>
      <c r="F693" s="14"/>
      <c r="G693" s="14"/>
      <c r="H693" s="14"/>
      <c r="I693" s="14"/>
      <c r="J693" s="15"/>
      <c r="M693" s="12"/>
    </row>
    <row r="694" s="11" customFormat="1" customHeight="1" spans="5:13">
      <c r="E694" s="14"/>
      <c r="F694" s="14"/>
      <c r="G694" s="14"/>
      <c r="H694" s="14"/>
      <c r="I694" s="14"/>
      <c r="J694" s="15"/>
      <c r="M694" s="12"/>
    </row>
    <row r="695" s="11" customFormat="1" customHeight="1" spans="5:13">
      <c r="E695" s="14"/>
      <c r="F695" s="14"/>
      <c r="G695" s="14"/>
      <c r="H695" s="14"/>
      <c r="I695" s="14"/>
      <c r="J695" s="15"/>
      <c r="M695" s="12"/>
    </row>
    <row r="696" s="11" customFormat="1" customHeight="1" spans="5:13">
      <c r="E696" s="14"/>
      <c r="F696" s="14"/>
      <c r="G696" s="14"/>
      <c r="H696" s="14"/>
      <c r="I696" s="14"/>
      <c r="J696" s="15"/>
      <c r="M696" s="12"/>
    </row>
    <row r="697" s="11" customFormat="1" customHeight="1" spans="5:13">
      <c r="E697" s="14"/>
      <c r="F697" s="14"/>
      <c r="G697" s="14"/>
      <c r="H697" s="14"/>
      <c r="I697" s="14"/>
      <c r="J697" s="15"/>
      <c r="M697" s="12"/>
    </row>
    <row r="698" s="11" customFormat="1" customHeight="1" spans="5:13">
      <c r="E698" s="14"/>
      <c r="F698" s="14"/>
      <c r="G698" s="14"/>
      <c r="H698" s="14"/>
      <c r="I698" s="14"/>
      <c r="J698" s="15"/>
      <c r="M698" s="12"/>
    </row>
    <row r="699" s="11" customFormat="1" customHeight="1" spans="5:13">
      <c r="E699" s="14"/>
      <c r="F699" s="14"/>
      <c r="G699" s="14"/>
      <c r="H699" s="14"/>
      <c r="I699" s="14"/>
      <c r="J699" s="15"/>
      <c r="M699" s="12"/>
    </row>
    <row r="700" s="11" customFormat="1" customHeight="1" spans="5:13">
      <c r="E700" s="14"/>
      <c r="F700" s="14"/>
      <c r="G700" s="14"/>
      <c r="H700" s="14"/>
      <c r="I700" s="14"/>
      <c r="J700" s="15"/>
      <c r="M700" s="12"/>
    </row>
    <row r="701" s="11" customFormat="1" customHeight="1" spans="5:13">
      <c r="E701" s="14"/>
      <c r="F701" s="14"/>
      <c r="G701" s="14"/>
      <c r="H701" s="14"/>
      <c r="I701" s="14"/>
      <c r="J701" s="15"/>
      <c r="M701" s="12"/>
    </row>
    <row r="702" s="11" customFormat="1" customHeight="1" spans="5:13">
      <c r="E702" s="14"/>
      <c r="F702" s="14"/>
      <c r="G702" s="14"/>
      <c r="H702" s="14"/>
      <c r="I702" s="14"/>
      <c r="J702" s="15"/>
      <c r="M702" s="12"/>
    </row>
    <row r="703" s="11" customFormat="1" customHeight="1" spans="5:13">
      <c r="E703" s="14"/>
      <c r="F703" s="14"/>
      <c r="G703" s="14"/>
      <c r="H703" s="14"/>
      <c r="I703" s="14"/>
      <c r="J703" s="15"/>
      <c r="M703" s="12"/>
    </row>
    <row r="704" s="11" customFormat="1" customHeight="1" spans="5:13">
      <c r="E704" s="14"/>
      <c r="F704" s="14"/>
      <c r="G704" s="14"/>
      <c r="H704" s="14"/>
      <c r="I704" s="14"/>
      <c r="J704" s="15"/>
      <c r="M704" s="12"/>
    </row>
    <row r="705" s="11" customFormat="1" customHeight="1" spans="5:13">
      <c r="E705" s="14"/>
      <c r="F705" s="14"/>
      <c r="G705" s="14"/>
      <c r="H705" s="14"/>
      <c r="I705" s="14"/>
      <c r="J705" s="15"/>
      <c r="M705" s="12"/>
    </row>
    <row r="706" s="11" customFormat="1" customHeight="1" spans="5:13">
      <c r="E706" s="14"/>
      <c r="F706" s="14"/>
      <c r="G706" s="14"/>
      <c r="H706" s="14"/>
      <c r="I706" s="14"/>
      <c r="J706" s="15"/>
      <c r="M706" s="12"/>
    </row>
    <row r="707" s="11" customFormat="1" customHeight="1" spans="5:13">
      <c r="E707" s="14"/>
      <c r="F707" s="14"/>
      <c r="G707" s="14"/>
      <c r="H707" s="14"/>
      <c r="I707" s="14"/>
      <c r="J707" s="15"/>
      <c r="M707" s="12"/>
    </row>
    <row r="708" s="11" customFormat="1" customHeight="1" spans="5:13">
      <c r="E708" s="14"/>
      <c r="F708" s="14"/>
      <c r="G708" s="14"/>
      <c r="H708" s="14"/>
      <c r="I708" s="14"/>
      <c r="J708" s="15"/>
      <c r="M708" s="12"/>
    </row>
    <row r="709" s="11" customFormat="1" customHeight="1" spans="5:13">
      <c r="E709" s="14"/>
      <c r="F709" s="14"/>
      <c r="G709" s="14"/>
      <c r="H709" s="14"/>
      <c r="I709" s="14"/>
      <c r="J709" s="15"/>
      <c r="M709" s="12"/>
    </row>
    <row r="710" s="11" customFormat="1" customHeight="1" spans="5:13">
      <c r="E710" s="14"/>
      <c r="F710" s="14"/>
      <c r="G710" s="14"/>
      <c r="H710" s="14"/>
      <c r="I710" s="14"/>
      <c r="J710" s="15"/>
      <c r="M710" s="12"/>
    </row>
    <row r="711" s="11" customFormat="1" customHeight="1" spans="5:13">
      <c r="E711" s="14"/>
      <c r="F711" s="14"/>
      <c r="G711" s="14"/>
      <c r="H711" s="14"/>
      <c r="I711" s="14"/>
      <c r="J711" s="15"/>
      <c r="M711" s="12"/>
    </row>
    <row r="712" s="11" customFormat="1" customHeight="1" spans="5:13">
      <c r="E712" s="14"/>
      <c r="F712" s="14"/>
      <c r="G712" s="14"/>
      <c r="H712" s="14"/>
      <c r="I712" s="14"/>
      <c r="J712" s="15"/>
      <c r="M712" s="12"/>
    </row>
    <row r="713" s="11" customFormat="1" customHeight="1" spans="5:13">
      <c r="E713" s="14"/>
      <c r="F713" s="14"/>
      <c r="G713" s="14"/>
      <c r="H713" s="14"/>
      <c r="I713" s="14"/>
      <c r="J713" s="15"/>
      <c r="M713" s="12"/>
    </row>
    <row r="714" s="11" customFormat="1" customHeight="1" spans="5:13">
      <c r="E714" s="14"/>
      <c r="F714" s="14"/>
      <c r="G714" s="14"/>
      <c r="H714" s="14"/>
      <c r="I714" s="14"/>
      <c r="J714" s="15"/>
      <c r="M714" s="12"/>
    </row>
    <row r="715" s="11" customFormat="1" customHeight="1" spans="5:13">
      <c r="E715" s="14"/>
      <c r="F715" s="14"/>
      <c r="G715" s="14"/>
      <c r="H715" s="14"/>
      <c r="I715" s="14"/>
      <c r="J715" s="15"/>
      <c r="M715" s="12"/>
    </row>
    <row r="716" s="11" customFormat="1" customHeight="1" spans="5:13">
      <c r="E716" s="14"/>
      <c r="F716" s="14"/>
      <c r="G716" s="14"/>
      <c r="H716" s="14"/>
      <c r="I716" s="14"/>
      <c r="J716" s="15"/>
      <c r="M716" s="12"/>
    </row>
    <row r="717" s="11" customFormat="1" customHeight="1" spans="5:13">
      <c r="E717" s="14"/>
      <c r="F717" s="14"/>
      <c r="G717" s="14"/>
      <c r="H717" s="14"/>
      <c r="I717" s="14"/>
      <c r="J717" s="15"/>
      <c r="M717" s="12"/>
    </row>
    <row r="718" s="11" customFormat="1" customHeight="1" spans="5:13">
      <c r="E718" s="14"/>
      <c r="F718" s="14"/>
      <c r="G718" s="14"/>
      <c r="H718" s="14"/>
      <c r="I718" s="14"/>
      <c r="J718" s="15"/>
      <c r="M718" s="12"/>
    </row>
    <row r="719" s="11" customFormat="1" customHeight="1" spans="5:13">
      <c r="E719" s="14"/>
      <c r="F719" s="14"/>
      <c r="G719" s="14"/>
      <c r="H719" s="14"/>
      <c r="I719" s="14"/>
      <c r="J719" s="15"/>
      <c r="M719" s="12"/>
    </row>
    <row r="720" s="11" customFormat="1" customHeight="1" spans="5:13">
      <c r="E720" s="14"/>
      <c r="F720" s="14"/>
      <c r="G720" s="14"/>
      <c r="H720" s="14"/>
      <c r="I720" s="14"/>
      <c r="J720" s="15"/>
      <c r="M720" s="12"/>
    </row>
    <row r="721" s="11" customFormat="1" customHeight="1" spans="5:13">
      <c r="E721" s="14"/>
      <c r="F721" s="14"/>
      <c r="G721" s="14"/>
      <c r="H721" s="14"/>
      <c r="I721" s="14"/>
      <c r="J721" s="15"/>
      <c r="M721" s="12"/>
    </row>
    <row r="722" s="11" customFormat="1" customHeight="1" spans="5:13">
      <c r="E722" s="14"/>
      <c r="F722" s="14"/>
      <c r="G722" s="14"/>
      <c r="H722" s="14"/>
      <c r="I722" s="14"/>
      <c r="J722" s="15"/>
      <c r="M722" s="12"/>
    </row>
    <row r="723" s="11" customFormat="1" customHeight="1" spans="5:13">
      <c r="E723" s="14"/>
      <c r="F723" s="14"/>
      <c r="G723" s="14"/>
      <c r="H723" s="14"/>
      <c r="I723" s="14"/>
      <c r="J723" s="15"/>
      <c r="M723" s="12"/>
    </row>
    <row r="724" s="11" customFormat="1" customHeight="1" spans="5:13">
      <c r="E724" s="14"/>
      <c r="F724" s="14"/>
      <c r="G724" s="14"/>
      <c r="H724" s="14"/>
      <c r="I724" s="14"/>
      <c r="J724" s="15"/>
      <c r="M724" s="12"/>
    </row>
    <row r="725" s="11" customFormat="1" customHeight="1" spans="5:13">
      <c r="E725" s="14"/>
      <c r="F725" s="14"/>
      <c r="G725" s="14"/>
      <c r="H725" s="14"/>
      <c r="I725" s="14"/>
      <c r="J725" s="15"/>
      <c r="M725" s="12"/>
    </row>
    <row r="726" s="11" customFormat="1" customHeight="1" spans="5:13">
      <c r="E726" s="14"/>
      <c r="F726" s="14"/>
      <c r="G726" s="14"/>
      <c r="H726" s="14"/>
      <c r="I726" s="14"/>
      <c r="J726" s="15"/>
      <c r="M726" s="12"/>
    </row>
    <row r="727" s="11" customFormat="1" customHeight="1" spans="5:13">
      <c r="E727" s="14"/>
      <c r="F727" s="14"/>
      <c r="G727" s="14"/>
      <c r="H727" s="14"/>
      <c r="I727" s="14"/>
      <c r="J727" s="15"/>
      <c r="M727" s="12"/>
    </row>
    <row r="728" s="11" customFormat="1" customHeight="1" spans="5:13">
      <c r="E728" s="14"/>
      <c r="F728" s="14"/>
      <c r="G728" s="14"/>
      <c r="H728" s="14"/>
      <c r="I728" s="14"/>
      <c r="J728" s="15"/>
      <c r="M728" s="12"/>
    </row>
    <row r="729" s="11" customFormat="1" customHeight="1" spans="5:13">
      <c r="E729" s="14"/>
      <c r="F729" s="14"/>
      <c r="G729" s="14"/>
      <c r="H729" s="14"/>
      <c r="I729" s="14"/>
      <c r="J729" s="15"/>
      <c r="M729" s="12"/>
    </row>
    <row r="730" s="11" customFormat="1" customHeight="1" spans="5:13">
      <c r="E730" s="14"/>
      <c r="F730" s="14"/>
      <c r="G730" s="14"/>
      <c r="H730" s="14"/>
      <c r="I730" s="14"/>
      <c r="J730" s="15"/>
      <c r="M730" s="12"/>
    </row>
    <row r="731" s="11" customFormat="1" customHeight="1" spans="5:13">
      <c r="E731" s="14"/>
      <c r="F731" s="14"/>
      <c r="G731" s="14"/>
      <c r="H731" s="14"/>
      <c r="I731" s="14"/>
      <c r="J731" s="15"/>
      <c r="M731" s="12"/>
    </row>
    <row r="732" s="11" customFormat="1" customHeight="1" spans="5:13">
      <c r="E732" s="14"/>
      <c r="F732" s="14"/>
      <c r="G732" s="14"/>
      <c r="H732" s="14"/>
      <c r="I732" s="14"/>
      <c r="J732" s="15"/>
      <c r="M732" s="12"/>
    </row>
    <row r="733" s="11" customFormat="1" customHeight="1" spans="5:13">
      <c r="E733" s="14"/>
      <c r="F733" s="14"/>
      <c r="G733" s="14"/>
      <c r="H733" s="14"/>
      <c r="I733" s="14"/>
      <c r="J733" s="15"/>
      <c r="M733" s="12"/>
    </row>
    <row r="734" s="11" customFormat="1" customHeight="1" spans="5:13">
      <c r="E734" s="14"/>
      <c r="F734" s="14"/>
      <c r="G734" s="14"/>
      <c r="H734" s="14"/>
      <c r="I734" s="14"/>
      <c r="J734" s="15"/>
      <c r="M734" s="12"/>
    </row>
    <row r="735" s="11" customFormat="1" customHeight="1" spans="5:13">
      <c r="E735" s="14"/>
      <c r="F735" s="14"/>
      <c r="G735" s="14"/>
      <c r="H735" s="14"/>
      <c r="I735" s="14"/>
      <c r="J735" s="15"/>
      <c r="M735" s="12"/>
    </row>
    <row r="736" s="11" customFormat="1" customHeight="1" spans="5:13">
      <c r="E736" s="14"/>
      <c r="F736" s="14"/>
      <c r="G736" s="14"/>
      <c r="H736" s="14"/>
      <c r="I736" s="14"/>
      <c r="J736" s="15"/>
      <c r="M736" s="12"/>
    </row>
    <row r="737" s="11" customFormat="1" customHeight="1" spans="5:13">
      <c r="E737" s="14"/>
      <c r="F737" s="14"/>
      <c r="G737" s="14"/>
      <c r="H737" s="14"/>
      <c r="I737" s="14"/>
      <c r="J737" s="15"/>
      <c r="M737" s="12"/>
    </row>
    <row r="738" s="11" customFormat="1" customHeight="1" spans="5:13">
      <c r="E738" s="14"/>
      <c r="F738" s="14"/>
      <c r="G738" s="14"/>
      <c r="H738" s="14"/>
      <c r="I738" s="14"/>
      <c r="J738" s="15"/>
      <c r="M738" s="12"/>
    </row>
    <row r="739" s="11" customFormat="1" customHeight="1" spans="5:13">
      <c r="E739" s="14"/>
      <c r="F739" s="14"/>
      <c r="G739" s="14"/>
      <c r="H739" s="14"/>
      <c r="I739" s="14"/>
      <c r="J739" s="15"/>
      <c r="M739" s="12"/>
    </row>
    <row r="740" s="11" customFormat="1" customHeight="1" spans="5:13">
      <c r="E740" s="14"/>
      <c r="F740" s="14"/>
      <c r="G740" s="14"/>
      <c r="H740" s="14"/>
      <c r="I740" s="14"/>
      <c r="J740" s="15"/>
      <c r="M740" s="12"/>
    </row>
    <row r="741" s="11" customFormat="1" customHeight="1" spans="5:13">
      <c r="E741" s="14"/>
      <c r="F741" s="14"/>
      <c r="G741" s="14"/>
      <c r="H741" s="14"/>
      <c r="I741" s="14"/>
      <c r="J741" s="15"/>
      <c r="M741" s="12"/>
    </row>
    <row r="742" s="11" customFormat="1" customHeight="1" spans="5:13">
      <c r="E742" s="14"/>
      <c r="F742" s="14"/>
      <c r="G742" s="14"/>
      <c r="H742" s="14"/>
      <c r="I742" s="14"/>
      <c r="J742" s="15"/>
      <c r="M742" s="12"/>
    </row>
    <row r="743" s="11" customFormat="1" customHeight="1" spans="5:13">
      <c r="E743" s="14"/>
      <c r="F743" s="14"/>
      <c r="G743" s="14"/>
      <c r="H743" s="14"/>
      <c r="I743" s="14"/>
      <c r="J743" s="15"/>
      <c r="M743" s="12"/>
    </row>
    <row r="744" s="11" customFormat="1" customHeight="1" spans="5:13">
      <c r="E744" s="14"/>
      <c r="F744" s="14"/>
      <c r="G744" s="14"/>
      <c r="H744" s="14"/>
      <c r="I744" s="14"/>
      <c r="J744" s="15"/>
      <c r="M744" s="12"/>
    </row>
    <row r="745" s="11" customFormat="1" customHeight="1" spans="5:13">
      <c r="E745" s="14"/>
      <c r="F745" s="14"/>
      <c r="G745" s="14"/>
      <c r="H745" s="14"/>
      <c r="I745" s="14"/>
      <c r="J745" s="15"/>
      <c r="M745" s="12"/>
    </row>
    <row r="746" s="11" customFormat="1" customHeight="1" spans="5:13">
      <c r="E746" s="14"/>
      <c r="F746" s="14"/>
      <c r="G746" s="14"/>
      <c r="H746" s="14"/>
      <c r="I746" s="14"/>
      <c r="J746" s="15"/>
      <c r="M746" s="12"/>
    </row>
    <row r="747" s="11" customFormat="1" customHeight="1" spans="5:13">
      <c r="E747" s="14"/>
      <c r="F747" s="14"/>
      <c r="G747" s="14"/>
      <c r="H747" s="14"/>
      <c r="I747" s="14"/>
      <c r="J747" s="15"/>
      <c r="M747" s="12"/>
    </row>
    <row r="748" s="11" customFormat="1" customHeight="1" spans="5:13">
      <c r="E748" s="14"/>
      <c r="F748" s="14"/>
      <c r="G748" s="14"/>
      <c r="H748" s="14"/>
      <c r="I748" s="14"/>
      <c r="J748" s="15"/>
      <c r="M748" s="12"/>
    </row>
    <row r="749" s="11" customFormat="1" customHeight="1" spans="5:13">
      <c r="E749" s="14"/>
      <c r="F749" s="14"/>
      <c r="G749" s="14"/>
      <c r="H749" s="14"/>
      <c r="I749" s="14"/>
      <c r="J749" s="15"/>
      <c r="M749" s="12"/>
    </row>
    <row r="750" s="11" customFormat="1" customHeight="1" spans="5:13">
      <c r="E750" s="14"/>
      <c r="F750" s="14"/>
      <c r="G750" s="14"/>
      <c r="H750" s="14"/>
      <c r="I750" s="14"/>
      <c r="J750" s="15"/>
      <c r="M750" s="12"/>
    </row>
    <row r="751" s="11" customFormat="1" customHeight="1" spans="5:13">
      <c r="E751" s="14"/>
      <c r="F751" s="14"/>
      <c r="G751" s="14"/>
      <c r="H751" s="14"/>
      <c r="I751" s="14"/>
      <c r="J751" s="15"/>
      <c r="M751" s="12"/>
    </row>
    <row r="752" s="11" customFormat="1" customHeight="1" spans="5:13">
      <c r="E752" s="14"/>
      <c r="F752" s="14"/>
      <c r="G752" s="14"/>
      <c r="H752" s="14"/>
      <c r="I752" s="14"/>
      <c r="J752" s="15"/>
      <c r="M752" s="12"/>
    </row>
    <row r="753" s="11" customFormat="1" customHeight="1" spans="5:13">
      <c r="E753" s="14"/>
      <c r="F753" s="14"/>
      <c r="G753" s="14"/>
      <c r="H753" s="14"/>
      <c r="I753" s="14"/>
      <c r="J753" s="15"/>
      <c r="M753" s="12"/>
    </row>
    <row r="754" s="11" customFormat="1" customHeight="1" spans="5:13">
      <c r="E754" s="14"/>
      <c r="F754" s="14"/>
      <c r="G754" s="14"/>
      <c r="H754" s="14"/>
      <c r="I754" s="14"/>
      <c r="J754" s="15"/>
      <c r="M754" s="12"/>
    </row>
    <row r="755" s="11" customFormat="1" customHeight="1" spans="5:13">
      <c r="E755" s="14"/>
      <c r="F755" s="14"/>
      <c r="G755" s="14"/>
      <c r="H755" s="14"/>
      <c r="I755" s="14"/>
      <c r="J755" s="15"/>
      <c r="M755" s="12"/>
    </row>
    <row r="756" s="11" customFormat="1" customHeight="1" spans="5:13">
      <c r="E756" s="14"/>
      <c r="F756" s="14"/>
      <c r="G756" s="14"/>
      <c r="H756" s="14"/>
      <c r="I756" s="14"/>
      <c r="J756" s="15"/>
      <c r="M756" s="12"/>
    </row>
    <row r="757" s="11" customFormat="1" customHeight="1" spans="5:13">
      <c r="E757" s="14"/>
      <c r="F757" s="14"/>
      <c r="G757" s="14"/>
      <c r="H757" s="14"/>
      <c r="I757" s="14"/>
      <c r="J757" s="15"/>
      <c r="M757" s="12"/>
    </row>
    <row r="758" s="11" customFormat="1" customHeight="1" spans="5:13">
      <c r="E758" s="14"/>
      <c r="F758" s="14"/>
      <c r="G758" s="14"/>
      <c r="H758" s="14"/>
      <c r="I758" s="14"/>
      <c r="J758" s="15"/>
      <c r="M758" s="12"/>
    </row>
    <row r="759" s="11" customFormat="1" customHeight="1" spans="5:13">
      <c r="E759" s="14"/>
      <c r="F759" s="14"/>
      <c r="G759" s="14"/>
      <c r="H759" s="14"/>
      <c r="I759" s="14"/>
      <c r="J759" s="15"/>
      <c r="M759" s="12"/>
    </row>
    <row r="760" s="11" customFormat="1" customHeight="1" spans="5:13">
      <c r="E760" s="14"/>
      <c r="F760" s="14"/>
      <c r="G760" s="14"/>
      <c r="H760" s="14"/>
      <c r="I760" s="14"/>
      <c r="J760" s="15"/>
      <c r="M760" s="12"/>
    </row>
    <row r="761" s="11" customFormat="1" customHeight="1" spans="5:13">
      <c r="E761" s="14"/>
      <c r="F761" s="14"/>
      <c r="G761" s="14"/>
      <c r="H761" s="14"/>
      <c r="I761" s="14"/>
      <c r="J761" s="15"/>
      <c r="M761" s="12"/>
    </row>
    <row r="762" s="11" customFormat="1" customHeight="1" spans="5:13">
      <c r="E762" s="14"/>
      <c r="F762" s="14"/>
      <c r="G762" s="14"/>
      <c r="H762" s="14"/>
      <c r="I762" s="14"/>
      <c r="J762" s="15"/>
      <c r="M762" s="12"/>
    </row>
    <row r="763" s="11" customFormat="1" customHeight="1" spans="5:13">
      <c r="E763" s="14"/>
      <c r="F763" s="14"/>
      <c r="G763" s="14"/>
      <c r="H763" s="14"/>
      <c r="I763" s="14"/>
      <c r="J763" s="15"/>
      <c r="M763" s="12"/>
    </row>
    <row r="764" s="11" customFormat="1" customHeight="1" spans="5:13">
      <c r="E764" s="14"/>
      <c r="F764" s="14"/>
      <c r="G764" s="14"/>
      <c r="H764" s="14"/>
      <c r="I764" s="14"/>
      <c r="J764" s="15"/>
      <c r="M764" s="12"/>
    </row>
    <row r="765" s="11" customFormat="1" customHeight="1" spans="5:13">
      <c r="E765" s="14"/>
      <c r="F765" s="14"/>
      <c r="G765" s="14"/>
      <c r="H765" s="14"/>
      <c r="I765" s="14"/>
      <c r="J765" s="15"/>
      <c r="M765" s="12"/>
    </row>
    <row r="766" s="11" customFormat="1" customHeight="1" spans="5:13">
      <c r="E766" s="14"/>
      <c r="F766" s="14"/>
      <c r="G766" s="14"/>
      <c r="H766" s="14"/>
      <c r="I766" s="14"/>
      <c r="J766" s="15"/>
      <c r="M766" s="12"/>
    </row>
    <row r="767" s="11" customFormat="1" customHeight="1" spans="5:13">
      <c r="E767" s="14"/>
      <c r="F767" s="14"/>
      <c r="G767" s="14"/>
      <c r="H767" s="14"/>
      <c r="I767" s="14"/>
      <c r="J767" s="15"/>
      <c r="M767" s="12"/>
    </row>
    <row r="768" s="11" customFormat="1" customHeight="1" spans="5:13">
      <c r="E768" s="14"/>
      <c r="F768" s="14"/>
      <c r="G768" s="14"/>
      <c r="H768" s="14"/>
      <c r="I768" s="14"/>
      <c r="J768" s="15"/>
      <c r="M768" s="12"/>
    </row>
    <row r="769" s="11" customFormat="1" customHeight="1" spans="5:13">
      <c r="E769" s="14"/>
      <c r="F769" s="14"/>
      <c r="G769" s="14"/>
      <c r="H769" s="14"/>
      <c r="I769" s="14"/>
      <c r="J769" s="15"/>
      <c r="M769" s="12"/>
    </row>
    <row r="770" s="11" customFormat="1" customHeight="1" spans="5:13">
      <c r="E770" s="14"/>
      <c r="F770" s="14"/>
      <c r="G770" s="14"/>
      <c r="H770" s="14"/>
      <c r="I770" s="14"/>
      <c r="J770" s="15"/>
      <c r="M770" s="12"/>
    </row>
    <row r="771" s="11" customFormat="1" customHeight="1" spans="5:13">
      <c r="E771" s="14"/>
      <c r="F771" s="14"/>
      <c r="G771" s="14"/>
      <c r="H771" s="14"/>
      <c r="I771" s="14"/>
      <c r="J771" s="15"/>
      <c r="M771" s="12"/>
    </row>
    <row r="772" s="11" customFormat="1" customHeight="1" spans="5:13">
      <c r="E772" s="14"/>
      <c r="F772" s="14"/>
      <c r="G772" s="14"/>
      <c r="H772" s="14"/>
      <c r="I772" s="14"/>
      <c r="J772" s="15"/>
      <c r="M772" s="12"/>
    </row>
    <row r="773" s="11" customFormat="1" customHeight="1" spans="5:13">
      <c r="E773" s="14"/>
      <c r="F773" s="14"/>
      <c r="G773" s="14"/>
      <c r="H773" s="14"/>
      <c r="I773" s="14"/>
      <c r="J773" s="15"/>
      <c r="M773" s="12"/>
    </row>
    <row r="774" s="11" customFormat="1" customHeight="1" spans="5:13">
      <c r="E774" s="14"/>
      <c r="F774" s="14"/>
      <c r="G774" s="14"/>
      <c r="H774" s="14"/>
      <c r="I774" s="14"/>
      <c r="J774" s="15"/>
      <c r="M774" s="12"/>
    </row>
    <row r="775" s="11" customFormat="1" customHeight="1" spans="5:13">
      <c r="E775" s="14"/>
      <c r="F775" s="14"/>
      <c r="G775" s="14"/>
      <c r="H775" s="14"/>
      <c r="I775" s="14"/>
      <c r="J775" s="15"/>
      <c r="M775" s="12"/>
    </row>
    <row r="776" s="11" customFormat="1" customHeight="1" spans="5:13">
      <c r="E776" s="14"/>
      <c r="F776" s="14"/>
      <c r="G776" s="14"/>
      <c r="H776" s="14"/>
      <c r="I776" s="14"/>
      <c r="J776" s="15"/>
      <c r="M776" s="12"/>
    </row>
    <row r="777" s="11" customFormat="1" customHeight="1" spans="5:13">
      <c r="E777" s="14"/>
      <c r="F777" s="14"/>
      <c r="G777" s="14"/>
      <c r="H777" s="14"/>
      <c r="I777" s="14"/>
      <c r="J777" s="15"/>
      <c r="M777" s="12"/>
    </row>
    <row r="778" s="11" customFormat="1" customHeight="1" spans="5:13">
      <c r="E778" s="14"/>
      <c r="F778" s="14"/>
      <c r="G778" s="14"/>
      <c r="H778" s="14"/>
      <c r="I778" s="14"/>
      <c r="J778" s="15"/>
      <c r="M778" s="12"/>
    </row>
    <row r="779" s="11" customFormat="1" customHeight="1" spans="5:13">
      <c r="E779" s="14"/>
      <c r="F779" s="14"/>
      <c r="G779" s="14"/>
      <c r="H779" s="14"/>
      <c r="I779" s="14"/>
      <c r="J779" s="15"/>
      <c r="M779" s="12"/>
    </row>
    <row r="780" s="11" customFormat="1" customHeight="1" spans="5:13">
      <c r="E780" s="14"/>
      <c r="F780" s="14"/>
      <c r="G780" s="14"/>
      <c r="H780" s="14"/>
      <c r="I780" s="14"/>
      <c r="J780" s="15"/>
      <c r="M780" s="12"/>
    </row>
    <row r="781" s="11" customFormat="1" customHeight="1" spans="5:13">
      <c r="E781" s="14"/>
      <c r="F781" s="14"/>
      <c r="G781" s="14"/>
      <c r="H781" s="14"/>
      <c r="I781" s="14"/>
      <c r="J781" s="15"/>
      <c r="M781" s="12"/>
    </row>
    <row r="782" s="11" customFormat="1" customHeight="1" spans="5:13">
      <c r="E782" s="14"/>
      <c r="F782" s="14"/>
      <c r="G782" s="14"/>
      <c r="H782" s="14"/>
      <c r="I782" s="14"/>
      <c r="J782" s="15"/>
      <c r="M782" s="12"/>
    </row>
    <row r="783" s="11" customFormat="1" customHeight="1" spans="5:13">
      <c r="E783" s="14"/>
      <c r="F783" s="14"/>
      <c r="G783" s="14"/>
      <c r="H783" s="14"/>
      <c r="I783" s="14"/>
      <c r="J783" s="15"/>
      <c r="M783" s="12"/>
    </row>
    <row r="784" s="11" customFormat="1" customHeight="1" spans="5:13">
      <c r="E784" s="14"/>
      <c r="F784" s="14"/>
      <c r="G784" s="14"/>
      <c r="H784" s="14"/>
      <c r="I784" s="14"/>
      <c r="J784" s="15"/>
      <c r="M784" s="12"/>
    </row>
    <row r="785" s="11" customFormat="1" customHeight="1" spans="5:13">
      <c r="E785" s="14"/>
      <c r="F785" s="14"/>
      <c r="G785" s="14"/>
      <c r="H785" s="14"/>
      <c r="I785" s="14"/>
      <c r="J785" s="15"/>
      <c r="M785" s="12"/>
    </row>
    <row r="786" s="11" customFormat="1" customHeight="1" spans="5:13">
      <c r="E786" s="14"/>
      <c r="F786" s="14"/>
      <c r="G786" s="14"/>
      <c r="H786" s="14"/>
      <c r="I786" s="14"/>
      <c r="J786" s="15"/>
      <c r="M786" s="12"/>
    </row>
    <row r="787" s="11" customFormat="1" customHeight="1" spans="5:13">
      <c r="E787" s="14"/>
      <c r="F787" s="14"/>
      <c r="G787" s="14"/>
      <c r="H787" s="14"/>
      <c r="I787" s="14"/>
      <c r="J787" s="15"/>
      <c r="M787" s="12"/>
    </row>
    <row r="788" s="11" customFormat="1" customHeight="1" spans="5:13">
      <c r="E788" s="14"/>
      <c r="F788" s="14"/>
      <c r="G788" s="14"/>
      <c r="H788" s="14"/>
      <c r="I788" s="14"/>
      <c r="J788" s="15"/>
      <c r="M788" s="12"/>
    </row>
    <row r="789" s="11" customFormat="1" customHeight="1" spans="5:13">
      <c r="E789" s="14"/>
      <c r="F789" s="14"/>
      <c r="G789" s="14"/>
      <c r="H789" s="14"/>
      <c r="I789" s="14"/>
      <c r="J789" s="15"/>
      <c r="M789" s="12"/>
    </row>
    <row r="790" s="11" customFormat="1" customHeight="1" spans="5:13">
      <c r="E790" s="14"/>
      <c r="F790" s="14"/>
      <c r="G790" s="14"/>
      <c r="H790" s="14"/>
      <c r="I790" s="14"/>
      <c r="J790" s="15"/>
      <c r="M790" s="12"/>
    </row>
    <row r="791" s="11" customFormat="1" customHeight="1" spans="5:13">
      <c r="E791" s="14"/>
      <c r="F791" s="14"/>
      <c r="G791" s="14"/>
      <c r="H791" s="14"/>
      <c r="I791" s="14"/>
      <c r="J791" s="15"/>
      <c r="M791" s="12"/>
    </row>
    <row r="792" s="11" customFormat="1" customHeight="1" spans="5:13">
      <c r="E792" s="14"/>
      <c r="F792" s="14"/>
      <c r="G792" s="14"/>
      <c r="H792" s="14"/>
      <c r="I792" s="14"/>
      <c r="J792" s="15"/>
      <c r="M792" s="12"/>
    </row>
    <row r="793" s="11" customFormat="1" customHeight="1" spans="5:13">
      <c r="E793" s="14"/>
      <c r="F793" s="14"/>
      <c r="G793" s="14"/>
      <c r="H793" s="14"/>
      <c r="I793" s="14"/>
      <c r="J793" s="15"/>
      <c r="M793" s="12"/>
    </row>
    <row r="794" s="11" customFormat="1" customHeight="1" spans="5:13">
      <c r="E794" s="14"/>
      <c r="F794" s="14"/>
      <c r="G794" s="14"/>
      <c r="H794" s="14"/>
      <c r="I794" s="14"/>
      <c r="J794" s="15"/>
      <c r="M794" s="12"/>
    </row>
    <row r="795" s="11" customFormat="1" customHeight="1" spans="5:13">
      <c r="E795" s="14"/>
      <c r="F795" s="14"/>
      <c r="G795" s="14"/>
      <c r="H795" s="14"/>
      <c r="I795" s="14"/>
      <c r="J795" s="15"/>
      <c r="M795" s="12"/>
    </row>
    <row r="796" s="11" customFormat="1" customHeight="1" spans="5:13">
      <c r="E796" s="14"/>
      <c r="F796" s="14"/>
      <c r="G796" s="14"/>
      <c r="H796" s="14"/>
      <c r="I796" s="14"/>
      <c r="J796" s="15"/>
      <c r="M796" s="12"/>
    </row>
    <row r="797" s="11" customFormat="1" customHeight="1" spans="5:13">
      <c r="E797" s="14"/>
      <c r="F797" s="14"/>
      <c r="G797" s="14"/>
      <c r="H797" s="14"/>
      <c r="I797" s="14"/>
      <c r="J797" s="15"/>
      <c r="M797" s="12"/>
    </row>
    <row r="798" s="11" customFormat="1" customHeight="1" spans="5:13">
      <c r="E798" s="14"/>
      <c r="F798" s="14"/>
      <c r="G798" s="14"/>
      <c r="H798" s="14"/>
      <c r="I798" s="14"/>
      <c r="J798" s="15"/>
      <c r="M798" s="12"/>
    </row>
    <row r="799" s="11" customFormat="1" customHeight="1" spans="5:13">
      <c r="E799" s="14"/>
      <c r="F799" s="14"/>
      <c r="G799" s="14"/>
      <c r="H799" s="14"/>
      <c r="I799" s="14"/>
      <c r="J799" s="15"/>
      <c r="M799" s="12"/>
    </row>
    <row r="800" s="11" customFormat="1" customHeight="1" spans="5:13">
      <c r="E800" s="14"/>
      <c r="F800" s="14"/>
      <c r="G800" s="14"/>
      <c r="H800" s="14"/>
      <c r="I800" s="14"/>
      <c r="J800" s="15"/>
      <c r="M800" s="12"/>
    </row>
    <row r="801" s="11" customFormat="1" customHeight="1" spans="5:13">
      <c r="E801" s="14"/>
      <c r="F801" s="14"/>
      <c r="G801" s="14"/>
      <c r="H801" s="14"/>
      <c r="I801" s="14"/>
      <c r="J801" s="15"/>
      <c r="M801" s="12"/>
    </row>
    <row r="802" s="11" customFormat="1" customHeight="1" spans="5:13">
      <c r="E802" s="14"/>
      <c r="F802" s="14"/>
      <c r="G802" s="14"/>
      <c r="H802" s="14"/>
      <c r="I802" s="14"/>
      <c r="J802" s="15"/>
      <c r="M802" s="12"/>
    </row>
    <row r="803" s="11" customFormat="1" customHeight="1" spans="5:13">
      <c r="E803" s="14"/>
      <c r="F803" s="14"/>
      <c r="G803" s="14"/>
      <c r="H803" s="14"/>
      <c r="I803" s="14"/>
      <c r="J803" s="15"/>
      <c r="M803" s="12"/>
    </row>
    <row r="804" s="11" customFormat="1" customHeight="1" spans="5:13">
      <c r="E804" s="14"/>
      <c r="F804" s="14"/>
      <c r="G804" s="14"/>
      <c r="H804" s="14"/>
      <c r="I804" s="14"/>
      <c r="J804" s="15"/>
      <c r="M804" s="12"/>
    </row>
    <row r="805" s="11" customFormat="1" customHeight="1" spans="5:13">
      <c r="E805" s="14"/>
      <c r="F805" s="14"/>
      <c r="G805" s="14"/>
      <c r="H805" s="14"/>
      <c r="I805" s="14"/>
      <c r="J805" s="15"/>
      <c r="M805" s="12"/>
    </row>
    <row r="806" s="11" customFormat="1" customHeight="1" spans="5:13">
      <c r="E806" s="14"/>
      <c r="F806" s="14"/>
      <c r="G806" s="14"/>
      <c r="H806" s="14"/>
      <c r="I806" s="14"/>
      <c r="J806" s="15"/>
      <c r="M806" s="12"/>
    </row>
    <row r="807" s="11" customFormat="1" customHeight="1" spans="5:13">
      <c r="E807" s="14"/>
      <c r="F807" s="14"/>
      <c r="G807" s="14"/>
      <c r="H807" s="14"/>
      <c r="I807" s="14"/>
      <c r="J807" s="15"/>
      <c r="M807" s="12"/>
    </row>
    <row r="808" s="11" customFormat="1" customHeight="1" spans="5:13">
      <c r="E808" s="14"/>
      <c r="F808" s="14"/>
      <c r="G808" s="14"/>
      <c r="H808" s="14"/>
      <c r="I808" s="14"/>
      <c r="J808" s="15"/>
      <c r="M808" s="12"/>
    </row>
    <row r="809" s="11" customFormat="1" customHeight="1" spans="5:13">
      <c r="E809" s="14"/>
      <c r="F809" s="14"/>
      <c r="G809" s="14"/>
      <c r="H809" s="14"/>
      <c r="I809" s="14"/>
      <c r="J809" s="15"/>
      <c r="M809" s="12"/>
    </row>
    <row r="810" s="11" customFormat="1" customHeight="1" spans="5:13">
      <c r="E810" s="14"/>
      <c r="F810" s="14"/>
      <c r="G810" s="14"/>
      <c r="H810" s="14"/>
      <c r="I810" s="14"/>
      <c r="J810" s="15"/>
      <c r="M810" s="12"/>
    </row>
    <row r="811" s="11" customFormat="1" customHeight="1" spans="5:13">
      <c r="E811" s="14"/>
      <c r="F811" s="14"/>
      <c r="G811" s="14"/>
      <c r="H811" s="14"/>
      <c r="I811" s="14"/>
      <c r="J811" s="15"/>
      <c r="M811" s="12"/>
    </row>
    <row r="812" s="11" customFormat="1" customHeight="1" spans="5:13">
      <c r="E812" s="14"/>
      <c r="F812" s="14"/>
      <c r="G812" s="14"/>
      <c r="H812" s="14"/>
      <c r="I812" s="14"/>
      <c r="J812" s="15"/>
      <c r="M812" s="12"/>
    </row>
    <row r="813" s="11" customFormat="1" customHeight="1" spans="5:13">
      <c r="E813" s="14"/>
      <c r="F813" s="14"/>
      <c r="G813" s="14"/>
      <c r="H813" s="14"/>
      <c r="I813" s="14"/>
      <c r="J813" s="15"/>
      <c r="M813" s="12"/>
    </row>
    <row r="814" s="11" customFormat="1" customHeight="1" spans="5:13">
      <c r="E814" s="14"/>
      <c r="F814" s="14"/>
      <c r="G814" s="14"/>
      <c r="H814" s="14"/>
      <c r="I814" s="14"/>
      <c r="J814" s="15"/>
      <c r="M814" s="12"/>
    </row>
    <row r="815" s="11" customFormat="1" customHeight="1" spans="5:13">
      <c r="E815" s="14"/>
      <c r="F815" s="14"/>
      <c r="G815" s="14"/>
      <c r="H815" s="14"/>
      <c r="I815" s="14"/>
      <c r="J815" s="15"/>
      <c r="M815" s="12"/>
    </row>
    <row r="816" s="11" customFormat="1" customHeight="1" spans="5:13">
      <c r="E816" s="14"/>
      <c r="F816" s="14"/>
      <c r="G816" s="14"/>
      <c r="H816" s="14"/>
      <c r="I816" s="14"/>
      <c r="J816" s="15"/>
      <c r="M816" s="12"/>
    </row>
    <row r="817" s="11" customFormat="1" customHeight="1" spans="5:13">
      <c r="E817" s="14"/>
      <c r="F817" s="14"/>
      <c r="G817" s="14"/>
      <c r="H817" s="14"/>
      <c r="I817" s="14"/>
      <c r="J817" s="15"/>
      <c r="M817" s="12"/>
    </row>
    <row r="818" s="11" customFormat="1" customHeight="1" spans="5:13">
      <c r="E818" s="14"/>
      <c r="F818" s="14"/>
      <c r="G818" s="14"/>
      <c r="H818" s="14"/>
      <c r="I818" s="14"/>
      <c r="J818" s="15"/>
      <c r="M818" s="12"/>
    </row>
    <row r="819" s="11" customFormat="1" customHeight="1" spans="5:13">
      <c r="E819" s="14"/>
      <c r="F819" s="14"/>
      <c r="G819" s="14"/>
      <c r="H819" s="14"/>
      <c r="I819" s="14"/>
      <c r="J819" s="15"/>
      <c r="M819" s="12"/>
    </row>
    <row r="820" s="11" customFormat="1" customHeight="1" spans="5:13">
      <c r="E820" s="14"/>
      <c r="F820" s="14"/>
      <c r="G820" s="14"/>
      <c r="H820" s="14"/>
      <c r="I820" s="14"/>
      <c r="J820" s="15"/>
      <c r="M820" s="12"/>
    </row>
    <row r="821" s="11" customFormat="1" customHeight="1" spans="5:13">
      <c r="E821" s="14"/>
      <c r="F821" s="14"/>
      <c r="G821" s="14"/>
      <c r="H821" s="14"/>
      <c r="I821" s="14"/>
      <c r="J821" s="15"/>
      <c r="M821" s="12"/>
    </row>
    <row r="822" s="11" customFormat="1" customHeight="1" spans="5:13">
      <c r="E822" s="14"/>
      <c r="F822" s="14"/>
      <c r="G822" s="14"/>
      <c r="H822" s="14"/>
      <c r="I822" s="14"/>
      <c r="J822" s="15"/>
      <c r="M822" s="12"/>
    </row>
    <row r="823" s="11" customFormat="1" customHeight="1" spans="5:13">
      <c r="E823" s="14"/>
      <c r="F823" s="14"/>
      <c r="G823" s="14"/>
      <c r="H823" s="14"/>
      <c r="I823" s="14"/>
      <c r="J823" s="15"/>
      <c r="M823" s="12"/>
    </row>
    <row r="824" s="11" customFormat="1" customHeight="1" spans="5:13">
      <c r="E824" s="14"/>
      <c r="F824" s="14"/>
      <c r="G824" s="14"/>
      <c r="H824" s="14"/>
      <c r="I824" s="14"/>
      <c r="J824" s="15"/>
      <c r="M824" s="12"/>
    </row>
    <row r="825" s="11" customFormat="1" customHeight="1" spans="5:13">
      <c r="E825" s="14"/>
      <c r="F825" s="14"/>
      <c r="G825" s="14"/>
      <c r="H825" s="14"/>
      <c r="I825" s="14"/>
      <c r="J825" s="15"/>
      <c r="M825" s="12"/>
    </row>
    <row r="826" s="11" customFormat="1" customHeight="1" spans="5:13">
      <c r="E826" s="14"/>
      <c r="F826" s="14"/>
      <c r="G826" s="14"/>
      <c r="H826" s="14"/>
      <c r="I826" s="14"/>
      <c r="J826" s="15"/>
      <c r="M826" s="12"/>
    </row>
    <row r="827" s="11" customFormat="1" customHeight="1" spans="5:13">
      <c r="E827" s="14"/>
      <c r="F827" s="14"/>
      <c r="G827" s="14"/>
      <c r="H827" s="14"/>
      <c r="I827" s="14"/>
      <c r="J827" s="15"/>
      <c r="M827" s="12"/>
    </row>
    <row r="828" s="11" customFormat="1" customHeight="1" spans="5:13">
      <c r="E828" s="14"/>
      <c r="F828" s="14"/>
      <c r="G828" s="14"/>
      <c r="H828" s="14"/>
      <c r="I828" s="14"/>
      <c r="J828" s="15"/>
      <c r="M828" s="12"/>
    </row>
    <row r="829" s="11" customFormat="1" customHeight="1" spans="5:13">
      <c r="E829" s="14"/>
      <c r="F829" s="14"/>
      <c r="G829" s="14"/>
      <c r="H829" s="14"/>
      <c r="I829" s="14"/>
      <c r="J829" s="15"/>
      <c r="M829" s="12"/>
    </row>
    <row r="830" s="11" customFormat="1" customHeight="1" spans="5:13">
      <c r="E830" s="14"/>
      <c r="F830" s="14"/>
      <c r="G830" s="14"/>
      <c r="H830" s="14"/>
      <c r="I830" s="14"/>
      <c r="J830" s="15"/>
      <c r="M830" s="12"/>
    </row>
    <row r="831" s="11" customFormat="1" customHeight="1" spans="5:13">
      <c r="E831" s="14"/>
      <c r="F831" s="14"/>
      <c r="G831" s="14"/>
      <c r="H831" s="14"/>
      <c r="I831" s="14"/>
      <c r="J831" s="15"/>
      <c r="M831" s="12"/>
    </row>
    <row r="832" s="11" customFormat="1" customHeight="1" spans="5:13">
      <c r="E832" s="14"/>
      <c r="F832" s="14"/>
      <c r="G832" s="14"/>
      <c r="H832" s="14"/>
      <c r="I832" s="14"/>
      <c r="J832" s="15"/>
      <c r="M832" s="12"/>
    </row>
    <row r="833" s="11" customFormat="1" customHeight="1" spans="5:13">
      <c r="E833" s="14"/>
      <c r="F833" s="14"/>
      <c r="G833" s="14"/>
      <c r="H833" s="14"/>
      <c r="I833" s="14"/>
      <c r="J833" s="15"/>
      <c r="M833" s="12"/>
    </row>
    <row r="834" s="11" customFormat="1" customHeight="1" spans="5:13">
      <c r="E834" s="14"/>
      <c r="F834" s="14"/>
      <c r="G834" s="14"/>
      <c r="H834" s="14"/>
      <c r="I834" s="14"/>
      <c r="J834" s="15"/>
      <c r="M834" s="12"/>
    </row>
    <row r="835" s="11" customFormat="1" customHeight="1" spans="5:13">
      <c r="E835" s="14"/>
      <c r="F835" s="14"/>
      <c r="G835" s="14"/>
      <c r="H835" s="14"/>
      <c r="I835" s="14"/>
      <c r="J835" s="15"/>
      <c r="M835" s="12"/>
    </row>
    <row r="836" s="11" customFormat="1" customHeight="1" spans="5:13">
      <c r="E836" s="14"/>
      <c r="F836" s="14"/>
      <c r="G836" s="14"/>
      <c r="H836" s="14"/>
      <c r="I836" s="14"/>
      <c r="J836" s="15"/>
      <c r="M836" s="12"/>
    </row>
    <row r="837" s="11" customFormat="1" customHeight="1" spans="5:13">
      <c r="E837" s="14"/>
      <c r="F837" s="14"/>
      <c r="G837" s="14"/>
      <c r="H837" s="14"/>
      <c r="I837" s="14"/>
      <c r="J837" s="15"/>
      <c r="M837" s="12"/>
    </row>
    <row r="838" s="11" customFormat="1" customHeight="1" spans="5:13">
      <c r="E838" s="14"/>
      <c r="F838" s="14"/>
      <c r="G838" s="14"/>
      <c r="H838" s="14"/>
      <c r="I838" s="14"/>
      <c r="J838" s="15"/>
      <c r="M838" s="12"/>
    </row>
    <row r="839" s="11" customFormat="1" customHeight="1" spans="5:13">
      <c r="E839" s="14"/>
      <c r="F839" s="14"/>
      <c r="G839" s="14"/>
      <c r="H839" s="14"/>
      <c r="I839" s="14"/>
      <c r="J839" s="15"/>
      <c r="M839" s="12"/>
    </row>
    <row r="840" s="11" customFormat="1" customHeight="1" spans="5:13">
      <c r="E840" s="14"/>
      <c r="F840" s="14"/>
      <c r="G840" s="14"/>
      <c r="H840" s="14"/>
      <c r="I840" s="14"/>
      <c r="J840" s="15"/>
      <c r="M840" s="12"/>
    </row>
    <row r="841" s="11" customFormat="1" customHeight="1" spans="5:13">
      <c r="E841" s="14"/>
      <c r="F841" s="14"/>
      <c r="G841" s="14"/>
      <c r="H841" s="14"/>
      <c r="I841" s="14"/>
      <c r="J841" s="15"/>
      <c r="M841" s="12"/>
    </row>
    <row r="842" s="11" customFormat="1" customHeight="1" spans="5:13">
      <c r="E842" s="14"/>
      <c r="F842" s="14"/>
      <c r="G842" s="14"/>
      <c r="H842" s="14"/>
      <c r="I842" s="14"/>
      <c r="J842" s="15"/>
      <c r="M842" s="12"/>
    </row>
    <row r="843" s="11" customFormat="1" customHeight="1" spans="5:13">
      <c r="E843" s="14"/>
      <c r="F843" s="14"/>
      <c r="G843" s="14"/>
      <c r="H843" s="14"/>
      <c r="I843" s="14"/>
      <c r="J843" s="15"/>
      <c r="M843" s="12"/>
    </row>
    <row r="844" s="11" customFormat="1" customHeight="1" spans="5:13">
      <c r="E844" s="14"/>
      <c r="F844" s="14"/>
      <c r="G844" s="14"/>
      <c r="H844" s="14"/>
      <c r="I844" s="14"/>
      <c r="J844" s="15"/>
      <c r="M844" s="12"/>
    </row>
    <row r="845" s="11" customFormat="1" customHeight="1" spans="5:13">
      <c r="E845" s="14"/>
      <c r="F845" s="14"/>
      <c r="G845" s="14"/>
      <c r="H845" s="14"/>
      <c r="I845" s="14"/>
      <c r="J845" s="15"/>
      <c r="M845" s="12"/>
    </row>
    <row r="846" s="11" customFormat="1" customHeight="1" spans="5:13">
      <c r="E846" s="14"/>
      <c r="F846" s="14"/>
      <c r="G846" s="14"/>
      <c r="H846" s="14"/>
      <c r="I846" s="14"/>
      <c r="J846" s="15"/>
      <c r="M846" s="12"/>
    </row>
    <row r="847" s="11" customFormat="1" customHeight="1" spans="5:13">
      <c r="E847" s="14"/>
      <c r="F847" s="14"/>
      <c r="G847" s="14"/>
      <c r="H847" s="14"/>
      <c r="I847" s="14"/>
      <c r="J847" s="15"/>
      <c r="M847" s="12"/>
    </row>
    <row r="848" s="11" customFormat="1" customHeight="1" spans="5:13">
      <c r="E848" s="14"/>
      <c r="F848" s="14"/>
      <c r="G848" s="14"/>
      <c r="H848" s="14"/>
      <c r="I848" s="14"/>
      <c r="J848" s="15"/>
      <c r="M848" s="12"/>
    </row>
    <row r="849" s="11" customFormat="1" customHeight="1" spans="5:13">
      <c r="E849" s="14"/>
      <c r="F849" s="14"/>
      <c r="G849" s="14"/>
      <c r="H849" s="14"/>
      <c r="I849" s="14"/>
      <c r="J849" s="15"/>
      <c r="M849" s="12"/>
    </row>
    <row r="850" s="11" customFormat="1" customHeight="1" spans="5:13">
      <c r="E850" s="14"/>
      <c r="F850" s="14"/>
      <c r="G850" s="14"/>
      <c r="H850" s="14"/>
      <c r="I850" s="14"/>
      <c r="J850" s="15"/>
      <c r="M850" s="12"/>
    </row>
    <row r="851" s="11" customFormat="1" customHeight="1" spans="5:13">
      <c r="E851" s="14"/>
      <c r="F851" s="14"/>
      <c r="G851" s="14"/>
      <c r="H851" s="14"/>
      <c r="I851" s="14"/>
      <c r="J851" s="15"/>
      <c r="M851" s="12"/>
    </row>
    <row r="852" s="11" customFormat="1" customHeight="1" spans="5:13">
      <c r="E852" s="14"/>
      <c r="F852" s="14"/>
      <c r="G852" s="14"/>
      <c r="H852" s="14"/>
      <c r="I852" s="14"/>
      <c r="J852" s="15"/>
      <c r="M852" s="12"/>
    </row>
    <row r="853" s="11" customFormat="1" customHeight="1" spans="5:13">
      <c r="E853" s="14"/>
      <c r="F853" s="14"/>
      <c r="G853" s="14"/>
      <c r="H853" s="14"/>
      <c r="I853" s="14"/>
      <c r="J853" s="15"/>
      <c r="M853" s="12"/>
    </row>
    <row r="854" s="11" customFormat="1" customHeight="1" spans="5:13">
      <c r="E854" s="14"/>
      <c r="F854" s="14"/>
      <c r="G854" s="14"/>
      <c r="H854" s="14"/>
      <c r="I854" s="14"/>
      <c r="J854" s="15"/>
      <c r="M854" s="12"/>
    </row>
    <row r="855" s="11" customFormat="1" customHeight="1" spans="5:13">
      <c r="E855" s="14"/>
      <c r="F855" s="14"/>
      <c r="G855" s="14"/>
      <c r="H855" s="14"/>
      <c r="I855" s="14"/>
      <c r="J855" s="15"/>
      <c r="M855" s="12"/>
    </row>
    <row r="856" s="11" customFormat="1" customHeight="1" spans="5:13">
      <c r="E856" s="14"/>
      <c r="F856" s="14"/>
      <c r="G856" s="14"/>
      <c r="H856" s="14"/>
      <c r="I856" s="14"/>
      <c r="J856" s="15"/>
      <c r="M856" s="12"/>
    </row>
    <row r="857" s="11" customFormat="1" customHeight="1" spans="5:13">
      <c r="E857" s="14"/>
      <c r="F857" s="14"/>
      <c r="G857" s="14"/>
      <c r="H857" s="14"/>
      <c r="I857" s="14"/>
      <c r="J857" s="15"/>
      <c r="M857" s="12"/>
    </row>
    <row r="858" s="11" customFormat="1" customHeight="1" spans="5:13">
      <c r="E858" s="14"/>
      <c r="F858" s="14"/>
      <c r="G858" s="14"/>
      <c r="H858" s="14"/>
      <c r="I858" s="14"/>
      <c r="J858" s="15"/>
      <c r="M858" s="12"/>
    </row>
    <row r="859" s="11" customFormat="1" customHeight="1" spans="5:13">
      <c r="E859" s="14"/>
      <c r="F859" s="14"/>
      <c r="G859" s="14"/>
      <c r="H859" s="14"/>
      <c r="I859" s="14"/>
      <c r="J859" s="15"/>
      <c r="M859" s="12"/>
    </row>
    <row r="860" s="11" customFormat="1" customHeight="1" spans="5:13">
      <c r="E860" s="14"/>
      <c r="F860" s="14"/>
      <c r="G860" s="14"/>
      <c r="H860" s="14"/>
      <c r="I860" s="14"/>
      <c r="J860" s="15"/>
      <c r="M860" s="12"/>
    </row>
    <row r="861" s="11" customFormat="1" customHeight="1" spans="5:13">
      <c r="E861" s="14"/>
      <c r="F861" s="14"/>
      <c r="G861" s="14"/>
      <c r="H861" s="14"/>
      <c r="I861" s="14"/>
      <c r="J861" s="15"/>
      <c r="M861" s="12"/>
    </row>
    <row r="862" s="11" customFormat="1" customHeight="1" spans="5:13">
      <c r="E862" s="14"/>
      <c r="F862" s="14"/>
      <c r="G862" s="14"/>
      <c r="H862" s="14"/>
      <c r="I862" s="14"/>
      <c r="J862" s="15"/>
      <c r="M862" s="12"/>
    </row>
    <row r="863" s="11" customFormat="1" customHeight="1" spans="5:13">
      <c r="E863" s="14"/>
      <c r="F863" s="14"/>
      <c r="G863" s="14"/>
      <c r="H863" s="14"/>
      <c r="I863" s="14"/>
      <c r="J863" s="15"/>
      <c r="M863" s="12"/>
    </row>
    <row r="864" s="11" customFormat="1" customHeight="1" spans="5:13">
      <c r="E864" s="14"/>
      <c r="F864" s="14"/>
      <c r="G864" s="14"/>
      <c r="H864" s="14"/>
      <c r="I864" s="14"/>
      <c r="J864" s="15"/>
      <c r="M864" s="12"/>
    </row>
    <row r="865" s="11" customFormat="1" customHeight="1" spans="5:13">
      <c r="E865" s="14"/>
      <c r="F865" s="14"/>
      <c r="G865" s="14"/>
      <c r="H865" s="14"/>
      <c r="I865" s="14"/>
      <c r="J865" s="15"/>
      <c r="M865" s="12"/>
    </row>
    <row r="866" s="11" customFormat="1" customHeight="1" spans="5:13">
      <c r="E866" s="14"/>
      <c r="F866" s="14"/>
      <c r="G866" s="14"/>
      <c r="H866" s="14"/>
      <c r="I866" s="14"/>
      <c r="J866" s="15"/>
      <c r="M866" s="12"/>
    </row>
  </sheetData>
  <sheetProtection formatCells="0" formatColumns="0" formatRows="0" insertRows="0" insertColumns="0" insertHyperlinks="0" deleteColumns="0" deleteRows="0" sort="0" autoFilter="0" pivotTables="0"/>
  <mergeCells count="23">
    <mergeCell ref="A60:I60"/>
    <mergeCell ref="B42:B45"/>
    <mergeCell ref="B47:B49"/>
    <mergeCell ref="B62:B65"/>
    <mergeCell ref="B67:B69"/>
    <mergeCell ref="C42:C45"/>
    <mergeCell ref="C47:C49"/>
    <mergeCell ref="C62:C65"/>
    <mergeCell ref="C67:C69"/>
    <mergeCell ref="E42:E45"/>
    <mergeCell ref="E47:E49"/>
    <mergeCell ref="E62:E65"/>
    <mergeCell ref="E67:E69"/>
    <mergeCell ref="G42:G45"/>
    <mergeCell ref="G47:G49"/>
    <mergeCell ref="G62:G65"/>
    <mergeCell ref="G67:G69"/>
    <mergeCell ref="M26:M28"/>
    <mergeCell ref="M30:M32"/>
    <mergeCell ref="O26:O28"/>
    <mergeCell ref="O30:O32"/>
    <mergeCell ref="P26:P28"/>
    <mergeCell ref="P30:P32"/>
  </mergeCells>
  <pageMargins left="0.75" right="0.75" top="1" bottom="1" header="0.5" footer="0.5"/>
  <pageSetup paperSize="9" orientation="portrait"/>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0"/>
  <sheetViews>
    <sheetView workbookViewId="0">
      <selection activeCell="H7" sqref="H7"/>
    </sheetView>
  </sheetViews>
  <sheetFormatPr defaultColWidth="9" defaultRowHeight="14.25"/>
  <cols>
    <col min="1" max="1" width="17.25" customWidth="1"/>
    <col min="2" max="2" width="16.5" customWidth="1"/>
    <col min="3" max="3" width="12.75" customWidth="1"/>
    <col min="7" max="7" width="23.5" customWidth="1"/>
    <col min="8" max="8" width="31.125" customWidth="1"/>
  </cols>
  <sheetData>
    <row r="1" s="1" customFormat="1" ht="25" customHeight="1" spans="1:14">
      <c r="A1" s="2"/>
      <c r="B1" s="3"/>
      <c r="C1" s="3"/>
      <c r="D1" s="3" t="s">
        <v>4</v>
      </c>
      <c r="E1" s="4" t="s">
        <v>542</v>
      </c>
      <c r="F1" s="3" t="e">
        <f>SUM(总接单!#REF!)/3</f>
        <v>#REF!</v>
      </c>
      <c r="G1" s="3"/>
      <c r="H1" s="3" t="e">
        <f>SUM(总接单!#REF!)/3</f>
        <v>#REF!</v>
      </c>
      <c r="I1" s="3" t="e">
        <f t="shared" ref="I1:I9" si="0">F1-H1</f>
        <v>#REF!</v>
      </c>
      <c r="J1" s="3">
        <v>2.06</v>
      </c>
      <c r="K1" s="3" t="e">
        <f t="shared" ref="K1:K9" si="1">J1*F1</f>
        <v>#REF!</v>
      </c>
      <c r="L1" s="3" t="e">
        <f t="shared" ref="L1:L9" si="2">K1*7.75</f>
        <v>#REF!</v>
      </c>
      <c r="M1" s="3" t="e">
        <f t="shared" ref="M1:M9" si="3">I1*J1</f>
        <v>#REF!</v>
      </c>
      <c r="N1" s="3" t="e">
        <f t="shared" ref="N1:N9" si="4">M1*7.75</f>
        <v>#REF!</v>
      </c>
    </row>
    <row r="2" s="1" customFormat="1" ht="25" customHeight="1" spans="1:14">
      <c r="A2" s="2"/>
      <c r="B2" s="3"/>
      <c r="C2" s="3"/>
      <c r="D2" s="3" t="s">
        <v>4</v>
      </c>
      <c r="E2" s="4" t="s">
        <v>543</v>
      </c>
      <c r="F2" s="3" t="e">
        <f>SUM(总接单!#REF!)/3</f>
        <v>#REF!</v>
      </c>
      <c r="G2" s="3"/>
      <c r="H2" s="3" t="e">
        <f>SUM(总接单!#REF!)/3</f>
        <v>#REF!</v>
      </c>
      <c r="I2" s="3" t="e">
        <f t="shared" si="0"/>
        <v>#REF!</v>
      </c>
      <c r="J2" s="3">
        <v>2.06</v>
      </c>
      <c r="K2" s="3" t="e">
        <f t="shared" si="1"/>
        <v>#REF!</v>
      </c>
      <c r="L2" s="3" t="e">
        <f t="shared" si="2"/>
        <v>#REF!</v>
      </c>
      <c r="M2" s="3" t="e">
        <f t="shared" si="3"/>
        <v>#REF!</v>
      </c>
      <c r="N2" s="3" t="e">
        <f t="shared" si="4"/>
        <v>#REF!</v>
      </c>
    </row>
    <row r="3" s="1" customFormat="1" ht="25" customHeight="1" spans="1:14">
      <c r="A3" s="2"/>
      <c r="B3" s="3"/>
      <c r="C3" s="3"/>
      <c r="D3" s="3" t="s">
        <v>4</v>
      </c>
      <c r="E3" s="4" t="s">
        <v>544</v>
      </c>
      <c r="F3" s="3" t="e">
        <f>SUM(总接单!#REF!)/3</f>
        <v>#REF!</v>
      </c>
      <c r="G3" s="3"/>
      <c r="H3" s="3" t="e">
        <f>SUM(总接单!#REF!)/3</f>
        <v>#REF!</v>
      </c>
      <c r="I3" s="3" t="e">
        <f t="shared" si="0"/>
        <v>#REF!</v>
      </c>
      <c r="J3" s="3">
        <v>2.06</v>
      </c>
      <c r="K3" s="3" t="e">
        <f t="shared" si="1"/>
        <v>#REF!</v>
      </c>
      <c r="L3" s="3" t="e">
        <f t="shared" si="2"/>
        <v>#REF!</v>
      </c>
      <c r="M3" s="3" t="e">
        <f t="shared" si="3"/>
        <v>#REF!</v>
      </c>
      <c r="N3" s="3" t="e">
        <f t="shared" si="4"/>
        <v>#REF!</v>
      </c>
    </row>
    <row r="4" s="1" customFormat="1" ht="25" customHeight="1" spans="1:14">
      <c r="A4" s="2"/>
      <c r="B4" s="3"/>
      <c r="C4" s="3"/>
      <c r="D4" s="3" t="s">
        <v>4</v>
      </c>
      <c r="E4" s="4" t="s">
        <v>542</v>
      </c>
      <c r="F4" s="3" t="e">
        <f>SUM(总接单!#REF!)/3</f>
        <v>#REF!</v>
      </c>
      <c r="G4" s="3"/>
      <c r="H4" s="3" t="e">
        <f>SUM(总接单!#REF!)/3</f>
        <v>#REF!</v>
      </c>
      <c r="I4" s="3" t="e">
        <f t="shared" si="0"/>
        <v>#REF!</v>
      </c>
      <c r="J4" s="3">
        <v>2.1</v>
      </c>
      <c r="K4" s="3" t="e">
        <f t="shared" si="1"/>
        <v>#REF!</v>
      </c>
      <c r="L4" s="3" t="e">
        <f t="shared" si="2"/>
        <v>#REF!</v>
      </c>
      <c r="M4" s="3" t="e">
        <f t="shared" si="3"/>
        <v>#REF!</v>
      </c>
      <c r="N4" s="3" t="e">
        <f t="shared" si="4"/>
        <v>#REF!</v>
      </c>
    </row>
    <row r="5" s="1" customFormat="1" ht="25" customHeight="1" spans="1:14">
      <c r="A5" s="2"/>
      <c r="B5" s="3"/>
      <c r="C5" s="3"/>
      <c r="D5" s="3" t="s">
        <v>4</v>
      </c>
      <c r="E5" s="4" t="s">
        <v>543</v>
      </c>
      <c r="F5" s="3" t="e">
        <f>SUM(总接单!#REF!)/3</f>
        <v>#REF!</v>
      </c>
      <c r="G5" s="3"/>
      <c r="H5" s="3" t="e">
        <f>SUM(总接单!#REF!)/3</f>
        <v>#REF!</v>
      </c>
      <c r="I5" s="3" t="e">
        <f t="shared" si="0"/>
        <v>#REF!</v>
      </c>
      <c r="J5" s="3">
        <v>2.1</v>
      </c>
      <c r="K5" s="3" t="e">
        <f t="shared" si="1"/>
        <v>#REF!</v>
      </c>
      <c r="L5" s="3" t="e">
        <f t="shared" si="2"/>
        <v>#REF!</v>
      </c>
      <c r="M5" s="3" t="e">
        <f t="shared" si="3"/>
        <v>#REF!</v>
      </c>
      <c r="N5" s="3" t="e">
        <f t="shared" si="4"/>
        <v>#REF!</v>
      </c>
    </row>
    <row r="6" s="1" customFormat="1" ht="25" customHeight="1" spans="1:14">
      <c r="A6" s="2"/>
      <c r="B6" s="3"/>
      <c r="C6" s="3"/>
      <c r="D6" s="3" t="s">
        <v>4</v>
      </c>
      <c r="E6" s="4" t="s">
        <v>544</v>
      </c>
      <c r="F6" s="3" t="e">
        <f>SUM(总接单!#REF!)/3</f>
        <v>#REF!</v>
      </c>
      <c r="G6" s="3"/>
      <c r="H6" s="3" t="e">
        <f>SUM(总接单!#REF!)/3</f>
        <v>#REF!</v>
      </c>
      <c r="I6" s="3" t="e">
        <f t="shared" si="0"/>
        <v>#REF!</v>
      </c>
      <c r="J6" s="3">
        <v>2.1</v>
      </c>
      <c r="K6" s="3" t="e">
        <f t="shared" si="1"/>
        <v>#REF!</v>
      </c>
      <c r="L6" s="3" t="e">
        <f t="shared" si="2"/>
        <v>#REF!</v>
      </c>
      <c r="M6" s="3" t="e">
        <f t="shared" si="3"/>
        <v>#REF!</v>
      </c>
      <c r="N6" s="3" t="e">
        <f t="shared" si="4"/>
        <v>#REF!</v>
      </c>
    </row>
    <row r="7" s="1" customFormat="1" ht="25" customHeight="1" spans="1:14">
      <c r="A7" s="2"/>
      <c r="B7" s="3"/>
      <c r="C7" s="3"/>
      <c r="D7" s="3" t="s">
        <v>4</v>
      </c>
      <c r="E7" s="4" t="s">
        <v>542</v>
      </c>
      <c r="F7" s="3">
        <v>0</v>
      </c>
      <c r="G7" s="3"/>
      <c r="H7" s="3" t="e">
        <f>SUM(总接单!#REF!)/3</f>
        <v>#REF!</v>
      </c>
      <c r="I7" s="3" t="e">
        <f t="shared" si="0"/>
        <v>#REF!</v>
      </c>
      <c r="J7" s="3">
        <v>2.1</v>
      </c>
      <c r="K7" s="3">
        <f t="shared" si="1"/>
        <v>0</v>
      </c>
      <c r="L7" s="3">
        <f t="shared" si="2"/>
        <v>0</v>
      </c>
      <c r="M7" s="3" t="e">
        <f t="shared" si="3"/>
        <v>#REF!</v>
      </c>
      <c r="N7" s="3" t="e">
        <f t="shared" si="4"/>
        <v>#REF!</v>
      </c>
    </row>
    <row r="8" s="1" customFormat="1" ht="25" customHeight="1" spans="1:14">
      <c r="A8" s="2"/>
      <c r="B8" s="3"/>
      <c r="C8" s="3"/>
      <c r="D8" s="3" t="s">
        <v>4</v>
      </c>
      <c r="E8" s="4" t="s">
        <v>543</v>
      </c>
      <c r="F8" s="3">
        <v>0</v>
      </c>
      <c r="G8" s="3"/>
      <c r="H8" s="3" t="e">
        <f>SUM(总接单!#REF!)/3</f>
        <v>#REF!</v>
      </c>
      <c r="I8" s="3" t="e">
        <f t="shared" si="0"/>
        <v>#REF!</v>
      </c>
      <c r="J8" s="3">
        <v>2.1</v>
      </c>
      <c r="K8" s="3">
        <f t="shared" si="1"/>
        <v>0</v>
      </c>
      <c r="L8" s="3">
        <f t="shared" si="2"/>
        <v>0</v>
      </c>
      <c r="M8" s="3" t="e">
        <f t="shared" si="3"/>
        <v>#REF!</v>
      </c>
      <c r="N8" s="3" t="e">
        <f t="shared" si="4"/>
        <v>#REF!</v>
      </c>
    </row>
    <row r="9" s="1" customFormat="1" ht="25" customHeight="1" spans="1:14">
      <c r="A9" s="2"/>
      <c r="B9" s="3"/>
      <c r="C9" s="3"/>
      <c r="D9" s="3" t="s">
        <v>4</v>
      </c>
      <c r="E9" s="4" t="s">
        <v>544</v>
      </c>
      <c r="F9" s="3">
        <v>0</v>
      </c>
      <c r="G9" s="3"/>
      <c r="H9" s="3" t="e">
        <f>SUM(总接单!#REF!)/3</f>
        <v>#REF!</v>
      </c>
      <c r="I9" s="3" t="e">
        <f t="shared" si="0"/>
        <v>#REF!</v>
      </c>
      <c r="J9" s="3">
        <v>2.1</v>
      </c>
      <c r="K9" s="3">
        <f t="shared" si="1"/>
        <v>0</v>
      </c>
      <c r="L9" s="3">
        <f t="shared" si="2"/>
        <v>0</v>
      </c>
      <c r="M9" s="3" t="e">
        <f t="shared" si="3"/>
        <v>#REF!</v>
      </c>
      <c r="N9" s="3" t="e">
        <f t="shared" si="4"/>
        <v>#REF!</v>
      </c>
    </row>
    <row r="14" ht="25.5" spans="1:14">
      <c r="A14" s="5" t="s">
        <v>707</v>
      </c>
      <c r="B14" s="5" t="s">
        <v>708</v>
      </c>
      <c r="C14" s="5" t="s">
        <v>709</v>
      </c>
      <c r="D14" s="6" t="s">
        <v>710</v>
      </c>
      <c r="E14" s="6" t="s">
        <v>711</v>
      </c>
      <c r="F14" s="5" t="s">
        <v>712</v>
      </c>
      <c r="G14" s="5" t="s">
        <v>713</v>
      </c>
      <c r="H14" s="5" t="s">
        <v>714</v>
      </c>
      <c r="I14" s="5" t="s">
        <v>715</v>
      </c>
      <c r="J14" s="5" t="s">
        <v>716</v>
      </c>
    </row>
    <row r="15" spans="1:14">
      <c r="A15" s="7">
        <v>4400485440</v>
      </c>
      <c r="B15" s="8">
        <v>45846</v>
      </c>
      <c r="C15" s="8">
        <v>45859</v>
      </c>
      <c r="D15" s="9" t="s">
        <v>717</v>
      </c>
      <c r="E15" s="9" t="s">
        <v>718</v>
      </c>
      <c r="F15" s="9">
        <v>221243</v>
      </c>
      <c r="G15" s="9" t="s">
        <v>6</v>
      </c>
      <c r="H15" s="9" t="s">
        <v>504</v>
      </c>
      <c r="I15" s="9">
        <v>4224</v>
      </c>
      <c r="J15" s="9">
        <v>704</v>
      </c>
    </row>
    <row r="16" spans="1:14">
      <c r="A16" s="7">
        <v>4400485441</v>
      </c>
      <c r="B16" s="8">
        <v>45846</v>
      </c>
      <c r="C16" s="8">
        <v>45859</v>
      </c>
      <c r="D16" s="9" t="s">
        <v>717</v>
      </c>
      <c r="E16" s="9" t="s">
        <v>718</v>
      </c>
      <c r="F16" s="9">
        <v>221243</v>
      </c>
      <c r="G16" s="9" t="s">
        <v>6</v>
      </c>
      <c r="H16" s="9" t="s">
        <v>504</v>
      </c>
      <c r="I16" s="9">
        <v>4224</v>
      </c>
      <c r="J16" s="9">
        <v>704</v>
      </c>
    </row>
    <row r="17" spans="1:10">
      <c r="A17" s="7">
        <v>4400485432</v>
      </c>
      <c r="B17" s="8">
        <v>45839</v>
      </c>
      <c r="C17" s="8">
        <v>45844</v>
      </c>
      <c r="D17" s="9" t="s">
        <v>719</v>
      </c>
      <c r="E17" s="9" t="s">
        <v>718</v>
      </c>
      <c r="F17" s="9">
        <v>221243</v>
      </c>
      <c r="G17" s="9" t="s">
        <v>6</v>
      </c>
      <c r="H17" s="9" t="s">
        <v>504</v>
      </c>
      <c r="I17" s="9">
        <v>2316</v>
      </c>
      <c r="J17" s="9">
        <v>704</v>
      </c>
    </row>
    <row r="18" spans="1:10">
      <c r="A18" s="7">
        <v>4400485433</v>
      </c>
      <c r="B18" s="8">
        <v>45858</v>
      </c>
      <c r="C18" s="8">
        <v>45869</v>
      </c>
      <c r="D18" s="9" t="s">
        <v>717</v>
      </c>
      <c r="E18" s="9" t="s">
        <v>718</v>
      </c>
      <c r="F18" s="9">
        <v>221243</v>
      </c>
      <c r="G18" s="9" t="s">
        <v>6</v>
      </c>
      <c r="H18" s="9" t="s">
        <v>504</v>
      </c>
      <c r="I18" s="9">
        <v>7200</v>
      </c>
      <c r="J18" s="9">
        <v>1200</v>
      </c>
    </row>
    <row r="19" spans="1:10">
      <c r="A19" s="7">
        <v>4400486309</v>
      </c>
      <c r="B19" s="8">
        <v>45833</v>
      </c>
      <c r="C19" s="8">
        <v>45838</v>
      </c>
      <c r="D19" s="9" t="s">
        <v>720</v>
      </c>
      <c r="E19" s="9" t="s">
        <v>718</v>
      </c>
      <c r="F19" s="9">
        <v>221243</v>
      </c>
      <c r="G19" s="9" t="s">
        <v>6</v>
      </c>
      <c r="H19" s="9" t="s">
        <v>504</v>
      </c>
      <c r="I19" s="9">
        <v>2520</v>
      </c>
      <c r="J19" s="9">
        <v>420</v>
      </c>
    </row>
    <row r="20" spans="1:10">
      <c r="A20" s="7">
        <v>4400486310</v>
      </c>
      <c r="B20" s="8">
        <v>45852</v>
      </c>
      <c r="C20" s="8">
        <v>45866</v>
      </c>
      <c r="D20" s="9" t="s">
        <v>720</v>
      </c>
      <c r="E20" s="9" t="s">
        <v>718</v>
      </c>
      <c r="F20" s="9">
        <v>221243</v>
      </c>
      <c r="G20" s="9" t="s">
        <v>6</v>
      </c>
      <c r="H20" s="9" t="s">
        <v>504</v>
      </c>
      <c r="I20" s="10">
        <v>5832</v>
      </c>
      <c r="J20" s="10">
        <v>972</v>
      </c>
    </row>
  </sheetData>
  <sheetProtection formatCells="0" formatColumns="0" formatRows="0" insertRows="0" insertColumns="0" insertHyperlinks="0" deleteColumns="0" deleteRows="0" sort="0" autoFilter="0" pivotTables="0"/>
  <pageMargins left="0.75" right="0.75" top="1" bottom="1" header="0.5" footer="0.5"/>
  <pageSetup paperSize="9" orientation="portrait"/>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allowEditUser xmlns="https://web.wps.cn/et/2018/main" xmlns:s="http://schemas.openxmlformats.org/spreadsheetml/2006/main" hasInvisiblePropRange="0">
  <rangeList sheetStid="47" master="" otherUserPermission="edit"/>
  <rangeList sheetStid="53" master="" otherUserPermission="edit">
    <arrUserId title="Range1" rangeCreator="" othersAccessPermission="visible">
      <userID accessPermission="edit">1475153551</userID>
      <userID accessPermission="edit">1474966847</userID>
      <userID accessPermission="edit">1475426452</userID>
      <userID accessPermission="edit">1475812750</userID>
      <userID accessPermission="edit">1475148402</userID>
      <userID accessPermission="edit">1862877470</userID>
    </arrUserId>
  </rangeList>
  <rangeList sheetStid="41" master="1475153551" otherUserPermission="edit">
    <arrUserId title="Range1" rangeCreator="" othersAccessPermission="visible">
      <userID accessPermission="edit">1475153551</userID>
      <userID accessPermission="edit">1474966847</userID>
      <userID accessPermission="edit">1475148402</userID>
      <userID accessPermission="edit">1475426452</userID>
      <userID accessPermission="edit">1475812750</userID>
      <userID accessPermission="edit">1828109780</userID>
      <userID accessPermission="edit">1862877470</userID>
    </arrUserId>
  </rangeList>
  <rangeList sheetStid="44" master="" otherUserPermission="edit">
    <arrUserId title="Range1" rangeCreator="" othersAccessPermission="visible">
      <userID accessPermission="edit">1475153551</userID>
      <userID accessPermission="edit">1475426452</userID>
      <userID accessPermission="edit">1474966847</userID>
      <userID accessPermission="edit">1475812750</userID>
      <userID accessPermission="edit">1475148402</userID>
    </arrUserId>
  </rangeList>
  <rangeList sheetStid="55" master="" otherUserPermission="visible">
    <arrUserId title="Range1" rangeCreator="" othersAccessPermission="visible">
      <userID accessPermission="edit">1475153551</userID>
      <userID accessPermission="edit">1475148402</userID>
      <userID accessPermission="edit">1474966847</userID>
      <userID accessPermission="edit">1475812750</userID>
      <userID accessPermission="edit">1475426452</userID>
    </arrUserId>
  </rangeList>
  <rangeList sheetStid="61" master="" otherUserPermission="edit"/>
  <rangeList sheetStid="63" master="" otherUserPermission="visible"/>
  <rangeList sheetStid="50" master="" otherUserPermission="visible">
    <arrUserId title="Range1" rangeCreator="" othersAccessPermission="visible">
      <userID accessPermission="edit">1475153551</userID>
      <userID accessPermission="edit">1474966847</userID>
      <userID accessPermission="edit">1475426452</userID>
      <userID accessPermission="edit">1475148402</userID>
      <userID accessPermission="edit">1475812750</userID>
    </arrUserId>
  </rangeList>
  <rangeList sheetStid="45" master="" otherUserPermission="edit">
    <arrUserId title="Range1" rangeCreator="" othersAccessPermission="visible">
      <userID accessPermission="edit">1475153551</userID>
      <userID accessPermission="edit">1475148402</userID>
      <userID accessPermission="edit">1475426452</userID>
      <userID accessPermission="edit">1475812750</userID>
      <userID accessPermission="edit">1474966847</userID>
    </arrUserId>
  </rangeList>
  <rangeList sheetStid="58" master="" otherUserPermission="edit">
    <arrUserId title="Range1" rangeCreator="" othersAccessPermission="visible">
      <userID accessPermission="edit">1475153551</userID>
      <userID accessPermission="edit">1475148402</userID>
      <userID accessPermission="edit">1475426452</userID>
      <userID accessPermission="edit">1474966847</userID>
      <userID accessPermission="edit">1475812750</userID>
    </arrUserId>
  </rangeList>
  <rangeList sheetStid="39" master="" otherUserPermission="edit"/>
  <rangeList sheetStid="51" master="" otherUserPermission="edit"/>
  <rangeList sheetStid="56" master="" otherUserPermission="edit"/>
  <rangeList sheetStid="60" master="" otherUserPermission="edit"/>
  <rangeList sheetStid="49" master="" otherUserPermission="edit"/>
  <rangeList sheetStid="62" master="" otherUserPermission="edit"/>
  <rangeList sheetStid="54" master="" otherUserPermission="edit"/>
</allowEditUser>
</file>

<file path=customXml/item2.xml><?xml version="1.0" encoding="utf-8"?>
<comments xmlns="https://web.wps.cn/et/2018/main" xmlns:s="http://schemas.openxmlformats.org/spreadsheetml/2006/main" xmlns:r="http://schemas.openxmlformats.org/officeDocument/2006/relationships">
  <commentList sheetStid="50">
    <commentChains s:ref="H25" rgbClr="FF0000">
      <unresolved>
        <commentChain chainId="6e9d01c30f36e7418d90279fdc98736658a2353d">
          <item id="62eaedab7fb5a4adc3c2a6673680dd7967951456" isNormal="1">
            <s:text>
              <s:r>
                <s:t xml:space="preserve">从poPO206451
2256pcs里面扣429pcs</s:t>
              </s:r>
            </s:text>
          </item>
        </commentChain>
      </unresolved>
      <resolved/>
    </commentChains>
    <commentChains s:ref="H26" rgbClr="FF0000">
      <unresolved>
        <commentChain chainId="a06b0f832f612543f39928f431b1886027abab57">
          <item id="e407ae6d97093ecfb81d710731676afa82c22fff" isNormal="1">
            <s:text>
              <s:r>
                <s:t xml:space="preserve">从poPO206451
2256pcs里面扣429pcs</s:t>
              </s:r>
            </s:text>
          </item>
        </commentChain>
      </unresolved>
      <resolved/>
    </commentChains>
    <commentChains s:ref="H27" rgbClr="FF0000">
      <unresolved>
        <commentChain chainId="00d125e5b9efae51f674556c2bdcda0f05551e45">
          <item id="fce702fdf6514dee13bb25e811c734b86ffbef81" isNormal="1">
            <s:text>
              <s:r>
                <s:t xml:space="preserve">从poPO206451
2256pcs里面扣429pcs</s:t>
              </s:r>
            </s:text>
          </item>
        </commentChain>
      </unresolved>
      <resolved/>
    </commentChains>
    <commentChains s:ref="H28" rgbClr="FF0000">
      <unresolved>
        <commentChain chainId="3b4280134c3d39cb7c4dbd54e67d0bc7c267fc3d">
          <item id="dd40a84ec59d20d38c9dcb2b29f4ebfd41ee5863" isNormal="1">
            <s:text>
              <s:r>
                <s:t xml:space="preserve">PO206451
2256有1764pcs没扣完
PO208475
有增加360pcs一共720pcs只扣了360pcs
</s:t>
              </s:r>
            </s:text>
          </item>
        </commentChain>
      </unresolved>
      <resolved/>
    </commentChains>
    <commentChains s:ref="H29" rgbClr="FF0000">
      <unresolved>
        <commentChain chainId="f23b870730fa41673076cccb60b764553a819eda">
          <item id="f04acc3c2b2d7b8b364750ed94d137a5df63eb5c" isNormal="1">
            <s:text>
              <s:r>
                <s:t xml:space="preserve">Administrator:
PO206451
2256有1764pcs没扣完
PO208475
有增加360pcs一共720pcs只扣了360pcs
</s:t>
              </s:r>
            </s:text>
          </item>
        </commentChain>
      </unresolved>
      <resolved/>
    </commentChains>
    <commentChains s:ref="H30" rgbClr="FF0000">
      <unresolved>
        <commentChain chainId="3ac74cf16cdd4459f8fb06659fda724b0f52142c">
          <item id="97f0ad0f6058890f96344a5ff4c71514aa029359" isNormal="1">
            <s:text>
              <s:r>
                <s:t xml:space="preserve">Administrator:
PO206451
2256有1764pcs没扣完
PO208475
有增加360pcs一共720pcs只扣了360pcs
</s:t>
              </s:r>
            </s:text>
          </item>
        </commentChain>
      </unresolved>
      <resolved/>
    </commentChains>
    <commentChains s:ref="H31" rgbClr="FF0000">
      <unresolved>
        <commentChain chainId="974d8c38c71c6a850f6c9ad8e1c45c6a4ce8edc0">
          <item id="5df0825a04b9ff5c42f1fbfe541e219583557ea1" isNormal="1">
            <s:text>
              <s:r>
                <s:t xml:space="preserve">Administrator:
扣1680pcs到PO209028</s:t>
              </s:r>
            </s:text>
          </item>
        </commentChain>
      </unresolved>
      <resolved/>
    </commentChains>
    <commentChains s:ref="H32" rgbClr="FF0000">
      <unresolved>
        <commentChain chainId="0f525318a2c8167e723f9f2ee32cf32c0272031e">
          <item id="e01b19c36f66fd21ff35c269c0df3698fa5d3eb6" isNormal="1">
            <s:text>
              <s:r>
                <s:t xml:space="preserve">Administrator:
扣1680pcs到PO209028</s:t>
              </s:r>
            </s:text>
          </item>
        </commentChain>
      </unresolved>
      <resolved/>
    </commentChains>
    <commentChains s:ref="H33" rgbClr="FF0000">
      <unresolved>
        <commentChain chainId="0030856fef1a5a4f3eb014bf434dab9cae92dee9">
          <item id="4d3a8a0efa2727e8c9a49c9b4efb0e205da4c765" isNormal="1">
            <s:text>
              <s:r>
                <s:t xml:space="preserve">Administrator:
扣1680pcs到PO209028</s:t>
              </s:r>
            </s:text>
          </item>
        </commentChain>
      </unresolved>
      <resolved/>
    </commentChains>
    <commentChains s:ref="H34" rgbClr="FF0000">
      <unresolved>
        <commentChain chainId="924fc0e2bbe717b17738a6b9558d47e000bc5dac">
          <item id="24a74ddd9ccf2d1be66c5428ea0f889484af062b" isNormal="1">
            <s:text>
              <s:r>
                <s:t xml:space="preserve">Administrator:
扣1560pcs到PO209028</s:t>
              </s:r>
            </s:text>
          </item>
        </commentChain>
      </unresolved>
      <resolved/>
    </commentChains>
    <commentChains s:ref="H35" rgbClr="FF0000">
      <unresolved>
        <commentChain chainId="427617ae6db7040aa41b6f14fdd5e884802308a8">
          <item id="93a20a4f619d2be041c07aff4da2bfcd7c783152" isNormal="1">
            <s:text>
              <s:r>
                <s:t xml:space="preserve">Administrator:
扣1560pcs到PO209028</s:t>
              </s:r>
            </s:text>
          </item>
        </commentChain>
      </unresolved>
      <resolved/>
    </commentChains>
    <commentChains s:ref="H36" rgbClr="FF0000">
      <unresolved>
        <commentChain chainId="6b1d4db5c3b24c9d008479c789299b9ec9fb9cdf">
          <item id="8e8286547c40c42e4cafb48f0889edaa33667024" isNormal="1">
            <s:text>
              <s:r>
                <s:t xml:space="preserve">Administrator:
扣1560pcs到PO209028</s:t>
              </s:r>
            </s:text>
          </item>
        </commentChain>
      </unresolved>
      <resolved/>
    </commentChains>
    <commentChains s:ref="H43" rgbClr="FF0000">
      <unresolved>
        <commentChain chainId="9035283d574cf8ef2ca917945430bfa0d07ee9ee">
          <item id="6f41283e54cc7026e2b268b068ef43e620e0e0f3" isNormal="1">
            <s:text>
              <s:r>
                <s:t xml:space="preserve">样板30PCS不扣MA
</s:t>
              </s:r>
            </s:text>
          </item>
        </commentChain>
      </unresolved>
      <resolved/>
    </commentChains>
  </commentList>
  <commentList sheetStid="45">
    <commentChains s:ref="J14" rgbClr="FF0000">
      <unresolved>
        <commentChain chainId="5912ee521535d926313dfeb5fb95e019c1fed9e3">
          <item id="43b83fef8cdbecf1d6875d0fc96c81699a9a8a44" isNormal="1">
            <s:text>
              <s:r>
                <s:t xml:space="preserve">扣360pcs到PO208475
扣2160PCS到PO208986
扣2160PCS到PO208987
扣2160PCS到PO208988
扣2160PCS到PO208985
扣1200PCS到PO209062
扣2040PCS到PO208867
扣360PCS到PO209779
扣480PCS到PO209909
扣900PCS到PO209485
扣2160PCS到PO208989
扣600pcs到PO210274
扣180pcs到PO210284
扣144pcs到PO210278
扣1680pcs到PO209028</s:t>
              </s:r>
            </s:text>
          </item>
        </commentChain>
      </unresolved>
      <resolved/>
    </commentChains>
    <commentChains s:ref="J15" rgbClr="FF0000">
      <unresolved>
        <commentChain chainId="2e4007eae442693be73d1684fd53dde9bd21d02d">
          <item id="14e8cc8a5d5a235da69cb9b4e33fb0eb41792358" isNormal="1">
            <s:text>
              <s:r>
                <s:t xml:space="preserve">扣360pcs到PO208475
扣2160PCS到PO208986
扣2160PCS到PO208987
扣2160PCS到PO208988
扣2160PCS到PO208985
扣1200PCS到PO209062
扣2040PCS到PO208867
扣360PCS到PO209779
扣480PCS到PO209909
扣900PCS到PO209485
扣2160PCS到PO208989
扣600pcs到PO210274
扣180pcs到PO210284
扣144pcs到PO210278
扣1680pcs到PO209028</s:t>
              </s:r>
            </s:text>
          </item>
        </commentChain>
      </unresolved>
      <resolved/>
    </commentChains>
    <commentChains s:ref="J16" rgbClr="FF0000">
      <unresolved>
        <commentChain chainId="85412ef014a25649baba1e8830838d9c60e344c1">
          <item id="fb6356f7471d92c91015977b3fbdb1ed46d60383" isNormal="1">
            <s:text>
              <s:r>
                <s:t xml:space="preserve">扣360pcs到PO208475
扣2160PCS到PO208986
扣2160PCS到PO208987
扣2160PCS到PO208988
扣2160PCS到PO208985
扣1200PCS到PO209062
扣2040PCS到PO208867
扣360PCS到PO209779
扣480PCS到PO209909
扣900PCS到PO209485
扣2160PCS到PO208989
扣600pcs到PO210274
扣180pcs到PO210284
扣144pcs到PO210278
扣1680pcs到PO209028</s:t>
              </s:r>
            </s:text>
          </item>
        </commentChain>
      </unresolved>
      <resolved/>
    </commentChains>
    <commentChains s:ref="J17" rgbClr="FF0000">
      <unresolved>
        <commentChain chainId="d26728d4091d45943753ff999845a1b160d0d007">
          <item id="48995157a7a394e8deee495eedd63693738e7b23" isNormal="1">
            <s:text>
              <s:r>
                <s:t xml:space="preserve">Administrator:
扣1560pcs到PO209028
</s:t>
              </s:r>
            </s:text>
          </item>
        </commentChain>
      </unresolved>
      <resolved/>
    </commentChains>
    <commentChains s:ref="J18" rgbClr="FF0000">
      <unresolved>
        <commentChain chainId="1de0e0332fb3b4a0c3ad0081b819312d19c6a3f9">
          <item id="bbafd409f48e47404a8b85f8e78f4e139d7dc7ed" isNormal="1">
            <s:text>
              <s:r>
                <s:t xml:space="preserve">Administrator:
扣1560pcs到PO209028
</s:t>
              </s:r>
            </s:text>
          </item>
        </commentChain>
      </unresolved>
      <resolved/>
    </commentChains>
    <commentChains s:ref="J19" rgbClr="FF0000">
      <unresolved>
        <commentChain chainId="d96af2cba1a81f871d8efca35c3b0d84adc063e2">
          <item id="dbbc8399fb366dabc70e5a19784f0c4442c72471" isNormal="1">
            <s:text>
              <s:r>
                <s:t xml:space="preserve">Administrator:
扣1560pcs到PO209028
</s:t>
              </s:r>
            </s:text>
          </item>
        </commentChain>
      </unresolved>
      <resolved/>
    </commentChains>
  </commentList>
  <commentList sheetStid="54">
    <commentChains s:ref="F1" rgbClr="FF0000">
      <unresolved>
        <commentChain chainId="2086ce7d2c3b9f6c190d340f7513f1f2d017a628">
          <item id="e55df69d71be1f2decb974dfa7088583d7fee133" isNormal="1">
            <s:text>
              <s:r>
                <s:t xml:space="preserve">有出发票给到客人</s:t>
              </s:r>
            </s:text>
          </item>
        </commentChain>
      </unresolved>
      <resolved/>
    </commentChains>
    <commentChains s:ref="H1" rgbClr="FF0000">
      <unresolved>
        <commentChain chainId="81cc6633bb9516c7c3631dcaf96f6882a3860caa">
          <item id="6e751daac80e1df8286efb81f7fcf62d78a1dc9c" isNormal="1">
            <s:text>
              <s:r>
                <s:t xml:space="preserve">有出发票给到客人</s:t>
              </s:r>
            </s:text>
          </item>
        </commentChain>
      </unresolved>
      <resolved/>
    </commentChains>
    <commentChains s:ref="F2" rgbClr="FF0000">
      <unresolved>
        <commentChain chainId="4bb4b748338bddd4fc03c2afd8dfac9eee0f5fe5">
          <item id="f042e93a2051e6959208de243a651fb91dc2dfaf" isNormal="1">
            <s:text>
              <s:r>
                <s:t xml:space="preserve">Administrator:
有出发票给到客人
</s:t>
              </s:r>
            </s:text>
          </item>
        </commentChain>
      </unresolved>
      <resolved/>
    </commentChains>
    <commentChains s:ref="H2" rgbClr="FF0000">
      <unresolved>
        <commentChain chainId="bf74466d7faeb3ebb006d7d7643d1c29d87060b7">
          <item id="f648d1690d0f8c09b0cc1f1d3d3a9e2708843e60" isNormal="1">
            <s:text>
              <s:r>
                <s:t xml:space="preserve">Administrator:
有出发票给到客人
</s:t>
              </s:r>
            </s:text>
          </item>
        </commentChain>
      </unresolved>
      <resolved/>
    </commentChains>
    <commentChains s:ref="F3" rgbClr="FF0000">
      <unresolved>
        <commentChain chainId="f1ab4a4459257cd3a74ec6ac1b6c80143c0f84f1">
          <item id="54dbbb61d2ee81cf78be37ce3319eacb7b6b3e18" isNormal="1">
            <s:text>
              <s:r>
                <s:t xml:space="preserve">Administrator:
有出发票给到客人
</s:t>
              </s:r>
            </s:text>
          </item>
        </commentChain>
      </unresolved>
      <resolved/>
    </commentChains>
    <commentChains s:ref="H3" rgbClr="FF0000">
      <unresolved>
        <commentChain chainId="f39ef9f83c02c5a922378361315888ee5bd62655">
          <item id="6b6852324a41ddd0731b1b496baedd6dfb4ce676" isNormal="1">
            <s:text>
              <s:r>
                <s:t xml:space="preserve">Administrator:
有出发票给到客人
</s:t>
              </s:r>
            </s:text>
          </item>
        </commentChain>
      </unresolved>
      <resolved/>
    </commentChains>
    <commentChains s:ref="F4" rgbClr="FF0000">
      <unresolved>
        <commentChain chainId="b093828e0d7ee459a83306735c6428b482f9809d">
          <item id="de8ef8aea493df88eb2bf407403e6edb90f5cea5" isNormal="1">
            <s:text>
              <s:r>
                <s:t xml:space="preserve">Administrator:
有出发票给到客人
</s:t>
              </s:r>
            </s:text>
          </item>
        </commentChain>
      </unresolved>
      <resolved/>
    </commentChains>
    <commentChains s:ref="H4" rgbClr="FF0000">
      <unresolved>
        <commentChain chainId="558685ba4d9e5986f8c0842408f915ec8b04855e">
          <item id="7828257819488306e53bf36b80f5b10aeacc2f1f" isNormal="1">
            <s:text>
              <s:r>
                <s:t xml:space="preserve">Administrator:
有出发票给到客人
</s:t>
              </s:r>
            </s:text>
          </item>
        </commentChain>
      </unresolved>
      <resolved/>
    </commentChains>
    <commentChains s:ref="F5" rgbClr="FF0000">
      <unresolved>
        <commentChain chainId="0ee34175a5ac4541b7851f972620c82d505e8b14">
          <item id="95cccbeb541d0aed1d29355d01de0fffe92b13b9" isNormal="1">
            <s:text>
              <s:r>
                <s:t xml:space="preserve">Administrator:
有出发票给到客人
</s:t>
              </s:r>
            </s:text>
          </item>
        </commentChain>
      </unresolved>
      <resolved/>
    </commentChains>
    <commentChains s:ref="H5" rgbClr="FF0000">
      <unresolved>
        <commentChain chainId="7cafa1ca8a194b797235b656b9df50d53284d628">
          <item id="b53751e06a606c6ee8af91ddd92031ec738e8578" isNormal="1">
            <s:text>
              <s:r>
                <s:t xml:space="preserve">Administrator:
有出发票给到客人
</s:t>
              </s:r>
            </s:text>
          </item>
        </commentChain>
      </unresolved>
      <resolved/>
    </commentChains>
    <commentChains s:ref="F6" rgbClr="FF0000">
      <unresolved>
        <commentChain chainId="b65abf6ccfd59b12b67196721cce3dca6e7fadae">
          <item id="cc1e6c1832493778ef957593fec5adc0692c2843" isNormal="1">
            <s:text>
              <s:r>
                <s:t xml:space="preserve">Administrator:
有出发票给到客人
</s:t>
              </s:r>
            </s:text>
          </item>
        </commentChain>
      </unresolved>
      <resolved/>
    </commentChains>
    <commentChains s:ref="H6" rgbClr="FF0000">
      <unresolved>
        <commentChain chainId="a3c15d974f207ec35ac24584ce30c5dc3b53b29e">
          <item id="9fa94ace4d23d47fb657058534578d2d58a79700" isNormal="1">
            <s:text>
              <s:r>
                <s:t xml:space="preserve">Administrator:
有出发票给到客人
</s:t>
              </s:r>
            </s:text>
          </item>
        </commentChain>
      </unresolved>
      <resolved/>
    </commentChains>
  </commentList>
</comments>
</file>

<file path=customXml/item3.xml><?xml version="1.0" encoding="utf-8"?>
<autofilters xmlns="https://web.wps.cn/et/2018/main">
  <sheetItem sheetStid="53">
    <filterData filterID="1848489229"/>
    <filterData filterID="1479941211"/>
    <filterData filterID="1862877470"/>
    <filterData filterID="1475148402"/>
    <filterData filterID="1688736548"/>
  </sheetItem>
  <sheetItem sheetStid="41">
    <filterData filterID="1480513718">
      <hiddenRange rowFrom="1" rowTo="2"/>
      <hiddenRange rowFrom="4" rowTo="15"/>
      <hiddenRange rowFrom="25" rowTo="39"/>
    </filterData>
    <filterData filterID="1475148402"/>
    <filterData filterID="1862877470"/>
    <filterData filterID="1828109158">
      <hiddenRange rowFrom="1" rowTo="2"/>
      <hiddenRange rowFrom="4" rowTo="39"/>
    </filterData>
    <autofilterInfo filterID="1828109158">
      <autoFilter xmlns="http://schemas.openxmlformats.org/spreadsheetml/2006/main" ref="A1:AL40">
        <filterColumn colId="5">
          <customFilters>
            <customFilter operator="equal" val="PO212870"/>
          </customFilters>
        </filterColumn>
      </autoFilter>
    </autofilterInfo>
    <autofilterInfo filterID="1480513718">
      <autoFilter xmlns="http://schemas.openxmlformats.org/spreadsheetml/2006/main" ref="A1:AL40">
        <filterColumn colId="7">
          <customFilters>
            <customFilter operator="equal" val="恐龙游戏盘"/>
            <customFilter operator="equal" val="恐龙游戏盘(邮包盒装)"/>
          </customFilters>
        </filterColumn>
      </autoFilter>
    </autofilterInfo>
  </sheetItem>
  <sheetItem sheetStid="44">
    <filterData filterID="1828109780"/>
    <filterData filterID="1862877470">
      <hiddenRange rowFrom="1" rowTo="35"/>
      <hiddenRange rowFrom="37" rowTo="58"/>
      <hiddenRange rowFrom="61" rowTo="67"/>
    </filterData>
    <filterData filterID="1688736548">
      <hiddenRange rowFrom="1" rowTo="26"/>
      <hiddenRange rowFrom="28" rowTo="31"/>
      <hiddenRange rowFrom="33" rowTo="50"/>
      <hiddenRange rowFrom="52" rowTo="59"/>
      <hiddenRange rowFrom="61" rowTo="67"/>
    </filterData>
    <autofilterInfo filterID="1862877470">
      <autoFilter xmlns="http://schemas.openxmlformats.org/spreadsheetml/2006/main" ref="A1:AL68">
        <filterColumn colId="1">
          <customFilters>
            <customFilter operator="equal" val="韩国"/>
          </customFilters>
        </filterColumn>
      </autoFilter>
    </autofilterInfo>
    <autofilterInfo filterID="1688736548">
      <autoFilter xmlns="http://schemas.openxmlformats.org/spreadsheetml/2006/main" ref="A1:AL68">
        <filterColumn colId="6">
          <customFilters>
            <customFilter operator="equal" val="JW-RV-RPGEA"/>
          </customFilters>
        </filterColumn>
      </autoFilter>
    </autofilterInfo>
  </sheetItem>
  <sheetItem sheetStid="45">
    <filterData filterID="1475148402"/>
  </sheetItem>
</autofilters>
</file>

<file path=customXml/item4.xml><?xml version="1.0" encoding="utf-8"?>
<woProps xmlns="https://web.wps.cn/et/2018/main" xmlns:s="http://schemas.openxmlformats.org/spreadsheetml/2006/main">
  <woSheetsProps>
    <woSheetProps sheetStid="47" interlineOnOff="0" interlineColor="0" isDbSheet="0" isDashBoardSheet="0" isDbDashBoardSheet="0" isFlexPaperSheet="0">
      <cellprotection/>
      <appEtDbRelations/>
    </woSheetProps>
    <woSheetProps sheetStid="53" interlineOnOff="0" interlineColor="0" isDbSheet="0" isDashBoardSheet="0" isDbDashBoardSheet="0" isFlexPaperSheet="0">
      <cellprotection/>
      <appEtDbRelations/>
    </woSheetProps>
    <woSheetProps sheetStid="41" interlineOnOff="0" interlineColor="0" isDbSheet="0" isDashBoardSheet="0" isDbDashBoardSheet="0" isFlexPaperSheet="0">
      <cellprotection/>
      <appEtDbRelations/>
    </woSheetProps>
    <woSheetProps sheetStid="44" interlineOnOff="0" interlineColor="0" isDbSheet="0" isDashBoardSheet="0" isDbDashBoardSheet="0" isFlexPaperSheet="0">
      <cellprotection/>
      <appEtDbRelations/>
    </woSheetProps>
    <woSheetProps sheetStid="55" interlineOnOff="0" interlineColor="0" isDbSheet="0" isDashBoardSheet="0" isDbDashBoardSheet="0" isFlexPaperSheet="0">
      <cellprotection/>
      <appEtDbRelations/>
    </woSheetProps>
    <woSheetProps sheetStid="61" interlineOnOff="0" interlineColor="0" isDbSheet="0" isDashBoardSheet="0" isDbDashBoardSheet="0" isFlexPaperSheet="0">
      <cellprotection/>
      <appEtDbRelations/>
    </woSheetProps>
    <woSheetProps sheetStid="63" interlineOnOff="0" interlineColor="0" isDbSheet="0" isDashBoardSheet="0" isDbDashBoardSheet="0" isFlexPaperSheet="0">
      <cellprotection/>
      <appEtDbRelations/>
    </woSheetProps>
    <woSheetProps sheetStid="50" interlineOnOff="0" interlineColor="0" isDbSheet="0" isDashBoardSheet="0" isDbDashBoardSheet="0" isFlexPaperSheet="0">
      <cellprotection/>
      <appEtDbRelations/>
    </woSheetProps>
    <woSheetProps sheetStid="45" interlineOnOff="0" interlineColor="0" isDbSheet="0" isDashBoardSheet="0" isDbDashBoardSheet="0" isFlexPaperSheet="0">
      <cellprotection/>
      <appEtDbRelations/>
    </woSheetProps>
    <woSheetProps sheetStid="58" interlineOnOff="0" interlineColor="0" isDbSheet="0" isDashBoardSheet="0" isDbDashBoardSheet="0" isFlexPaperSheet="0">
      <cellprotection/>
      <appEtDbRelations/>
    </woSheetProps>
    <woSheetProps sheetStid="39" interlineOnOff="0" interlineColor="0" isDbSheet="0" isDashBoardSheet="0" isDbDashBoardSheet="0" isFlexPaperSheet="0">
      <cellprotection/>
      <appEtDbRelations/>
    </woSheetProps>
    <woSheetProps sheetStid="51" interlineOnOff="0" interlineColor="0" isDbSheet="0" isDashBoardSheet="0" isDbDashBoardSheet="0" isFlexPaperSheet="0">
      <cellprotection/>
      <appEtDbRelations/>
    </woSheetProps>
    <woSheetProps sheetStid="56" interlineOnOff="0" interlineColor="0" isDbSheet="0" isDashBoardSheet="0" isDbDashBoardSheet="0" isFlexPaperSheet="0">
      <cellprotection/>
      <appEtDbRelations/>
    </woSheetProps>
    <woSheetProps sheetStid="60" interlineOnOff="0" interlineColor="0" isDbSheet="0" isDashBoardSheet="0" isDbDashBoardSheet="0" isFlexPaperSheet="0">
      <cellprotection/>
      <appEtDbRelations/>
    </woSheetProps>
    <woSheetProps sheetStid="49" interlineOnOff="0" interlineColor="0" isDbSheet="0" isDashBoardSheet="0" isDbDashBoardSheet="0" isFlexPaperSheet="0">
      <cellprotection/>
      <appEtDbRelations/>
    </woSheetProps>
    <woSheetProps sheetStid="62" interlineOnOff="0" interlineColor="0" isDbSheet="0" isDashBoardSheet="0" isDbDashBoardSheet="0" isFlexPaperSheet="0">
      <cellprotection/>
      <appEtDbRelations/>
    </woSheetProps>
    <woSheetProps sheetStid="54" interlineOnOff="0" interlineColor="0" isDbSheet="0" isDashBoardSheet="0" isDbDashBoardSheet="0" isFlexPaperSheet="0">
      <cellprotection/>
      <appEtDbRelations/>
    </woSheetProps>
  </woSheetsProps>
  <woBookProps>
    <bookSettings fileId="531780441558" isFilterShared="0" woEtMtcEnabled="0" coreConquerUserId="" isAutoUpdatePaused="0" filterType="user" isMergeTasksAutoUpdate="0" isInserPicAsAttachment="0" supportDbFmlaDisp="0"/>
  </woBookProps>
</woProps>
</file>

<file path=customXml/item5.xml><?xml version="1.0" encoding="utf-8"?>
<pixelators xmlns="https://web.wps.cn/et/2018/main" xmlns:s="http://schemas.openxmlformats.org/spreadsheetml/2006/main">
  <pixelatorList sheetStid="47"/>
  <pixelatorList sheetStid="53"/>
  <pixelatorList sheetStid="41"/>
  <pixelatorList sheetStid="44"/>
  <pixelatorList sheetStid="55"/>
  <pixelatorList sheetStid="61"/>
  <pixelatorList sheetStid="63"/>
  <pixelatorList sheetStid="50"/>
  <pixelatorList sheetStid="45"/>
  <pixelatorList sheetStid="58"/>
  <pixelatorList sheetStid="39"/>
  <pixelatorList sheetStid="51"/>
  <pixelatorList sheetStid="56"/>
  <pixelatorList sheetStid="60"/>
  <pixelatorList sheetStid="49"/>
  <pixelatorList sheetStid="62"/>
  <pixelatorList sheetStid="54"/>
  <pixelatorList sheetStid="64"/>
</pixelator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WWO_wpscloud_20260805160907-ca3bb104b7</Application>
  <HeadingPairs>
    <vt:vector size="2" baseType="variant">
      <vt:variant>
        <vt:lpstr>工作表</vt:lpstr>
      </vt:variant>
      <vt:variant>
        <vt:i4>17</vt:i4>
      </vt:variant>
    </vt:vector>
  </HeadingPairs>
  <TitlesOfParts>
    <vt:vector size="17" baseType="lpstr">
      <vt:lpstr>名称</vt:lpstr>
      <vt:lpstr>总接单</vt:lpstr>
      <vt:lpstr>正在做货</vt:lpstr>
      <vt:lpstr>已出货</vt:lpstr>
      <vt:lpstr>取消单</vt:lpstr>
      <vt:lpstr>已收费半成品及成品</vt:lpstr>
      <vt:lpstr>MA排期</vt:lpstr>
      <vt:lpstr>详细MA表</vt:lpstr>
      <vt:lpstr>MA</vt:lpstr>
      <vt:lpstr>包装MA</vt:lpstr>
      <vt:lpstr>日期码</vt:lpstr>
      <vt:lpstr>外箱资料</vt:lpstr>
      <vt:lpstr>产品价格</vt:lpstr>
      <vt:lpstr>PDQ配比</vt:lpstr>
      <vt:lpstr>已打发票扣数（26年5月开始）</vt:lpstr>
      <vt:lpstr>已打发票扣数（截止26年4月）</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1997-01-29T09:32:00Z</dcterms:created>
  <cp:lastPrinted>2019-01-25T17:58:00Z</cp:lastPrinted>
  <dcterms:modified xsi:type="dcterms:W3CDTF">2026-07-26T08:22:00Z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2052-12.9.0.28212</vt:lpwstr>
  </property>
  <property fmtid="{D5CDD505-2E9C-101B-9397-08002B2CF9AE}" pid="3" name="ICV">
    <vt:lpwstr>82F82B5FD80B4A1A9C408AC550FABCF1_13</vt:lpwstr>
  </property>
  <property fmtid="{D5CDD505-2E9C-101B-9397-08002B2CF9AE}" pid="4" name="KSOReadingLayout">
    <vt:bool>true</vt:bool>
  </property>
  <property fmtid="{D5CDD505-2E9C-101B-9397-08002B2CF9AE}" pid="5" name="CalculationRule">
    <vt:i4>0</vt:i4>
  </property>
</Properties>
</file>