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<sst xmlns="http://schemas.openxmlformats.org/spreadsheetml/2006/main" count="34" uniqueCount="25">
  <si>
    <t>Constants</t>
  </si>
  <si>
    <t>Part One: Wire</t>
  </si>
  <si>
    <t>Part Two: Thermistor</t>
  </si>
  <si>
    <t>Ra (Ω)</t>
  </si>
  <si>
    <t>Data</t>
  </si>
  <si>
    <t>Results</t>
  </si>
  <si>
    <t>ta (K)</t>
  </si>
  <si>
    <t>L1 (m)</t>
  </si>
  <si>
    <t>L2 (m)</t>
  </si>
  <si>
    <t>Rk (Ω)</t>
  </si>
  <si>
    <t>Temp (°C)</t>
  </si>
  <si>
    <t>Ru (Ω)</t>
  </si>
  <si>
    <t>Temp (K)</t>
  </si>
  <si>
    <t>x (1/K)</t>
  </si>
  <si>
    <t>β (K)</t>
  </si>
  <si>
    <t>α (1/°C)</t>
  </si>
  <si>
    <t>α Range (1/°C)</t>
  </si>
  <si>
    <t>β Range (K)</t>
  </si>
  <si>
    <t>Slope</t>
  </si>
  <si>
    <t>Avg β (K)</t>
  </si>
  <si>
    <t>Intercept</t>
  </si>
  <si>
    <t>% Error (K)</t>
  </si>
  <si>
    <t>Calc α (1/°C)</t>
  </si>
  <si>
    <t>Success?</t>
  </si>
  <si>
    <t>% Error (1/°C)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</si>
</sst>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ourier New"/>
      <family val="3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Sheet1!$H$4:$H$14</c:f>
              <c:numCache>
                <c:formatCode>General</c:formatCode>
                <c:ptCount val="11"/>
                <c:pt idx="0">
                  <c:v>13.1</c:v>
                </c:pt>
                <c:pt idx="1">
                  <c:v>18.5</c:v>
                </c:pt>
                <c:pt idx="2">
                  <c:v>23.4</c:v>
                </c:pt>
                <c:pt idx="3">
                  <c:v>28.9</c:v>
                </c:pt>
                <c:pt idx="4">
                  <c:v>34.1</c:v>
                </c:pt>
                <c:pt idx="5">
                  <c:v>40.2</c:v>
                </c:pt>
                <c:pt idx="6">
                  <c:v>46.4</c:v>
                </c:pt>
                <c:pt idx="7">
                  <c:v>51.2</c:v>
                </c:pt>
                <c:pt idx="8">
                  <c:v>57.1</c:v>
                </c:pt>
                <c:pt idx="9">
                  <c:v>63.2</c:v>
                </c:pt>
                <c:pt idx="10">
                  <c:v>71.5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0">
                  <c:v>2.60747663551402</c:v>
                </c:pt>
                <c:pt idx="1">
                  <c:v>2.68181818181818</c:v>
                </c:pt>
                <c:pt idx="2">
                  <c:v>2.71428571428571</c:v>
                </c:pt>
                <c:pt idx="3">
                  <c:v>2.73613766730402</c:v>
                </c:pt>
                <c:pt idx="4">
                  <c:v>2.79150579150579</c:v>
                </c:pt>
                <c:pt idx="5">
                  <c:v>2.83657587548638</c:v>
                </c:pt>
                <c:pt idx="6">
                  <c:v>2.89390962671906</c:v>
                </c:pt>
                <c:pt idx="7">
                  <c:v>2.94059405940594</c:v>
                </c:pt>
                <c:pt idx="8">
                  <c:v>2.98802395209581</c:v>
                </c:pt>
                <c:pt idx="9">
                  <c:v>3.06060606060606</c:v>
                </c:pt>
                <c:pt idx="10">
                  <c:v>3.13496932515337</c:v>
                </c:pt>
              </c:numCache>
            </c:numRef>
          </c:yVal>
          <c:smooth val="0"/>
        </c:ser>
        <c:axId val="44168555"/>
        <c:axId val="16335716"/>
      </c:scatterChart>
      <c:valAx>
        <c:axId val="441685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35716"/>
        <c:crosses val="autoZero"/>
      </c:valAx>
      <c:valAx>
        <c:axId val="163357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16855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144000</xdr:colOff>
      <xdr:row>26</xdr:row>
      <xdr:rowOff>106920</xdr:rowOff>
    </xdr:from>
    <xdr:to>
      <xdr:col>11</xdr:col>
      <xdr:colOff>199080</xdr:colOff>
      <xdr:row>40</xdr:row>
      <xdr:rowOff>182880</xdr:rowOff>
    </xdr:to>
    <xdr:graphicFrame>
      <xdr:nvGraphicFramePr>
        <xdr:cNvPr id="0" name="Chart 1"/>
        <xdr:cNvGraphicFramePr/>
      </xdr:nvGraphicFramePr>
      <xdr:xfrm>
        <a:off x="3277440" y="5059800"/>
        <a:ext cx="525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P17" activeCellId="0" sqref="P17:R18"/>
    </sheetView>
  </sheetViews>
  <sheetFormatPr defaultRowHeight="15"/>
  <cols>
    <col collapsed="false" hidden="false" max="1" min="1" style="0" width="19.3061224489796"/>
    <col collapsed="false" hidden="false" max="6" min="2" style="0" width="8.36734693877551"/>
    <col collapsed="false" hidden="false" max="7" min="7" style="0" width="8.50510204081633"/>
    <col collapsed="false" hidden="false" max="8" min="8" style="0" width="11.4744897959184"/>
    <col collapsed="false" hidden="false" max="9" min="9" style="0" width="17.0102040816327"/>
    <col collapsed="false" hidden="false" max="10" min="10" style="0" width="11.6071428571429"/>
    <col collapsed="false" hidden="false" max="11" min="11" style="0" width="8.36734693877551"/>
    <col collapsed="false" hidden="false" max="12" min="12" style="0" width="10.6632653061225"/>
    <col collapsed="false" hidden="false" max="14" min="13" style="0" width="8.36734693877551"/>
    <col collapsed="false" hidden="false" max="15" min="15" style="0" width="11.4744897959184"/>
    <col collapsed="false" hidden="false" max="16" min="16" style="0" width="11.3418367346939"/>
    <col collapsed="false" hidden="false" max="17" min="17" style="0" width="9.62244897959184"/>
    <col collapsed="false" hidden="false" max="18" min="18" style="0" width="20.0765306122449"/>
    <col collapsed="false" hidden="false" max="19" min="19" style="0" width="13.4336734693878"/>
    <col collapsed="false" hidden="false" max="1025" min="20" style="0" width="8.36734693877551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E1" s="3" t="s">
        <v>1</v>
      </c>
      <c r="F1" s="3"/>
      <c r="G1" s="3"/>
      <c r="H1" s="3"/>
      <c r="I1" s="3"/>
      <c r="J1" s="4"/>
      <c r="K1" s="2"/>
      <c r="L1" s="5" t="s">
        <v>2</v>
      </c>
      <c r="M1" s="5"/>
      <c r="N1" s="5"/>
      <c r="O1" s="5"/>
      <c r="P1" s="5"/>
      <c r="Q1" s="5"/>
      <c r="R1" s="5"/>
      <c r="S1" s="5"/>
    </row>
    <row r="2" customFormat="false" ht="15" hidden="false" customHeight="false" outlineLevel="0" collapsed="false">
      <c r="A2" s="6" t="s">
        <v>3</v>
      </c>
      <c r="B2" s="7" t="n">
        <v>37</v>
      </c>
      <c r="C2" s="2"/>
      <c r="D2" s="2"/>
      <c r="E2" s="1" t="s">
        <v>4</v>
      </c>
      <c r="F2" s="1"/>
      <c r="G2" s="1"/>
      <c r="H2" s="1"/>
      <c r="I2" s="3" t="s">
        <v>5</v>
      </c>
      <c r="J2" s="4"/>
      <c r="K2" s="2"/>
      <c r="L2" s="8" t="s">
        <v>4</v>
      </c>
      <c r="M2" s="8"/>
      <c r="N2" s="8"/>
      <c r="O2" s="8"/>
      <c r="P2" s="8"/>
      <c r="Q2" s="8" t="s">
        <v>5</v>
      </c>
      <c r="R2" s="8"/>
      <c r="S2" s="8"/>
    </row>
    <row r="3" customFormat="false" ht="15" hidden="false" customHeight="false" outlineLevel="0" collapsed="false">
      <c r="A3" s="9" t="s">
        <v>6</v>
      </c>
      <c r="B3" s="9" t="n">
        <v>288.25</v>
      </c>
      <c r="C3" s="2"/>
      <c r="D3" s="2"/>
      <c r="E3" s="9" t="s">
        <v>7</v>
      </c>
      <c r="F3" s="9" t="s">
        <v>8</v>
      </c>
      <c r="G3" s="10" t="s">
        <v>9</v>
      </c>
      <c r="H3" s="10" t="s">
        <v>10</v>
      </c>
      <c r="I3" s="11" t="s">
        <v>11</v>
      </c>
      <c r="J3" s="12"/>
      <c r="K3" s="2"/>
      <c r="L3" s="9" t="s">
        <v>7</v>
      </c>
      <c r="M3" s="9" t="s">
        <v>8</v>
      </c>
      <c r="N3" s="10" t="s">
        <v>9</v>
      </c>
      <c r="O3" s="10" t="s">
        <v>10</v>
      </c>
      <c r="P3" s="9" t="s">
        <v>12</v>
      </c>
      <c r="Q3" s="9" t="s">
        <v>11</v>
      </c>
      <c r="R3" s="9" t="s">
        <v>13</v>
      </c>
      <c r="S3" s="9" t="s">
        <v>14</v>
      </c>
    </row>
    <row r="4" customFormat="false" ht="15" hidden="false" customHeight="false" outlineLevel="0" collapsed="false">
      <c r="A4" s="9" t="s">
        <v>15</v>
      </c>
      <c r="B4" s="9" t="n">
        <v>0.00433</v>
      </c>
      <c r="C4" s="2"/>
      <c r="D4" s="2"/>
      <c r="E4" s="9" t="n">
        <v>0.465</v>
      </c>
      <c r="F4" s="9" t="n">
        <f aca="false">1-E4</f>
        <v>0.535</v>
      </c>
      <c r="G4" s="9" t="n">
        <v>3</v>
      </c>
      <c r="H4" s="9" t="n">
        <v>13.1</v>
      </c>
      <c r="I4" s="11" t="n">
        <f aca="false">G4*E4/F4</f>
        <v>2.60747663551402</v>
      </c>
      <c r="J4" s="12"/>
      <c r="K4" s="2"/>
      <c r="L4" s="9" t="n">
        <v>0.5</v>
      </c>
      <c r="M4" s="9" t="n">
        <f aca="false">1-L4</f>
        <v>0.5</v>
      </c>
      <c r="N4" s="9" t="n">
        <v>37</v>
      </c>
      <c r="O4" s="9" t="n">
        <v>15.1</v>
      </c>
      <c r="P4" s="9" t="n">
        <f aca="false">O4+273.15</f>
        <v>288.25</v>
      </c>
      <c r="Q4" s="9" t="n">
        <f aca="false">N4*L4/M4</f>
        <v>37</v>
      </c>
      <c r="R4" s="9" t="n">
        <f aca="false">($B$3-P4)/($B$3*P4)</f>
        <v>0</v>
      </c>
      <c r="S4" s="9" t="e">
        <f aca="false">LOG(Q4/$B$3, 2.71828)/R4</f>
        <v>#DIV/0!</v>
      </c>
    </row>
    <row r="5" customFormat="false" ht="15" hidden="false" customHeight="false" outlineLevel="0" collapsed="false">
      <c r="A5" s="9" t="s">
        <v>16</v>
      </c>
      <c r="B5" s="13" t="n">
        <f aca="false">0.001*10^-3/0.00433</f>
        <v>0.00023094688221709</v>
      </c>
      <c r="C5" s="2"/>
      <c r="D5" s="2"/>
      <c r="E5" s="9" t="n">
        <v>0.472</v>
      </c>
      <c r="F5" s="9" t="n">
        <f aca="false">1-E5</f>
        <v>0.528</v>
      </c>
      <c r="G5" s="9" t="n">
        <v>3</v>
      </c>
      <c r="H5" s="9" t="n">
        <v>18.5</v>
      </c>
      <c r="I5" s="11" t="n">
        <f aca="false">G5*E5/F5</f>
        <v>2.68181818181818</v>
      </c>
      <c r="J5" s="12"/>
      <c r="K5" s="2"/>
      <c r="L5" s="9" t="n">
        <v>0.435</v>
      </c>
      <c r="M5" s="9" t="n">
        <f aca="false">1-L5</f>
        <v>0.565</v>
      </c>
      <c r="N5" s="9" t="n">
        <v>37</v>
      </c>
      <c r="O5" s="9" t="n">
        <v>22.2</v>
      </c>
      <c r="P5" s="9" t="n">
        <f aca="false">O5+273.15</f>
        <v>295.35</v>
      </c>
      <c r="Q5" s="9" t="n">
        <f aca="false">N5*L5/M5</f>
        <v>28.4867256637168</v>
      </c>
      <c r="R5" s="9" t="n">
        <f aca="false">(1/P5 - 1/$B$3)</f>
        <v>-8.33973128739752E-005</v>
      </c>
      <c r="S5" s="9" t="n">
        <f aca="false">(LOG(Q5, 2.71828)-LOG($B$2, 2.71828))/R5</f>
        <v>3135.35133125977</v>
      </c>
    </row>
    <row r="6" customFormat="false" ht="15" hidden="false" customHeight="false" outlineLevel="0" collapsed="false">
      <c r="A6" s="9" t="s">
        <v>14</v>
      </c>
      <c r="B6" s="9" t="n">
        <v>3530</v>
      </c>
      <c r="C6" s="2"/>
      <c r="D6" s="2"/>
      <c r="E6" s="9" t="n">
        <v>0.475</v>
      </c>
      <c r="F6" s="9" t="n">
        <f aca="false">1-E6</f>
        <v>0.525</v>
      </c>
      <c r="G6" s="9" t="n">
        <v>3</v>
      </c>
      <c r="H6" s="9" t="n">
        <v>23.4</v>
      </c>
      <c r="I6" s="11" t="n">
        <f aca="false">G6*E6/F6</f>
        <v>2.71428571428571</v>
      </c>
      <c r="J6" s="12"/>
      <c r="K6" s="2"/>
      <c r="L6" s="9" t="n">
        <v>0.42</v>
      </c>
      <c r="M6" s="9" t="n">
        <f aca="false">1-L6</f>
        <v>0.58</v>
      </c>
      <c r="N6" s="9" t="n">
        <v>27</v>
      </c>
      <c r="O6" s="9" t="n">
        <v>31.7</v>
      </c>
      <c r="P6" s="9" t="n">
        <f aca="false">O6+273.15</f>
        <v>304.85</v>
      </c>
      <c r="Q6" s="9" t="n">
        <f aca="false">N6*L6/M6</f>
        <v>19.551724137931</v>
      </c>
      <c r="R6" s="9" t="n">
        <f aca="false">(1/P6 - 1/$B$3)</f>
        <v>-0.000188908966788864</v>
      </c>
      <c r="S6" s="9" t="n">
        <f aca="false">(LOG(Q6, 2.71828)-LOG($B$2, 2.71828))/R6</f>
        <v>3376.51980633963</v>
      </c>
    </row>
    <row r="7" customFormat="false" ht="15" hidden="false" customHeight="false" outlineLevel="0" collapsed="false">
      <c r="A7" s="9" t="s">
        <v>17</v>
      </c>
      <c r="B7" s="13" t="n">
        <f aca="false">80/3530</f>
        <v>0.0226628895184136</v>
      </c>
      <c r="C7" s="2"/>
      <c r="D7" s="2"/>
      <c r="E7" s="9" t="n">
        <v>0.477</v>
      </c>
      <c r="F7" s="9" t="n">
        <f aca="false">1-E7</f>
        <v>0.523</v>
      </c>
      <c r="G7" s="9" t="n">
        <v>3</v>
      </c>
      <c r="H7" s="9" t="n">
        <v>28.9</v>
      </c>
      <c r="I7" s="11" t="n">
        <f aca="false">G7*E7/F7</f>
        <v>2.73613766730402</v>
      </c>
      <c r="J7" s="12"/>
      <c r="K7" s="2"/>
      <c r="L7" s="9" t="n">
        <v>0.415</v>
      </c>
      <c r="M7" s="9" t="n">
        <f aca="false">1-L7</f>
        <v>0.585</v>
      </c>
      <c r="N7" s="9" t="n">
        <v>23</v>
      </c>
      <c r="O7" s="9" t="n">
        <v>37.4</v>
      </c>
      <c r="P7" s="9" t="n">
        <f aca="false">O7+273.15</f>
        <v>310.55</v>
      </c>
      <c r="Q7" s="9" t="n">
        <f aca="false">N7*L7/M7</f>
        <v>16.3162393162393</v>
      </c>
      <c r="R7" s="9" t="n">
        <f aca="false">(1/P7 - 1/$B$3)</f>
        <v>-0.00024911737184524</v>
      </c>
      <c r="S7" s="9" t="n">
        <f aca="false">(LOG(Q7, 2.71828)-LOG($B$2, 2.71828))/R7</f>
        <v>3286.63379992777</v>
      </c>
    </row>
    <row r="8" customFormat="false" ht="15" hidden="false" customHeight="false" outlineLevel="0" collapsed="false">
      <c r="A8" s="2"/>
      <c r="B8" s="2"/>
      <c r="C8" s="2"/>
      <c r="D8" s="2"/>
      <c r="E8" s="9" t="n">
        <v>0.482</v>
      </c>
      <c r="F8" s="9" t="n">
        <f aca="false">1-E8</f>
        <v>0.518</v>
      </c>
      <c r="G8" s="9" t="n">
        <v>3</v>
      </c>
      <c r="H8" s="9" t="n">
        <v>34.1</v>
      </c>
      <c r="I8" s="11" t="n">
        <f aca="false">G8*E8/F8</f>
        <v>2.79150579150579</v>
      </c>
      <c r="J8" s="12"/>
      <c r="K8" s="2"/>
      <c r="L8" s="9" t="n">
        <v>0.41</v>
      </c>
      <c r="M8" s="9" t="n">
        <f aca="false">1-L8</f>
        <v>0.59</v>
      </c>
      <c r="N8" s="9" t="n">
        <v>19</v>
      </c>
      <c r="O8" s="9" t="n">
        <v>43.5</v>
      </c>
      <c r="P8" s="9" t="n">
        <f aca="false">O8+273.15</f>
        <v>316.65</v>
      </c>
      <c r="Q8" s="9" t="n">
        <f aca="false">N8*L8/M8</f>
        <v>13.2033898305085</v>
      </c>
      <c r="R8" s="9" t="n">
        <f aca="false">(1/P8 - 1/$B$3)</f>
        <v>-0.000311149803976993</v>
      </c>
      <c r="S8" s="9" t="n">
        <f aca="false">(LOG(Q8, 2.71828)-LOG($B$2, 2.71828))/R8</f>
        <v>3311.7327751459</v>
      </c>
    </row>
    <row r="9" customFormat="false" ht="15" hidden="false" customHeight="false" outlineLevel="0" collapsed="false">
      <c r="A9" s="2"/>
      <c r="B9" s="2"/>
      <c r="C9" s="2"/>
      <c r="D9" s="2"/>
      <c r="E9" s="9" t="n">
        <v>0.486</v>
      </c>
      <c r="F9" s="9" t="n">
        <f aca="false">1-E9</f>
        <v>0.514</v>
      </c>
      <c r="G9" s="9" t="n">
        <v>3</v>
      </c>
      <c r="H9" s="9" t="n">
        <v>40.2</v>
      </c>
      <c r="I9" s="11" t="n">
        <f aca="false">G9*E9/F9</f>
        <v>2.83657587548638</v>
      </c>
      <c r="J9" s="12"/>
      <c r="K9" s="2"/>
      <c r="L9" s="9" t="n">
        <v>0.436</v>
      </c>
      <c r="M9" s="9" t="n">
        <f aca="false">1-L9</f>
        <v>0.564</v>
      </c>
      <c r="N9" s="9" t="n">
        <v>14</v>
      </c>
      <c r="O9" s="9" t="n">
        <v>49.1</v>
      </c>
      <c r="P9" s="9" t="n">
        <f aca="false">O9+273.15</f>
        <v>322.25</v>
      </c>
      <c r="Q9" s="9" t="n">
        <f aca="false">N9*L9/M9</f>
        <v>10.822695035461</v>
      </c>
      <c r="R9" s="9" t="n">
        <f aca="false">(1/P9 - 1/$B$3)</f>
        <v>-0.000366029994274053</v>
      </c>
      <c r="S9" s="9" t="n">
        <f aca="false">(LOG(Q9, 2.71828)-LOG($B$2, 2.71828))/R9</f>
        <v>3358.39531536238</v>
      </c>
    </row>
    <row r="10" customFormat="false" ht="15" hidden="false" customHeight="false" outlineLevel="0" collapsed="false">
      <c r="A10" s="2"/>
      <c r="B10" s="2"/>
      <c r="C10" s="2"/>
      <c r="D10" s="2"/>
      <c r="E10" s="9" t="n">
        <v>0.491</v>
      </c>
      <c r="F10" s="9" t="n">
        <f aca="false">1-E10</f>
        <v>0.509</v>
      </c>
      <c r="G10" s="9" t="n">
        <v>3</v>
      </c>
      <c r="H10" s="9" t="n">
        <v>46.4</v>
      </c>
      <c r="I10" s="11" t="n">
        <f aca="false">G10*E10/F10</f>
        <v>2.89390962671906</v>
      </c>
      <c r="J10" s="12"/>
      <c r="K10" s="2"/>
      <c r="L10" s="9" t="n">
        <v>0.448</v>
      </c>
      <c r="M10" s="9" t="n">
        <f aca="false">1-L10</f>
        <v>0.552</v>
      </c>
      <c r="N10" s="9" t="n">
        <v>11</v>
      </c>
      <c r="O10" s="9" t="n">
        <v>55.5</v>
      </c>
      <c r="P10" s="9" t="n">
        <f aca="false">O10+273.15</f>
        <v>328.65</v>
      </c>
      <c r="Q10" s="9" t="n">
        <f aca="false">N10*L10/M10</f>
        <v>8.92753623188406</v>
      </c>
      <c r="R10" s="9" t="n">
        <f aca="false">(1/P10 - 1/$B$3)</f>
        <v>-0.000426460107968826</v>
      </c>
      <c r="S10" s="9" t="n">
        <f aca="false">(LOG(Q10, 2.71828)-LOG($B$2, 2.71828))/R10</f>
        <v>3333.90716623607</v>
      </c>
    </row>
    <row r="11" customFormat="false" ht="15" hidden="false" customHeight="false" outlineLevel="0" collapsed="false">
      <c r="A11" s="2"/>
      <c r="B11" s="2"/>
      <c r="C11" s="2"/>
      <c r="D11" s="2"/>
      <c r="E11" s="9" t="n">
        <v>0.495</v>
      </c>
      <c r="F11" s="9" t="n">
        <f aca="false">1-E11</f>
        <v>0.505</v>
      </c>
      <c r="G11" s="9" t="n">
        <v>3</v>
      </c>
      <c r="H11" s="9" t="n">
        <v>51.2</v>
      </c>
      <c r="I11" s="11" t="n">
        <f aca="false">G11*E11/F11</f>
        <v>2.94059405940594</v>
      </c>
      <c r="J11" s="12"/>
      <c r="K11" s="2"/>
      <c r="L11" s="9" t="n">
        <v>0.424</v>
      </c>
      <c r="M11" s="9" t="n">
        <f aca="false">1-L11</f>
        <v>0.576</v>
      </c>
      <c r="N11" s="9" t="n">
        <v>10</v>
      </c>
      <c r="O11" s="9" t="n">
        <v>60.7</v>
      </c>
      <c r="P11" s="9" t="n">
        <f aca="false">O11+273.15</f>
        <v>333.85</v>
      </c>
      <c r="Q11" s="9" t="n">
        <f aca="false">N11*L11/M11</f>
        <v>7.36111111111111</v>
      </c>
      <c r="R11" s="9" t="n">
        <f aca="false">(1/P11 - 1/$B$3)</f>
        <v>-0.000473853558207674</v>
      </c>
      <c r="S11" s="9" t="n">
        <f aca="false">(LOG(Q11, 2.71828)-LOG($B$2, 2.71828))/R11</f>
        <v>3407.60997418582</v>
      </c>
    </row>
    <row r="12" customFormat="false" ht="15" hidden="false" customHeight="false" outlineLevel="0" collapsed="false">
      <c r="A12" s="2"/>
      <c r="B12" s="2"/>
      <c r="C12" s="2"/>
      <c r="D12" s="2"/>
      <c r="E12" s="9" t="n">
        <v>0.499</v>
      </c>
      <c r="F12" s="9" t="n">
        <f aca="false">1-E12</f>
        <v>0.501</v>
      </c>
      <c r="G12" s="9" t="n">
        <v>3</v>
      </c>
      <c r="H12" s="9" t="n">
        <v>57.1</v>
      </c>
      <c r="I12" s="11" t="n">
        <f aca="false">G12*E12/F12</f>
        <v>2.98802395209581</v>
      </c>
      <c r="J12" s="12"/>
      <c r="K12" s="2"/>
      <c r="L12" s="9" t="n">
        <v>0.415</v>
      </c>
      <c r="M12" s="9" t="n">
        <f aca="false">1-L12</f>
        <v>0.585</v>
      </c>
      <c r="N12" s="9" t="n">
        <v>9</v>
      </c>
      <c r="O12" s="9" t="n">
        <v>66.1</v>
      </c>
      <c r="P12" s="9" t="n">
        <f aca="false">O12+273.15</f>
        <v>339.25</v>
      </c>
      <c r="Q12" s="9" t="n">
        <f aca="false">N12*L12/M12</f>
        <v>6.38461538461539</v>
      </c>
      <c r="R12" s="9" t="n">
        <f aca="false">(1/P12 - 1/$B$3)</f>
        <v>-0.000521532051531968</v>
      </c>
      <c r="S12" s="9" t="n">
        <f aca="false">(LOG(Q12, 2.71828)-LOG($B$2, 2.71828))/R12</f>
        <v>3368.97385120925</v>
      </c>
    </row>
    <row r="13" customFormat="false" ht="15" hidden="false" customHeight="false" outlineLevel="0" collapsed="false">
      <c r="A13" s="2"/>
      <c r="B13" s="2"/>
      <c r="C13" s="2"/>
      <c r="D13" s="2"/>
      <c r="E13" s="9" t="n">
        <v>0.505</v>
      </c>
      <c r="F13" s="9" t="n">
        <f aca="false">1-E13</f>
        <v>0.495</v>
      </c>
      <c r="G13" s="9" t="n">
        <v>3</v>
      </c>
      <c r="H13" s="9" t="n">
        <v>63.2</v>
      </c>
      <c r="I13" s="11" t="n">
        <f aca="false">G13*E13/F13</f>
        <v>3.06060606060606</v>
      </c>
      <c r="J13" s="12"/>
      <c r="K13" s="2"/>
      <c r="L13" s="7" t="n">
        <v>0.435</v>
      </c>
      <c r="M13" s="7" t="n">
        <f aca="false">1-L13</f>
        <v>0.565</v>
      </c>
      <c r="N13" s="7" t="n">
        <v>7</v>
      </c>
      <c r="O13" s="7" t="n">
        <v>71</v>
      </c>
      <c r="P13" s="7" t="n">
        <f aca="false">O13+273.15</f>
        <v>344.15</v>
      </c>
      <c r="Q13" s="9" t="n">
        <f aca="false">N13*L13/M13</f>
        <v>5.38938053097345</v>
      </c>
      <c r="R13" s="9" t="n">
        <f aca="false">(1/P13 - 1/$B$3)</f>
        <v>-0.000563501034954327</v>
      </c>
      <c r="S13" s="9" t="n">
        <f aca="false">(LOG(Q13, 2.71828)-LOG($B$2, 2.71828))/R13</f>
        <v>3418.78477589791</v>
      </c>
    </row>
    <row r="14" customFormat="false" ht="15" hidden="false" customHeight="false" outlineLevel="0" collapsed="false">
      <c r="A14" s="2"/>
      <c r="B14" s="2"/>
      <c r="C14" s="2"/>
      <c r="D14" s="2"/>
      <c r="E14" s="7" t="n">
        <v>0.511</v>
      </c>
      <c r="F14" s="7" t="n">
        <f aca="false">1-E14</f>
        <v>0.489</v>
      </c>
      <c r="G14" s="7" t="n">
        <v>3</v>
      </c>
      <c r="H14" s="7" t="n">
        <v>71.5</v>
      </c>
      <c r="I14" s="14" t="n">
        <f aca="false">G14*E14/F14</f>
        <v>3.13496932515337</v>
      </c>
      <c r="J14" s="12"/>
      <c r="K14" s="2"/>
      <c r="L14" s="15"/>
      <c r="M14" s="15"/>
      <c r="N14" s="15"/>
      <c r="O14" s="15"/>
      <c r="P14" s="15"/>
      <c r="Q14" s="15"/>
      <c r="R14" s="15"/>
      <c r="S14" s="2"/>
    </row>
    <row r="15" customFormat="false" ht="15" hidden="false" customHeight="false" outlineLevel="0" collapsed="false">
      <c r="A15" s="2"/>
      <c r="B15" s="2"/>
      <c r="C15" s="2"/>
      <c r="D15" s="2"/>
      <c r="E15" s="15"/>
      <c r="F15" s="15"/>
      <c r="G15" s="15"/>
      <c r="H15" s="15"/>
      <c r="I15" s="15"/>
      <c r="J15" s="16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17" t="s">
        <v>18</v>
      </c>
      <c r="H17" s="17"/>
      <c r="I17" s="18" t="n">
        <f aca="false">INDEX(LINEST(I4:I14, H4:H14, 1, 0), 1)</f>
        <v>0.00873938303664244</v>
      </c>
      <c r="J17" s="2"/>
      <c r="K17" s="2"/>
      <c r="L17" s="2"/>
      <c r="M17" s="2"/>
      <c r="N17" s="2"/>
      <c r="O17" s="2"/>
      <c r="P17" s="17" t="s">
        <v>19</v>
      </c>
      <c r="Q17" s="17"/>
      <c r="R17" s="19" t="n">
        <f aca="false">AVERAGE(S5:S13)</f>
        <v>3333.10097728494</v>
      </c>
      <c r="S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17" t="s">
        <v>20</v>
      </c>
      <c r="H18" s="17"/>
      <c r="I18" s="18" t="n">
        <f aca="false">INDEX(LINEST(I4:I14, H4:H14, 1, 0), 2)</f>
        <v>2.49765045842665</v>
      </c>
      <c r="J18" s="2"/>
      <c r="K18" s="2"/>
      <c r="L18" s="2"/>
      <c r="M18" s="2"/>
      <c r="N18" s="2"/>
      <c r="O18" s="2"/>
      <c r="P18" s="17" t="s">
        <v>21</v>
      </c>
      <c r="Q18" s="17"/>
      <c r="R18" s="20" t="n">
        <f aca="false">ABS((R17-B6)/B6)</f>
        <v>0.0557787599759366</v>
      </c>
      <c r="S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17" t="s">
        <v>22</v>
      </c>
      <c r="H19" s="17"/>
      <c r="I19" s="18" t="n">
        <f aca="false">I17/I18</f>
        <v>0.00349904167220726</v>
      </c>
      <c r="J19" s="2"/>
      <c r="K19" s="2"/>
      <c r="L19" s="2"/>
      <c r="M19" s="2"/>
      <c r="N19" s="2"/>
      <c r="O19" s="2"/>
      <c r="P19" s="21" t="s">
        <v>23</v>
      </c>
      <c r="Q19" s="21"/>
      <c r="R19" s="22" t="str">
        <f aca="false">IF(R18 &lt; B7, "Yes", "No")</f>
        <v>No</v>
      </c>
      <c r="S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1" t="s">
        <v>24</v>
      </c>
      <c r="H20" s="21"/>
      <c r="I20" s="23" t="n">
        <f aca="false">ABS((I19-B4)/B4)</f>
        <v>0.191907235056059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1" t="s">
        <v>23</v>
      </c>
      <c r="H21" s="21"/>
      <c r="I21" s="2" t="str">
        <f aca="false">IF(I20 &lt; B5, "Yes", "No")</f>
        <v>No</v>
      </c>
      <c r="J21" s="2"/>
      <c r="K21" s="2"/>
      <c r="L21" s="2"/>
      <c r="M21" s="2"/>
      <c r="N21" s="2"/>
      <c r="O21" s="2"/>
      <c r="P21" s="2"/>
      <c r="Q21" s="2"/>
      <c r="R21" s="2"/>
      <c r="S21" s="2"/>
    </row>
  </sheetData>
  <mergeCells count="14">
    <mergeCell ref="A1:B1"/>
    <mergeCell ref="E1:I1"/>
    <mergeCell ref="L1:S1"/>
    <mergeCell ref="E2:H2"/>
    <mergeCell ref="L2:P2"/>
    <mergeCell ref="Q2:S2"/>
    <mergeCell ref="G17:H17"/>
    <mergeCell ref="P17:Q17"/>
    <mergeCell ref="G18:H18"/>
    <mergeCell ref="P18:Q18"/>
    <mergeCell ref="G19:H19"/>
    <mergeCell ref="P19:Q19"/>
    <mergeCell ref="G20:H20"/>
    <mergeCell ref="G21:H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17:R18 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P17:R18 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2016-09-21T20:34:12Z</dcterms:created>
  <dc:creator>colemanct</dc:creator>
  <dc:language>en-US</dc:language>
  <dcterms:modified xsi:type="dcterms:W3CDTF">2016-09-27T23:07:40Z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