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harlieohara/Documents/Linguistics/My Stuff/working/quals/"/>
    </mc:Choice>
  </mc:AlternateContent>
  <xr:revisionPtr revIDLastSave="0" documentId="13_ncr:1_{3BDC5F13-FA6B-3448-A0C3-EE8EBA9E922E}" xr6:coauthVersionLast="46" xr6:coauthVersionMax="46" xr10:uidLastSave="{00000000-0000-0000-0000-000000000000}"/>
  <bookViews>
    <workbookView xWindow="12380" yWindow="460" windowWidth="16000" windowHeight="164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3" i="1" l="1"/>
  <c r="U274" i="1" s="1"/>
  <c r="AM273" i="1"/>
  <c r="AL273" i="1"/>
  <c r="AK273" i="1"/>
  <c r="AJ270" i="1"/>
  <c r="W268" i="1"/>
  <c r="Y280" i="1"/>
  <c r="X288" i="1"/>
  <c r="W288" i="1"/>
  <c r="X280" i="1"/>
  <c r="X279" i="1"/>
  <c r="U279" i="1"/>
  <c r="V279" i="1"/>
  <c r="U280" i="1"/>
  <c r="V280" i="1"/>
  <c r="U281" i="1"/>
  <c r="V281" i="1"/>
  <c r="V278" i="1"/>
  <c r="U278" i="1"/>
  <c r="S278" i="1"/>
  <c r="S285" i="1"/>
  <c r="P290" i="1"/>
  <c r="Q290" i="1"/>
  <c r="Q289" i="1"/>
  <c r="P289" i="1"/>
  <c r="R195" i="1"/>
  <c r="O196" i="1"/>
  <c r="O195" i="1"/>
  <c r="N274" i="1"/>
  <c r="M273" i="1"/>
  <c r="M276" i="1"/>
  <c r="N277" i="1"/>
  <c r="M270" i="1"/>
  <c r="N271" i="1"/>
  <c r="I272" i="1"/>
  <c r="H268" i="1"/>
  <c r="H269" i="1"/>
  <c r="I269" i="1"/>
  <c r="I268" i="1"/>
  <c r="I266" i="1"/>
  <c r="I267" i="1"/>
  <c r="H266" i="1"/>
  <c r="H267" i="1"/>
  <c r="H274" i="1"/>
  <c r="H275" i="1"/>
  <c r="H273" i="1"/>
  <c r="M271" i="1"/>
  <c r="N270" i="1"/>
  <c r="N273" i="1"/>
  <c r="M274" i="1"/>
  <c r="N276" i="1"/>
  <c r="M277" i="1"/>
  <c r="N198" i="1"/>
  <c r="M198" i="1"/>
  <c r="N265" i="1"/>
  <c r="M265" i="1"/>
  <c r="N173" i="1"/>
  <c r="N193" i="1"/>
  <c r="N194" i="1"/>
  <c r="N192" i="1"/>
  <c r="N191" i="1"/>
  <c r="N175" i="1"/>
  <c r="N174" i="1"/>
  <c r="N172" i="1"/>
  <c r="M266" i="1"/>
  <c r="L83" i="1"/>
  <c r="L82" i="1"/>
  <c r="L81" i="1"/>
  <c r="L80" i="1"/>
  <c r="L79" i="1"/>
  <c r="L78" i="1"/>
  <c r="L77" i="1"/>
  <c r="L76" i="1"/>
  <c r="X278" i="1"/>
  <c r="S286" i="1" l="1"/>
  <c r="O198" i="1"/>
  <c r="L278" i="1"/>
  <c r="O271" i="1"/>
  <c r="O265" i="1"/>
  <c r="O270" i="1"/>
  <c r="P270" i="1" s="1"/>
  <c r="L275" i="1"/>
  <c r="L272" i="1"/>
  <c r="P271" i="1"/>
  <c r="AJ271" i="1"/>
  <c r="AJ272" i="1" s="1"/>
  <c r="AJ273" i="1" s="1"/>
  <c r="AE271" i="1"/>
  <c r="AE272" i="1" s="1"/>
  <c r="AE273" i="1" s="1"/>
  <c r="Z271" i="1"/>
  <c r="Z272" i="1" s="1"/>
  <c r="Z273" i="1" s="1"/>
  <c r="W271" i="1"/>
  <c r="W272" i="1" s="1"/>
  <c r="W273" i="1" s="1"/>
  <c r="AH271" i="1"/>
  <c r="AH272" i="1" s="1"/>
  <c r="AH273" i="1" s="1"/>
  <c r="AC271" i="1"/>
  <c r="AC272" i="1" s="1"/>
  <c r="AC273" i="1" s="1"/>
  <c r="X271" i="1"/>
  <c r="X272" i="1" s="1"/>
  <c r="X273" i="1" s="1"/>
  <c r="AF271" i="1"/>
  <c r="AF272" i="1" s="1"/>
  <c r="AF273" i="1" s="1"/>
  <c r="AA271" i="1"/>
  <c r="AA272" i="1" s="1"/>
  <c r="AA273" i="1" s="1"/>
  <c r="AI271" i="1"/>
  <c r="AI272" i="1" s="1"/>
  <c r="AI273" i="1" s="1"/>
  <c r="AD271" i="1"/>
  <c r="AD272" i="1" s="1"/>
  <c r="AD273" i="1" s="1"/>
  <c r="Y271" i="1"/>
  <c r="Y272" i="1" s="1"/>
  <c r="Y273" i="1" s="1"/>
  <c r="AG271" i="1"/>
  <c r="AG272" i="1" s="1"/>
  <c r="AG273" i="1" s="1"/>
  <c r="AB271" i="1"/>
  <c r="AB272" i="1" s="1"/>
  <c r="AB273" i="1" s="1"/>
  <c r="R269" i="1"/>
  <c r="Q269" i="1"/>
  <c r="R270" i="1" l="1"/>
  <c r="U270" i="1" s="1"/>
  <c r="R271" i="1"/>
  <c r="U271" i="1" s="1"/>
  <c r="Q271" i="1"/>
  <c r="T271" i="1" s="1"/>
  <c r="Q270" i="1"/>
  <c r="T270" i="1" s="1"/>
</calcChain>
</file>

<file path=xl/sharedStrings.xml><?xml version="1.0" encoding="utf-8"?>
<sst xmlns="http://schemas.openxmlformats.org/spreadsheetml/2006/main" count="1821" uniqueCount="1263">
  <si>
    <t>Language</t>
  </si>
  <si>
    <t>Grammar</t>
  </si>
  <si>
    <t>onset</t>
  </si>
  <si>
    <t>coda</t>
  </si>
  <si>
    <t>notes</t>
  </si>
  <si>
    <t>StopInv</t>
  </si>
  <si>
    <t>Loss</t>
  </si>
  <si>
    <t>Creole Portugese</t>
  </si>
  <si>
    <t>Principense</t>
  </si>
  <si>
    <t>Maurer  09</t>
  </si>
  <si>
    <t>p _x0008_ɓ m f v kp gb t ɗ n r s z l ʃ ʒ tʃ ɲ _x0008_ʎ k d ŋ</t>
  </si>
  <si>
    <t>ʃ r l</t>
  </si>
  <si>
    <t>s-ʃ z-ʒ t~tʃ complementary dist</t>
  </si>
  <si>
    <t>CODA no stops, no s z ʒ ʎ</t>
  </si>
  <si>
    <t>No</t>
  </si>
  <si>
    <t>p t k kp</t>
  </si>
  <si>
    <t>NoCoda</t>
  </si>
  <si>
    <t>Creole French</t>
  </si>
  <si>
    <t>Hatian Creole</t>
  </si>
  <si>
    <t>Valdman 14</t>
  </si>
  <si>
    <t>p b f v m w t d s z n l tʃ dʒ ʃ ʒ j ɥ k g (ŋ) ɣ (h)</t>
  </si>
  <si>
    <t>no ɣ</t>
  </si>
  <si>
    <t>tough to figure out codas</t>
  </si>
  <si>
    <t>velar fric lost</t>
  </si>
  <si>
    <t>p t k</t>
  </si>
  <si>
    <t>creole english</t>
  </si>
  <si>
    <t>West African Pidgin</t>
  </si>
  <si>
    <t>Schneider 66</t>
  </si>
  <si>
    <t>p b f m w d t s n r dʒ tʃ ʃ ɲ j g k h?  l</t>
  </si>
  <si>
    <t>p f m t s n l ʃ k ŋ</t>
  </si>
  <si>
    <t>no voiced stops, or affricates, or r</t>
  </si>
  <si>
    <t>Creole English</t>
  </si>
  <si>
    <t>Japanese Pidgin English in Hawaii</t>
  </si>
  <si>
    <t>Nagara 72</t>
  </si>
  <si>
    <t>p b t-tʃ-ts-ɾ d dʒ-ʒ-z-d k g ɸ-x-h s z m n ɾ</t>
  </si>
  <si>
    <t>nasals s (like japanese maybe with s)</t>
  </si>
  <si>
    <t>Tok Pisin</t>
  </si>
  <si>
    <t>Wurm/ laycock 84</t>
  </si>
  <si>
    <t>p t k b d g mp nt ŋk mb nd ŋg m n ŋ w l y s h ɾ</t>
  </si>
  <si>
    <t>p t k m n ŋ w l y s ɾ  (some iffiness here)</t>
  </si>
  <si>
    <t>p and k fricatives initially Kwoma</t>
  </si>
  <si>
    <t>no voiced stops, or prenasalized stops, or h</t>
  </si>
  <si>
    <t>Cariban, Waiwai</t>
  </si>
  <si>
    <t>Wai Wai</t>
  </si>
  <si>
    <t>Derbyshire Pullum 86</t>
  </si>
  <si>
    <t>t s ʃ tʃ n ɲ r ɽ j k m ɸ w h</t>
  </si>
  <si>
    <t>m n w j</t>
  </si>
  <si>
    <t>Hawkins</t>
  </si>
  <si>
    <t>only glides and m n, losing ɲ</t>
  </si>
  <si>
    <t>na</t>
  </si>
  <si>
    <t>t k</t>
  </si>
  <si>
    <t>Maipurean</t>
  </si>
  <si>
    <t>Warekena</t>
  </si>
  <si>
    <t xml:space="preserve">p* t k b d g? ʃ h? ts tʃ dʒ? m n ɲ? ɻ* w j </t>
  </si>
  <si>
    <t xml:space="preserve">m n ɻ </t>
  </si>
  <si>
    <t>Aikhenvald</t>
  </si>
  <si>
    <t>* p→b word iniitally sometimes ɻ not stem initial</t>
  </si>
  <si>
    <t>only nasals and ɻ</t>
  </si>
  <si>
    <t>Cariban, Central</t>
  </si>
  <si>
    <t>Apalai</t>
  </si>
  <si>
    <t>p t k ʔ m n z s ʃ ɾ j</t>
  </si>
  <si>
    <t>ʔ ʃ</t>
  </si>
  <si>
    <t>Koehn and Koehn</t>
  </si>
  <si>
    <t>only glottals and ʃ</t>
  </si>
  <si>
    <t>p t k ʔ</t>
  </si>
  <si>
    <t>Jean</t>
  </si>
  <si>
    <t>Canela-Kraho</t>
  </si>
  <si>
    <t>p t k ts kʰ m n ŋ v l j h</t>
  </si>
  <si>
    <t>No restriction?</t>
  </si>
  <si>
    <t>Popjes and Popyes</t>
  </si>
  <si>
    <t>Muran</t>
  </si>
  <si>
    <t>Piraha</t>
  </si>
  <si>
    <t xml:space="preserve">p t ʔ k_x0008_=(hi?) b g s h </t>
  </si>
  <si>
    <t>none</t>
  </si>
  <si>
    <t>Everett</t>
  </si>
  <si>
    <t>Uto-Aztecan</t>
  </si>
  <si>
    <t>Sonora Yaqui</t>
  </si>
  <si>
    <t>Dedrick, Casad 99</t>
  </si>
  <si>
    <t xml:space="preserve">p t k ʔ b bw tʃ s h m n w j l r </t>
  </si>
  <si>
    <t>p t k s h m n l</t>
  </si>
  <si>
    <t>no ʔ, or voiced stop or glide or r</t>
  </si>
  <si>
    <t>ʔ</t>
  </si>
  <si>
    <t>Wintuan</t>
  </si>
  <si>
    <t>Wintu</t>
  </si>
  <si>
    <t>Pitkin 84</t>
  </si>
  <si>
    <t xml:space="preserve">p t k q ʔ _x0008_ʎ s h w l y m n p' t' ʎ' c' k' q' ph th c b d r* f dʒ x χ </t>
  </si>
  <si>
    <t>p t k q ʔ _x0008_ʎ s h w l y m n θ-(ʎ)</t>
  </si>
  <si>
    <t>c is tʃ</t>
  </si>
  <si>
    <t>no laryngeal contrast, or affricates or f</t>
  </si>
  <si>
    <t>p t k q ʔ</t>
  </si>
  <si>
    <t>Mayan, Yucatecan</t>
  </si>
  <si>
    <t>Itzaj mayan</t>
  </si>
  <si>
    <t>Hofling 00</t>
  </si>
  <si>
    <t xml:space="preserve">p t k p' t' k' b' (d' g) ts ts' tʃ tʃ' s x h (f) l r* m n w j </t>
  </si>
  <si>
    <t>*r is only in loans and onomatopoea/sound symbolism</t>
  </si>
  <si>
    <t>k</t>
  </si>
  <si>
    <t>Algic, Algonquian</t>
  </si>
  <si>
    <t>Arapaho</t>
  </si>
  <si>
    <t>Cowell 08</t>
  </si>
  <si>
    <t xml:space="preserve">b t k (ʔ) θ s n x (h) w j </t>
  </si>
  <si>
    <t xml:space="preserve">b t k ʔ θ s n x h w j </t>
  </si>
  <si>
    <t>h is epenthetic ʔ is rare</t>
  </si>
  <si>
    <t>epenthetic I between morphemes</t>
  </si>
  <si>
    <t>Athabaskan, Apachean</t>
  </si>
  <si>
    <t>Navaho</t>
  </si>
  <si>
    <t>Haile 26 74</t>
  </si>
  <si>
    <t>b m w k t' k' ts' tʃ' tl' tʃ ts dz j tl tx x ɣ j s ʃ z ʒ g d n l ɬ</t>
  </si>
  <si>
    <t>s ʃ z ʒ g d n l ɬ</t>
  </si>
  <si>
    <t>v old and weird</t>
  </si>
  <si>
    <t>no bilabial stop, or ejectives, or affricates or velar frics</t>
  </si>
  <si>
    <t>b</t>
  </si>
  <si>
    <t>b d g</t>
  </si>
  <si>
    <t>Cariban, South</t>
  </si>
  <si>
    <t>Kalapalo</t>
  </si>
  <si>
    <t>Basso 12</t>
  </si>
  <si>
    <t>p t k kw d g dy mb ɸ s z ʃ ʒ ts tʃ m n ɲ ŋ l w y G h</t>
  </si>
  <si>
    <t>h</t>
  </si>
  <si>
    <t>no</t>
  </si>
  <si>
    <t>Zoquean</t>
  </si>
  <si>
    <t>Sierra Popoluca</t>
  </si>
  <si>
    <t>Boudreault 09</t>
  </si>
  <si>
    <t>p t k ʔ ts m n ɲ *ŋ s ʃ h w j</t>
  </si>
  <si>
    <t>p t k ʔ m n ɲ ŋ ts tʃ s ʃ h j</t>
  </si>
  <si>
    <t>*not word initial</t>
  </si>
  <si>
    <t>Otomanguean, Zapotecan</t>
  </si>
  <si>
    <t>Teotepec Chatino</t>
  </si>
  <si>
    <t>McIntosh 11</t>
  </si>
  <si>
    <t>p t d ty k g kw ʔ ts tʃ s ʃ m n ny ɾ l ly w j h</t>
  </si>
  <si>
    <t>p t c k ʔ</t>
  </si>
  <si>
    <t>p t c k</t>
  </si>
  <si>
    <t>Arara</t>
  </si>
  <si>
    <t>Alves 10</t>
  </si>
  <si>
    <t>p b t d m n tʃ ɾ l w k g ŋ</t>
  </si>
  <si>
    <t>p t k m n ŋ</t>
  </si>
  <si>
    <t>no voiced stops, or affricates or approximants</t>
  </si>
  <si>
    <t>Nambikwara</t>
  </si>
  <si>
    <t>Sabanê</t>
  </si>
  <si>
    <t>Anutnes 04</t>
  </si>
  <si>
    <t>p t k ɓ ɗ m n s h l w j</t>
  </si>
  <si>
    <t>w j n ʔ</t>
  </si>
  <si>
    <t>no stops, only alveolar nasals</t>
  </si>
  <si>
    <t>Puinavean, Cacua</t>
  </si>
  <si>
    <t>Kakua</t>
  </si>
  <si>
    <t xml:space="preserve">Bolanos-Quinonez </t>
  </si>
  <si>
    <t>p t k ʔ b d b' d' f h l w j w' j'</t>
  </si>
  <si>
    <t>p t k ʔ b d g b' d' g' h w j w' j'</t>
  </si>
  <si>
    <t>velar stops only in codas, Vaupés areal feature?</t>
  </si>
  <si>
    <t>Maipurean, northern</t>
  </si>
  <si>
    <t>Arawak</t>
  </si>
  <si>
    <t>Brandão 14</t>
  </si>
  <si>
    <t>b t tʲ k m n ɾ l f θ h ts w j</t>
  </si>
  <si>
    <t xml:space="preserve">none </t>
  </si>
  <si>
    <t>Tucanoan</t>
  </si>
  <si>
    <t>Kubeo</t>
  </si>
  <si>
    <t>Chacon 12</t>
  </si>
  <si>
    <t>p t tʃ k b d dʒ w r j ð h</t>
  </si>
  <si>
    <t>p t tʃ k</t>
  </si>
  <si>
    <t>Panoan</t>
  </si>
  <si>
    <t>Matses</t>
  </si>
  <si>
    <t>Fleck 03</t>
  </si>
  <si>
    <t>p t k b d m n s ʂ ʃ ts tʂ tʃ</t>
  </si>
  <si>
    <t>no velar or affricates or bilabial nasals</t>
  </si>
  <si>
    <t>Isolate</t>
  </si>
  <si>
    <t>Movima</t>
  </si>
  <si>
    <t>Haude 06</t>
  </si>
  <si>
    <t>p t k kw ɓ ɗ tʃ β s ɬ m n l r w j</t>
  </si>
  <si>
    <t>p t ʔ s* h ɬ m n l w j jʔ</t>
  </si>
  <si>
    <t>* s debuccalizes word finally</t>
  </si>
  <si>
    <t>no velar stops, or voiced stops, only alveolar fricatives</t>
  </si>
  <si>
    <t>Trumai</t>
  </si>
  <si>
    <t>Guiradello 99</t>
  </si>
  <si>
    <t xml:space="preserve">p t̪ t k d ʔ* m n f s ʃ x h(*) ts ts' t̪' t' k' ɾ l ɬ w j </t>
  </si>
  <si>
    <t>* ʔ not at word edges, h not word final disappearing word initial</t>
  </si>
  <si>
    <t>NOTE, interesting voiced top inventory, as well as nasals? And ejectives?</t>
  </si>
  <si>
    <t xml:space="preserve">only alveolar voiced, no bilabial ejectives, no velar nasal </t>
  </si>
  <si>
    <t>p t̪ t k ʔ</t>
  </si>
  <si>
    <t>Guaykuruan, South</t>
  </si>
  <si>
    <t>Mocoví</t>
  </si>
  <si>
    <t>Grondona 98</t>
  </si>
  <si>
    <t>p t k q ʔ d tʃ dʒ s ʃ ɣ G h* m n ɲ l ʎ ɾ w j</t>
  </si>
  <si>
    <t>p t k q ʔ s m n l j</t>
  </si>
  <si>
    <t>* h is only word medial, also ɾ goes to ʔ finally, no pals in coda (except j)</t>
  </si>
  <si>
    <t>no voiced codas, also no palatals</t>
  </si>
  <si>
    <t>Cariban</t>
  </si>
  <si>
    <t>Tiriyo</t>
  </si>
  <si>
    <t>Meira 99</t>
  </si>
  <si>
    <t>p t k s h m n r j w</t>
  </si>
  <si>
    <t>ŋ h</t>
  </si>
  <si>
    <t>only velar codas</t>
  </si>
  <si>
    <t>Jean, Northern</t>
  </si>
  <si>
    <t>Apinajé</t>
  </si>
  <si>
    <t>oliveira 05</t>
  </si>
  <si>
    <t>p t k ʔ mb nd tʃ ɲdʒ f s m n ɲ ŋ ɾ j w</t>
  </si>
  <si>
    <t>p t k ʔ  tʃ  f s m n ɲ ɾ j w</t>
  </si>
  <si>
    <t xml:space="preserve">* voiceless stops often voice in unstressed syllables or word final voicing?(with ghost vowel epenthesis.) </t>
  </si>
  <si>
    <t>no voiced codas</t>
  </si>
  <si>
    <t>Sálivan, Piaroa-Maco</t>
  </si>
  <si>
    <t>Mako</t>
  </si>
  <si>
    <t>Labrada 15</t>
  </si>
  <si>
    <t>pʰ tʰ kʷ p t k ʔ b d ʔb ʔd h hʷ ts tʃ dʒ ʔdʒ m n l w ʔw</t>
  </si>
  <si>
    <t>ʔ is word medial</t>
  </si>
  <si>
    <t>no velar voiced or aspirated or glottalized</t>
  </si>
  <si>
    <t>Wayana</t>
  </si>
  <si>
    <t>Tavares 05</t>
  </si>
  <si>
    <t>p t k m n ɽ w j h</t>
  </si>
  <si>
    <t>p t k m n w j h*</t>
  </si>
  <si>
    <t>might have verb v noun segmental stuff</t>
  </si>
  <si>
    <t>stops turn to h before homoorganic things</t>
  </si>
  <si>
    <t xml:space="preserve">pɽ-&gt; gɽ a lot </t>
  </si>
  <si>
    <t>nasal velar finally</t>
  </si>
  <si>
    <t>Tupian, Tupí-Guaraní</t>
  </si>
  <si>
    <t>Kokama-Kokamilla</t>
  </si>
  <si>
    <t>Vallejos 10</t>
  </si>
  <si>
    <t xml:space="preserve">p t k x ts tʃ m n r w j </t>
  </si>
  <si>
    <t xml:space="preserve">w j n r </t>
  </si>
  <si>
    <t>Sino-Tibetan</t>
  </si>
  <si>
    <t>Classical Tibetan</t>
  </si>
  <si>
    <t>Beyer 92</t>
  </si>
  <si>
    <t xml:space="preserve">p t k ʔ b d g ph th kh m n ɲ ŋ ts tʃ dz dʒ tsh tʃh s ʃ z h w l r j </t>
  </si>
  <si>
    <t>d n r l s ŋ b m</t>
  </si>
  <si>
    <t>modern literary tibetan</t>
  </si>
  <si>
    <t>Goldstein 91</t>
  </si>
  <si>
    <t xml:space="preserve">g k kh ŋ dʒ tʃ tʃh ɲ d t th n b p ph m dz ts(?) tsh w ʃ s j r l ʃ? S? h  </t>
  </si>
  <si>
    <t>g (falling) ŋ (nasalization) m b r (lengthen) n?</t>
  </si>
  <si>
    <t xml:space="preserve">may be that voicing is lost, aspiration contrast, and tonal vowel contrast with free variation for low tone </t>
  </si>
  <si>
    <t>Tibetan dialects tend to treat final stops rather differently  (Jashke 1883-1989)</t>
  </si>
  <si>
    <t>Sino-Tibetan, Himalayan</t>
  </si>
  <si>
    <t>Athpare</t>
  </si>
  <si>
    <t>Ebert 97</t>
  </si>
  <si>
    <t>p t k ph th kh m n ŋ l r w j ʔ</t>
  </si>
  <si>
    <t xml:space="preserve">p t k m n ŋ </t>
  </si>
  <si>
    <t>p t k in coda are unreleased and seem to vary with ʔ</t>
  </si>
  <si>
    <t>place assimilation is regressive???</t>
  </si>
  <si>
    <t>Dumi</t>
  </si>
  <si>
    <t>van Driem 93</t>
  </si>
  <si>
    <t>p t ʈ k ph th ʈh kh b d ɖ g bh dh ɖh gh m n ŋ dz j r l w s h ʔ</t>
  </si>
  <si>
    <t>p t k m n ŋ j l r ʔ s?</t>
  </si>
  <si>
    <t>retroflex are loan wordy</t>
  </si>
  <si>
    <t>maybe glottal stop and t are allophonic, tho both appear before s</t>
  </si>
  <si>
    <t>p t ʈ k ʔ</t>
  </si>
  <si>
    <t>ʈ ʔ</t>
  </si>
  <si>
    <t>Limbu</t>
  </si>
  <si>
    <t>van Driem 87</t>
  </si>
  <si>
    <t xml:space="preserve">k kh t th n p ph m tɕ l w j s ɦ (ʔ ŋ)* (g gh dz dzh ʈ ʈh ɖ ɖh d b bh r)** </t>
  </si>
  <si>
    <t xml:space="preserve">k ŋ t th n p ph b m ʔ </t>
  </si>
  <si>
    <t>**loan words</t>
  </si>
  <si>
    <t>t word final is often lateralized</t>
  </si>
  <si>
    <t>Sino-Tibetan, Burmish</t>
  </si>
  <si>
    <t>Colloquial Burmese</t>
  </si>
  <si>
    <t>Okell 69</t>
  </si>
  <si>
    <t>p t k c s θ ŋ n m ɲ l w j r h kh th ph ch sh ŋh nh mh ɲh lh wh yh g b d dʒ z ð</t>
  </si>
  <si>
    <t xml:space="preserve">ʔ </t>
  </si>
  <si>
    <t>Sino-Tibetan, Tani</t>
  </si>
  <si>
    <t>Mising</t>
  </si>
  <si>
    <t>Prasad 91</t>
  </si>
  <si>
    <t>p t k b d g ts* z m n ŋ (ɲ) l r j w*</t>
  </si>
  <si>
    <t xml:space="preserve">p t k (b d g)*** s* m n ŋ l r </t>
  </si>
  <si>
    <t>*ts is s initially</t>
  </si>
  <si>
    <t>*w is not word initial</t>
  </si>
  <si>
    <t>***b d g are free varying with p t k in final coda or voicign assimilation</t>
  </si>
  <si>
    <t>Tai-Kadai, Gelao</t>
  </si>
  <si>
    <t>Zoulei, Southwest China</t>
  </si>
  <si>
    <t>Li, Li, Luo 14</t>
  </si>
  <si>
    <t xml:space="preserve">p t k q ʔ ph th kh qh d ts tɕ tsh tɕh m n ŋ l ɭ f s ɬ ɕ χ h v z ʑ ɣ ʁ w j </t>
  </si>
  <si>
    <t>n ŋ</t>
  </si>
  <si>
    <t xml:space="preserve">(also only initial clusters are labials and l,  ie pl bl vl ml </t>
  </si>
  <si>
    <t>aspirated stops are rare</t>
  </si>
  <si>
    <t>Tai-Kadai, Tai</t>
  </si>
  <si>
    <t>Thai</t>
  </si>
  <si>
    <t>Noss 64</t>
  </si>
  <si>
    <t>b d g* ph th ch kh p t c k m n ŋ w l j r f s h ʔ**</t>
  </si>
  <si>
    <t>b d g m n ŋ w j (f s l)</t>
  </si>
  <si>
    <t>*g not initial</t>
  </si>
  <si>
    <t>** ʔ only epenthetic initial and final based on stress</t>
  </si>
  <si>
    <t>Austro-Asiatic, Bahnaric</t>
  </si>
  <si>
    <t>Chrau</t>
  </si>
  <si>
    <t>Thomas 71</t>
  </si>
  <si>
    <t xml:space="preserve">p t tʃ k ʔ ɓ ɗ v d dʒ g m n ɲ ŋ w j l r s h </t>
  </si>
  <si>
    <t>p t tʃ k ʔ m n ɲ ŋ w l r j s h</t>
  </si>
  <si>
    <t>Austro-Asiatic, Viet-Muong</t>
  </si>
  <si>
    <t>Vietnamese</t>
  </si>
  <si>
    <t>Thompson 65</t>
  </si>
  <si>
    <t>t c k ʔ b d f th s x h v l z ɣ m n ɲ ŋ</t>
  </si>
  <si>
    <t>j w p m t n c ɲ k ŋ</t>
  </si>
  <si>
    <t>t c k ʔ</t>
  </si>
  <si>
    <t>Dravidian, Tamil-Kannada</t>
  </si>
  <si>
    <t>Kannada</t>
  </si>
  <si>
    <t>Sridhar 90</t>
  </si>
  <si>
    <t xml:space="preserve">p t ʈ tʃ k b d ɖ dʒ g* (f) s ʂ ʃ h (z) m n ɳ v l ɭ j r </t>
  </si>
  <si>
    <t>* stops all have aspirated counter parts, ʈh ɖh do not appear word initially neither does ɳ or ɭ</t>
  </si>
  <si>
    <t>p t ʈ c k</t>
  </si>
  <si>
    <t>Austronesian, Malay</t>
  </si>
  <si>
    <t>Kerinci</t>
  </si>
  <si>
    <t>Prentice and Usman 83 in Wurm  Carrington</t>
  </si>
  <si>
    <t xml:space="preserve">p t c k ʔ b d ɟ g m n ɲ ŋ w s z j r l h </t>
  </si>
  <si>
    <t>ʔ ŋ h (t n)</t>
  </si>
  <si>
    <t>t and n appear in non-utterance final codas (n instead of ŋ (also after front vowels, t for malay p, t, ʔ for k,ʔ)</t>
  </si>
  <si>
    <t>p m and s in coda only in loanwords (Steinhauer Usamn same place)</t>
  </si>
  <si>
    <t>p k</t>
  </si>
  <si>
    <t>p c k</t>
  </si>
  <si>
    <t>Negri-Sembilan</t>
  </si>
  <si>
    <t>p t c k ʔ b d ɟ g m n ɲ ŋ w s z j r l h (probably)</t>
  </si>
  <si>
    <t>(p) ʔ (m) n ŋ (t)</t>
  </si>
  <si>
    <t>bilabials only after back vowels, no t after a.</t>
  </si>
  <si>
    <t xml:space="preserve">k </t>
  </si>
  <si>
    <t>c k</t>
  </si>
  <si>
    <t>Bahasa Indonesian</t>
  </si>
  <si>
    <t>Lapoliwa 81</t>
  </si>
  <si>
    <t>p t k b d g s h tɕ sʑ m n ɲ ŋ l r w j</t>
  </si>
  <si>
    <t xml:space="preserve">p t ʔ s ~h m n ŋ l r w j </t>
  </si>
  <si>
    <t>Austronesian, Javanese</t>
  </si>
  <si>
    <t>Javanese</t>
  </si>
  <si>
    <t>Dudas 76</t>
  </si>
  <si>
    <t xml:space="preserve">p t ƭ c k b d ɗ ɟ g m n ɲ ŋ mb nd ɳɖ ɲɟ ŋg l lh w r s h </t>
  </si>
  <si>
    <t>p t k ʔ b d g m n ɲ ŋ l lh r s h</t>
  </si>
  <si>
    <t>p t ʈ c k ʔ</t>
  </si>
  <si>
    <t>ʈ c</t>
  </si>
  <si>
    <t>Austronesian, Batak</t>
  </si>
  <si>
    <t>Toba Batak</t>
  </si>
  <si>
    <t>Van der Tuuk 1864 (1971)</t>
  </si>
  <si>
    <t>p t (tj) k b d dj g m n (nj) ŋ w j l r s h</t>
  </si>
  <si>
    <t>p t k m n ŋ l r (h)*</t>
  </si>
  <si>
    <t>h in Dairi dialect</t>
  </si>
  <si>
    <t>Austronesian, Minahasan</t>
  </si>
  <si>
    <t>Tondano</t>
  </si>
  <si>
    <t>Sneddon 75</t>
  </si>
  <si>
    <t xml:space="preserve">p t k  ʔ b d g m n ŋ v ɣ r s l j </t>
  </si>
  <si>
    <t xml:space="preserve">p t k ʔ m n ŋ v ɣ r s l j </t>
  </si>
  <si>
    <t>ʔ not initial</t>
  </si>
  <si>
    <t>Austronesian, Philippine</t>
  </si>
  <si>
    <t>Cebuano</t>
  </si>
  <si>
    <t>Bunye Yap 71</t>
  </si>
  <si>
    <t>p t k (ʔ) b d g m n ŋ l r w j s h</t>
  </si>
  <si>
    <t>p t k ʔ b d g m n ŋ l r w j s h</t>
  </si>
  <si>
    <t>Hiligaynon</t>
  </si>
  <si>
    <t>Wolfenden71</t>
  </si>
  <si>
    <t>p t k ʔ b d g s h m n ŋ l ɾ w j</t>
  </si>
  <si>
    <t>Ilocano</t>
  </si>
  <si>
    <t>Rubino 00</t>
  </si>
  <si>
    <t>p t k (ʔ) b d g s ʃ tʃ dʒ l r w j m n ŋ (h)</t>
  </si>
  <si>
    <t>Kapampangan</t>
  </si>
  <si>
    <t>Forman 71</t>
  </si>
  <si>
    <t>p t k ʔ b d g tʃ dʒ m n ŋ s (h) l ɾ j w</t>
  </si>
  <si>
    <t>p t k ʔ b d g m n ŋ s (h) l (j w)</t>
  </si>
  <si>
    <t>h tends to delete in careful speech glides are rare in coda</t>
  </si>
  <si>
    <t>k g and b lenide intervocalically</t>
  </si>
  <si>
    <t>Tagalog</t>
  </si>
  <si>
    <t>Llamzon 76</t>
  </si>
  <si>
    <t>p t k b d g m n ŋ s h l r w j</t>
  </si>
  <si>
    <t xml:space="preserve">p t k b d g m n ŋ s ʔ l r w j </t>
  </si>
  <si>
    <t>Austronesian, Malekula</t>
  </si>
  <si>
    <t>Big Nambas</t>
  </si>
  <si>
    <t>Fox 79</t>
  </si>
  <si>
    <t>p_x0008_̺ p t k ⁿd m̺ m n l r θ̺ ɸ s x</t>
  </si>
  <si>
    <t>p̺ p t k</t>
  </si>
  <si>
    <t>Austronesian, Oceanic</t>
  </si>
  <si>
    <t>Boumaa Fijian</t>
  </si>
  <si>
    <t>Dixon 88</t>
  </si>
  <si>
    <t>p t k* ʔ ᵐb ⁿd ŋg m n ŋ r ⁿr β ð s l j w</t>
  </si>
  <si>
    <t>NONE</t>
  </si>
  <si>
    <t>k deletes except in loans but if two k's in the word they remain</t>
  </si>
  <si>
    <t>Kilivila</t>
  </si>
  <si>
    <t>Senft 86</t>
  </si>
  <si>
    <t>p t k ʔ b d g pw bw kw gw v s m n r l mw w j</t>
  </si>
  <si>
    <t>m</t>
  </si>
  <si>
    <t>Nimboran</t>
  </si>
  <si>
    <t>Anceaux 65</t>
  </si>
  <si>
    <t xml:space="preserve">p t k b d (g) m n ŋ r s h </t>
  </si>
  <si>
    <t>p b m (n) ŋ</t>
  </si>
  <si>
    <t>n maybe ŋ in coda, either way is rare</t>
  </si>
  <si>
    <t>Trans-New Guinea, Mountain</t>
  </si>
  <si>
    <t>Telefol</t>
  </si>
  <si>
    <t>Healey 64</t>
  </si>
  <si>
    <t>p t k b d m n ŋ* ɸ s w** j</t>
  </si>
  <si>
    <t>p t k m n ŋ l</t>
  </si>
  <si>
    <t>**only word initial</t>
  </si>
  <si>
    <t>Paamese</t>
  </si>
  <si>
    <t>Crowley 82</t>
  </si>
  <si>
    <t>p t k ᵐb ⁿd ŋg m n ŋ v s h l r j w</t>
  </si>
  <si>
    <t>p t k ᵐb ⁿd ŋg m n ŋ s h l r j w</t>
  </si>
  <si>
    <t>Puluwat</t>
  </si>
  <si>
    <t>Elbert 74</t>
  </si>
  <si>
    <t xml:space="preserve">p t tʃ k* pw m n ŋ mw f s h l r r w j </t>
  </si>
  <si>
    <t>* k is free varying with glides and deletion</t>
  </si>
  <si>
    <t>s is loan varies with h</t>
  </si>
  <si>
    <t>Tigak</t>
  </si>
  <si>
    <t>Beaumont 79</t>
  </si>
  <si>
    <t>p t k b g m n ŋ ɾ(d?) l β s</t>
  </si>
  <si>
    <t>p t k m n ŋ ɾ(d?) l s</t>
  </si>
  <si>
    <t>Yapese</t>
  </si>
  <si>
    <t>Jensen 77</t>
  </si>
  <si>
    <t>p t ʈ(s) k ʔ p' t' k' f θ ʂ h f' θ' b d g m n ŋ m' n' ŋ' l r l' w j</t>
  </si>
  <si>
    <t xml:space="preserve">p t ʈ(s) k ʔ p' t' k' f θ ʂ f' θ' b d g m n ŋ m' n' ŋ' l r l' w j w' j' </t>
  </si>
  <si>
    <t>Trans-New Guinea, Awyu-Dumut</t>
  </si>
  <si>
    <t>Korowai</t>
  </si>
  <si>
    <t>Enk, Lourens 97</t>
  </si>
  <si>
    <t xml:space="preserve">p t k b d ɟ* g ᵐb ⁿd ⁿg m n ɸ s x l w ɥ </t>
  </si>
  <si>
    <t>p k m n ɸ x l w</t>
  </si>
  <si>
    <t>t</t>
  </si>
  <si>
    <t>Mangap-mbula</t>
  </si>
  <si>
    <t>Bugenhagen 95</t>
  </si>
  <si>
    <t xml:space="preserve">p t k b d g mb nd ng s z m n ŋ l r w j </t>
  </si>
  <si>
    <t>p t k s m n ŋ l r</t>
  </si>
  <si>
    <t>Voicing harmony across long vowels???</t>
  </si>
  <si>
    <t>Ramu-Lower Sepik, Middle Ramu</t>
  </si>
  <si>
    <t>Rao</t>
  </si>
  <si>
    <t>Stanhope 80</t>
  </si>
  <si>
    <t xml:space="preserve">p t k ʔ b d g mb nd ng 'b 'd m n ŋ f* v s z tʃ dʒ w j </t>
  </si>
  <si>
    <t xml:space="preserve">s </t>
  </si>
  <si>
    <t>Trans-New Guinea, Chimbu-Wahgi</t>
  </si>
  <si>
    <t>Wahgi</t>
  </si>
  <si>
    <t>Phillips 76</t>
  </si>
  <si>
    <t>p t̪ t k mb n̪dz nd ŋg m n̪ n ŋ w j ( l̪ l ʟ)*</t>
  </si>
  <si>
    <t>p t̪ t k mb n̪dz nd m n̪ n ŋ l̪ l ʟ</t>
  </si>
  <si>
    <t>*no laterals word initial</t>
  </si>
  <si>
    <t>p t̪ t k</t>
  </si>
  <si>
    <t>Trans-New Guinea, Madang</t>
  </si>
  <si>
    <t>Waskia</t>
  </si>
  <si>
    <t>Ross 78</t>
  </si>
  <si>
    <t>p t k b d g s m n ŋ l r w j</t>
  </si>
  <si>
    <t>Australian, Pama-Nyungan</t>
  </si>
  <si>
    <t>Guugu Yimidhirr</t>
  </si>
  <si>
    <t>Haviland 79 in Dixon &amp; Blake</t>
  </si>
  <si>
    <t>b d̪ d ɗ dj g m n̪ n ɳ nj ŋ l ɾ ɹ w j</t>
  </si>
  <si>
    <t>ɾ ɹ l n n̪ j l</t>
  </si>
  <si>
    <t>wiki only has n and n̪ in coda</t>
  </si>
  <si>
    <t>p t̪ t ʈ c k</t>
  </si>
  <si>
    <t>Gumbaynggir</t>
  </si>
  <si>
    <t>Eades 79 in Dixon and Blake</t>
  </si>
  <si>
    <t>b d ɟ g m n ɲ ŋ (l r) w j</t>
  </si>
  <si>
    <t>m n ɲ ŋ l r w j</t>
  </si>
  <si>
    <t>* not word initial</t>
  </si>
  <si>
    <t>Yaygir</t>
  </si>
  <si>
    <t>Crowley 79 in Dixon and Blake</t>
  </si>
  <si>
    <t>b d ɟ g m n ɲ ŋ j w (ɽ r rh)* l*</t>
  </si>
  <si>
    <t>m n ɲ ŋ l r j</t>
  </si>
  <si>
    <t>Wargamay</t>
  </si>
  <si>
    <t>Dixon 81 in Dixon and Blake</t>
  </si>
  <si>
    <t>b d ɟ g m n ɲ ŋ l w j r ɹ</t>
  </si>
  <si>
    <t>j l r m n ɲ</t>
  </si>
  <si>
    <t>Mpakwithi (Anguthimri)</t>
  </si>
  <si>
    <t>Crowley 81 in Dixon and Blake</t>
  </si>
  <si>
    <t>p t ʈ t̪ c k ʔ m n n̪ ɲ ŋ b d ɗ d̪ ɟ g β l r ð ʒ ɣ ɹ j w</t>
  </si>
  <si>
    <t>j w</t>
  </si>
  <si>
    <t>Watjarri</t>
  </si>
  <si>
    <t>Douglas 81 in Dixon and Blake</t>
  </si>
  <si>
    <t>p t̪ t ʈ k m n̪ n ɳ ŋ l̪ l ɭ w j r ɹ**</t>
  </si>
  <si>
    <t>(t)* l̪ l ɭ n̪ n ɳ r ɹ</t>
  </si>
  <si>
    <t>apico-post-alveolars are retroflex here, *t is VERY rare in coda (2 words) ** l̪ ɹ ɭ ɳ r do not appear initially.</t>
  </si>
  <si>
    <t>Djapu (Yolngu)</t>
  </si>
  <si>
    <t>Morphy 83 in dixon and blake</t>
  </si>
  <si>
    <t>p t̪ t ʈ c k ɖ* m n̪ n ɳ ɲ ŋ l ɭ r ɹ w j</t>
  </si>
  <si>
    <t>p t ʈ c k m n ɳ ɲ ŋ l ɭ r ɹ w j</t>
  </si>
  <si>
    <t>*not initial</t>
  </si>
  <si>
    <t>p</t>
  </si>
  <si>
    <t>Dyirbal</t>
  </si>
  <si>
    <t>Dixon 72</t>
  </si>
  <si>
    <t xml:space="preserve">b d ɟ g m n ɲ ŋ w j ɽ l r </t>
  </si>
  <si>
    <t>m n ɲ l r ɽ j</t>
  </si>
  <si>
    <t>tk</t>
  </si>
  <si>
    <t>Kalkatungu</t>
  </si>
  <si>
    <t>Blake 79</t>
  </si>
  <si>
    <t>p ʈ t̪ c k m ɳ n̪ ɲ ŋ ɭ l̪ _x0008_ʎ ɽ j w (t n l r)*</t>
  </si>
  <si>
    <t>n l r ɳ ɭ ɽ</t>
  </si>
  <si>
    <t>pk</t>
  </si>
  <si>
    <t>Maung</t>
  </si>
  <si>
    <t>Capell Hinch 70</t>
  </si>
  <si>
    <t>b d ɖ ɟ g m n ɳ ɲ* ŋ l ɭ r ɽ* w j ɣ* ɹ</t>
  </si>
  <si>
    <t>b d ɖ ɟ g m n ɳ ɲ ŋ l ɭ r ɽ* w j ɣ* ɹ</t>
  </si>
  <si>
    <t>*not initial or final</t>
  </si>
  <si>
    <t>pt</t>
  </si>
  <si>
    <t>Ngandi</t>
  </si>
  <si>
    <t>Heath 78</t>
  </si>
  <si>
    <t>p t̪ t ʈ c k b d̪ d ɖ ɟ g m (n̪) n ɳ ɲ ŋ (l_x0008_̪) l ɭ r ɽ j w *ʔ</t>
  </si>
  <si>
    <t>p t ʈ c k m n ɳ ɲ ŋ l ɭ r ɽ w j ʔ</t>
  </si>
  <si>
    <t>maybe alveolars are retroflexed word initially</t>
  </si>
  <si>
    <t>ptk</t>
  </si>
  <si>
    <t>Yindjibarndi</t>
  </si>
  <si>
    <t>Wordick 82</t>
  </si>
  <si>
    <t>p t̪ t ʈ c k m n̪ n ɳ ɲ ŋ w j̪ j r ɽ l ɭ</t>
  </si>
  <si>
    <t>t ʈ c n ɳ ɲ r (m ɲ p)</t>
  </si>
  <si>
    <t>apicals (alv and ret don't appear initially)</t>
  </si>
  <si>
    <t>Kemantney</t>
  </si>
  <si>
    <t>Lyew 03</t>
  </si>
  <si>
    <t xml:space="preserve">b t d k g f h s z ʃ x ɣ dʒ m n ŋ*l r* w j </t>
  </si>
  <si>
    <t xml:space="preserve">t d k g h s z ʃ x ɣ m n ŋ*l r* w j </t>
  </si>
  <si>
    <t>Ts'amakko</t>
  </si>
  <si>
    <t>Savà 05</t>
  </si>
  <si>
    <t>p t k ʔ b d g s ʃ x ħ h _x0008_ʕ ɗ ɠ ts' c' q' w j r m n l</t>
  </si>
  <si>
    <t>p t k ʔ b d g s ʃ x ħ ʕ h ts' ɗ ɠ q' w r m n l</t>
  </si>
  <si>
    <t>Khoisan</t>
  </si>
  <si>
    <t>Sandawe</t>
  </si>
  <si>
    <t>Steeman 78</t>
  </si>
  <si>
    <t xml:space="preserve">p t k ʔ ph th kh b d g m n ŋ f s x h ɬ ts tsh dz tɬ dlʒ k' ts' tɬ' l r j w | ! ǁ ǀh !h ǁh ǀ' !' ǁ' ŋǀ ŋ! Ŋǁ </t>
  </si>
  <si>
    <t>w j m n* ʔ</t>
  </si>
  <si>
    <t>*homoorganic nasals</t>
  </si>
  <si>
    <t>Nzadi</t>
  </si>
  <si>
    <t>Crane, Hyman, Tukumu 2011</t>
  </si>
  <si>
    <t>p t k kp b d bv ts dz f s v z m n l j w</t>
  </si>
  <si>
    <t xml:space="preserve">p t k m n l r </t>
  </si>
  <si>
    <t>Shupamem</t>
  </si>
  <si>
    <t>Nchare 2012</t>
  </si>
  <si>
    <t>p t k kp mb nd ŋg gb f s ʃ ɣ v m ɱ n ɲ ŋ w l r j</t>
  </si>
  <si>
    <t>t p  ʔ m n ŋ</t>
  </si>
  <si>
    <t>Aghem</t>
  </si>
  <si>
    <t>Hyman 1979</t>
  </si>
  <si>
    <t>p* t k kp* b d g gb* f s ʃ v z ʒ ɣ pf ts tʃ bv dz dʒl j w m n ɲ ŋ** ŋm**</t>
  </si>
  <si>
    <t>m n ŋ ʔ</t>
  </si>
  <si>
    <t>*p only before u, kp gb both very rare; ** ŋ and ŋm are rare</t>
  </si>
  <si>
    <t>Bafut</t>
  </si>
  <si>
    <t>Tamanji 2011</t>
  </si>
  <si>
    <t>t tw k (ʔ)* b d g m n ɲ ŋ nt ŋk mb nd ŋg f s ʃ z ʒ ɣ ts tʃ kx dz dʒ nts ntʃ ndz ndʒ l r w j</t>
  </si>
  <si>
    <t>m n ɲ ŋ (ʔ)</t>
  </si>
  <si>
    <t>*ʔ only appears where it could be syllable final, but there is an echo vowel</t>
  </si>
  <si>
    <t>Ejagham</t>
  </si>
  <si>
    <t>Watters 1981</t>
  </si>
  <si>
    <t>p t k kp b d g gb f s tʃ dʒ r m n ɲ ŋ j w</t>
  </si>
  <si>
    <t>Kom</t>
  </si>
  <si>
    <t>Shultz 1997</t>
  </si>
  <si>
    <t>t c k b d j g f s v z ɣ m n (ɲ) ŋ w l j</t>
  </si>
  <si>
    <t>m n l ɲ f s ʔ</t>
  </si>
  <si>
    <t>ɲ and n are complementary in onset</t>
  </si>
  <si>
    <t>Kuteb</t>
  </si>
  <si>
    <t>Koops 2009</t>
  </si>
  <si>
    <t>p t k b (d) (g) ts c mb nd nj ŋg f s ʃ h (v z) nz m n ŋ r l</t>
  </si>
  <si>
    <t>p t k  m n ŋ</t>
  </si>
  <si>
    <t>d is in many loan words</t>
  </si>
  <si>
    <t>grammar calls final p t k -- b r g. koops 90 says they are [p r k]</t>
  </si>
  <si>
    <t>Mungbam</t>
  </si>
  <si>
    <t>Lovegren 2013</t>
  </si>
  <si>
    <t>(p) t k kp b d g gb f s ɕ ts tɕ dz dʒ w j l m n ɲ ŋ</t>
  </si>
  <si>
    <t>m n ŋ</t>
  </si>
  <si>
    <t>p is only in one word [b f s h m n ŋ] stem internal</t>
  </si>
  <si>
    <t>Noni</t>
  </si>
  <si>
    <t>Hyman 1981</t>
  </si>
  <si>
    <t>t c k b d j g f s ʃ w l j ɣ m n ɲ ŋ</t>
  </si>
  <si>
    <t>m n ŋ w j ʔ</t>
  </si>
  <si>
    <t>Jamsay</t>
  </si>
  <si>
    <t>Heath 2008</t>
  </si>
  <si>
    <t>p t tʃ k b d dʒ g m n ɲ ŋ* s l w (r)* j (w̃ r̃ j̃)</t>
  </si>
  <si>
    <t>m n ŋ w r j w̃ r̃ j̃</t>
  </si>
  <si>
    <t>*r is rare initially, nasalized resonants are banned</t>
  </si>
  <si>
    <t>Nanga</t>
  </si>
  <si>
    <t>Heath 2010</t>
  </si>
  <si>
    <t>p t tʃ k b d dʒ g m n ɲ ŋ s l w r j _x0008_r̃ j̃</t>
  </si>
  <si>
    <t>m n ŋ w r j r̃ j̃</t>
  </si>
  <si>
    <t>Tommo So</t>
  </si>
  <si>
    <t>McPherson 2011</t>
  </si>
  <si>
    <t>p t k b d g dʒ m n ɲ ŋ s h j r l</t>
  </si>
  <si>
    <t>m n ɲ ŋ* j r l k*</t>
  </si>
  <si>
    <t>*velars in ideophnoes</t>
  </si>
  <si>
    <t>Beng</t>
  </si>
  <si>
    <t>Paperno 2014</t>
  </si>
  <si>
    <t>p t tʃ k kp b d dʒ g gb f s v z m n ɲ ŋ ŋm l j w</t>
  </si>
  <si>
    <t>ŋ</t>
  </si>
  <si>
    <t>Bandi</t>
  </si>
  <si>
    <t>Grossman 1992</t>
  </si>
  <si>
    <t>p t k kp b d g gb mb nd ndʒ ŋg ŋgb f s v ɣ w l j h m n ɲ ŋ</t>
  </si>
  <si>
    <t>Faranah-Maninka</t>
  </si>
  <si>
    <t>Spears 1965</t>
  </si>
  <si>
    <t>p t k b d g gb f s m n ɲ j r l</t>
  </si>
  <si>
    <t>m n ɲ r</t>
  </si>
  <si>
    <t>Jalonke</t>
  </si>
  <si>
    <t>Lupke 2005</t>
  </si>
  <si>
    <t>p t k b d ɟ g m n ɲ ŋ ɾ f s χ h j l w</t>
  </si>
  <si>
    <t>Zialo</t>
  </si>
  <si>
    <t>Babaev 2011</t>
  </si>
  <si>
    <t>p t k kp b d g dʒ _x0008_ɓ f s v z ɣ w l m n ɲ ŋ j w̃ j̃</t>
  </si>
  <si>
    <t>j j̃</t>
  </si>
  <si>
    <t>Childs 2011</t>
  </si>
  <si>
    <t>p t tʃ k b d gb m n ɲ ŋ mp nt ŋk nd f s h r l j w</t>
  </si>
  <si>
    <t>p t k f s mp nt ŋk m n l r</t>
  </si>
  <si>
    <t>Kuche</t>
  </si>
  <si>
    <t>Wilson 1996</t>
  </si>
  <si>
    <t>p t k kp b d g gb f s v z bv tʃ dʒ j h j̥ w̥ hʲ hʷ m n ɲ ŋ ŋm l r</t>
  </si>
  <si>
    <t xml:space="preserve">p t k s m n ɲ ŋ l r </t>
  </si>
  <si>
    <t>Dii</t>
  </si>
  <si>
    <t>Bohnhoff 2010</t>
  </si>
  <si>
    <t>p t k kp ʔ b d g gb mb nd ŋg ŋmgb ɓ ɗ f s h v z nz m n ŋ l vb r w j m' n' w' j'</t>
  </si>
  <si>
    <t>p t k ʔ m n ŋ l vb r w j m' n' w' j'</t>
  </si>
  <si>
    <t>Fanti</t>
  </si>
  <si>
    <t>Welmers 1966</t>
  </si>
  <si>
    <t xml:space="preserve">p t k kw b d g gw f s h hw m n w r j </t>
  </si>
  <si>
    <t>m n w r</t>
  </si>
  <si>
    <t>Adamawa Fulani</t>
  </si>
  <si>
    <t>Stennes 1967</t>
  </si>
  <si>
    <t>p t k ʔ b d g ɓ ɗ mb nd ŋg tʃ dʒ ndʒ f s h v m n ɲ ŋ l r w j</t>
  </si>
  <si>
    <t xml:space="preserve">m n ɲ ŋ l r w j </t>
  </si>
  <si>
    <t>Gbeya</t>
  </si>
  <si>
    <t>Samarin 1966</t>
  </si>
  <si>
    <t>p t k kp ʔ b d g gb mb nd ŋg ŋmgb ʔb ʔd ʔm ʔn m n ŋ ŋm w j v̆ r l f s h v z</t>
  </si>
  <si>
    <t>p t k m n ŋ l r j</t>
  </si>
  <si>
    <t>k becomes g in sandhi, but p and t do not</t>
  </si>
  <si>
    <t>Kisi</t>
  </si>
  <si>
    <t>Childs 1988</t>
  </si>
  <si>
    <t xml:space="preserve">p t k kp ɓ ɗ tʃ f s h m n ɲ ŋ mb nd ŋg ŋmgb l w j </t>
  </si>
  <si>
    <t>m (n) ŋ l</t>
  </si>
  <si>
    <t>n and ŋ are in variation finall</t>
  </si>
  <si>
    <t>k is rare word-medially, p is also a lil less</t>
  </si>
  <si>
    <t>Koromfe</t>
  </si>
  <si>
    <t>Rennison 1997</t>
  </si>
  <si>
    <t>p t k b d g f s v z m n ŋ l w j h</t>
  </si>
  <si>
    <t>m n ŋ l</t>
  </si>
  <si>
    <t>n is rare</t>
  </si>
  <si>
    <t>Mbɔ́dɔ̀mɔ̀</t>
  </si>
  <si>
    <t>Boyd 1997</t>
  </si>
  <si>
    <t>p t k kp b d g gb ɓ ɗ mb nd nz ŋg ŋmgb f s v z m n ɲ l j h w</t>
  </si>
  <si>
    <t>p t χ s m n ŋ l r</t>
  </si>
  <si>
    <t>Sherbro</t>
  </si>
  <si>
    <t>Rogers 1967</t>
  </si>
  <si>
    <t>p t k b d g gb θ tʃ dʒ f s ʃ h v j r w m n ŋ l</t>
  </si>
  <si>
    <t>p t k θ tʃ s l r m n ŋ</t>
  </si>
  <si>
    <t>Western Sisaala</t>
  </si>
  <si>
    <t>Moran 2006</t>
  </si>
  <si>
    <t>p t k b d g gb f s h v z tʃ dʒ m n ɲ ŋ ŋm l r w j</t>
  </si>
  <si>
    <t>m* n ŋ</t>
  </si>
  <si>
    <t>*says m appears finally with words but says it doesn't in phonotactics</t>
  </si>
  <si>
    <t>Wolof***</t>
  </si>
  <si>
    <t>Ngom 2003</t>
  </si>
  <si>
    <t>p t k b d g</t>
  </si>
  <si>
    <t>**k surfaces faithfully finally, but g goes to t.</t>
  </si>
  <si>
    <t>Ajagbe</t>
  </si>
  <si>
    <t>Morley 2011</t>
  </si>
  <si>
    <t xml:space="preserve">(p) t k kp d g gb tʃ dʒ f v s z ʃ ʒ ɣ χ ʁ m n ɲ ŋ l j w </t>
  </si>
  <si>
    <t>Ghulfan</t>
  </si>
  <si>
    <t>Williams &amp; Comfort 2009??</t>
  </si>
  <si>
    <t xml:space="preserve">(p) t ʈ k b d ɖ g tʃ* dʒ m n ɲ ŋ ʃ w r* ɽ* j l* </t>
  </si>
  <si>
    <t xml:space="preserve">p** t d tʃ**  m n ɲ ŋ ʃ w r j l </t>
  </si>
  <si>
    <t>*don't appear word-initially **p and tʃ seem to be in complementary distribution with b and dʒ</t>
  </si>
  <si>
    <t>Ik</t>
  </si>
  <si>
    <t>Schrock 2014</t>
  </si>
  <si>
    <t>p t k b d g ɓ ɗ ʝ ts' k' f s ʃ h z ʒ ɦj ts tʃ dz dʒ r l m n ɲ ŋ w j</t>
  </si>
  <si>
    <t>p t k b d g ɓ ɗ ʝ ts' k' f s ʃ z ʒ ts tʃ dz  r l m n ɲ ŋ w j</t>
  </si>
  <si>
    <t>*implosives/ejectives and plain stops do no coocur unless alveolar? Argued ɗ is different place slightly</t>
  </si>
  <si>
    <t>Kanuri</t>
  </si>
  <si>
    <t>Hutchison 1981</t>
  </si>
  <si>
    <t>t k ʔ b d g mb nd ŋg tʃ dʒ f s ʃ h z m n ɾ l w j</t>
  </si>
  <si>
    <t xml:space="preserve">m n l r </t>
  </si>
  <si>
    <t>*b and g lenide intervocalically</t>
  </si>
  <si>
    <t>Lango</t>
  </si>
  <si>
    <t>Noonan 1992</t>
  </si>
  <si>
    <t>p t tɕ k b d dʑ g m n ɲ ŋ ɾ l j w ʔ</t>
  </si>
  <si>
    <t>p t tɕ k b d dʑ g m n ɲ ŋ ɾ l</t>
  </si>
  <si>
    <t>Luwo</t>
  </si>
  <si>
    <t>Storch 2014</t>
  </si>
  <si>
    <t>p t̪ t c k ʔ b d̪ d ɟ g m n̪ n ɲ ŋ r l w j</t>
  </si>
  <si>
    <t>p t̪ t c k b d̪ d ɟ g m n̪ n ɲ ŋ r l w j</t>
  </si>
  <si>
    <t>Tadaksahak</t>
  </si>
  <si>
    <t>Christiansen-Bolli 2010</t>
  </si>
  <si>
    <t>t tˤ c k q b d dˤ ɟ g f s sˤ ʃ x ħ h z zˤ ʒ ɣ ʕ w j l lˤ ɾ ɾˤ m n nˤ ŋ</t>
  </si>
  <si>
    <t>t tˤ k q b d dˤ g f s sˤ z zˤ ʃ ʒ m n nˤ l j w ħ x ɣ</t>
  </si>
  <si>
    <t>Tirmaga</t>
  </si>
  <si>
    <t>Bryant 1999</t>
  </si>
  <si>
    <t>t c k b d ɟ g _x0008_ɓ ɗ ʄ ɠ s z m n ɲ ŋ ɾ l w j</t>
  </si>
  <si>
    <t>p t* c k m n ɲ ŋ l ɾ w j</t>
  </si>
  <si>
    <r>
      <t>*/ɗ#/→[t], /b,g#/→[p,k], /t#/→</t>
    </r>
    <r>
      <rPr>
        <sz val="12"/>
        <color theme="1"/>
        <rFont val="Menlo Italic"/>
        <family val="2"/>
      </rPr>
      <t xml:space="preserve">∅, /c#/→[j] </t>
    </r>
  </si>
  <si>
    <t>Baraïn</t>
  </si>
  <si>
    <t>Lovestrand 2012</t>
  </si>
  <si>
    <t>p t k b d ɟ g s m n ɲ l r w j</t>
  </si>
  <si>
    <t>s m n ŋ l r w j</t>
  </si>
  <si>
    <t>Buwal</t>
  </si>
  <si>
    <t>Viljoen 2013</t>
  </si>
  <si>
    <t>p t k kʷ kp b d g gʷ gb ɓ ɗ f s ɬ x xʷ v z lʒ ɣ ɣʷ ts dz m n mb nd ŋg ŋgʷ l r j w mŋgb</t>
  </si>
  <si>
    <t xml:space="preserve">p t k kʷ ɓ ɗ f s ɬ x xʷ v z lʒ ɣ ɣʷ  ts m n ŋ ŋʷ l r j w </t>
  </si>
  <si>
    <t>Goemai</t>
  </si>
  <si>
    <t>Hellwig 2011</t>
  </si>
  <si>
    <t>p t k pʰ tʰ kʰ b d g ʔ ɓ ɗ fʰ sʰ ʃʰ f s ʃ h v z ʒ m n ŋ l r w j</t>
  </si>
  <si>
    <t>p t k s m n ŋ l r w j</t>
  </si>
  <si>
    <t>Hausa</t>
  </si>
  <si>
    <t>Newman 2000</t>
  </si>
  <si>
    <t>ɸ t c k kʷ kʲ b d ɟ g gʷ gʲ ɓ ɗ ʄ ɠ k'ʷ k'ʲ ʔ s ʃ h z ts m n l r ɾ j w</t>
  </si>
  <si>
    <t>p* t**  s ʃ z m n l r ɾ</t>
  </si>
  <si>
    <t xml:space="preserve">*In SH final labials have weakened in many contexts **t are mainly only found in word final coda (obstruents are uncommon word-finally ecept in ideophones and loans) </t>
  </si>
  <si>
    <t>Hdi</t>
  </si>
  <si>
    <t>Frajzyngier 2002</t>
  </si>
  <si>
    <t>p k kʷ b d g m ŋ ɓ ɗ ts z s x ɬ w j l r</t>
  </si>
  <si>
    <t>Makary Kotoko</t>
  </si>
  <si>
    <t>Allison 2012</t>
  </si>
  <si>
    <t>p t tʃ k b d dʒ g mb nd ŋg ɓ ɗ ts' tʃ' k' f s ʃ h m n ɾ l w j</t>
  </si>
  <si>
    <t>m ŋ l ɾ w j</t>
  </si>
  <si>
    <t>Miya</t>
  </si>
  <si>
    <t>Schuh 1998</t>
  </si>
  <si>
    <t>p t k kʷ ʔ b d g gʷ ɓ ɗ ts tʃ dz dʒ f s ʃ tl h v z ʒ dl ɣ m n mb nd ŋg ŋgʷ ndz nz r l j w</t>
  </si>
  <si>
    <t>m n r l j w</t>
  </si>
  <si>
    <t>contrast between [m] and [n] is lost (free variation) phrase finally</t>
  </si>
  <si>
    <t>Sukur</t>
  </si>
  <si>
    <t>Thomas 2014</t>
  </si>
  <si>
    <r>
      <t>p t k ʔ b d g ɓ ɗ mb nd ŋg nz ndʒ f s ɬ ʃ x ts tʃ v z lʒ ʒ ɣ dz dʒ m n ŋ l w j r kʷ _x0008_</t>
    </r>
    <r>
      <rPr>
        <sz val="12"/>
        <color theme="1"/>
        <rFont val="Verdana"/>
        <family val="2"/>
      </rPr>
      <t>ⱱ</t>
    </r>
  </si>
  <si>
    <t>p t k ɓ ɗ f s ɬ ʃ x ts v z lʒ ɣ m n ŋ l w j r kʷ</t>
  </si>
  <si>
    <t>Wandala</t>
  </si>
  <si>
    <t>Frajzyngier 2012</t>
  </si>
  <si>
    <t>p t c k kj kp b d ɟ g gj gʷ m n ɲ ŋ ɬ lʒ r rj l w j j' ts dz s z mb nd f v ʃ ʒ ɓ ɗ ɠj</t>
  </si>
  <si>
    <t>p t c k kj kp b d g gj gʷ m n ɲ ŋ ɬ lʒ r rj l w j j' ts dz s z mb nd f v ʃ ʒ ɓ ɗ ɠj</t>
  </si>
  <si>
    <t>Dime</t>
  </si>
  <si>
    <t>Seyoum 2008</t>
  </si>
  <si>
    <t>p t k ʔ b d g ts tʃ tʃ' dʒ f s z ʃ ʒ s' (x ɣ χ ʁ) h p' s' t' tʃ' k' ɗ m n (ŋ) r l w j</t>
  </si>
  <si>
    <t>(p)* t k b d g ts tʃ tʃ' f s z ʃ ʒ  x χ h s' t' tʃ' ɗ m n ŋ r l w j</t>
  </si>
  <si>
    <t>*p seems pretty rare has been said to not exist  (word-finally only in gomp)</t>
  </si>
  <si>
    <t>Central Dizin</t>
  </si>
  <si>
    <t>Beachy 2005</t>
  </si>
  <si>
    <t>(p) t k p' t' k' b d g ts tʃ ts' tʃ' ʈs ʈs' dʒ (ɸ) s ʃ h z (ʒ)  m n l j w</t>
  </si>
  <si>
    <t>t k p' t' k' b d g ts tʃ ts' tʃ' dʒ ɸ s ʃ h z ʒ m n ŋ ɾ l j w</t>
  </si>
  <si>
    <t>Sheko</t>
  </si>
  <si>
    <t>Hellenthal 1980</t>
  </si>
  <si>
    <t xml:space="preserve">t k ʔ p' t' k' b d g ts' tʃ' ʈʂ'  ts (tʃ ʈʂ) f s ʃ ʂ h z ʒ ʐ m n j </t>
  </si>
  <si>
    <t>t k ʔ p' t' k' b d g ts' tʃ' ʈʂ'  ts tʃ f s ʃ ʂ h z ʒ ʐ m n j r w</t>
  </si>
  <si>
    <t>Amharic</t>
  </si>
  <si>
    <t>Leslau 1969</t>
  </si>
  <si>
    <t>(p) t tʃ k ʔ b d dʒ g pʔ tʔ tʃʔ q f s ʃ h z ʒ sʔ m n l r w j</t>
  </si>
  <si>
    <t>(p) t tʃ k b d dʒ g pʔ tʔ tʃʔ q f s ʃ h z ʒ sʔ m n l r w j</t>
  </si>
  <si>
    <t>Libyan Arabic (Al-Jabal)</t>
  </si>
  <si>
    <t>Harrama 1993</t>
  </si>
  <si>
    <t>t tˤ k ʔ b d g f θ s sˤ ʃ χ ħ ð ðˤ z ʒ ʁ ʕ m n l r w j</t>
  </si>
  <si>
    <t>t tˤ k b d g f θ s sˤ ʃ χ ħ ð ðˤ z ʒ ʁ ʕ m n l r w j</t>
  </si>
  <si>
    <t>Argobba</t>
  </si>
  <si>
    <t>Leslau 1959</t>
  </si>
  <si>
    <t>t tˤ k kʷ q qʷ (ʔ) b d g gʷ f s ʃ (h) z ʒ tʃ dʒ tʃˤ m n ɲ l w j</t>
  </si>
  <si>
    <t>Neo-Aramaic Dialect of Alqosh</t>
  </si>
  <si>
    <t>Coghill 2003</t>
  </si>
  <si>
    <t xml:space="preserve">p t k q ʔ b d g tˤ f θ s ʃ x h ħ tʃ tʃˤ dʒ v ð z ɣ sˤ ðˤ zˤ m n l r rˤ w j _x0008_ʕ </t>
  </si>
  <si>
    <t>p t k q ʔ tˤ f θ s ʃ x h ħ tʃ tʃˤ sˤ m n l r rˤ w j _x0008_</t>
  </si>
  <si>
    <t>Neo-Aramaic Dialect of Amədya</t>
  </si>
  <si>
    <t>Greenblatt 2011</t>
  </si>
  <si>
    <t>p t k q ʔ b d g pˤ bˤ tˤ dˤ f θ s ʃ x ħ h v ðˤ z sˤ zˤ ʒ ɣ m n mˤ r ɻˤ j w ʕ  l tʃ tʃˤ dʒ</t>
  </si>
  <si>
    <t>p t k q ʔ b d g tˤ f θ s ʃ x ħ h ðˤ z sˤ ʒ ɣ m n r ɻˤ ʕ  l tʃ tʃˤ dʒ</t>
  </si>
  <si>
    <t>Neo-Mandaic of Khorramshahr</t>
  </si>
  <si>
    <t>Haberl 2009</t>
  </si>
  <si>
    <t>p t k q b d g tˤ tʃ dʒ (f θ) s ʃ (χ) ħ h v z (ʁ) ʕ m n l r w j</t>
  </si>
  <si>
    <t>p t k q b d g tˤ tʃ dʒ (f θ) s ʃ (χ) ħ z (ʁ) m n l r</t>
  </si>
  <si>
    <t>Bardi</t>
  </si>
  <si>
    <t>Bowern 2004</t>
  </si>
  <si>
    <t>b ɖ dʒ g ɭ m ɲ ŋ ɻ j w</t>
  </si>
  <si>
    <t>b d ɖ dʒ g l ɭ ʎ m n ɳ ɲ ŋ ɻ r w</t>
  </si>
  <si>
    <t>Biri</t>
  </si>
  <si>
    <t>Terrill 1998</t>
  </si>
  <si>
    <t>b d d̪ ɖ g m n n̪ ɲ ŋ l r ɻ w j</t>
  </si>
  <si>
    <t>m n ɲ l</t>
  </si>
  <si>
    <t>Dharug</t>
  </si>
  <si>
    <t>Steele 2005</t>
  </si>
  <si>
    <t>b d d̪ ɖ g m n ɲ ŋ w j</t>
  </si>
  <si>
    <t>d g m n ɲ ŋ l</t>
  </si>
  <si>
    <t>Duudjawu</t>
  </si>
  <si>
    <t>Kite 2004</t>
  </si>
  <si>
    <t>b d dʲ g m n nʲ ŋ w j</t>
  </si>
  <si>
    <t>m n nʲ ŋ l r ɾ j</t>
  </si>
  <si>
    <t>Dixon 1972</t>
  </si>
  <si>
    <t>b d ᶁ g m n ɲ ŋ w j ɽ</t>
  </si>
  <si>
    <t>Gamilaraay</t>
  </si>
  <si>
    <t>Giacon 2014</t>
  </si>
  <si>
    <t>b d̪ dj g m n̪ ɲ ŋ w j</t>
  </si>
  <si>
    <t xml:space="preserve">n l r j </t>
  </si>
  <si>
    <t>Gooniyandi</t>
  </si>
  <si>
    <t>McGregor 1990</t>
  </si>
  <si>
    <t>b d̪ d ɟ g m n n̪ ɲ ŋ l j w r</t>
  </si>
  <si>
    <t>b d ɖ ɟ g m n ɳ ɲ ŋ l ɭ lj r w j ɾ</t>
  </si>
  <si>
    <t>Gurr-goni</t>
  </si>
  <si>
    <t>Green 1995</t>
  </si>
  <si>
    <t>b d̪ ɟ g m n̪ ɲ ŋ l̪ ɹ r w j</t>
  </si>
  <si>
    <t>b d ɖ ɟ g ʔ m n ɳ ɲ ŋ l ɭ ɹ r w j</t>
  </si>
  <si>
    <t xml:space="preserve">retroflex vs. apical contrast looks harmonic </t>
  </si>
  <si>
    <t>Acehnese</t>
  </si>
  <si>
    <t>Durie 1985</t>
  </si>
  <si>
    <t>p t c k ʔ b d ɟ g r l s ʃ w j h m n ɲ ŋ</t>
  </si>
  <si>
    <t>p t ʔ h m n ŋ j</t>
  </si>
  <si>
    <t>Dupaningan Agta</t>
  </si>
  <si>
    <t>Robinson 2008</t>
  </si>
  <si>
    <t>p t k ʔ b d g m n ŋ r l s h w j</t>
  </si>
  <si>
    <t>Aklan</t>
  </si>
  <si>
    <t>Chai 1971</t>
  </si>
  <si>
    <t>p t k ʔ b d g s ɣ h m n ŋ l r w j</t>
  </si>
  <si>
    <t>Araki</t>
  </si>
  <si>
    <t>François 2002</t>
  </si>
  <si>
    <t>p p̼ t k ts s h β v̼ m m̼ n ŋ l ɾ r</t>
  </si>
  <si>
    <t>p t k ts s β m m̼ n ŋ l ɾ r</t>
  </si>
  <si>
    <t>Atayal</t>
  </si>
  <si>
    <t>Rau 1992</t>
  </si>
  <si>
    <t>p t k q ʔ β ʒ ɣ s x ħ tʃ m n ŋ l r w j</t>
  </si>
  <si>
    <t>p t k ʔ m n ŋ w j</t>
  </si>
  <si>
    <t>Bajau (West Coast)</t>
  </si>
  <si>
    <t>Miller 2007</t>
  </si>
  <si>
    <t>p t k (ʔ) b d dʒ g m n ɲ ŋ r s j w l</t>
  </si>
  <si>
    <t>p t k ? B d g m n ŋ r s j w l</t>
  </si>
  <si>
    <t>Balantak</t>
  </si>
  <si>
    <t>van den Berg &amp; Busenitz 2012</t>
  </si>
  <si>
    <t>p t k b d g m n ŋ s l r w j</t>
  </si>
  <si>
    <t xml:space="preserve">p t k ʔ m n ŋ s l r </t>
  </si>
  <si>
    <t>Paluai (Baluan-Pam)</t>
  </si>
  <si>
    <t>Schokkin 2014</t>
  </si>
  <si>
    <t>p t k pʷ m n ŋ mʷ s l</t>
  </si>
  <si>
    <t>p t k m n ŋ s l</t>
  </si>
  <si>
    <t>Barok (Usen)</t>
  </si>
  <si>
    <t>Du 2008</t>
  </si>
  <si>
    <t>p t k b d g m n ŋ r s ɣ l w j</t>
  </si>
  <si>
    <t>p t k m n ŋ s</t>
  </si>
  <si>
    <t>Belep</t>
  </si>
  <si>
    <t>McCracken 2012</t>
  </si>
  <si>
    <t>p pʷ t c k b bʷ d ɟ g m mʷ n ɲ ŋ w l j</t>
  </si>
  <si>
    <t>p pʷ t c k m mʷ n ɲ ŋ</t>
  </si>
  <si>
    <t>Biak</t>
  </si>
  <si>
    <t>van den Heuvel 2006</t>
  </si>
  <si>
    <t>p t k b d m n β f s r w j</t>
  </si>
  <si>
    <t>p t k m n β f s r w</t>
  </si>
  <si>
    <t>Bih</t>
  </si>
  <si>
    <t>Nguyen 2013</t>
  </si>
  <si>
    <t>p t c k ʔ b d ɟ g pʰ tʰ cʰ kʰ ɓ ɗ ʄ m n ɲ ŋ s h ɹ w j</t>
  </si>
  <si>
    <t>p t c k ʔ m n ɲ ŋ h ɹ</t>
  </si>
  <si>
    <t>Bobongko</t>
  </si>
  <si>
    <t>Mead 2001</t>
  </si>
  <si>
    <t>p t k ʔ b d dʒ g m n ɲ ŋ ɸ s l r j</t>
  </si>
  <si>
    <t>p t k ʔ b d g m n ŋ s l r</t>
  </si>
  <si>
    <t>South Efate</t>
  </si>
  <si>
    <t>Thieberger 2006</t>
  </si>
  <si>
    <t>p t k kp f s m n ŋ ŋm l r nᵈr w j</t>
  </si>
  <si>
    <t>p t k kp f s m n nr ŋ ŋm l</t>
  </si>
  <si>
    <t>Loniu</t>
  </si>
  <si>
    <t>Hamel 1985</t>
  </si>
  <si>
    <t xml:space="preserve">p pʷ t k ʔ s h tʃ m mʷ n ɲ ŋ l r w j </t>
  </si>
  <si>
    <t>p t k ʔ s h tʃ m n ɲ ŋ l r w j</t>
  </si>
  <si>
    <t>Maanyan</t>
  </si>
  <si>
    <t>Gudai 1985</t>
  </si>
  <si>
    <t>p t k ʔ b d dʒ g m n ɲ ŋ s h l r w j</t>
  </si>
  <si>
    <t>p t k ʔ m n ɲ ŋ s h l r w j</t>
  </si>
  <si>
    <t>Madurese</t>
  </si>
  <si>
    <t>Davies 2010</t>
  </si>
  <si>
    <t>p t ʈ c k pʰ tʰ ʈʰ cʰ kʰ b d ɖ ɟ g m n ɲ ŋ s r l j h</t>
  </si>
  <si>
    <t>p t k ʔ m n ŋ s r l j</t>
  </si>
  <si>
    <t>Abkhaz</t>
  </si>
  <si>
    <t>Hewitt 1979</t>
  </si>
  <si>
    <t xml:space="preserve">p t tʷ k kʲ kʷ q p' t' tʷ' k' kʲ' kʷ' q' qʲ' qʷ' b d dʷ g gʲ gʷ ts tʃ ʈʂ dz dʒ ɖʐ ts' tʃ' ʈʂ' f s ʃ ʂ ʃʷ x xʲ xʷ ħ ħʷ v z ʒ ʐ ʐʷ ɣ ɣʲ ɣʷ ʕʷ m n w j l </t>
  </si>
  <si>
    <t xml:space="preserve">p t tʷ kʲ kʷ p' tʷ' k' kʲ' kʷ' q' qʲ' qʷ' b d gʲ  ts tʃ ʈʂ dz dʒ ɖʐ ts' tʃ' ʈʂ' f s ʃ ʂ ʃʷ x xʲ xʷ ħ ħʷ v z ʒ ʐ ʐʷ ɣ ɣʲ ʕʷ m n w l </t>
  </si>
  <si>
    <t>Hinuq</t>
  </si>
  <si>
    <t>Forker 2013</t>
  </si>
  <si>
    <t>p t k kʷ q qʷ ʔ b d g gʷ p' t' k' k'ʷ q' q'ʷ ts tʃ s ɬ ʃ tɬ χ χʷ ħ h z ʒ ʁ ʁʷ ts' tɬ' tʃ' m n r l</t>
  </si>
  <si>
    <t>p t k q ʔ b d g p' t' k' q' ts tʃ s ɬ ʃ tɬ χ ħ h z ʒ ʁ ts' tɬ' tʃ' m n r l</t>
  </si>
  <si>
    <t>Khwarshi</t>
  </si>
  <si>
    <t>Khalilova 1983</t>
  </si>
  <si>
    <t>p t k q p' t' k' q' b d g ts tʃ tɬ ts' tʃ' tɬ' ɬ z ʒ ɣ s ʃ x h m n l lʲ r j w ħ ʕ</t>
  </si>
  <si>
    <t>p t k q t' k' q' b d g ts tʃ tɬ ts' tʃ' tɬ' ɬ z ʒ ɣ s ʃ x h m n l lʲ r j w ħ ʕ</t>
  </si>
  <si>
    <t>Tsakhur</t>
  </si>
  <si>
    <t>Schulze 1997</t>
  </si>
  <si>
    <t xml:space="preserve">p t k q b d dʲ g ɢ p' t' k' q' m n ts tʃ ts' tʃ' dz* dʒ f s ʃ x xʲ χ h z ɣ ʁ* l lʲ qˤ q'ˤ χˤ ʁˤ hˤ j w  </t>
  </si>
  <si>
    <t>p t k q b d p' t' k' q' m n ts tʃ ts' tʃ' dz* dʒ f s ʃ x xʲ χ h z ʁ l lʲ qˤ χˤ ʁˤ j w r ʔ</t>
  </si>
  <si>
    <t>*rare</t>
  </si>
  <si>
    <t>Chontal Maya</t>
  </si>
  <si>
    <t>Knowles 1984</t>
  </si>
  <si>
    <t>p t k ʔ p' t' k' b d g ts tʃ ts' tʃ' s ʃ h m n l w j</t>
  </si>
  <si>
    <t>p t k ʔ ts tʃ ts' tʃ' s ʃ h m ŋ l w j</t>
  </si>
  <si>
    <t>d n s ʃ ʂ ʔ</t>
  </si>
  <si>
    <t>p t ʈ t̪ c k ʔ</t>
  </si>
  <si>
    <t>p t ʈ t̪ k</t>
  </si>
  <si>
    <t>p ʈ t̪ k</t>
  </si>
  <si>
    <t>kp</t>
  </si>
  <si>
    <t>k kp</t>
  </si>
  <si>
    <t>t tw k ʔ</t>
  </si>
  <si>
    <t>t tw k</t>
  </si>
  <si>
    <t>t c k</t>
  </si>
  <si>
    <t xml:space="preserve">p t k </t>
  </si>
  <si>
    <t>noCoda</t>
  </si>
  <si>
    <t>p t k kp ʔ</t>
  </si>
  <si>
    <t>p t k kw</t>
  </si>
  <si>
    <t>k* kp</t>
  </si>
  <si>
    <t>t k kp</t>
  </si>
  <si>
    <t>p t ʈ k</t>
  </si>
  <si>
    <t>ʈ k</t>
  </si>
  <si>
    <t>t k ʔ</t>
  </si>
  <si>
    <t>p t̪ t c k ʔ</t>
  </si>
  <si>
    <t>t tˤ c k q</t>
  </si>
  <si>
    <t>Nocoda</t>
  </si>
  <si>
    <t>p t k kʷ kp</t>
  </si>
  <si>
    <t>p t c k kʷ kʲ</t>
  </si>
  <si>
    <t>c k kʷ kʲ</t>
  </si>
  <si>
    <t>p t c k kʲ kp</t>
  </si>
  <si>
    <t>p ʔ</t>
  </si>
  <si>
    <t xml:space="preserve"> t k ʔ</t>
  </si>
  <si>
    <t>t tˤ k ʔ</t>
  </si>
  <si>
    <t>t tˤ k kʷ q qʷ</t>
  </si>
  <si>
    <t>velars and b' and l lost (variably morphophonemically) in coda</t>
  </si>
  <si>
    <t>p t k pʷ</t>
  </si>
  <si>
    <t>pʷ</t>
  </si>
  <si>
    <t xml:space="preserve">p pʷ t c k </t>
  </si>
  <si>
    <t>p pʷ t k ʔ</t>
  </si>
  <si>
    <t>p t k q</t>
  </si>
  <si>
    <t>in movima p and t glottalize and nasalize sorta in coda, k goes to glottal stop with a ghost vowel afterward. Also kʷ is worth investigating. All of these coda stops end up kinda echo voweling out of coda maybe?</t>
  </si>
  <si>
    <t>Variably contrast between p t is lost in coda, and t is neutralized to glottal stop too, esp in young speakers</t>
  </si>
  <si>
    <t>Onset</t>
  </si>
  <si>
    <t>Coda</t>
  </si>
  <si>
    <t>b t k</t>
  </si>
  <si>
    <t>p t c k kw</t>
  </si>
  <si>
    <t>b t tj k</t>
  </si>
  <si>
    <t>p t ƭ tʃ k</t>
  </si>
  <si>
    <t>p t</t>
  </si>
  <si>
    <t>p t ƭ c k</t>
  </si>
  <si>
    <t>p t ʈ tʃ k</t>
  </si>
  <si>
    <t>p t t k</t>
  </si>
  <si>
    <t>p t̪ t ƭ tj k</t>
  </si>
  <si>
    <t>p t ʈ t̪ c k</t>
  </si>
  <si>
    <t>p t̪ t ʈ k</t>
  </si>
  <si>
    <t>p ʈ t̪ c k</t>
  </si>
  <si>
    <t>p t̪ ʈ c k</t>
  </si>
  <si>
    <t>t ʈ c</t>
  </si>
  <si>
    <t>p t tʃ k kp</t>
  </si>
  <si>
    <t xml:space="preserve">p t </t>
  </si>
  <si>
    <t>p t̪ t c k</t>
  </si>
  <si>
    <t xml:space="preserve">t tˤ c k q </t>
  </si>
  <si>
    <t xml:space="preserve">t tˤ k q </t>
  </si>
  <si>
    <t>p t k kw kp</t>
  </si>
  <si>
    <t>p t c k kj kp</t>
  </si>
  <si>
    <t>t tʃ k</t>
  </si>
  <si>
    <t>t tˤ k</t>
  </si>
  <si>
    <t>t tˤk kw q qw</t>
  </si>
  <si>
    <t>t tˤ k kw q qw</t>
  </si>
  <si>
    <t>p ƭ tʃ k</t>
  </si>
  <si>
    <t>p t t̪ ƭ k</t>
  </si>
  <si>
    <t>p t tj k</t>
  </si>
  <si>
    <t>p t ƭ k</t>
  </si>
  <si>
    <t>p t̪ tj k</t>
  </si>
  <si>
    <t>p t̪ c k</t>
  </si>
  <si>
    <t>p p̼ t k</t>
  </si>
  <si>
    <t>p t k pw</t>
  </si>
  <si>
    <t>p pw t c k</t>
  </si>
  <si>
    <t>p pw t k</t>
  </si>
  <si>
    <t>p t tw k kj kw q</t>
  </si>
  <si>
    <t>p t tw kj kw</t>
  </si>
  <si>
    <t>p t k kw q qw</t>
  </si>
  <si>
    <t>Afro-Asiatic, Cushitic</t>
  </si>
  <si>
    <t>Niger-Congo, Jukunoid</t>
  </si>
  <si>
    <t>Niger-Congo, Dogon</t>
  </si>
  <si>
    <t>Niger-Congo, Mande</t>
  </si>
  <si>
    <t>Niger-Congo, Senegambian</t>
  </si>
  <si>
    <t>Niger-Congo, Gur</t>
  </si>
  <si>
    <t>Niger-Congo, Mel</t>
  </si>
  <si>
    <t>p t k c q</t>
  </si>
  <si>
    <t>Nilo-Saharan, Kuliak</t>
  </si>
  <si>
    <t>Nilo-Saharan, Nilotic</t>
  </si>
  <si>
    <t>afro-asiatic, chadic</t>
  </si>
  <si>
    <t>Afro-Asiatic, Chadic</t>
  </si>
  <si>
    <t>afro-asiatic, omotic</t>
  </si>
  <si>
    <t>Austronesian, Malayo-Polynesian</t>
  </si>
  <si>
    <t>mayan, yucatecan- core</t>
  </si>
  <si>
    <t>c</t>
  </si>
  <si>
    <t>Mani (Bullom So)</t>
  </si>
  <si>
    <t>k doesn't delete</t>
  </si>
  <si>
    <t>p does</t>
  </si>
  <si>
    <t>p doesn't</t>
  </si>
  <si>
    <t>k does</t>
  </si>
  <si>
    <t>no k</t>
  </si>
  <si>
    <t>ALL</t>
  </si>
  <si>
    <t>CODA</t>
  </si>
  <si>
    <t>DORSAL</t>
  </si>
  <si>
    <t>conjunction</t>
  </si>
  <si>
    <t>disjunction</t>
  </si>
  <si>
    <t>SIMPLE</t>
  </si>
  <si>
    <t>COMPLEx</t>
  </si>
  <si>
    <t>p t k kʷ ʔ p' t' k' k'ʷ b θ s ʃ h ts tʃ ts' tʃ' m n l r w j</t>
  </si>
  <si>
    <t>Potosino Huastec</t>
  </si>
  <si>
    <t>Edmonson 1988</t>
  </si>
  <si>
    <t>Ulwa</t>
  </si>
  <si>
    <t>p t k b d s m n l r w j</t>
  </si>
  <si>
    <t>p t k s m n ŋ m̥ n̥ ŋ̥ l r l̥ r̥ w j w̥ j̥ h</t>
  </si>
  <si>
    <t>Green 1999</t>
  </si>
  <si>
    <t>p t k ʔ tʃ ʃ h m n w j</t>
  </si>
  <si>
    <t>p t k tʃ ʃ m n ŋ w j</t>
  </si>
  <si>
    <t>Van Haitsma &amp; Van Haitsma 1976</t>
  </si>
  <si>
    <t>p t k ʔ ʂ h ts m n j w</t>
  </si>
  <si>
    <t>p t k (s) ʂ h ts m n j</t>
  </si>
  <si>
    <t xml:space="preserve">Ayutla Mixe </t>
  </si>
  <si>
    <t>Romero-Mendez 2008</t>
  </si>
  <si>
    <t>Mixe (San Jose El Paraiso)</t>
  </si>
  <si>
    <t>Instability</t>
  </si>
  <si>
    <t>iterations</t>
  </si>
  <si>
    <t>estonian</t>
  </si>
  <si>
    <t>english</t>
  </si>
  <si>
    <t>Finnish</t>
  </si>
  <si>
    <t>inStab on one</t>
  </si>
  <si>
    <t>Makasarese</t>
  </si>
  <si>
    <t>Uniform</t>
  </si>
  <si>
    <t>Stability Rate</t>
  </si>
  <si>
    <t>Acoma</t>
  </si>
  <si>
    <t>Miller 1965</t>
  </si>
  <si>
    <t>No Codas</t>
  </si>
  <si>
    <t>R just in loans</t>
  </si>
  <si>
    <t>p t tj k b d dj g p' t' tj' k' ts tʃ tʂ dz dʒ dʐ ts' tʃ' tʂ' s ʃ ʂ s' ʃ' ʂ' m n m' n' w r j w' r' j' ʔ h</t>
  </si>
  <si>
    <t>Alamblak</t>
  </si>
  <si>
    <t>Apurinã</t>
  </si>
  <si>
    <t>p t k m n ɲ r s ʃ h ts tʃ j ɰ</t>
  </si>
  <si>
    <t>Da Silva Facundes 2000</t>
  </si>
  <si>
    <t>Amele</t>
  </si>
  <si>
    <t>b d g gb t (k) ʔ f s h m n l w j</t>
  </si>
  <si>
    <t xml:space="preserve">b→p word finally in polysyllabic, g→k word finally in polysyllabic, gb→p </t>
  </si>
  <si>
    <t>initial k is very rare</t>
  </si>
  <si>
    <t>b d g t (k) ʔ f s h m n l w* j</t>
  </si>
  <si>
    <t>j→ʒ w→ʋ finally following [i] [ɪ]</t>
  </si>
  <si>
    <t>Roberts 2016</t>
  </si>
  <si>
    <t>Arabic (Gulf)</t>
  </si>
  <si>
    <t>t tˤ k q b d g ʔ f θ s sˤ x H h ð ðˤ z ɣ ʕ (tʃ) dʒ m n l lˤ r w j</t>
  </si>
  <si>
    <t>t tˤ k q b d g f θ s sˤ x H h ðˤ z ɣ ʕ (tʃ) dʒ m n l lˤ r w j</t>
  </si>
  <si>
    <t>Qafisheh 1977</t>
  </si>
  <si>
    <t>Arapesh (Mountain) [Bukiyip]</t>
  </si>
  <si>
    <t xml:space="preserve">p t k b g m n ɲ s tɕ h l </t>
  </si>
  <si>
    <t xml:space="preserve">p t k b d g m n ɲ s tɕ dʑ h j l w </t>
  </si>
  <si>
    <t>r only medially</t>
  </si>
  <si>
    <t>SIL 2011 https://www.sil.org/resources/archives/42242</t>
  </si>
  <si>
    <t>No final voiced coronals</t>
  </si>
  <si>
    <t>Asmat</t>
  </si>
  <si>
    <t>Voorhoeve 1965</t>
  </si>
  <si>
    <t>p t k f s tʃ mb nd w j</t>
  </si>
  <si>
    <t>p t k mb nd tʃ f s r w j</t>
  </si>
  <si>
    <t>Real stantony mb-b-m allophony</t>
  </si>
  <si>
    <t>Burushaski</t>
  </si>
  <si>
    <t>p t̪ ʈ k q pʰ t̪ʰ ʈʰ kʰ qʰ b d ɖ g ts tɕ ʈʂ tsʰ tɕʰ ʈʂʰ dʑ ɖʐ s ɕ ʂ h z ɣ w j ɰ m n ŋ ɾ l</t>
  </si>
  <si>
    <t>p t̪ ʈ k q ts tɕ ʈʂ s ɕ ʂ h w j ɰ m n ŋ ɾ l</t>
  </si>
  <si>
    <t>not super clear, but discussion of final devoicing</t>
  </si>
  <si>
    <t>Yoshioka 2012</t>
  </si>
  <si>
    <t>Chukchi</t>
  </si>
  <si>
    <t>Dunn 1999</t>
  </si>
  <si>
    <t>p t k q ʔ ɬ tʃ m n ŋ β ɹ j ɣ</t>
  </si>
  <si>
    <t>p t k q ɬ ʃ m n ŋ β ɹ j ɣ</t>
  </si>
  <si>
    <t>k word finally is kx'</t>
  </si>
  <si>
    <t>p t k ʔ b d g f s h tʃ dʒ m n ŋ* l r</t>
  </si>
  <si>
    <t>p t k ʔ f s m n ŋ w j</t>
  </si>
  <si>
    <t>Seiden and Topping disagree on whether d and g appear finally</t>
  </si>
  <si>
    <t>Seiden 1960, Topping 1969</t>
  </si>
  <si>
    <t>Cree</t>
  </si>
  <si>
    <t xml:space="preserve">p t k tʃ s m n w j </t>
  </si>
  <si>
    <t>p t k tʃ s m n w j</t>
  </si>
  <si>
    <t>h is only post vocalic</t>
  </si>
  <si>
    <t>Wolfart 1996</t>
  </si>
  <si>
    <t>p t k b d g m n r j w</t>
  </si>
  <si>
    <t xml:space="preserve">p t k m n </t>
  </si>
  <si>
    <t>Daga</t>
  </si>
  <si>
    <t>SIL 2011 https://www.sil.org/resources/archives/42246</t>
  </si>
  <si>
    <t>Dani (Lower Grand Valley)</t>
  </si>
  <si>
    <t>p t k kʷ (ʔ) s h m n l w j</t>
  </si>
  <si>
    <t>p t k  m n ŋ l</t>
  </si>
  <si>
    <t>Bromley 1961</t>
  </si>
  <si>
    <t>no clear evidence for glottal stop finally</t>
  </si>
  <si>
    <t>Georgian</t>
  </si>
  <si>
    <t>Greenlandic (west)</t>
  </si>
  <si>
    <t xml:space="preserve">p t k q s m n </t>
  </si>
  <si>
    <t>Sadock 2003</t>
  </si>
  <si>
    <t>p t c k q ʔ pʰ tʰ cʰ kʰ qʰ ᵐp ⁿt ⁿc ⁿk ⁿq mpʰ ntʰ ɲcʰ ŋkʰ ɴqʰ ts tʃ tʂ tsʰ tʃʰ tʂʰ nts ntʃ ntʂ ntsʰ ntʃʰ ntʂʰ m n ɲ (ŋ) v ʒ j f s ʃ ç h l ɬ</t>
  </si>
  <si>
    <t>Maybe nasals depending on nasal vowels or not</t>
  </si>
  <si>
    <t>Mortensen 2004</t>
  </si>
  <si>
    <t>Hmong Njua</t>
  </si>
  <si>
    <t>Imonda</t>
  </si>
  <si>
    <t>p t k b d g m n f s h l</t>
  </si>
  <si>
    <t xml:space="preserve">t k b d g m n f s h l </t>
  </si>
  <si>
    <t>p is present finally in young speakers</t>
  </si>
  <si>
    <t>Seiler 1985</t>
  </si>
  <si>
    <t>m optionally deletes finally</t>
  </si>
  <si>
    <t>Japanese</t>
  </si>
  <si>
    <t>Lapsyd</t>
  </si>
  <si>
    <t>p t k b d g h s z m n ɴ ɾ w j</t>
  </si>
  <si>
    <t>ɴ</t>
  </si>
  <si>
    <t>Karok</t>
  </si>
  <si>
    <t>p t k ʔ tʃ f t s ʃ x h v r j m n</t>
  </si>
  <si>
    <t>Bright 1957</t>
  </si>
  <si>
    <t>Kayardild</t>
  </si>
  <si>
    <t>p ʈ t̪ c k m ɳ ɲ ŋ ɻ j w (t n n̪ l r)</t>
  </si>
  <si>
    <t xml:space="preserve">t̪ c k ɳ n ɲ ŋ ɻ l r </t>
  </si>
  <si>
    <t xml:space="preserve">set of alveolars not word initial, </t>
  </si>
  <si>
    <t>Round 2009</t>
  </si>
  <si>
    <t xml:space="preserve">p t k b d g m n l r s w j </t>
  </si>
  <si>
    <t>Kewa</t>
  </si>
  <si>
    <t>Franklin 1971</t>
  </si>
  <si>
    <t>Khalkha Mongolian</t>
  </si>
  <si>
    <t>(pʰ) (pʰʲ) tʰ p pʲ t (tʲ) gʲ g ɢ tsʰ tʃʰ ts tʃ s ʃ xʲ x m mʲ n nʲ ɮ (ɮʲ) (ɬ) (w) j</t>
  </si>
  <si>
    <t>tʰ tʰʲ p pʲ t tʲ gʲ g ɢ tsʰ tʃʰ ts tʃ s ʃ xʲ x m mʲ n nʲ ŋ ɮ ɮʲ r rʲ w wʲ j</t>
  </si>
  <si>
    <t>Svantesson 2005</t>
  </si>
  <si>
    <t>Khoekhoe</t>
  </si>
  <si>
    <t>p s ts</t>
  </si>
  <si>
    <t xml:space="preserve">p t k ʔ kx ts s x h m n ɾ kǀ k‖ kǂ k! ŋǀ ŋǁ ŋǂ ŋ! ŋ̥ǀħ ŋ̥ǁħ ŋ̥ǂħ ŋ̬!ħ ŋ̥ǀx ŋ̥ǁx ŋ̥ǂx ŋ̬!x ŋ̥ǀʔ ŋ̥ǁʔ ŋ̥ǂʔ ŋ̬!ʔ </t>
  </si>
  <si>
    <t>Hagman 1977</t>
  </si>
  <si>
    <t xml:space="preserve">p t m n l j </t>
  </si>
  <si>
    <t>p t k ʔ p' t' k' pʰ tʰ kʰ b d g ts' ts s h z m n l j</t>
  </si>
  <si>
    <t>Kiowa</t>
  </si>
  <si>
    <t>Watkins 1980</t>
  </si>
  <si>
    <t xml:space="preserve">p t k b tʃ f ɬ s h m n l w j </t>
  </si>
  <si>
    <t>m n j k</t>
  </si>
  <si>
    <t>Rand 1968</t>
  </si>
  <si>
    <t>Korean</t>
  </si>
  <si>
    <t xml:space="preserve">p t k pʰ tʰ kʰ p' t' k' tʃ tʃʰ tʃ' s h s' m n l </t>
  </si>
  <si>
    <t>Chang 1996</t>
  </si>
  <si>
    <t>m n ŋ l w j</t>
  </si>
  <si>
    <t>(p) t c k b d ɟ g f s z m n ɲ ŋ l ɾ w j h</t>
  </si>
  <si>
    <t>Humburi Senni</t>
  </si>
  <si>
    <t>Heath 2014</t>
  </si>
  <si>
    <t>p t k q ʔ s ɬ x h ts m n l w j</t>
  </si>
  <si>
    <t>p t k q ʔ s ɬ x ts m n l w j</t>
  </si>
  <si>
    <t>Kutenai</t>
  </si>
  <si>
    <t>Garvin 1948</t>
  </si>
  <si>
    <t>Lakhota</t>
  </si>
  <si>
    <t>p k m n s ʃ x l</t>
  </si>
  <si>
    <t>p t k ʔ tʃ pʰ tʰ kʰ tʃʰ p' t' k' tʃ' s ʃ z ʒ m n ŋ l w j</t>
  </si>
  <si>
    <t>Rood &amp; Taylor 1996</t>
  </si>
  <si>
    <t>(p) t k b (d) m n ŋ r  l f s h β ɰ</t>
  </si>
  <si>
    <t>t k l r m n ŋ f s β ɰ</t>
  </si>
  <si>
    <t>Lavukaleve</t>
  </si>
  <si>
    <t>Terrill 1999</t>
  </si>
  <si>
    <t>n ŋ ʁ</t>
  </si>
  <si>
    <t>pʰ tʰ kʰ p t k tsʰ tʂʰ ts tʂ f s ʂ x ʐ m n ŋ l ʁ</t>
  </si>
  <si>
    <t>Mandarin</t>
  </si>
  <si>
    <t>Lin 2001</t>
  </si>
  <si>
    <t>initial retroflex</t>
  </si>
  <si>
    <t xml:space="preserve">b (d) ɗ ɟ g ʔ m (n) ɳ ɲ ŋ (l) ɭ w j </t>
  </si>
  <si>
    <t>b d ɗ ɟ g ʔ m n ɳ ɲ ŋ l ɭ r ɽ w j</t>
  </si>
  <si>
    <t>Mangarayi</t>
  </si>
  <si>
    <t>Merlan 1989</t>
  </si>
  <si>
    <t xml:space="preserve">p t̪ t k f ð s tʃ tʂ m n̪ n ɲ ŋ l̪ l ʎ r w j </t>
  </si>
  <si>
    <t>f ð m n̪ n ɲ ŋ l̪ l ʎ r w ʁ</t>
  </si>
  <si>
    <t>Mapudungun</t>
  </si>
  <si>
    <t>Zúñiga 2000</t>
  </si>
  <si>
    <t>p k t̪ c m ŋ n̪ ɲ w j</t>
  </si>
  <si>
    <t>ɲ n ɳ (ʎ) l ɽ r</t>
  </si>
  <si>
    <t>Martuthunira</t>
  </si>
  <si>
    <t>Dench 1994</t>
  </si>
  <si>
    <t>t k (b) d g tʃ dʒ ɸ s x m n ɾ (w) j</t>
  </si>
  <si>
    <t>t k b d g tʃ dʒ ɸ s (x) m n ɾ w j</t>
  </si>
  <si>
    <t>Moskona</t>
  </si>
  <si>
    <t>Gravelle 2010</t>
  </si>
  <si>
    <t>Meithei</t>
  </si>
  <si>
    <t>p t k m n ŋ w j</t>
  </si>
  <si>
    <t>p t c k pʰ tʰ cʰ kʰ b d ɟ g m n ŋ h l w j</t>
  </si>
  <si>
    <t>Thoudam 1980</t>
  </si>
  <si>
    <t>t k kʷ b nd s ʃ x ʒ tʃ m n ɲ l r w</t>
  </si>
  <si>
    <t>Macaulay 1996</t>
  </si>
  <si>
    <t>Mixtec (Chalcatongo)</t>
  </si>
  <si>
    <t xml:space="preserve">t k ʔ n l w j s h </t>
  </si>
  <si>
    <t>t k ʔ ???</t>
  </si>
  <si>
    <t>No grammar is clear, and related languages have kʷ as a phoneme</t>
  </si>
  <si>
    <t>Oneida</t>
  </si>
  <si>
    <t>Abbott 2000, Michelson 83</t>
  </si>
  <si>
    <t>b d g (p') t' k' t k ɗ ʔ f s ʃ h (tʃ) tʃ' dʒ m n ɲ l r w j</t>
  </si>
  <si>
    <t xml:space="preserve">(b) d (p') (t') k' t f s m n l r </t>
  </si>
  <si>
    <t>Tola 1981</t>
  </si>
  <si>
    <t>Oromo (Mecha)</t>
  </si>
  <si>
    <t>finals in parens are only in compounds</t>
  </si>
  <si>
    <t>p t c k ʔ b d g f θ x h s ʃ z m n ɲ w r j</t>
  </si>
  <si>
    <t>Otomi, Mezquital</t>
  </si>
  <si>
    <t>Wallis 1968</t>
  </si>
  <si>
    <t xml:space="preserve">p t c k q ʔ b d ɟ g s ʃ v z ʒ ts tʃ m n ŋ r ʎ ɖ ɭ w j </t>
  </si>
  <si>
    <t xml:space="preserve">p t c k q ʔ b d ɟ g s v z ts (tʃ) m n ŋ r ʎ ɖ ɭ w j </t>
  </si>
  <si>
    <t>Paiwan, Piuma</t>
  </si>
  <si>
    <t>tʃ is not final in Southern Piuma</t>
  </si>
  <si>
    <t>Chen 2009</t>
  </si>
  <si>
    <t>p t k ʔ b d g ɢ tʃ dʒ f s ʃ χ h v z r l m n j</t>
  </si>
  <si>
    <t>Persian</t>
  </si>
  <si>
    <t>Alamolhoda 2000</t>
  </si>
  <si>
    <t>p* t k ʔ* b d g* ɢ tʃ* dʒ* f s ʃ χ h v* z r l m n j</t>
  </si>
  <si>
    <t>Underrepresented in coda.</t>
  </si>
  <si>
    <t>https://books.google.com/books/about/Imbabura_Quechua.html?id=vrU8sp4l77MC&amp;printsec=frontcover&amp;source=kp_read_button#v=onepage&amp;q&amp;f=false</t>
  </si>
  <si>
    <t>s ʃ x l r w j</t>
  </si>
  <si>
    <t xml:space="preserve">p t k b d g ts tʃ ɸ s ʃ x β z ʒ m n ɲ l r w j </t>
  </si>
  <si>
    <t>Quechua, Imbabura</t>
  </si>
  <si>
    <t>p t k ʔ m n ŋ h v r</t>
  </si>
  <si>
    <t>Rapa Nui</t>
  </si>
  <si>
    <t>Kieviet 2017</t>
  </si>
  <si>
    <t>Cole 1982</t>
  </si>
  <si>
    <t>Sango</t>
  </si>
  <si>
    <t>p t k kp b d g gb mb nd ŋg ŋgb ɓ m n f s h v z nz r l j w</t>
  </si>
  <si>
    <t>Samarin 1963</t>
  </si>
  <si>
    <t xml:space="preserve">p t k tʰ ts s h m n l w </t>
  </si>
  <si>
    <t>Sanuma</t>
  </si>
  <si>
    <t>Borgman 1990</t>
  </si>
  <si>
    <t xml:space="preserve">h ʔ j </t>
  </si>
  <si>
    <t>p t k kʷ ʔ tʰ kʰ t' k' ts tʃ tɬ ts' tʃ' tɬ' f x h ɣ s ʃ z ʒ ɬ m n ɾ w j w̃ l</t>
  </si>
  <si>
    <t>Slave</t>
  </si>
  <si>
    <t>Rice 1976</t>
  </si>
  <si>
    <t>n ð s x r l</t>
  </si>
  <si>
    <t>p t k tʃ f θ x β ð ɣ s m n ɲ r ɾ w j l ʎ</t>
  </si>
  <si>
    <t>lapsyd</t>
  </si>
  <si>
    <t>Spanish</t>
  </si>
  <si>
    <t>Supyire</t>
  </si>
  <si>
    <t xml:space="preserve">p t tʃ k (ʔ) b d dʒ f s ʃ v z ʒ m n ɲ ŋ l j w </t>
  </si>
  <si>
    <t>Carlson 1994</t>
  </si>
  <si>
    <t>p t c k b d ɟ g f s ʃ h v z m n ɲ ŋ w l r j</t>
  </si>
  <si>
    <t>Polome 1967</t>
  </si>
  <si>
    <t>Swahili</t>
  </si>
  <si>
    <t>p t̪ t ʈ k m n̪ n ɳ ŋ l ɭ r ɽ w j ɣ</t>
  </si>
  <si>
    <t>Tiwi</t>
  </si>
  <si>
    <t>Anderson and Maddieson 1994</t>
  </si>
  <si>
    <t xml:space="preserve">p t k ʔ ɓ ɗ g β s h m n ŋ mp nt ŋk ns mb nd ŋg r l </t>
  </si>
  <si>
    <t>Tukang Besi</t>
  </si>
  <si>
    <t>Donohue 1999</t>
  </si>
  <si>
    <t>p t k b d g tʃ (dʒ f z ʒ m n l ɾ) v j h</t>
  </si>
  <si>
    <t>p t k tʃ f m n l ɾ j h</t>
  </si>
  <si>
    <t>Turkish</t>
  </si>
  <si>
    <t>Kornfilt 1997</t>
  </si>
  <si>
    <t>Warao</t>
  </si>
  <si>
    <t>p t k kʷ s h r m n w j</t>
  </si>
  <si>
    <t>Romero-Figeroa 1997</t>
  </si>
  <si>
    <t xml:space="preserve">p t k ʔ m m' n n' </t>
  </si>
  <si>
    <t>p t (tʙ) k kʷ ʔ tʃ h hʷ m n ɾ* w j</t>
  </si>
  <si>
    <t>Wari</t>
  </si>
  <si>
    <t>Everett 1997</t>
  </si>
  <si>
    <t>p t k kʲ (kʷ) ʔ p' t' k' kʲ' m n s h hʷ ts ts' w j l l᷂</t>
  </si>
  <si>
    <t>p t k kʷ ʔ m n s h hʷ j l l᷂</t>
  </si>
  <si>
    <t>Wichi</t>
  </si>
  <si>
    <t>Avram 2008</t>
  </si>
  <si>
    <t xml:space="preserve">kʷ t k ʔ tʃ s h w r j </t>
  </si>
  <si>
    <t>Wichita</t>
  </si>
  <si>
    <t>Rood 1975</t>
  </si>
  <si>
    <t>pʷ t k mbʷ nd ts tʃ ɾ w j h</t>
  </si>
  <si>
    <t>j</t>
  </si>
  <si>
    <t>Yagua</t>
  </si>
  <si>
    <t>Payne 1985</t>
  </si>
  <si>
    <t xml:space="preserve">t k kp b d ð g gb f s ʃ h m n r l j w </t>
  </si>
  <si>
    <t>Yoruba</t>
  </si>
  <si>
    <t>Adesola nd</t>
  </si>
  <si>
    <t>p' t' k' pʰ tʰ kʰ k b d g ɓ dʒ tɬ' kɬ' ɸf' ts' tʃ' ɸv v dz dʒ f s ʃ x v z ɬ ɮ l h ɦ w j m ɱ n ɲ ɳ r ǀ ! ǁ ǀh !h ǁh ǀg !g ǁg ŋǀ ŋ! Ŋǁ</t>
  </si>
  <si>
    <t>Zulu</t>
  </si>
  <si>
    <t>Poulous and Bosch 1997</t>
  </si>
  <si>
    <t>Chamorro</t>
  </si>
  <si>
    <t>Hixkaryana</t>
  </si>
  <si>
    <t>p t k b d dʲ tʃ ɸ s ʃ h m n ɲ ɾ ɺ w j</t>
  </si>
  <si>
    <t>No Finals</t>
  </si>
  <si>
    <t>Guarani</t>
  </si>
  <si>
    <t>p t k kʷ ʔ mb nd ŋg ŋgʷ x v ɣ ɣʷ s̪ s ɾ l j</t>
  </si>
  <si>
    <t>Grebo</t>
  </si>
  <si>
    <t>p t c k kp b d ɟ g gb f s h m̥ n ̥ ʍ w j l̥ l</t>
  </si>
  <si>
    <t>Greek (Modern)</t>
  </si>
  <si>
    <t>https://forum.wordreference.com/threads/word-final-consonants.3018616/</t>
  </si>
  <si>
    <t>n s</t>
  </si>
  <si>
    <t>French</t>
  </si>
  <si>
    <t>p t k m n f s ʃ v z ʒ ʁ l</t>
  </si>
  <si>
    <t>p t k b d g m n ɲ f s ʃ v z ʒ ʁ ɥ</t>
  </si>
  <si>
    <t>Russian</t>
  </si>
  <si>
    <t>p pʲ t tʲ k b bʲ d dʲ g m mʲ n nʲ ts tɕ f fʲ s sʲ ʂ ɕ x v vʲ z zʲ ʐ ɬ lʲ j rʲ r</t>
  </si>
  <si>
    <t>p pʲ t tʲ k m mʲ n nʲ ts tɕ f fʲ s sʲ ʂ x l lʲ j r rʲ</t>
  </si>
  <si>
    <t>wikipedia</t>
  </si>
  <si>
    <t>p t k b d g θ f s x ð z v ɣ m n l r tʃ dʒ</t>
  </si>
  <si>
    <t>Romero 1964</t>
  </si>
  <si>
    <t>no vowel final (nonadverb) min words</t>
  </si>
  <si>
    <t>Butskhrikidze 2002</t>
  </si>
  <si>
    <t>p t k b d g p' t' k' m n ts dz ts' tʃ dʒ tʃ' s ʃ v z ʒ ɣ x h r l</t>
  </si>
  <si>
    <t>p t k b d g ɸ s x ɾ m n ɲ w j dʑ</t>
  </si>
  <si>
    <t>p t k d ɸ s x ɾ m n ɲ</t>
  </si>
  <si>
    <t xml:space="preserve">abstract /i/ vs /j/ alternation stem finally, p 34 Bruce </t>
  </si>
  <si>
    <t>SIL 2003 https://www.sil.org/resources/archives/42279</t>
  </si>
  <si>
    <t>voiced initial syllables hide from stress?</t>
  </si>
  <si>
    <t>Alabaman</t>
  </si>
  <si>
    <t>p t k kw* b d g mb nd ŋg ɓ ɗ n m z ɣ zl dz s x ɬ w j l r</t>
  </si>
  <si>
    <t>The chart of consonants available word initial does not show kw word initially, but there are ka kwa minimal pairs p. 14</t>
  </si>
  <si>
    <t>(p t v m n tʃ ) k*</t>
  </si>
  <si>
    <t>Parentheses mark suffix final consonants, but some adverbs end in k</t>
  </si>
  <si>
    <t>voiceless stops (including p) can end interjectionlike intensifiers</t>
  </si>
  <si>
    <t>in meyerga dialect, /b/ and /w/ merge, appearing as [b] initially, but [w] finally</t>
  </si>
  <si>
    <t>None</t>
  </si>
  <si>
    <t>Dschang</t>
  </si>
  <si>
    <t>Canaan Breiss pc</t>
  </si>
  <si>
    <t>p k, no t</t>
  </si>
  <si>
    <t>Barasano</t>
  </si>
  <si>
    <t>Jones and Jones 1991</t>
  </si>
  <si>
    <t>b t d k g s ɾ h w j</t>
  </si>
  <si>
    <t>Abun</t>
  </si>
  <si>
    <t>p t k f s m n w r j</t>
  </si>
  <si>
    <t>p t k b d g dʒ mb nd ndʒ ŋg m n ɲ f s ʃ w r j</t>
  </si>
  <si>
    <t>Berry and Berry 1999</t>
  </si>
  <si>
    <t>Koasati</t>
  </si>
  <si>
    <t xml:space="preserve">p t k tʃ b m n w j l f ɬ s h </t>
  </si>
  <si>
    <t xml:space="preserve">p t k tʃ b n l s h </t>
  </si>
  <si>
    <t>no clear evidence for m w j f ɬ finally</t>
  </si>
  <si>
    <t>Kimball 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</si>
</sst>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Menlo Italic"/>
      <family val="2"/>
    </font>
    <font>
      <sz val="12"/>
      <color theme="1"/>
      <name val="Verdana"/>
      <family val="2"/>
    </font>
    <font>
      <sz val="12"/>
      <color indexed="206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16" fontId="0" fillId="0" borderId="0" xfId="0" applyNumberFormat="1"/>
    <xf numFmtId="43" fontId="0" fillId="0" borderId="0" xfId="1" applyFont="1"/>
    <xf numFmtId="0" fontId="0" fillId="0" borderId="1" xfId="0" applyBorder="1"/>
  </cellXfs>
  <cellStyles count="2">
    <cellStyle name="Comma" xfId="1" builtinId="3"/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90"/>
  <sheetViews>
    <sheetView tabSelected="1" topLeftCell="A178" zoomScaleNormal="100" workbookViewId="0">
      <selection activeCell="B205" sqref="B205"/>
    </sheetView>
  </sheetViews>
  <sheetFormatPr baseColWidth="10" defaultRowHeight="16"/>
  <cols>
    <col min="4" max="4" width="40.1640625" customWidth="1"/>
    <col min="18" max="18" width="12" bestFit="1" customWidth="1"/>
    <col min="19" max="19" width="11.83203125" bestFit="1" customWidth="1"/>
    <col min="23" max="23" width="11.83203125" bestFit="1" customWidth="1"/>
    <col min="24" max="24" width="12" bestFit="1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M1" t="s">
        <v>884</v>
      </c>
      <c r="N1" t="s">
        <v>885</v>
      </c>
      <c r="P1" t="s">
        <v>5</v>
      </c>
      <c r="Q1" t="s">
        <v>6</v>
      </c>
    </row>
    <row r="2" spans="1:19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I2" t="s">
        <v>13</v>
      </c>
      <c r="L2" t="s">
        <v>14</v>
      </c>
      <c r="M2" t="s">
        <v>15</v>
      </c>
      <c r="P2" s="1" t="s">
        <v>15</v>
      </c>
      <c r="Q2" s="1" t="s">
        <v>16</v>
      </c>
      <c r="R2" s="1"/>
      <c r="S2" s="1"/>
    </row>
    <row r="3" spans="1:19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I3" t="s">
        <v>23</v>
      </c>
      <c r="L3">
        <v>0</v>
      </c>
      <c r="M3" t="s">
        <v>24</v>
      </c>
      <c r="N3" t="s">
        <v>24</v>
      </c>
      <c r="P3" t="s">
        <v>24</v>
      </c>
      <c r="S3" s="1"/>
    </row>
    <row r="4" spans="1:19">
      <c r="A4" t="s">
        <v>25</v>
      </c>
      <c r="B4" t="s">
        <v>26</v>
      </c>
      <c r="C4" t="s">
        <v>27</v>
      </c>
      <c r="D4" t="s">
        <v>28</v>
      </c>
      <c r="E4" t="s">
        <v>29</v>
      </c>
      <c r="I4" t="s">
        <v>30</v>
      </c>
      <c r="L4">
        <v>0</v>
      </c>
      <c r="M4" t="s">
        <v>24</v>
      </c>
      <c r="N4" t="s">
        <v>24</v>
      </c>
      <c r="P4" t="s">
        <v>24</v>
      </c>
      <c r="S4" s="1"/>
    </row>
    <row r="5" spans="1:19">
      <c r="A5" t="s">
        <v>31</v>
      </c>
      <c r="B5" t="s">
        <v>32</v>
      </c>
      <c r="C5" t="s">
        <v>33</v>
      </c>
      <c r="D5" t="s">
        <v>34</v>
      </c>
      <c r="E5" t="s">
        <v>35</v>
      </c>
      <c r="L5" t="s">
        <v>14</v>
      </c>
      <c r="M5" t="s">
        <v>24</v>
      </c>
      <c r="P5" t="s">
        <v>24</v>
      </c>
      <c r="Q5" t="s">
        <v>16</v>
      </c>
      <c r="S5" s="1"/>
    </row>
    <row r="6" spans="1:19">
      <c r="A6" t="s">
        <v>31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I6" t="s">
        <v>41</v>
      </c>
      <c r="L6">
        <v>0</v>
      </c>
      <c r="M6" t="s">
        <v>24</v>
      </c>
      <c r="N6" t="s">
        <v>24</v>
      </c>
      <c r="P6" t="s">
        <v>24</v>
      </c>
      <c r="S6" s="1"/>
    </row>
    <row r="7" spans="1:19">
      <c r="A7" t="s">
        <v>42</v>
      </c>
      <c r="B7" t="s">
        <v>43</v>
      </c>
      <c r="C7" t="s">
        <v>44</v>
      </c>
      <c r="D7" s="5" t="s">
        <v>45</v>
      </c>
      <c r="E7" t="s">
        <v>46</v>
      </c>
      <c r="F7" t="s">
        <v>47</v>
      </c>
      <c r="I7" t="s">
        <v>48</v>
      </c>
      <c r="L7" t="s">
        <v>49</v>
      </c>
      <c r="M7" t="s">
        <v>50</v>
      </c>
      <c r="P7" t="s">
        <v>50</v>
      </c>
      <c r="Q7" t="s">
        <v>16</v>
      </c>
      <c r="S7" s="1"/>
    </row>
    <row r="8" spans="1:19">
      <c r="A8" t="s">
        <v>51</v>
      </c>
      <c r="B8" t="s">
        <v>52</v>
      </c>
      <c r="C8" t="s">
        <v>44</v>
      </c>
      <c r="D8" t="s">
        <v>53</v>
      </c>
      <c r="E8" t="s">
        <v>54</v>
      </c>
      <c r="F8" t="s">
        <v>55</v>
      </c>
      <c r="G8" t="s">
        <v>56</v>
      </c>
      <c r="I8" t="s">
        <v>57</v>
      </c>
      <c r="L8" t="s">
        <v>14</v>
      </c>
      <c r="M8" t="s">
        <v>24</v>
      </c>
      <c r="P8" t="s">
        <v>24</v>
      </c>
      <c r="Q8" t="s">
        <v>16</v>
      </c>
      <c r="S8" s="1"/>
    </row>
    <row r="9" spans="1:19">
      <c r="A9" t="s">
        <v>58</v>
      </c>
      <c r="B9" t="s">
        <v>59</v>
      </c>
      <c r="C9" t="s">
        <v>44</v>
      </c>
      <c r="D9" t="s">
        <v>60</v>
      </c>
      <c r="E9" t="s">
        <v>61</v>
      </c>
      <c r="F9" t="s">
        <v>62</v>
      </c>
      <c r="I9" t="s">
        <v>63</v>
      </c>
      <c r="L9" t="s">
        <v>24</v>
      </c>
      <c r="M9" t="s">
        <v>24</v>
      </c>
      <c r="P9" t="s">
        <v>64</v>
      </c>
      <c r="Q9" t="s">
        <v>24</v>
      </c>
      <c r="S9" s="1"/>
    </row>
    <row r="10" spans="1:19">
      <c r="A10" t="s">
        <v>65</v>
      </c>
      <c r="B10" t="s">
        <v>66</v>
      </c>
      <c r="C10" t="s">
        <v>44</v>
      </c>
      <c r="D10" t="s">
        <v>67</v>
      </c>
      <c r="E10" t="s">
        <v>68</v>
      </c>
      <c r="F10" t="s">
        <v>69</v>
      </c>
      <c r="L10">
        <v>0</v>
      </c>
      <c r="M10" t="s">
        <v>24</v>
      </c>
      <c r="N10" t="s">
        <v>24</v>
      </c>
      <c r="P10" t="s">
        <v>24</v>
      </c>
      <c r="S10" s="1"/>
    </row>
    <row r="11" spans="1:19">
      <c r="A11" t="s">
        <v>70</v>
      </c>
      <c r="B11" t="s">
        <v>71</v>
      </c>
      <c r="C11" t="s">
        <v>44</v>
      </c>
      <c r="D11" t="s">
        <v>72</v>
      </c>
      <c r="E11" t="s">
        <v>73</v>
      </c>
      <c r="F11" t="s">
        <v>74</v>
      </c>
      <c r="G11" t="s">
        <v>1239</v>
      </c>
      <c r="L11">
        <v>0</v>
      </c>
      <c r="M11" t="s">
        <v>24</v>
      </c>
      <c r="P11" t="s">
        <v>64</v>
      </c>
      <c r="Q11" t="s">
        <v>16</v>
      </c>
      <c r="S11" s="1"/>
    </row>
    <row r="12" spans="1:19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I12" t="s">
        <v>80</v>
      </c>
      <c r="L12">
        <v>0</v>
      </c>
      <c r="M12" t="s">
        <v>24</v>
      </c>
      <c r="N12" t="s">
        <v>24</v>
      </c>
      <c r="P12" t="s">
        <v>64</v>
      </c>
      <c r="Q12" t="s">
        <v>81</v>
      </c>
      <c r="S12" s="1"/>
    </row>
    <row r="13" spans="1:19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I13" t="s">
        <v>88</v>
      </c>
      <c r="L13">
        <v>0</v>
      </c>
      <c r="M13" t="s">
        <v>881</v>
      </c>
      <c r="N13" t="s">
        <v>881</v>
      </c>
      <c r="P13" t="s">
        <v>89</v>
      </c>
      <c r="S13" s="1"/>
    </row>
    <row r="14" spans="1:19">
      <c r="A14" t="s">
        <v>90</v>
      </c>
      <c r="B14" t="s">
        <v>91</v>
      </c>
      <c r="C14" t="s">
        <v>92</v>
      </c>
      <c r="D14" t="s">
        <v>93</v>
      </c>
      <c r="E14" t="s">
        <v>876</v>
      </c>
      <c r="F14" t="s">
        <v>94</v>
      </c>
      <c r="L14" t="s">
        <v>95</v>
      </c>
      <c r="M14" t="s">
        <v>24</v>
      </c>
      <c r="N14" t="s">
        <v>890</v>
      </c>
      <c r="P14" t="s">
        <v>24</v>
      </c>
      <c r="Q14" t="s">
        <v>95</v>
      </c>
      <c r="S14" s="1"/>
    </row>
    <row r="15" spans="1:19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L15">
        <v>0</v>
      </c>
      <c r="M15" t="s">
        <v>886</v>
      </c>
      <c r="N15" t="s">
        <v>886</v>
      </c>
      <c r="P15" t="s">
        <v>64</v>
      </c>
      <c r="S15" s="1"/>
    </row>
    <row r="16" spans="1:19">
      <c r="A16" t="s">
        <v>103</v>
      </c>
      <c r="B16" t="s">
        <v>104</v>
      </c>
      <c r="C16" t="s">
        <v>105</v>
      </c>
      <c r="D16" t="s">
        <v>106</v>
      </c>
      <c r="E16" t="s">
        <v>107</v>
      </c>
      <c r="F16" t="s">
        <v>108</v>
      </c>
      <c r="I16" t="s">
        <v>109</v>
      </c>
      <c r="L16" t="s">
        <v>110</v>
      </c>
      <c r="M16" t="s">
        <v>24</v>
      </c>
      <c r="N16" t="s">
        <v>50</v>
      </c>
      <c r="P16" t="s">
        <v>111</v>
      </c>
      <c r="Q16" t="s">
        <v>110</v>
      </c>
      <c r="S16" s="1"/>
    </row>
    <row r="17" spans="1:19">
      <c r="A17" t="s">
        <v>112</v>
      </c>
      <c r="B17" t="s">
        <v>113</v>
      </c>
      <c r="C17" t="s">
        <v>114</v>
      </c>
      <c r="D17" t="s">
        <v>115</v>
      </c>
      <c r="E17" t="s">
        <v>116</v>
      </c>
      <c r="L17" t="s">
        <v>117</v>
      </c>
      <c r="M17" t="s">
        <v>24</v>
      </c>
      <c r="P17" t="s">
        <v>24</v>
      </c>
      <c r="Q17" t="s">
        <v>16</v>
      </c>
      <c r="S17" s="1"/>
    </row>
    <row r="18" spans="1:19">
      <c r="A18" t="s">
        <v>118</v>
      </c>
      <c r="B18" t="s">
        <v>119</v>
      </c>
      <c r="C18" t="s">
        <v>120</v>
      </c>
      <c r="D18" t="s">
        <v>121</v>
      </c>
      <c r="E18" t="s">
        <v>122</v>
      </c>
      <c r="G18" t="s">
        <v>123</v>
      </c>
      <c r="L18">
        <v>0</v>
      </c>
      <c r="M18" t="s">
        <v>24</v>
      </c>
      <c r="N18" t="s">
        <v>24</v>
      </c>
      <c r="P18" t="s">
        <v>64</v>
      </c>
      <c r="S18" s="1"/>
    </row>
    <row r="19" spans="1:19">
      <c r="A19" t="s">
        <v>124</v>
      </c>
      <c r="B19" t="s">
        <v>125</v>
      </c>
      <c r="C19" t="s">
        <v>126</v>
      </c>
      <c r="D19" t="s">
        <v>127</v>
      </c>
      <c r="E19" t="s">
        <v>81</v>
      </c>
      <c r="L19" t="s">
        <v>24</v>
      </c>
      <c r="M19" t="s">
        <v>887</v>
      </c>
      <c r="P19" t="s">
        <v>128</v>
      </c>
      <c r="Q19" t="s">
        <v>129</v>
      </c>
      <c r="S19" s="1"/>
    </row>
    <row r="20" spans="1:19">
      <c r="A20" t="s">
        <v>112</v>
      </c>
      <c r="B20" t="s">
        <v>130</v>
      </c>
      <c r="C20" t="s">
        <v>131</v>
      </c>
      <c r="D20" t="s">
        <v>132</v>
      </c>
      <c r="E20" t="s">
        <v>133</v>
      </c>
      <c r="I20" t="s">
        <v>134</v>
      </c>
      <c r="L20">
        <v>0</v>
      </c>
      <c r="M20" t="s">
        <v>24</v>
      </c>
      <c r="N20" t="s">
        <v>24</v>
      </c>
      <c r="P20" t="s">
        <v>24</v>
      </c>
      <c r="S20" s="1"/>
    </row>
    <row r="21" spans="1:19">
      <c r="A21" t="s">
        <v>135</v>
      </c>
      <c r="B21" t="s">
        <v>136</v>
      </c>
      <c r="C21" t="s">
        <v>137</v>
      </c>
      <c r="D21" t="s">
        <v>138</v>
      </c>
      <c r="E21" t="s">
        <v>139</v>
      </c>
      <c r="I21" t="s">
        <v>140</v>
      </c>
      <c r="L21" t="s">
        <v>24</v>
      </c>
      <c r="M21" t="s">
        <v>24</v>
      </c>
      <c r="P21" t="s">
        <v>64</v>
      </c>
      <c r="Q21" t="s">
        <v>24</v>
      </c>
      <c r="S21" s="1"/>
    </row>
    <row r="22" spans="1:19">
      <c r="A22" t="s">
        <v>141</v>
      </c>
      <c r="B22" t="s">
        <v>142</v>
      </c>
      <c r="C22" t="s">
        <v>143</v>
      </c>
      <c r="D22" t="s">
        <v>144</v>
      </c>
      <c r="E22" t="s">
        <v>145</v>
      </c>
      <c r="F22" t="s">
        <v>146</v>
      </c>
      <c r="L22">
        <v>0</v>
      </c>
      <c r="M22" t="s">
        <v>24</v>
      </c>
      <c r="N22" t="s">
        <v>24</v>
      </c>
      <c r="P22" t="s">
        <v>64</v>
      </c>
      <c r="S22" s="1"/>
    </row>
    <row r="23" spans="1:19">
      <c r="A23" t="s">
        <v>147</v>
      </c>
      <c r="B23" t="s">
        <v>148</v>
      </c>
      <c r="C23" t="s">
        <v>149</v>
      </c>
      <c r="D23" t="s">
        <v>150</v>
      </c>
      <c r="E23" t="s">
        <v>151</v>
      </c>
      <c r="L23" t="s">
        <v>117</v>
      </c>
      <c r="M23" t="s">
        <v>888</v>
      </c>
      <c r="P23" t="s">
        <v>24</v>
      </c>
      <c r="Q23" t="s">
        <v>16</v>
      </c>
      <c r="S23" s="1"/>
    </row>
    <row r="24" spans="1:19">
      <c r="A24" t="s">
        <v>152</v>
      </c>
      <c r="B24" t="s">
        <v>153</v>
      </c>
      <c r="C24" t="s">
        <v>154</v>
      </c>
      <c r="D24" t="s">
        <v>155</v>
      </c>
      <c r="E24" t="s">
        <v>73</v>
      </c>
      <c r="L24" t="s">
        <v>117</v>
      </c>
      <c r="M24" t="s">
        <v>24</v>
      </c>
      <c r="O24" t="s">
        <v>939</v>
      </c>
      <c r="P24" t="s">
        <v>156</v>
      </c>
      <c r="Q24" t="s">
        <v>16</v>
      </c>
      <c r="S24" s="1"/>
    </row>
    <row r="25" spans="1:19">
      <c r="A25" t="s">
        <v>157</v>
      </c>
      <c r="B25" t="s">
        <v>158</v>
      </c>
      <c r="C25" t="s">
        <v>159</v>
      </c>
      <c r="D25" t="s">
        <v>160</v>
      </c>
      <c r="E25" t="s">
        <v>847</v>
      </c>
      <c r="I25" t="s">
        <v>161</v>
      </c>
      <c r="L25" t="s">
        <v>24</v>
      </c>
      <c r="M25" t="s">
        <v>24</v>
      </c>
      <c r="P25" t="s">
        <v>24</v>
      </c>
      <c r="Q25" t="s">
        <v>16</v>
      </c>
      <c r="S25" s="1"/>
    </row>
    <row r="26" spans="1:19">
      <c r="A26" t="s">
        <v>162</v>
      </c>
      <c r="B26" t="s">
        <v>163</v>
      </c>
      <c r="C26" t="s">
        <v>164</v>
      </c>
      <c r="D26" t="s">
        <v>165</v>
      </c>
      <c r="E26" t="s">
        <v>166</v>
      </c>
      <c r="F26" t="s">
        <v>167</v>
      </c>
      <c r="G26" t="s">
        <v>882</v>
      </c>
      <c r="H26" t="s">
        <v>883</v>
      </c>
      <c r="I26" t="s">
        <v>168</v>
      </c>
      <c r="L26" t="s">
        <v>95</v>
      </c>
      <c r="M26" t="s">
        <v>24</v>
      </c>
      <c r="N26" t="s">
        <v>890</v>
      </c>
      <c r="P26" t="s">
        <v>64</v>
      </c>
      <c r="Q26" t="s">
        <v>95</v>
      </c>
      <c r="S26" s="1"/>
    </row>
    <row r="27" spans="1:19">
      <c r="A27" t="s">
        <v>162</v>
      </c>
      <c r="B27" t="s">
        <v>169</v>
      </c>
      <c r="C27" t="s">
        <v>170</v>
      </c>
      <c r="D27" t="s">
        <v>171</v>
      </c>
      <c r="E27" t="s">
        <v>171</v>
      </c>
      <c r="F27" t="s">
        <v>172</v>
      </c>
      <c r="G27" t="s">
        <v>173</v>
      </c>
      <c r="I27" t="s">
        <v>174</v>
      </c>
      <c r="L27">
        <v>0</v>
      </c>
      <c r="M27" t="s">
        <v>415</v>
      </c>
      <c r="N27" t="s">
        <v>415</v>
      </c>
      <c r="P27" t="s">
        <v>175</v>
      </c>
      <c r="S27" s="1"/>
    </row>
    <row r="28" spans="1:19">
      <c r="A28" t="s">
        <v>176</v>
      </c>
      <c r="B28" t="s">
        <v>177</v>
      </c>
      <c r="C28" t="s">
        <v>178</v>
      </c>
      <c r="D28" t="s">
        <v>179</v>
      </c>
      <c r="E28" t="s">
        <v>180</v>
      </c>
      <c r="F28" t="s">
        <v>181</v>
      </c>
      <c r="I28" t="s">
        <v>182</v>
      </c>
      <c r="L28">
        <v>0</v>
      </c>
      <c r="M28" t="s">
        <v>881</v>
      </c>
      <c r="N28" t="s">
        <v>881</v>
      </c>
      <c r="P28" t="s">
        <v>89</v>
      </c>
      <c r="S28" s="1"/>
    </row>
    <row r="29" spans="1:19">
      <c r="A29" t="s">
        <v>183</v>
      </c>
      <c r="B29" t="s">
        <v>184</v>
      </c>
      <c r="C29" t="s">
        <v>185</v>
      </c>
      <c r="D29" t="s">
        <v>186</v>
      </c>
      <c r="E29" t="s">
        <v>187</v>
      </c>
      <c r="I29" t="s">
        <v>188</v>
      </c>
      <c r="L29">
        <v>0</v>
      </c>
      <c r="M29" t="s">
        <v>24</v>
      </c>
      <c r="P29" t="s">
        <v>24</v>
      </c>
      <c r="Q29" t="s">
        <v>16</v>
      </c>
      <c r="S29" s="1"/>
    </row>
    <row r="30" spans="1:19">
      <c r="A30" t="s">
        <v>189</v>
      </c>
      <c r="B30" t="s">
        <v>190</v>
      </c>
      <c r="C30" t="s">
        <v>191</v>
      </c>
      <c r="D30" t="s">
        <v>192</v>
      </c>
      <c r="E30" t="s">
        <v>193</v>
      </c>
      <c r="F30" t="s">
        <v>194</v>
      </c>
      <c r="I30" t="s">
        <v>195</v>
      </c>
      <c r="L30">
        <v>0</v>
      </c>
      <c r="M30" t="s">
        <v>24</v>
      </c>
      <c r="N30" t="s">
        <v>24</v>
      </c>
      <c r="P30" t="s">
        <v>64</v>
      </c>
      <c r="S30" s="1"/>
    </row>
    <row r="31" spans="1:19">
      <c r="A31" t="s">
        <v>196</v>
      </c>
      <c r="B31" t="s">
        <v>197</v>
      </c>
      <c r="C31" t="s">
        <v>198</v>
      </c>
      <c r="D31" t="s">
        <v>199</v>
      </c>
      <c r="E31" t="s">
        <v>73</v>
      </c>
      <c r="F31" t="s">
        <v>200</v>
      </c>
      <c r="G31" t="s">
        <v>201</v>
      </c>
      <c r="L31" t="s">
        <v>117</v>
      </c>
      <c r="M31" t="s">
        <v>24</v>
      </c>
      <c r="P31" t="s">
        <v>64</v>
      </c>
      <c r="Q31" t="s">
        <v>16</v>
      </c>
      <c r="S31" s="1"/>
    </row>
    <row r="32" spans="1:19">
      <c r="A32" t="s">
        <v>58</v>
      </c>
      <c r="B32" t="s">
        <v>202</v>
      </c>
      <c r="C32" t="s">
        <v>203</v>
      </c>
      <c r="D32" t="s">
        <v>204</v>
      </c>
      <c r="E32" t="s">
        <v>205</v>
      </c>
      <c r="F32" t="s">
        <v>206</v>
      </c>
      <c r="G32" t="s">
        <v>207</v>
      </c>
      <c r="H32" t="s">
        <v>208</v>
      </c>
      <c r="I32" t="s">
        <v>209</v>
      </c>
      <c r="L32">
        <v>0</v>
      </c>
      <c r="M32" t="s">
        <v>24</v>
      </c>
      <c r="N32" t="s">
        <v>24</v>
      </c>
      <c r="P32" t="s">
        <v>24</v>
      </c>
      <c r="S32" s="1"/>
    </row>
    <row r="33" spans="1:19">
      <c r="A33" t="s">
        <v>210</v>
      </c>
      <c r="B33" t="s">
        <v>211</v>
      </c>
      <c r="C33" t="s">
        <v>212</v>
      </c>
      <c r="D33" t="s">
        <v>213</v>
      </c>
      <c r="E33" t="s">
        <v>214</v>
      </c>
      <c r="F33" t="s">
        <v>209</v>
      </c>
      <c r="I33" t="s">
        <v>140</v>
      </c>
      <c r="L33" t="s">
        <v>117</v>
      </c>
      <c r="M33" t="s">
        <v>24</v>
      </c>
      <c r="P33" t="s">
        <v>24</v>
      </c>
      <c r="Q33" t="s">
        <v>16</v>
      </c>
      <c r="S33" s="1"/>
    </row>
    <row r="34" spans="1:19">
      <c r="A34" t="s">
        <v>215</v>
      </c>
      <c r="B34" t="s">
        <v>216</v>
      </c>
      <c r="C34" t="s">
        <v>217</v>
      </c>
      <c r="D34" t="s">
        <v>218</v>
      </c>
      <c r="E34" t="s">
        <v>219</v>
      </c>
      <c r="L34" t="s">
        <v>117</v>
      </c>
      <c r="M34" t="s">
        <v>24</v>
      </c>
      <c r="P34" t="s">
        <v>64</v>
      </c>
      <c r="Q34" t="s">
        <v>16</v>
      </c>
      <c r="S34" s="1"/>
    </row>
    <row r="35" spans="1:19">
      <c r="A35" t="s">
        <v>215</v>
      </c>
      <c r="B35" t="s">
        <v>220</v>
      </c>
      <c r="C35" t="s">
        <v>221</v>
      </c>
      <c r="D35" t="s">
        <v>222</v>
      </c>
      <c r="E35" t="s">
        <v>223</v>
      </c>
      <c r="F35" t="s">
        <v>224</v>
      </c>
      <c r="G35" t="s">
        <v>225</v>
      </c>
      <c r="M35" t="s">
        <v>24</v>
      </c>
      <c r="P35" t="s">
        <v>24</v>
      </c>
      <c r="Q35" t="s">
        <v>16</v>
      </c>
      <c r="S35" s="1"/>
    </row>
    <row r="36" spans="1:19">
      <c r="A36" t="s">
        <v>226</v>
      </c>
      <c r="B36" t="s">
        <v>227</v>
      </c>
      <c r="C36" t="s">
        <v>228</v>
      </c>
      <c r="D36" t="s">
        <v>229</v>
      </c>
      <c r="E36" t="s">
        <v>230</v>
      </c>
      <c r="F36" t="s">
        <v>231</v>
      </c>
      <c r="G36" t="s">
        <v>232</v>
      </c>
      <c r="L36">
        <v>0</v>
      </c>
      <c r="M36" t="s">
        <v>24</v>
      </c>
      <c r="N36" t="s">
        <v>24</v>
      </c>
      <c r="P36" t="s">
        <v>24</v>
      </c>
      <c r="S36" s="1"/>
    </row>
    <row r="37" spans="1:19">
      <c r="A37" t="s">
        <v>226</v>
      </c>
      <c r="B37" t="s">
        <v>233</v>
      </c>
      <c r="C37" t="s">
        <v>234</v>
      </c>
      <c r="D37" t="s">
        <v>235</v>
      </c>
      <c r="E37" t="s">
        <v>236</v>
      </c>
      <c r="F37" t="s">
        <v>237</v>
      </c>
      <c r="G37" t="s">
        <v>238</v>
      </c>
      <c r="L37">
        <v>0</v>
      </c>
      <c r="M37" t="s">
        <v>862</v>
      </c>
      <c r="N37" t="s">
        <v>24</v>
      </c>
      <c r="P37" t="s">
        <v>239</v>
      </c>
      <c r="Q37" t="s">
        <v>240</v>
      </c>
      <c r="S37" s="1"/>
    </row>
    <row r="38" spans="1:19">
      <c r="A38" t="s">
        <v>226</v>
      </c>
      <c r="B38" t="s">
        <v>241</v>
      </c>
      <c r="C38" t="s">
        <v>242</v>
      </c>
      <c r="D38" t="s">
        <v>243</v>
      </c>
      <c r="E38" t="s">
        <v>244</v>
      </c>
      <c r="F38" t="s">
        <v>123</v>
      </c>
      <c r="G38" t="s">
        <v>245</v>
      </c>
      <c r="H38" t="s">
        <v>246</v>
      </c>
      <c r="L38">
        <v>0</v>
      </c>
      <c r="M38" t="s">
        <v>24</v>
      </c>
      <c r="N38" t="s">
        <v>24</v>
      </c>
      <c r="P38" t="s">
        <v>64</v>
      </c>
      <c r="S38" s="1"/>
    </row>
    <row r="39" spans="1:19">
      <c r="A39" t="s">
        <v>247</v>
      </c>
      <c r="B39" t="s">
        <v>248</v>
      </c>
      <c r="C39" t="s">
        <v>249</v>
      </c>
      <c r="D39" t="s">
        <v>250</v>
      </c>
      <c r="E39" t="s">
        <v>251</v>
      </c>
      <c r="L39" t="s">
        <v>129</v>
      </c>
      <c r="M39" t="s">
        <v>129</v>
      </c>
      <c r="P39" t="s">
        <v>128</v>
      </c>
      <c r="Q39" t="s">
        <v>129</v>
      </c>
      <c r="S39" s="1"/>
    </row>
    <row r="40" spans="1:19">
      <c r="A40" t="s">
        <v>252</v>
      </c>
      <c r="B40" t="s">
        <v>253</v>
      </c>
      <c r="C40" t="s">
        <v>254</v>
      </c>
      <c r="D40" t="s">
        <v>255</v>
      </c>
      <c r="E40" t="s">
        <v>256</v>
      </c>
      <c r="F40" t="s">
        <v>257</v>
      </c>
      <c r="G40" t="s">
        <v>258</v>
      </c>
      <c r="H40" t="s">
        <v>259</v>
      </c>
      <c r="L40">
        <v>0</v>
      </c>
      <c r="M40" t="s">
        <v>24</v>
      </c>
      <c r="N40" t="s">
        <v>24</v>
      </c>
      <c r="P40" t="s">
        <v>24</v>
      </c>
      <c r="S40" s="1"/>
    </row>
    <row r="41" spans="1:19">
      <c r="A41" t="s">
        <v>260</v>
      </c>
      <c r="B41" t="s">
        <v>261</v>
      </c>
      <c r="C41" t="s">
        <v>262</v>
      </c>
      <c r="D41" t="s">
        <v>263</v>
      </c>
      <c r="E41" t="s">
        <v>264</v>
      </c>
      <c r="F41" t="s">
        <v>265</v>
      </c>
      <c r="G41" t="s">
        <v>266</v>
      </c>
      <c r="L41" t="s">
        <v>117</v>
      </c>
      <c r="M41" t="s">
        <v>881</v>
      </c>
      <c r="P41" t="s">
        <v>89</v>
      </c>
      <c r="Q41" t="s">
        <v>16</v>
      </c>
      <c r="S41" s="1"/>
    </row>
    <row r="42" spans="1:19">
      <c r="A42" t="s">
        <v>267</v>
      </c>
      <c r="B42" t="s">
        <v>268</v>
      </c>
      <c r="C42" t="s">
        <v>269</v>
      </c>
      <c r="D42" t="s">
        <v>270</v>
      </c>
      <c r="E42" t="s">
        <v>271</v>
      </c>
      <c r="F42" t="s">
        <v>272</v>
      </c>
      <c r="G42" t="s">
        <v>273</v>
      </c>
      <c r="L42" t="s">
        <v>117</v>
      </c>
      <c r="M42" t="s">
        <v>129</v>
      </c>
      <c r="P42" t="s">
        <v>129</v>
      </c>
      <c r="Q42" t="s">
        <v>16</v>
      </c>
      <c r="S42" s="1"/>
    </row>
    <row r="43" spans="1:19">
      <c r="A43" t="s">
        <v>274</v>
      </c>
      <c r="B43" t="s">
        <v>275</v>
      </c>
      <c r="C43" t="s">
        <v>276</v>
      </c>
      <c r="D43" t="s">
        <v>277</v>
      </c>
      <c r="E43" t="s">
        <v>278</v>
      </c>
      <c r="L43">
        <v>0</v>
      </c>
      <c r="M43" t="s">
        <v>24</v>
      </c>
      <c r="N43" t="s">
        <v>24</v>
      </c>
      <c r="O43" t="s">
        <v>939</v>
      </c>
      <c r="P43" t="s">
        <v>128</v>
      </c>
      <c r="S43" s="1"/>
    </row>
    <row r="44" spans="1:19">
      <c r="A44" t="s">
        <v>279</v>
      </c>
      <c r="B44" t="s">
        <v>280</v>
      </c>
      <c r="C44" t="s">
        <v>281</v>
      </c>
      <c r="D44" t="s">
        <v>282</v>
      </c>
      <c r="E44" t="s">
        <v>283</v>
      </c>
      <c r="L44" t="s">
        <v>49</v>
      </c>
      <c r="M44" t="s">
        <v>129</v>
      </c>
      <c r="N44" t="s">
        <v>129</v>
      </c>
      <c r="P44" t="s">
        <v>284</v>
      </c>
      <c r="Q44" t="s">
        <v>81</v>
      </c>
      <c r="S44" s="1"/>
    </row>
    <row r="45" spans="1:19">
      <c r="A45" t="s">
        <v>285</v>
      </c>
      <c r="B45" t="s">
        <v>286</v>
      </c>
      <c r="C45" t="s">
        <v>287</v>
      </c>
      <c r="D45" t="s">
        <v>288</v>
      </c>
      <c r="F45" t="s">
        <v>289</v>
      </c>
      <c r="L45" t="s">
        <v>24</v>
      </c>
      <c r="M45" t="s">
        <v>892</v>
      </c>
      <c r="P45" t="s">
        <v>290</v>
      </c>
      <c r="Q45" t="s">
        <v>16</v>
      </c>
      <c r="S45" s="1"/>
    </row>
    <row r="46" spans="1:19">
      <c r="A46" t="s">
        <v>291</v>
      </c>
      <c r="B46" t="s">
        <v>292</v>
      </c>
      <c r="C46" t="s">
        <v>293</v>
      </c>
      <c r="D46" t="s">
        <v>294</v>
      </c>
      <c r="E46" t="s">
        <v>295</v>
      </c>
      <c r="F46" t="s">
        <v>296</v>
      </c>
      <c r="G46" t="s">
        <v>297</v>
      </c>
      <c r="L46" t="s">
        <v>298</v>
      </c>
      <c r="M46" t="s">
        <v>129</v>
      </c>
      <c r="N46" t="s">
        <v>398</v>
      </c>
      <c r="P46" t="s">
        <v>128</v>
      </c>
      <c r="Q46" t="s">
        <v>299</v>
      </c>
      <c r="S46" s="2"/>
    </row>
    <row r="47" spans="1:19">
      <c r="A47" t="s">
        <v>291</v>
      </c>
      <c r="B47" t="s">
        <v>300</v>
      </c>
      <c r="C47" t="s">
        <v>293</v>
      </c>
      <c r="D47" t="s">
        <v>301</v>
      </c>
      <c r="E47" t="s">
        <v>302</v>
      </c>
      <c r="F47" t="s">
        <v>303</v>
      </c>
      <c r="L47" t="s">
        <v>304</v>
      </c>
      <c r="M47" t="s">
        <v>129</v>
      </c>
      <c r="N47" t="s">
        <v>890</v>
      </c>
      <c r="P47" t="s">
        <v>128</v>
      </c>
      <c r="Q47" t="s">
        <v>305</v>
      </c>
      <c r="S47" s="2"/>
    </row>
    <row r="48" spans="1:19">
      <c r="A48" t="s">
        <v>291</v>
      </c>
      <c r="B48" t="s">
        <v>306</v>
      </c>
      <c r="C48" t="s">
        <v>307</v>
      </c>
      <c r="D48" t="s">
        <v>308</v>
      </c>
      <c r="E48" t="s">
        <v>309</v>
      </c>
      <c r="L48" t="s">
        <v>95</v>
      </c>
      <c r="M48" t="s">
        <v>24</v>
      </c>
      <c r="N48" t="s">
        <v>890</v>
      </c>
      <c r="O48" t="s">
        <v>939</v>
      </c>
      <c r="P48" t="s">
        <v>64</v>
      </c>
      <c r="Q48" t="s">
        <v>95</v>
      </c>
      <c r="S48" s="2"/>
    </row>
    <row r="49" spans="1:19">
      <c r="A49" t="s">
        <v>310</v>
      </c>
      <c r="B49" t="s">
        <v>311</v>
      </c>
      <c r="C49" t="s">
        <v>312</v>
      </c>
      <c r="D49" t="s">
        <v>313</v>
      </c>
      <c r="E49" t="s">
        <v>314</v>
      </c>
      <c r="L49">
        <v>0</v>
      </c>
      <c r="M49" t="s">
        <v>891</v>
      </c>
      <c r="N49" t="s">
        <v>24</v>
      </c>
      <c r="P49" t="s">
        <v>315</v>
      </c>
      <c r="Q49" t="s">
        <v>316</v>
      </c>
      <c r="S49" s="2"/>
    </row>
    <row r="50" spans="1:19">
      <c r="A50" t="s">
        <v>317</v>
      </c>
      <c r="B50" t="s">
        <v>318</v>
      </c>
      <c r="C50" t="s">
        <v>319</v>
      </c>
      <c r="D50" t="s">
        <v>320</v>
      </c>
      <c r="E50" t="s">
        <v>321</v>
      </c>
      <c r="F50" t="s">
        <v>322</v>
      </c>
      <c r="L50">
        <v>0</v>
      </c>
      <c r="M50" t="s">
        <v>24</v>
      </c>
      <c r="N50" t="s">
        <v>24</v>
      </c>
      <c r="P50" t="s">
        <v>24</v>
      </c>
      <c r="S50" s="2"/>
    </row>
    <row r="51" spans="1:19">
      <c r="A51" t="s">
        <v>323</v>
      </c>
      <c r="B51" t="s">
        <v>324</v>
      </c>
      <c r="C51" t="s">
        <v>325</v>
      </c>
      <c r="D51" t="s">
        <v>326</v>
      </c>
      <c r="E51" t="s">
        <v>327</v>
      </c>
      <c r="F51" t="s">
        <v>328</v>
      </c>
      <c r="L51">
        <v>0</v>
      </c>
      <c r="M51" t="s">
        <v>24</v>
      </c>
      <c r="N51" t="s">
        <v>24</v>
      </c>
      <c r="P51" t="s">
        <v>64</v>
      </c>
      <c r="S51" s="2"/>
    </row>
    <row r="52" spans="1:19">
      <c r="A52" t="s">
        <v>329</v>
      </c>
      <c r="B52" t="s">
        <v>330</v>
      </c>
      <c r="C52" t="s">
        <v>331</v>
      </c>
      <c r="D52" t="s">
        <v>332</v>
      </c>
      <c r="E52" t="s">
        <v>333</v>
      </c>
      <c r="F52" t="s">
        <v>328</v>
      </c>
      <c r="L52">
        <v>0</v>
      </c>
      <c r="M52" t="s">
        <v>24</v>
      </c>
      <c r="N52" t="s">
        <v>24</v>
      </c>
      <c r="P52" t="s">
        <v>64</v>
      </c>
      <c r="S52" s="2"/>
    </row>
    <row r="53" spans="1:19">
      <c r="A53" t="s">
        <v>329</v>
      </c>
      <c r="B53" t="s">
        <v>334</v>
      </c>
      <c r="C53" t="s">
        <v>335</v>
      </c>
      <c r="D53" t="s">
        <v>336</v>
      </c>
      <c r="E53" t="s">
        <v>336</v>
      </c>
      <c r="L53">
        <v>0</v>
      </c>
      <c r="M53" t="s">
        <v>24</v>
      </c>
      <c r="N53" t="s">
        <v>24</v>
      </c>
      <c r="P53" t="s">
        <v>64</v>
      </c>
      <c r="S53" s="2"/>
    </row>
    <row r="54" spans="1:19">
      <c r="A54" t="s">
        <v>329</v>
      </c>
      <c r="B54" t="s">
        <v>337</v>
      </c>
      <c r="C54" t="s">
        <v>338</v>
      </c>
      <c r="D54" t="s">
        <v>339</v>
      </c>
      <c r="E54" t="s">
        <v>339</v>
      </c>
      <c r="L54">
        <v>0</v>
      </c>
      <c r="M54" t="s">
        <v>24</v>
      </c>
      <c r="N54" t="s">
        <v>24</v>
      </c>
      <c r="P54" t="s">
        <v>64</v>
      </c>
      <c r="S54" s="2"/>
    </row>
    <row r="55" spans="1:19">
      <c r="A55" t="s">
        <v>329</v>
      </c>
      <c r="B55" t="s">
        <v>340</v>
      </c>
      <c r="C55" t="s">
        <v>341</v>
      </c>
      <c r="D55" t="s">
        <v>342</v>
      </c>
      <c r="E55" t="s">
        <v>343</v>
      </c>
      <c r="F55" t="s">
        <v>344</v>
      </c>
      <c r="G55" t="s">
        <v>345</v>
      </c>
      <c r="L55">
        <v>0</v>
      </c>
      <c r="M55" t="s">
        <v>24</v>
      </c>
      <c r="N55" t="s">
        <v>24</v>
      </c>
      <c r="P55" t="s">
        <v>64</v>
      </c>
      <c r="S55" s="2"/>
    </row>
    <row r="56" spans="1:19">
      <c r="A56" t="s">
        <v>329</v>
      </c>
      <c r="B56" t="s">
        <v>346</v>
      </c>
      <c r="C56" t="s">
        <v>347</v>
      </c>
      <c r="D56" t="s">
        <v>348</v>
      </c>
      <c r="E56" t="s">
        <v>349</v>
      </c>
      <c r="L56">
        <v>0</v>
      </c>
      <c r="M56" t="s">
        <v>24</v>
      </c>
      <c r="N56" t="s">
        <v>24</v>
      </c>
      <c r="P56" t="s">
        <v>64</v>
      </c>
      <c r="S56" s="2"/>
    </row>
    <row r="57" spans="1:19">
      <c r="A57" t="s">
        <v>350</v>
      </c>
      <c r="B57" t="s">
        <v>351</v>
      </c>
      <c r="C57" t="s">
        <v>352</v>
      </c>
      <c r="D57" t="s">
        <v>353</v>
      </c>
      <c r="E57" t="s">
        <v>353</v>
      </c>
      <c r="L57">
        <v>0</v>
      </c>
      <c r="M57" t="s">
        <v>354</v>
      </c>
      <c r="N57" t="s">
        <v>354</v>
      </c>
      <c r="P57" t="s">
        <v>354</v>
      </c>
      <c r="S57" s="2"/>
    </row>
    <row r="58" spans="1:19">
      <c r="A58" t="s">
        <v>355</v>
      </c>
      <c r="B58" t="s">
        <v>356</v>
      </c>
      <c r="C58" t="s">
        <v>357</v>
      </c>
      <c r="D58" t="s">
        <v>358</v>
      </c>
      <c r="E58" t="s">
        <v>359</v>
      </c>
      <c r="F58" t="s">
        <v>360</v>
      </c>
      <c r="L58" t="s">
        <v>117</v>
      </c>
      <c r="M58" t="s">
        <v>24</v>
      </c>
      <c r="P58" t="s">
        <v>64</v>
      </c>
      <c r="Q58" t="s">
        <v>16</v>
      </c>
      <c r="S58" s="2"/>
    </row>
    <row r="59" spans="1:19">
      <c r="A59" t="s">
        <v>355</v>
      </c>
      <c r="B59" t="s">
        <v>361</v>
      </c>
      <c r="C59" t="s">
        <v>362</v>
      </c>
      <c r="D59" t="s">
        <v>363</v>
      </c>
      <c r="E59" t="s">
        <v>364</v>
      </c>
      <c r="L59" t="s">
        <v>117</v>
      </c>
      <c r="M59" t="s">
        <v>24</v>
      </c>
      <c r="P59" t="s">
        <v>64</v>
      </c>
      <c r="Q59" t="s">
        <v>16</v>
      </c>
      <c r="S59" s="2"/>
    </row>
    <row r="60" spans="1:19">
      <c r="A60" t="s">
        <v>365</v>
      </c>
      <c r="B60" t="s">
        <v>365</v>
      </c>
      <c r="C60" t="s">
        <v>366</v>
      </c>
      <c r="D60" t="s">
        <v>367</v>
      </c>
      <c r="E60" t="s">
        <v>368</v>
      </c>
      <c r="F60" t="s">
        <v>369</v>
      </c>
      <c r="L60" t="s">
        <v>50</v>
      </c>
      <c r="M60" t="s">
        <v>24</v>
      </c>
      <c r="N60" t="s">
        <v>454</v>
      </c>
      <c r="P60" t="s">
        <v>24</v>
      </c>
      <c r="Q60" t="s">
        <v>50</v>
      </c>
      <c r="S60" s="2"/>
    </row>
    <row r="61" spans="1:19">
      <c r="A61" t="s">
        <v>370</v>
      </c>
      <c r="B61" t="s">
        <v>371</v>
      </c>
      <c r="C61" t="s">
        <v>372</v>
      </c>
      <c r="D61" t="s">
        <v>373</v>
      </c>
      <c r="E61" t="s">
        <v>374</v>
      </c>
      <c r="F61" t="s">
        <v>123</v>
      </c>
      <c r="G61" t="s">
        <v>375</v>
      </c>
      <c r="L61">
        <v>0</v>
      </c>
      <c r="M61" t="s">
        <v>24</v>
      </c>
      <c r="N61" t="s">
        <v>24</v>
      </c>
      <c r="P61" t="s">
        <v>24</v>
      </c>
      <c r="S61" s="2"/>
    </row>
    <row r="62" spans="1:19">
      <c r="A62" t="s">
        <v>355</v>
      </c>
      <c r="B62" t="s">
        <v>376</v>
      </c>
      <c r="C62" t="s">
        <v>377</v>
      </c>
      <c r="D62" t="s">
        <v>378</v>
      </c>
      <c r="E62" t="s">
        <v>379</v>
      </c>
      <c r="L62">
        <v>0</v>
      </c>
      <c r="M62" t="s">
        <v>24</v>
      </c>
      <c r="N62" t="s">
        <v>24</v>
      </c>
      <c r="P62" t="s">
        <v>24</v>
      </c>
      <c r="S62" s="2"/>
    </row>
    <row r="63" spans="1:19">
      <c r="A63" t="s">
        <v>355</v>
      </c>
      <c r="B63" t="s">
        <v>380</v>
      </c>
      <c r="C63" t="s">
        <v>381</v>
      </c>
      <c r="D63" t="s">
        <v>382</v>
      </c>
      <c r="E63" t="s">
        <v>382</v>
      </c>
      <c r="F63" t="s">
        <v>383</v>
      </c>
      <c r="G63" t="s">
        <v>384</v>
      </c>
      <c r="L63">
        <v>0</v>
      </c>
      <c r="M63" t="s">
        <v>24</v>
      </c>
      <c r="N63" t="s">
        <v>24</v>
      </c>
      <c r="O63" t="s">
        <v>939</v>
      </c>
      <c r="P63" t="s">
        <v>129</v>
      </c>
      <c r="S63" s="2"/>
    </row>
    <row r="64" spans="1:19">
      <c r="A64" t="s">
        <v>355</v>
      </c>
      <c r="B64" t="s">
        <v>385</v>
      </c>
      <c r="C64" t="s">
        <v>386</v>
      </c>
      <c r="D64" t="s">
        <v>387</v>
      </c>
      <c r="E64" t="s">
        <v>388</v>
      </c>
      <c r="L64">
        <v>0</v>
      </c>
      <c r="M64" t="s">
        <v>24</v>
      </c>
      <c r="N64" t="s">
        <v>24</v>
      </c>
      <c r="P64" t="s">
        <v>24</v>
      </c>
      <c r="S64" s="2"/>
    </row>
    <row r="65" spans="1:19">
      <c r="A65" t="s">
        <v>355</v>
      </c>
      <c r="B65" t="s">
        <v>389</v>
      </c>
      <c r="C65" t="s">
        <v>390</v>
      </c>
      <c r="D65" t="s">
        <v>391</v>
      </c>
      <c r="E65" t="s">
        <v>392</v>
      </c>
      <c r="L65">
        <v>0</v>
      </c>
      <c r="M65" t="s">
        <v>862</v>
      </c>
      <c r="N65" t="s">
        <v>862</v>
      </c>
      <c r="P65" t="s">
        <v>239</v>
      </c>
      <c r="S65" s="2"/>
    </row>
    <row r="66" spans="1:19">
      <c r="A66" t="s">
        <v>393</v>
      </c>
      <c r="B66" t="s">
        <v>394</v>
      </c>
      <c r="C66" t="s">
        <v>395</v>
      </c>
      <c r="D66" t="s">
        <v>396</v>
      </c>
      <c r="E66" t="s">
        <v>397</v>
      </c>
      <c r="F66" t="s">
        <v>123</v>
      </c>
      <c r="L66" t="s">
        <v>398</v>
      </c>
      <c r="M66" t="s">
        <v>24</v>
      </c>
      <c r="N66" t="s">
        <v>298</v>
      </c>
      <c r="P66" t="s">
        <v>24</v>
      </c>
      <c r="Q66" t="s">
        <v>398</v>
      </c>
      <c r="S66" s="2"/>
    </row>
    <row r="67" spans="1:19">
      <c r="A67" t="s">
        <v>355</v>
      </c>
      <c r="B67" t="s">
        <v>399</v>
      </c>
      <c r="C67" t="s">
        <v>400</v>
      </c>
      <c r="D67" t="s">
        <v>401</v>
      </c>
      <c r="E67" t="s">
        <v>402</v>
      </c>
      <c r="F67" t="s">
        <v>403</v>
      </c>
      <c r="L67">
        <v>0</v>
      </c>
      <c r="M67" t="s">
        <v>24</v>
      </c>
      <c r="N67" t="s">
        <v>24</v>
      </c>
      <c r="P67" t="s">
        <v>24</v>
      </c>
      <c r="S67" s="2"/>
    </row>
    <row r="68" spans="1:19">
      <c r="A68" t="s">
        <v>404</v>
      </c>
      <c r="B68" t="s">
        <v>405</v>
      </c>
      <c r="C68" t="s">
        <v>406</v>
      </c>
      <c r="D68" t="s">
        <v>407</v>
      </c>
      <c r="E68" t="s">
        <v>408</v>
      </c>
      <c r="L68" t="s">
        <v>117</v>
      </c>
      <c r="M68" t="s">
        <v>24</v>
      </c>
      <c r="P68" t="s">
        <v>64</v>
      </c>
      <c r="Q68" t="s">
        <v>16</v>
      </c>
      <c r="S68" s="2"/>
    </row>
    <row r="69" spans="1:19">
      <c r="A69" t="s">
        <v>409</v>
      </c>
      <c r="B69" t="s">
        <v>410</v>
      </c>
      <c r="C69" t="s">
        <v>411</v>
      </c>
      <c r="D69" t="s">
        <v>412</v>
      </c>
      <c r="E69" t="s">
        <v>413</v>
      </c>
      <c r="F69" t="s">
        <v>414</v>
      </c>
      <c r="L69">
        <v>0</v>
      </c>
      <c r="M69" t="s">
        <v>893</v>
      </c>
      <c r="N69" t="s">
        <v>415</v>
      </c>
      <c r="P69" t="s">
        <v>415</v>
      </c>
      <c r="S69" s="2"/>
    </row>
    <row r="70" spans="1:19">
      <c r="A70" t="s">
        <v>416</v>
      </c>
      <c r="B70" t="s">
        <v>417</v>
      </c>
      <c r="C70" t="s">
        <v>418</v>
      </c>
      <c r="D70" t="s">
        <v>419</v>
      </c>
      <c r="E70" t="s">
        <v>402</v>
      </c>
      <c r="L70">
        <v>0</v>
      </c>
      <c r="M70" t="s">
        <v>24</v>
      </c>
      <c r="N70" t="s">
        <v>24</v>
      </c>
      <c r="P70" t="s">
        <v>24</v>
      </c>
      <c r="S70" s="2"/>
    </row>
    <row r="71" spans="1:19">
      <c r="A71" t="s">
        <v>420</v>
      </c>
      <c r="B71" t="s">
        <v>421</v>
      </c>
      <c r="C71" t="s">
        <v>422</v>
      </c>
      <c r="D71" t="s">
        <v>423</v>
      </c>
      <c r="E71" t="s">
        <v>424</v>
      </c>
      <c r="F71" t="s">
        <v>425</v>
      </c>
      <c r="L71" t="s">
        <v>117</v>
      </c>
      <c r="M71" t="s">
        <v>894</v>
      </c>
      <c r="P71" t="s">
        <v>426</v>
      </c>
      <c r="Q71" t="s">
        <v>16</v>
      </c>
      <c r="S71" s="2"/>
    </row>
    <row r="72" spans="1:19">
      <c r="A72" t="s">
        <v>420</v>
      </c>
      <c r="B72" t="s">
        <v>427</v>
      </c>
      <c r="C72" t="s">
        <v>428</v>
      </c>
      <c r="D72" t="s">
        <v>429</v>
      </c>
      <c r="E72" t="s">
        <v>430</v>
      </c>
      <c r="F72" t="s">
        <v>431</v>
      </c>
      <c r="L72" t="s">
        <v>117</v>
      </c>
      <c r="M72" t="s">
        <v>129</v>
      </c>
      <c r="P72" t="s">
        <v>129</v>
      </c>
      <c r="Q72" t="s">
        <v>16</v>
      </c>
      <c r="S72" s="2"/>
    </row>
    <row r="73" spans="1:19">
      <c r="A73" t="s">
        <v>420</v>
      </c>
      <c r="B73" t="s">
        <v>432</v>
      </c>
      <c r="C73" t="s">
        <v>433</v>
      </c>
      <c r="D73" t="s">
        <v>434</v>
      </c>
      <c r="E73" t="s">
        <v>435</v>
      </c>
      <c r="F73" t="s">
        <v>123</v>
      </c>
      <c r="L73" t="s">
        <v>117</v>
      </c>
      <c r="M73" t="s">
        <v>129</v>
      </c>
      <c r="P73" t="s">
        <v>129</v>
      </c>
      <c r="Q73" t="s">
        <v>16</v>
      </c>
      <c r="S73" s="2"/>
    </row>
    <row r="74" spans="1:19">
      <c r="B74" t="s">
        <v>436</v>
      </c>
      <c r="C74" t="s">
        <v>437</v>
      </c>
      <c r="D74" t="s">
        <v>438</v>
      </c>
      <c r="E74" t="s">
        <v>439</v>
      </c>
      <c r="L74" t="s">
        <v>117</v>
      </c>
      <c r="M74" t="s">
        <v>129</v>
      </c>
      <c r="P74" t="s">
        <v>129</v>
      </c>
      <c r="Q74" t="s">
        <v>16</v>
      </c>
    </row>
    <row r="75" spans="1:19">
      <c r="B75" t="s">
        <v>440</v>
      </c>
      <c r="C75" t="s">
        <v>441</v>
      </c>
      <c r="D75" t="s">
        <v>442</v>
      </c>
      <c r="E75" t="s">
        <v>443</v>
      </c>
      <c r="M75" t="s">
        <v>895</v>
      </c>
      <c r="P75" t="s">
        <v>848</v>
      </c>
      <c r="Q75" t="s">
        <v>16</v>
      </c>
    </row>
    <row r="76" spans="1:19">
      <c r="B76" t="s">
        <v>444</v>
      </c>
      <c r="C76" t="s">
        <v>445</v>
      </c>
      <c r="D76" t="s">
        <v>446</v>
      </c>
      <c r="E76" t="s">
        <v>447</v>
      </c>
      <c r="F76" t="s">
        <v>448</v>
      </c>
      <c r="K76" t="s">
        <v>95</v>
      </c>
      <c r="L76">
        <f>COUNTIF(L2:L73,"k")</f>
        <v>3</v>
      </c>
      <c r="M76" t="s">
        <v>896</v>
      </c>
      <c r="N76" t="s">
        <v>398</v>
      </c>
      <c r="P76" t="s">
        <v>849</v>
      </c>
      <c r="Q76" t="s">
        <v>850</v>
      </c>
    </row>
    <row r="77" spans="1:19">
      <c r="B77" t="s">
        <v>449</v>
      </c>
      <c r="C77" t="s">
        <v>450</v>
      </c>
      <c r="D77" t="s">
        <v>451</v>
      </c>
      <c r="E77" t="s">
        <v>452</v>
      </c>
      <c r="F77" t="s">
        <v>453</v>
      </c>
      <c r="K77" t="s">
        <v>454</v>
      </c>
      <c r="L77">
        <f>COUNTIF(L2:L73,"p")</f>
        <v>0</v>
      </c>
      <c r="M77" t="s">
        <v>426</v>
      </c>
      <c r="N77" t="s">
        <v>290</v>
      </c>
    </row>
    <row r="78" spans="1:19">
      <c r="B78" t="s">
        <v>455</v>
      </c>
      <c r="C78" t="s">
        <v>456</v>
      </c>
      <c r="D78" t="s">
        <v>457</v>
      </c>
      <c r="E78" t="s">
        <v>458</v>
      </c>
      <c r="K78" t="s">
        <v>459</v>
      </c>
      <c r="L78">
        <f>COUNTIF(L2:L73,"t k")</f>
        <v>1</v>
      </c>
      <c r="M78" t="s">
        <v>129</v>
      </c>
    </row>
    <row r="79" spans="1:19">
      <c r="B79" t="s">
        <v>460</v>
      </c>
      <c r="C79" t="s">
        <v>461</v>
      </c>
      <c r="D79" t="s">
        <v>462</v>
      </c>
      <c r="E79" t="s">
        <v>463</v>
      </c>
      <c r="F79" t="s">
        <v>453</v>
      </c>
      <c r="K79" t="s">
        <v>464</v>
      </c>
      <c r="L79">
        <f>COUNTIF(L2:L73,"p k")</f>
        <v>1</v>
      </c>
      <c r="M79" t="s">
        <v>897</v>
      </c>
    </row>
    <row r="80" spans="1:19">
      <c r="B80" t="s">
        <v>465</v>
      </c>
      <c r="C80" t="s">
        <v>466</v>
      </c>
      <c r="D80" t="s">
        <v>467</v>
      </c>
      <c r="E80" t="s">
        <v>468</v>
      </c>
      <c r="F80" t="s">
        <v>469</v>
      </c>
      <c r="K80" t="s">
        <v>470</v>
      </c>
      <c r="L80">
        <f>COUNTIF(L2:L73,"p t")</f>
        <v>0</v>
      </c>
      <c r="M80" t="s">
        <v>891</v>
      </c>
      <c r="N80" t="s">
        <v>891</v>
      </c>
    </row>
    <row r="81" spans="1:17">
      <c r="B81" t="s">
        <v>471</v>
      </c>
      <c r="C81" t="s">
        <v>472</v>
      </c>
      <c r="D81" t="s">
        <v>473</v>
      </c>
      <c r="E81" t="s">
        <v>474</v>
      </c>
      <c r="F81" t="s">
        <v>475</v>
      </c>
      <c r="K81" t="s">
        <v>476</v>
      </c>
      <c r="L81">
        <f>COUNTIF(L2:L73,"p t k")</f>
        <v>5</v>
      </c>
      <c r="M81" t="s">
        <v>426</v>
      </c>
      <c r="N81" t="s">
        <v>290</v>
      </c>
    </row>
    <row r="82" spans="1:17">
      <c r="B82" t="s">
        <v>477</v>
      </c>
      <c r="C82" t="s">
        <v>478</v>
      </c>
      <c r="D82" t="s">
        <v>479</v>
      </c>
      <c r="E82" t="s">
        <v>480</v>
      </c>
      <c r="F82" t="s">
        <v>481</v>
      </c>
      <c r="K82" t="s">
        <v>117</v>
      </c>
      <c r="L82">
        <f>COUNTIF(L2:L73,"no")</f>
        <v>17</v>
      </c>
      <c r="M82" t="s">
        <v>898</v>
      </c>
      <c r="N82" t="s">
        <v>899</v>
      </c>
    </row>
    <row r="83" spans="1:17">
      <c r="A83" t="s">
        <v>924</v>
      </c>
      <c r="B83" t="s">
        <v>482</v>
      </c>
      <c r="C83" t="s">
        <v>483</v>
      </c>
      <c r="D83" t="s">
        <v>484</v>
      </c>
      <c r="E83" t="s">
        <v>485</v>
      </c>
      <c r="K83">
        <v>0</v>
      </c>
      <c r="L83">
        <f>COUNTIF(L2:L73,0)</f>
        <v>38</v>
      </c>
      <c r="M83" t="s">
        <v>24</v>
      </c>
      <c r="N83" t="s">
        <v>50</v>
      </c>
    </row>
    <row r="84" spans="1:17">
      <c r="A84" t="s">
        <v>924</v>
      </c>
      <c r="B84" t="s">
        <v>486</v>
      </c>
      <c r="C84" t="s">
        <v>487</v>
      </c>
      <c r="D84" t="s">
        <v>488</v>
      </c>
      <c r="E84" t="s">
        <v>489</v>
      </c>
      <c r="M84" t="s">
        <v>24</v>
      </c>
      <c r="N84" t="s">
        <v>24</v>
      </c>
      <c r="P84" t="s">
        <v>64</v>
      </c>
    </row>
    <row r="85" spans="1:17">
      <c r="A85" t="s">
        <v>490</v>
      </c>
      <c r="B85" t="s">
        <v>491</v>
      </c>
      <c r="C85" t="s">
        <v>492</v>
      </c>
      <c r="D85" t="s">
        <v>493</v>
      </c>
      <c r="E85" t="s">
        <v>494</v>
      </c>
      <c r="F85" t="s">
        <v>495</v>
      </c>
      <c r="M85" t="s">
        <v>24</v>
      </c>
      <c r="P85" t="s">
        <v>64</v>
      </c>
      <c r="Q85" t="s">
        <v>24</v>
      </c>
    </row>
    <row r="86" spans="1:17">
      <c r="B86" t="s">
        <v>496</v>
      </c>
      <c r="C86" t="s">
        <v>497</v>
      </c>
      <c r="D86" t="s">
        <v>498</v>
      </c>
      <c r="E86" t="s">
        <v>499</v>
      </c>
      <c r="M86" t="s">
        <v>15</v>
      </c>
      <c r="N86" t="s">
        <v>24</v>
      </c>
      <c r="P86" t="s">
        <v>15</v>
      </c>
      <c r="Q86" t="s">
        <v>851</v>
      </c>
    </row>
    <row r="87" spans="1:17">
      <c r="B87" t="s">
        <v>500</v>
      </c>
      <c r="C87" t="s">
        <v>501</v>
      </c>
      <c r="D87" t="s">
        <v>502</v>
      </c>
      <c r="E87" t="s">
        <v>503</v>
      </c>
      <c r="M87" t="s">
        <v>15</v>
      </c>
      <c r="N87" t="s">
        <v>890</v>
      </c>
      <c r="P87" t="s">
        <v>15</v>
      </c>
      <c r="Q87" t="s">
        <v>852</v>
      </c>
    </row>
    <row r="88" spans="1:17">
      <c r="B88" t="s">
        <v>504</v>
      </c>
      <c r="C88" t="s">
        <v>505</v>
      </c>
      <c r="D88" t="s">
        <v>506</v>
      </c>
      <c r="E88" t="s">
        <v>507</v>
      </c>
      <c r="F88" t="s">
        <v>508</v>
      </c>
      <c r="M88" t="s">
        <v>15</v>
      </c>
      <c r="P88" t="s">
        <v>15</v>
      </c>
      <c r="Q88" t="s">
        <v>16</v>
      </c>
    </row>
    <row r="89" spans="1:17">
      <c r="B89" t="s">
        <v>509</v>
      </c>
      <c r="C89" t="s">
        <v>510</v>
      </c>
      <c r="D89" t="s">
        <v>511</v>
      </c>
      <c r="E89" t="s">
        <v>512</v>
      </c>
      <c r="F89" t="s">
        <v>513</v>
      </c>
      <c r="M89" t="s">
        <v>50</v>
      </c>
      <c r="P89" t="s">
        <v>853</v>
      </c>
      <c r="Q89" t="s">
        <v>854</v>
      </c>
    </row>
    <row r="90" spans="1:17">
      <c r="B90" t="s">
        <v>514</v>
      </c>
      <c r="C90" t="s">
        <v>515</v>
      </c>
      <c r="D90" t="s">
        <v>516</v>
      </c>
      <c r="E90" t="s">
        <v>133</v>
      </c>
      <c r="M90" t="s">
        <v>15</v>
      </c>
      <c r="N90" t="s">
        <v>24</v>
      </c>
      <c r="P90" t="s">
        <v>15</v>
      </c>
      <c r="Q90" t="s">
        <v>851</v>
      </c>
    </row>
    <row r="91" spans="1:17">
      <c r="B91" t="s">
        <v>517</v>
      </c>
      <c r="C91" t="s">
        <v>518</v>
      </c>
      <c r="D91" t="s">
        <v>519</v>
      </c>
      <c r="E91" t="s">
        <v>520</v>
      </c>
      <c r="F91" t="s">
        <v>521</v>
      </c>
      <c r="M91" t="s">
        <v>855</v>
      </c>
      <c r="P91" t="s">
        <v>855</v>
      </c>
      <c r="Q91" t="s">
        <v>855</v>
      </c>
    </row>
    <row r="92" spans="1:17">
      <c r="A92" t="s">
        <v>925</v>
      </c>
      <c r="B92" t="s">
        <v>522</v>
      </c>
      <c r="C92" t="s">
        <v>523</v>
      </c>
      <c r="D92" t="s">
        <v>524</v>
      </c>
      <c r="E92" t="s">
        <v>525</v>
      </c>
      <c r="F92" t="s">
        <v>526</v>
      </c>
      <c r="G92" t="s">
        <v>527</v>
      </c>
      <c r="M92" t="s">
        <v>24</v>
      </c>
      <c r="N92" t="s">
        <v>24</v>
      </c>
      <c r="P92" t="s">
        <v>24</v>
      </c>
    </row>
    <row r="93" spans="1:17">
      <c r="B93" t="s">
        <v>528</v>
      </c>
      <c r="C93" t="s">
        <v>529</v>
      </c>
      <c r="D93" t="s">
        <v>530</v>
      </c>
      <c r="E93" t="s">
        <v>531</v>
      </c>
      <c r="F93" t="s">
        <v>532</v>
      </c>
      <c r="M93" t="s">
        <v>15</v>
      </c>
      <c r="P93" t="s">
        <v>15</v>
      </c>
      <c r="Q93" t="s">
        <v>16</v>
      </c>
    </row>
    <row r="94" spans="1:17">
      <c r="B94" t="s">
        <v>533</v>
      </c>
      <c r="C94" t="s">
        <v>534</v>
      </c>
      <c r="D94" t="s">
        <v>535</v>
      </c>
      <c r="E94" t="s">
        <v>536</v>
      </c>
      <c r="M94" t="s">
        <v>855</v>
      </c>
      <c r="P94" t="s">
        <v>855</v>
      </c>
      <c r="Q94" t="s">
        <v>855</v>
      </c>
    </row>
    <row r="95" spans="1:17">
      <c r="M95" t="s">
        <v>50</v>
      </c>
      <c r="P95" t="s">
        <v>50</v>
      </c>
      <c r="Q95" t="s">
        <v>16</v>
      </c>
    </row>
    <row r="96" spans="1:17">
      <c r="A96" t="s">
        <v>926</v>
      </c>
      <c r="B96" t="s">
        <v>537</v>
      </c>
      <c r="C96" t="s">
        <v>538</v>
      </c>
      <c r="D96" t="s">
        <v>539</v>
      </c>
      <c r="E96" t="s">
        <v>540</v>
      </c>
      <c r="F96" t="s">
        <v>541</v>
      </c>
      <c r="M96" t="s">
        <v>24</v>
      </c>
      <c r="O96" t="s">
        <v>939</v>
      </c>
      <c r="P96" t="s">
        <v>856</v>
      </c>
      <c r="Q96" t="s">
        <v>16</v>
      </c>
    </row>
    <row r="97" spans="1:17">
      <c r="A97" t="s">
        <v>926</v>
      </c>
      <c r="B97" t="s">
        <v>542</v>
      </c>
      <c r="C97" t="s">
        <v>543</v>
      </c>
      <c r="D97" t="s">
        <v>544</v>
      </c>
      <c r="E97" t="s">
        <v>545</v>
      </c>
      <c r="M97" t="s">
        <v>24</v>
      </c>
      <c r="O97" t="s">
        <v>939</v>
      </c>
      <c r="P97" t="s">
        <v>24</v>
      </c>
      <c r="Q97" t="s">
        <v>16</v>
      </c>
    </row>
    <row r="98" spans="1:17">
      <c r="A98" t="s">
        <v>926</v>
      </c>
      <c r="B98" t="s">
        <v>546</v>
      </c>
      <c r="C98" t="s">
        <v>547</v>
      </c>
      <c r="D98" t="s">
        <v>548</v>
      </c>
      <c r="E98" t="s">
        <v>549</v>
      </c>
      <c r="F98" t="s">
        <v>550</v>
      </c>
      <c r="M98" t="s">
        <v>24</v>
      </c>
      <c r="P98" t="s">
        <v>856</v>
      </c>
      <c r="Q98" t="s">
        <v>16</v>
      </c>
    </row>
    <row r="99" spans="1:17">
      <c r="B99" t="s">
        <v>551</v>
      </c>
      <c r="C99" t="s">
        <v>552</v>
      </c>
      <c r="D99" t="s">
        <v>553</v>
      </c>
      <c r="E99" t="s">
        <v>554</v>
      </c>
      <c r="M99" t="s">
        <v>900</v>
      </c>
      <c r="P99" t="s">
        <v>24</v>
      </c>
      <c r="Q99" t="s">
        <v>16</v>
      </c>
    </row>
    <row r="100" spans="1:17">
      <c r="B100" t="s">
        <v>555</v>
      </c>
      <c r="C100" t="s">
        <v>556</v>
      </c>
      <c r="D100" t="s">
        <v>557</v>
      </c>
      <c r="E100" t="s">
        <v>554</v>
      </c>
      <c r="M100" t="s">
        <v>15</v>
      </c>
      <c r="P100" t="s">
        <v>15</v>
      </c>
      <c r="Q100" t="s">
        <v>16</v>
      </c>
    </row>
    <row r="101" spans="1:17">
      <c r="A101" t="s">
        <v>927</v>
      </c>
      <c r="B101" t="s">
        <v>558</v>
      </c>
      <c r="C101" t="s">
        <v>559</v>
      </c>
      <c r="D101" t="s">
        <v>560</v>
      </c>
      <c r="E101" t="s">
        <v>561</v>
      </c>
      <c r="M101" t="s">
        <v>24</v>
      </c>
      <c r="P101" t="s">
        <v>856</v>
      </c>
      <c r="Q101" t="s">
        <v>16</v>
      </c>
    </row>
    <row r="102" spans="1:17">
      <c r="A102" t="s">
        <v>927</v>
      </c>
      <c r="B102" t="s">
        <v>562</v>
      </c>
      <c r="C102" t="s">
        <v>563</v>
      </c>
      <c r="D102" t="s">
        <v>564</v>
      </c>
      <c r="E102" t="s">
        <v>554</v>
      </c>
      <c r="M102" t="s">
        <v>24</v>
      </c>
      <c r="P102" t="s">
        <v>24</v>
      </c>
      <c r="Q102" t="s">
        <v>16</v>
      </c>
    </row>
    <row r="103" spans="1:17">
      <c r="B103" t="s">
        <v>565</v>
      </c>
      <c r="C103" t="s">
        <v>566</v>
      </c>
      <c r="D103" t="s">
        <v>567</v>
      </c>
      <c r="E103" t="s">
        <v>568</v>
      </c>
      <c r="M103" t="s">
        <v>15</v>
      </c>
      <c r="P103" t="s">
        <v>15</v>
      </c>
      <c r="Q103" t="s">
        <v>857</v>
      </c>
    </row>
    <row r="104" spans="1:17">
      <c r="A104" t="s">
        <v>930</v>
      </c>
      <c r="B104" t="s">
        <v>940</v>
      </c>
      <c r="C104" t="s">
        <v>569</v>
      </c>
      <c r="D104" t="s">
        <v>570</v>
      </c>
      <c r="E104" t="s">
        <v>571</v>
      </c>
      <c r="M104" t="s">
        <v>24</v>
      </c>
      <c r="N104" t="s">
        <v>24</v>
      </c>
      <c r="O104" t="s">
        <v>939</v>
      </c>
      <c r="P104" t="s">
        <v>24</v>
      </c>
    </row>
    <row r="105" spans="1:17">
      <c r="B105" t="s">
        <v>572</v>
      </c>
      <c r="C105" t="s">
        <v>573</v>
      </c>
      <c r="D105" t="s">
        <v>574</v>
      </c>
      <c r="E105" t="s">
        <v>575</v>
      </c>
      <c r="M105" t="s">
        <v>15</v>
      </c>
      <c r="N105" t="s">
        <v>24</v>
      </c>
      <c r="P105" t="s">
        <v>15</v>
      </c>
      <c r="Q105" t="s">
        <v>851</v>
      </c>
    </row>
    <row r="106" spans="1:17">
      <c r="B106" t="s">
        <v>576</v>
      </c>
      <c r="C106" t="s">
        <v>577</v>
      </c>
      <c r="D106" t="s">
        <v>578</v>
      </c>
      <c r="E106" t="s">
        <v>579</v>
      </c>
      <c r="M106" t="s">
        <v>15</v>
      </c>
      <c r="N106" t="s">
        <v>24</v>
      </c>
      <c r="P106" t="s">
        <v>858</v>
      </c>
      <c r="Q106" t="s">
        <v>851</v>
      </c>
    </row>
    <row r="107" spans="1:17">
      <c r="B107" t="s">
        <v>580</v>
      </c>
      <c r="C107" t="s">
        <v>581</v>
      </c>
      <c r="D107" t="s">
        <v>582</v>
      </c>
      <c r="E107" t="s">
        <v>583</v>
      </c>
      <c r="M107" t="s">
        <v>859</v>
      </c>
      <c r="P107" t="s">
        <v>859</v>
      </c>
      <c r="Q107" t="s">
        <v>16</v>
      </c>
    </row>
    <row r="108" spans="1:17">
      <c r="A108" t="s">
        <v>928</v>
      </c>
      <c r="B108" t="s">
        <v>584</v>
      </c>
      <c r="C108" t="s">
        <v>585</v>
      </c>
      <c r="D108" t="s">
        <v>586</v>
      </c>
      <c r="E108" t="s">
        <v>587</v>
      </c>
      <c r="M108" t="s">
        <v>24</v>
      </c>
      <c r="P108" t="s">
        <v>64</v>
      </c>
      <c r="Q108" t="s">
        <v>16</v>
      </c>
    </row>
    <row r="109" spans="1:17">
      <c r="B109" t="s">
        <v>588</v>
      </c>
      <c r="C109" t="s">
        <v>589</v>
      </c>
      <c r="D109" t="s">
        <v>590</v>
      </c>
      <c r="E109" t="s">
        <v>591</v>
      </c>
      <c r="F109" t="s">
        <v>592</v>
      </c>
      <c r="M109" t="s">
        <v>15</v>
      </c>
      <c r="N109" t="s">
        <v>24</v>
      </c>
      <c r="P109" t="s">
        <v>858</v>
      </c>
      <c r="Q109" t="s">
        <v>81</v>
      </c>
    </row>
    <row r="110" spans="1:17">
      <c r="B110" t="s">
        <v>593</v>
      </c>
      <c r="C110" t="s">
        <v>594</v>
      </c>
      <c r="D110" t="s">
        <v>595</v>
      </c>
      <c r="E110" t="s">
        <v>596</v>
      </c>
      <c r="F110" t="s">
        <v>597</v>
      </c>
      <c r="G110" t="s">
        <v>598</v>
      </c>
      <c r="M110" t="s">
        <v>15</v>
      </c>
      <c r="P110" t="s">
        <v>15</v>
      </c>
      <c r="Q110" t="s">
        <v>16</v>
      </c>
    </row>
    <row r="111" spans="1:17">
      <c r="A111" t="s">
        <v>929</v>
      </c>
      <c r="B111" t="s">
        <v>599</v>
      </c>
      <c r="C111" t="s">
        <v>600</v>
      </c>
      <c r="D111" t="s">
        <v>601</v>
      </c>
      <c r="E111" t="s">
        <v>602</v>
      </c>
      <c r="F111" t="s">
        <v>603</v>
      </c>
      <c r="M111" t="s">
        <v>24</v>
      </c>
      <c r="P111" t="s">
        <v>24</v>
      </c>
      <c r="Q111" t="s">
        <v>16</v>
      </c>
    </row>
    <row r="112" spans="1:17">
      <c r="B112" t="s">
        <v>604</v>
      </c>
      <c r="C112" t="s">
        <v>605</v>
      </c>
      <c r="D112" t="s">
        <v>606</v>
      </c>
      <c r="E112" t="s">
        <v>607</v>
      </c>
      <c r="M112" t="s">
        <v>15</v>
      </c>
      <c r="N112" t="s">
        <v>901</v>
      </c>
      <c r="P112" t="s">
        <v>15</v>
      </c>
      <c r="Q112" t="s">
        <v>860</v>
      </c>
    </row>
    <row r="113" spans="1:17">
      <c r="A113" t="s">
        <v>930</v>
      </c>
      <c r="B113" t="s">
        <v>608</v>
      </c>
      <c r="C113" t="s">
        <v>609</v>
      </c>
      <c r="D113" t="s">
        <v>610</v>
      </c>
      <c r="E113" t="s">
        <v>611</v>
      </c>
      <c r="M113" t="s">
        <v>24</v>
      </c>
      <c r="N113" t="s">
        <v>24</v>
      </c>
      <c r="P113" t="s">
        <v>24</v>
      </c>
    </row>
    <row r="114" spans="1:17">
      <c r="A114" t="s">
        <v>929</v>
      </c>
      <c r="B114" t="s">
        <v>612</v>
      </c>
      <c r="C114" t="s">
        <v>613</v>
      </c>
      <c r="D114" t="s">
        <v>614</v>
      </c>
      <c r="E114" t="s">
        <v>615</v>
      </c>
      <c r="F114" t="s">
        <v>616</v>
      </c>
      <c r="M114" t="s">
        <v>24</v>
      </c>
      <c r="P114" t="s">
        <v>24</v>
      </c>
      <c r="Q114" t="s">
        <v>16</v>
      </c>
    </row>
    <row r="115" spans="1:17">
      <c r="A115" t="s">
        <v>928</v>
      </c>
      <c r="B115" t="s">
        <v>617</v>
      </c>
      <c r="C115" t="s">
        <v>618</v>
      </c>
      <c r="D115" t="s">
        <v>619</v>
      </c>
      <c r="E115" t="s">
        <v>24</v>
      </c>
      <c r="F115" t="s">
        <v>620</v>
      </c>
      <c r="M115" t="s">
        <v>931</v>
      </c>
      <c r="N115" t="s">
        <v>24</v>
      </c>
      <c r="P115" t="s">
        <v>24</v>
      </c>
    </row>
    <row r="116" spans="1:17">
      <c r="B116" t="s">
        <v>621</v>
      </c>
      <c r="C116" t="s">
        <v>622</v>
      </c>
      <c r="D116" t="s">
        <v>623</v>
      </c>
      <c r="E116" t="s">
        <v>554</v>
      </c>
      <c r="M116" t="s">
        <v>15</v>
      </c>
      <c r="P116" t="s">
        <v>861</v>
      </c>
      <c r="Q116" t="s">
        <v>16</v>
      </c>
    </row>
    <row r="117" spans="1:17">
      <c r="B117" t="s">
        <v>624</v>
      </c>
      <c r="C117" t="s">
        <v>625</v>
      </c>
      <c r="D117" t="s">
        <v>626</v>
      </c>
      <c r="E117" t="s">
        <v>627</v>
      </c>
      <c r="F117" t="s">
        <v>628</v>
      </c>
      <c r="M117" t="s">
        <v>862</v>
      </c>
      <c r="N117" t="s">
        <v>901</v>
      </c>
      <c r="P117" t="s">
        <v>862</v>
      </c>
      <c r="Q117" t="s">
        <v>863</v>
      </c>
    </row>
    <row r="118" spans="1:17">
      <c r="A118" t="s">
        <v>932</v>
      </c>
      <c r="B118" t="s">
        <v>629</v>
      </c>
      <c r="C118" t="s">
        <v>630</v>
      </c>
      <c r="D118" t="s">
        <v>631</v>
      </c>
      <c r="E118" t="s">
        <v>632</v>
      </c>
      <c r="F118" t="s">
        <v>633</v>
      </c>
      <c r="M118" t="s">
        <v>24</v>
      </c>
      <c r="N118" t="s">
        <v>24</v>
      </c>
      <c r="P118" t="s">
        <v>24</v>
      </c>
    </row>
    <row r="119" spans="1:17">
      <c r="B119" t="s">
        <v>634</v>
      </c>
      <c r="C119" t="s">
        <v>635</v>
      </c>
      <c r="D119" t="s">
        <v>636</v>
      </c>
      <c r="E119" t="s">
        <v>637</v>
      </c>
      <c r="F119" t="s">
        <v>638</v>
      </c>
      <c r="M119" t="s">
        <v>50</v>
      </c>
      <c r="P119" t="s">
        <v>864</v>
      </c>
      <c r="Q119" t="s">
        <v>16</v>
      </c>
    </row>
    <row r="120" spans="1:17">
      <c r="A120" t="s">
        <v>933</v>
      </c>
      <c r="B120" t="s">
        <v>639</v>
      </c>
      <c r="C120" t="s">
        <v>640</v>
      </c>
      <c r="D120" t="s">
        <v>641</v>
      </c>
      <c r="E120" t="s">
        <v>642</v>
      </c>
      <c r="M120" t="s">
        <v>24</v>
      </c>
      <c r="N120" t="s">
        <v>24</v>
      </c>
      <c r="P120" t="s">
        <v>24</v>
      </c>
    </row>
    <row r="121" spans="1:17">
      <c r="B121" t="s">
        <v>643</v>
      </c>
      <c r="C121" t="s">
        <v>644</v>
      </c>
      <c r="D121" t="s">
        <v>645</v>
      </c>
      <c r="E121" t="s">
        <v>646</v>
      </c>
      <c r="M121" t="s">
        <v>902</v>
      </c>
      <c r="N121" t="s">
        <v>902</v>
      </c>
      <c r="P121" t="s">
        <v>865</v>
      </c>
      <c r="Q121" t="s">
        <v>81</v>
      </c>
    </row>
    <row r="122" spans="1:17">
      <c r="B122" t="s">
        <v>647</v>
      </c>
      <c r="C122" t="s">
        <v>648</v>
      </c>
      <c r="D122" t="s">
        <v>649</v>
      </c>
      <c r="E122" t="s">
        <v>650</v>
      </c>
      <c r="M122" t="s">
        <v>903</v>
      </c>
      <c r="N122" t="s">
        <v>904</v>
      </c>
      <c r="P122" t="s">
        <v>866</v>
      </c>
    </row>
    <row r="123" spans="1:17">
      <c r="B123" t="s">
        <v>651</v>
      </c>
      <c r="C123" t="s">
        <v>652</v>
      </c>
      <c r="D123" t="s">
        <v>653</v>
      </c>
      <c r="E123" t="s">
        <v>654</v>
      </c>
      <c r="F123" t="s">
        <v>655</v>
      </c>
      <c r="M123" t="s">
        <v>855</v>
      </c>
      <c r="N123" t="s">
        <v>129</v>
      </c>
      <c r="P123" t="s">
        <v>855</v>
      </c>
    </row>
    <row r="124" spans="1:17">
      <c r="A124" t="s">
        <v>934</v>
      </c>
      <c r="B124" t="s">
        <v>656</v>
      </c>
      <c r="C124" t="s">
        <v>657</v>
      </c>
      <c r="D124" t="s">
        <v>658</v>
      </c>
      <c r="E124" t="s">
        <v>659</v>
      </c>
      <c r="M124" t="s">
        <v>24</v>
      </c>
      <c r="P124" t="s">
        <v>24</v>
      </c>
      <c r="Q124" t="s">
        <v>867</v>
      </c>
    </row>
    <row r="125" spans="1:17">
      <c r="B125" t="s">
        <v>660</v>
      </c>
      <c r="C125" t="s">
        <v>661</v>
      </c>
      <c r="D125" t="s">
        <v>662</v>
      </c>
      <c r="E125" t="s">
        <v>663</v>
      </c>
      <c r="M125" t="s">
        <v>905</v>
      </c>
      <c r="N125" t="s">
        <v>859</v>
      </c>
      <c r="P125" t="s">
        <v>868</v>
      </c>
      <c r="Q125" t="s">
        <v>851</v>
      </c>
    </row>
    <row r="126" spans="1:17">
      <c r="A126" t="s">
        <v>935</v>
      </c>
      <c r="B126" t="s">
        <v>664</v>
      </c>
      <c r="C126" t="s">
        <v>665</v>
      </c>
      <c r="D126" t="s">
        <v>666</v>
      </c>
      <c r="E126" t="s">
        <v>667</v>
      </c>
      <c r="M126" t="s">
        <v>24</v>
      </c>
      <c r="N126" t="s">
        <v>24</v>
      </c>
      <c r="P126" t="s">
        <v>24</v>
      </c>
    </row>
    <row r="127" spans="1:17">
      <c r="B127" t="s">
        <v>668</v>
      </c>
      <c r="C127" t="s">
        <v>669</v>
      </c>
      <c r="D127" t="s">
        <v>670</v>
      </c>
      <c r="E127" t="s">
        <v>671</v>
      </c>
      <c r="F127" t="s">
        <v>672</v>
      </c>
      <c r="M127" t="s">
        <v>887</v>
      </c>
      <c r="N127" t="s">
        <v>890</v>
      </c>
      <c r="P127" t="s">
        <v>869</v>
      </c>
      <c r="Q127" t="s">
        <v>870</v>
      </c>
    </row>
    <row r="128" spans="1:17">
      <c r="A128" t="s">
        <v>934</v>
      </c>
      <c r="B128" t="s">
        <v>673</v>
      </c>
      <c r="C128" t="s">
        <v>674</v>
      </c>
      <c r="D128" t="s">
        <v>1241</v>
      </c>
      <c r="E128" t="s">
        <v>675</v>
      </c>
      <c r="F128" t="s">
        <v>1242</v>
      </c>
      <c r="M128" t="s">
        <v>24</v>
      </c>
      <c r="N128" t="s">
        <v>298</v>
      </c>
      <c r="P128" t="s">
        <v>24</v>
      </c>
      <c r="Q128" t="s">
        <v>398</v>
      </c>
    </row>
    <row r="129" spans="1:17">
      <c r="A129" t="s">
        <v>934</v>
      </c>
      <c r="B129" t="s">
        <v>676</v>
      </c>
      <c r="C129" t="s">
        <v>677</v>
      </c>
      <c r="D129" t="s">
        <v>678</v>
      </c>
      <c r="E129" t="s">
        <v>679</v>
      </c>
      <c r="M129" t="s">
        <v>24</v>
      </c>
      <c r="O129" t="s">
        <v>939</v>
      </c>
      <c r="P129" t="s">
        <v>24</v>
      </c>
      <c r="Q129" t="s">
        <v>16</v>
      </c>
    </row>
    <row r="130" spans="1:17">
      <c r="A130" t="s">
        <v>934</v>
      </c>
      <c r="B130" t="s">
        <v>680</v>
      </c>
      <c r="C130" t="s">
        <v>681</v>
      </c>
      <c r="D130" t="s">
        <v>682</v>
      </c>
      <c r="E130" t="s">
        <v>683</v>
      </c>
      <c r="F130" t="s">
        <v>684</v>
      </c>
      <c r="M130" t="s">
        <v>24</v>
      </c>
      <c r="P130" t="s">
        <v>868</v>
      </c>
      <c r="Q130" t="s">
        <v>16</v>
      </c>
    </row>
    <row r="131" spans="1:17">
      <c r="A131" t="s">
        <v>934</v>
      </c>
      <c r="B131" t="s">
        <v>685</v>
      </c>
      <c r="C131" t="s">
        <v>686</v>
      </c>
      <c r="D131" t="s">
        <v>687</v>
      </c>
      <c r="E131" t="s">
        <v>688</v>
      </c>
      <c r="M131" t="s">
        <v>24</v>
      </c>
      <c r="N131" t="s">
        <v>24</v>
      </c>
      <c r="P131" t="s">
        <v>64</v>
      </c>
      <c r="Q131" t="s">
        <v>81</v>
      </c>
    </row>
    <row r="132" spans="1:17">
      <c r="B132" t="s">
        <v>689</v>
      </c>
      <c r="C132" t="s">
        <v>690</v>
      </c>
      <c r="D132" t="s">
        <v>691</v>
      </c>
      <c r="E132" t="s">
        <v>692</v>
      </c>
      <c r="M132" t="s">
        <v>906</v>
      </c>
      <c r="N132" t="s">
        <v>906</v>
      </c>
      <c r="P132" t="s">
        <v>871</v>
      </c>
    </row>
    <row r="133" spans="1:17">
      <c r="A133" t="s">
        <v>936</v>
      </c>
      <c r="B133" t="s">
        <v>693</v>
      </c>
      <c r="C133" t="s">
        <v>694</v>
      </c>
      <c r="D133" t="s">
        <v>695</v>
      </c>
      <c r="E133" t="s">
        <v>696</v>
      </c>
      <c r="F133" t="s">
        <v>697</v>
      </c>
      <c r="M133" t="s">
        <v>50</v>
      </c>
      <c r="N133" t="s">
        <v>50</v>
      </c>
      <c r="P133" t="s">
        <v>64</v>
      </c>
      <c r="Q133" t="s">
        <v>872</v>
      </c>
    </row>
    <row r="134" spans="1:17">
      <c r="B134" t="s">
        <v>698</v>
      </c>
      <c r="C134" t="s">
        <v>699</v>
      </c>
      <c r="D134" t="s">
        <v>700</v>
      </c>
      <c r="E134" t="s">
        <v>701</v>
      </c>
      <c r="M134" t="s">
        <v>50</v>
      </c>
      <c r="N134" t="s">
        <v>50</v>
      </c>
      <c r="P134" t="s">
        <v>856</v>
      </c>
      <c r="Q134" t="s">
        <v>454</v>
      </c>
    </row>
    <row r="135" spans="1:17">
      <c r="B135" t="s">
        <v>702</v>
      </c>
      <c r="C135" t="s">
        <v>703</v>
      </c>
      <c r="D135" t="s">
        <v>704</v>
      </c>
      <c r="E135" t="s">
        <v>705</v>
      </c>
      <c r="M135" t="s">
        <v>50</v>
      </c>
      <c r="N135" t="s">
        <v>50</v>
      </c>
      <c r="P135" t="s">
        <v>864</v>
      </c>
    </row>
    <row r="136" spans="1:17">
      <c r="B136" t="s">
        <v>706</v>
      </c>
      <c r="C136" t="s">
        <v>707</v>
      </c>
      <c r="D136" t="s">
        <v>708</v>
      </c>
      <c r="E136" t="s">
        <v>709</v>
      </c>
      <c r="M136" t="s">
        <v>907</v>
      </c>
      <c r="N136" t="s">
        <v>907</v>
      </c>
      <c r="P136" t="s">
        <v>873</v>
      </c>
    </row>
    <row r="137" spans="1:17">
      <c r="B137" t="s">
        <v>710</v>
      </c>
      <c r="C137" t="s">
        <v>711</v>
      </c>
      <c r="D137" t="s">
        <v>712</v>
      </c>
      <c r="E137" t="s">
        <v>713</v>
      </c>
      <c r="M137" t="s">
        <v>908</v>
      </c>
      <c r="N137" t="s">
        <v>908</v>
      </c>
      <c r="P137" t="s">
        <v>874</v>
      </c>
      <c r="Q137" t="s">
        <v>81</v>
      </c>
    </row>
    <row r="138" spans="1:17">
      <c r="B138" t="s">
        <v>714</v>
      </c>
      <c r="C138" t="s">
        <v>715</v>
      </c>
      <c r="D138" t="s">
        <v>716</v>
      </c>
      <c r="E138" t="s">
        <v>716</v>
      </c>
      <c r="M138" t="s">
        <v>909</v>
      </c>
      <c r="N138" t="s">
        <v>910</v>
      </c>
      <c r="P138" t="s">
        <v>875</v>
      </c>
    </row>
    <row r="139" spans="1:17">
      <c r="B139" t="s">
        <v>717</v>
      </c>
      <c r="C139" t="s">
        <v>718</v>
      </c>
      <c r="D139" t="s">
        <v>719</v>
      </c>
      <c r="E139" t="s">
        <v>720</v>
      </c>
      <c r="M139" t="s">
        <v>881</v>
      </c>
      <c r="N139" t="s">
        <v>881</v>
      </c>
      <c r="P139" t="s">
        <v>89</v>
      </c>
    </row>
    <row r="140" spans="1:17">
      <c r="B140" t="s">
        <v>721</v>
      </c>
      <c r="C140" t="s">
        <v>722</v>
      </c>
      <c r="D140" t="s">
        <v>723</v>
      </c>
      <c r="E140" t="s">
        <v>724</v>
      </c>
      <c r="M140" t="s">
        <v>881</v>
      </c>
      <c r="N140" t="s">
        <v>881</v>
      </c>
      <c r="P140" t="s">
        <v>89</v>
      </c>
    </row>
    <row r="141" spans="1:17">
      <c r="B141" t="s">
        <v>725</v>
      </c>
      <c r="C141" t="s">
        <v>726</v>
      </c>
      <c r="D141" t="s">
        <v>727</v>
      </c>
      <c r="E141" t="s">
        <v>728</v>
      </c>
      <c r="M141" t="s">
        <v>881</v>
      </c>
      <c r="N141" t="s">
        <v>881</v>
      </c>
      <c r="P141" t="s">
        <v>89</v>
      </c>
    </row>
    <row r="142" spans="1:17">
      <c r="B142" t="s">
        <v>729</v>
      </c>
      <c r="C142" t="s">
        <v>730</v>
      </c>
      <c r="D142" t="s">
        <v>731</v>
      </c>
      <c r="E142" t="s">
        <v>732</v>
      </c>
      <c r="M142" t="s">
        <v>911</v>
      </c>
      <c r="N142" t="s">
        <v>889</v>
      </c>
    </row>
    <row r="143" spans="1:17">
      <c r="B143" t="s">
        <v>733</v>
      </c>
      <c r="C143" t="s">
        <v>734</v>
      </c>
      <c r="D143" t="s">
        <v>735</v>
      </c>
      <c r="E143" t="s">
        <v>736</v>
      </c>
      <c r="M143" t="s">
        <v>912</v>
      </c>
    </row>
    <row r="144" spans="1:17">
      <c r="B144" t="s">
        <v>737</v>
      </c>
      <c r="C144" t="s">
        <v>738</v>
      </c>
      <c r="D144" t="s">
        <v>739</v>
      </c>
      <c r="E144" t="s">
        <v>740</v>
      </c>
      <c r="M144" t="s">
        <v>912</v>
      </c>
      <c r="N144" t="s">
        <v>50</v>
      </c>
    </row>
    <row r="145" spans="1:17">
      <c r="B145" t="s">
        <v>741</v>
      </c>
      <c r="C145" t="s">
        <v>742</v>
      </c>
      <c r="D145" t="s">
        <v>743</v>
      </c>
      <c r="E145" t="s">
        <v>744</v>
      </c>
      <c r="M145" t="s">
        <v>913</v>
      </c>
    </row>
    <row r="146" spans="1:17">
      <c r="B146" t="s">
        <v>455</v>
      </c>
      <c r="C146" t="s">
        <v>745</v>
      </c>
      <c r="D146" t="s">
        <v>746</v>
      </c>
      <c r="E146" t="s">
        <v>458</v>
      </c>
      <c r="M146" t="s">
        <v>914</v>
      </c>
    </row>
    <row r="147" spans="1:17">
      <c r="B147" t="s">
        <v>747</v>
      </c>
      <c r="C147" t="s">
        <v>748</v>
      </c>
      <c r="D147" t="s">
        <v>749</v>
      </c>
      <c r="E147" t="s">
        <v>750</v>
      </c>
      <c r="M147" t="s">
        <v>915</v>
      </c>
    </row>
    <row r="148" spans="1:17">
      <c r="B148" t="s">
        <v>751</v>
      </c>
      <c r="C148" t="s">
        <v>752</v>
      </c>
      <c r="D148" t="s">
        <v>753</v>
      </c>
      <c r="E148" t="s">
        <v>754</v>
      </c>
      <c r="M148" t="s">
        <v>902</v>
      </c>
      <c r="N148" t="s">
        <v>891</v>
      </c>
    </row>
    <row r="149" spans="1:17">
      <c r="B149" t="s">
        <v>755</v>
      </c>
      <c r="C149" t="s">
        <v>756</v>
      </c>
      <c r="D149" t="s">
        <v>757</v>
      </c>
      <c r="E149" t="s">
        <v>758</v>
      </c>
      <c r="F149" t="s">
        <v>759</v>
      </c>
      <c r="M149" t="s">
        <v>916</v>
      </c>
      <c r="N149" t="s">
        <v>290</v>
      </c>
    </row>
    <row r="150" spans="1:17">
      <c r="B150" t="s">
        <v>760</v>
      </c>
      <c r="C150" t="s">
        <v>761</v>
      </c>
      <c r="D150" t="s">
        <v>762</v>
      </c>
      <c r="E150" t="s">
        <v>763</v>
      </c>
      <c r="M150" t="s">
        <v>129</v>
      </c>
      <c r="N150" t="s">
        <v>890</v>
      </c>
    </row>
    <row r="151" spans="1:17">
      <c r="A151" t="s">
        <v>937</v>
      </c>
      <c r="B151" t="s">
        <v>764</v>
      </c>
      <c r="C151" t="s">
        <v>765</v>
      </c>
      <c r="D151" t="s">
        <v>766</v>
      </c>
      <c r="E151" t="s">
        <v>766</v>
      </c>
      <c r="M151" t="s">
        <v>24</v>
      </c>
      <c r="N151" t="s">
        <v>24</v>
      </c>
      <c r="P151" t="s">
        <v>64</v>
      </c>
    </row>
    <row r="152" spans="1:17">
      <c r="A152" t="s">
        <v>937</v>
      </c>
      <c r="B152" t="s">
        <v>767</v>
      </c>
      <c r="C152" t="s">
        <v>768</v>
      </c>
      <c r="D152" t="s">
        <v>769</v>
      </c>
      <c r="E152" t="s">
        <v>769</v>
      </c>
      <c r="M152" t="s">
        <v>24</v>
      </c>
      <c r="N152" t="s">
        <v>24</v>
      </c>
      <c r="P152" t="s">
        <v>64</v>
      </c>
    </row>
    <row r="153" spans="1:17">
      <c r="B153" t="s">
        <v>770</v>
      </c>
      <c r="C153" t="s">
        <v>771</v>
      </c>
      <c r="D153" t="s">
        <v>772</v>
      </c>
      <c r="E153" t="s">
        <v>773</v>
      </c>
      <c r="M153" t="s">
        <v>917</v>
      </c>
      <c r="N153" t="s">
        <v>24</v>
      </c>
    </row>
    <row r="154" spans="1:17">
      <c r="B154" t="s">
        <v>774</v>
      </c>
      <c r="C154" t="s">
        <v>775</v>
      </c>
      <c r="D154" t="s">
        <v>776</v>
      </c>
      <c r="E154" t="s">
        <v>777</v>
      </c>
      <c r="M154" t="s">
        <v>881</v>
      </c>
      <c r="N154" t="s">
        <v>24</v>
      </c>
      <c r="P154" t="s">
        <v>89</v>
      </c>
    </row>
    <row r="155" spans="1:17">
      <c r="A155" t="s">
        <v>937</v>
      </c>
      <c r="B155" t="s">
        <v>778</v>
      </c>
      <c r="C155" t="s">
        <v>779</v>
      </c>
      <c r="D155" t="s">
        <v>780</v>
      </c>
      <c r="E155" t="s">
        <v>781</v>
      </c>
      <c r="M155" t="s">
        <v>24</v>
      </c>
      <c r="N155" t="s">
        <v>24</v>
      </c>
      <c r="P155" t="s">
        <v>24</v>
      </c>
    </row>
    <row r="156" spans="1:17">
      <c r="A156" t="s">
        <v>937</v>
      </c>
      <c r="B156" t="s">
        <v>782</v>
      </c>
      <c r="C156" t="s">
        <v>783</v>
      </c>
      <c r="D156" t="s">
        <v>784</v>
      </c>
      <c r="E156" t="s">
        <v>785</v>
      </c>
      <c r="M156" t="s">
        <v>24</v>
      </c>
      <c r="N156" t="s">
        <v>24</v>
      </c>
      <c r="P156" t="s">
        <v>24</v>
      </c>
    </row>
    <row r="157" spans="1:17">
      <c r="B157" t="s">
        <v>786</v>
      </c>
      <c r="C157" t="s">
        <v>787</v>
      </c>
      <c r="D157" t="s">
        <v>788</v>
      </c>
      <c r="E157" t="s">
        <v>789</v>
      </c>
      <c r="M157" t="s">
        <v>918</v>
      </c>
      <c r="N157" t="s">
        <v>24</v>
      </c>
      <c r="P157" t="s">
        <v>877</v>
      </c>
      <c r="Q157" t="s">
        <v>878</v>
      </c>
    </row>
    <row r="158" spans="1:17">
      <c r="A158" t="s">
        <v>937</v>
      </c>
      <c r="B158" t="s">
        <v>790</v>
      </c>
      <c r="C158" t="s">
        <v>791</v>
      </c>
      <c r="D158" t="s">
        <v>792</v>
      </c>
      <c r="E158" t="s">
        <v>793</v>
      </c>
      <c r="M158" t="s">
        <v>24</v>
      </c>
      <c r="N158" t="s">
        <v>24</v>
      </c>
      <c r="P158" t="s">
        <v>24</v>
      </c>
    </row>
    <row r="159" spans="1:17">
      <c r="B159" t="s">
        <v>794</v>
      </c>
      <c r="C159" t="s">
        <v>795</v>
      </c>
      <c r="D159" t="s">
        <v>796</v>
      </c>
      <c r="E159" t="s">
        <v>797</v>
      </c>
      <c r="M159" t="s">
        <v>919</v>
      </c>
      <c r="N159" t="s">
        <v>919</v>
      </c>
      <c r="P159" t="s">
        <v>879</v>
      </c>
    </row>
    <row r="160" spans="1:17">
      <c r="A160" t="s">
        <v>937</v>
      </c>
      <c r="B160" t="s">
        <v>798</v>
      </c>
      <c r="C160" t="s">
        <v>799</v>
      </c>
      <c r="D160" t="s">
        <v>800</v>
      </c>
      <c r="E160" t="s">
        <v>801</v>
      </c>
      <c r="M160" t="s">
        <v>24</v>
      </c>
      <c r="N160" t="s">
        <v>24</v>
      </c>
      <c r="P160" t="s">
        <v>24</v>
      </c>
    </row>
    <row r="161" spans="1:17">
      <c r="B161" t="s">
        <v>802</v>
      </c>
      <c r="C161" t="s">
        <v>803</v>
      </c>
      <c r="D161" t="s">
        <v>804</v>
      </c>
      <c r="E161" t="s">
        <v>805</v>
      </c>
      <c r="M161" t="s">
        <v>129</v>
      </c>
      <c r="N161" t="s">
        <v>129</v>
      </c>
      <c r="P161" t="s">
        <v>128</v>
      </c>
    </row>
    <row r="162" spans="1:17">
      <c r="A162" t="s">
        <v>937</v>
      </c>
      <c r="B162" t="s">
        <v>806</v>
      </c>
      <c r="C162" t="s">
        <v>807</v>
      </c>
      <c r="D162" t="s">
        <v>808</v>
      </c>
      <c r="E162" t="s">
        <v>809</v>
      </c>
      <c r="M162" t="s">
        <v>24</v>
      </c>
      <c r="N162" t="s">
        <v>24</v>
      </c>
      <c r="P162" t="s">
        <v>64</v>
      </c>
    </row>
    <row r="163" spans="1:17">
      <c r="B163" t="s">
        <v>810</v>
      </c>
      <c r="C163" t="s">
        <v>811</v>
      </c>
      <c r="D163" t="s">
        <v>812</v>
      </c>
      <c r="E163" t="s">
        <v>813</v>
      </c>
      <c r="M163" t="s">
        <v>15</v>
      </c>
      <c r="N163" t="s">
        <v>15</v>
      </c>
      <c r="P163" t="s">
        <v>15</v>
      </c>
    </row>
    <row r="164" spans="1:17">
      <c r="B164" t="s">
        <v>814</v>
      </c>
      <c r="C164" t="s">
        <v>815</v>
      </c>
      <c r="D164" t="s">
        <v>816</v>
      </c>
      <c r="E164" t="s">
        <v>817</v>
      </c>
      <c r="M164" t="s">
        <v>920</v>
      </c>
      <c r="N164" t="s">
        <v>24</v>
      </c>
      <c r="P164" t="s">
        <v>880</v>
      </c>
      <c r="Q164" t="s">
        <v>878</v>
      </c>
    </row>
    <row r="165" spans="1:17">
      <c r="A165" t="s">
        <v>937</v>
      </c>
      <c r="B165" t="s">
        <v>818</v>
      </c>
      <c r="C165" t="s">
        <v>819</v>
      </c>
      <c r="D165" t="s">
        <v>820</v>
      </c>
      <c r="E165" t="s">
        <v>821</v>
      </c>
      <c r="M165" t="s">
        <v>24</v>
      </c>
      <c r="N165" t="s">
        <v>24</v>
      </c>
      <c r="P165" t="s">
        <v>64</v>
      </c>
    </row>
    <row r="166" spans="1:17">
      <c r="B166" t="s">
        <v>822</v>
      </c>
      <c r="C166" t="s">
        <v>823</v>
      </c>
      <c r="D166" t="s">
        <v>824</v>
      </c>
      <c r="E166" t="s">
        <v>825</v>
      </c>
      <c r="M166" t="s">
        <v>290</v>
      </c>
      <c r="N166" t="s">
        <v>24</v>
      </c>
      <c r="P166" t="s">
        <v>290</v>
      </c>
      <c r="Q166" t="s">
        <v>316</v>
      </c>
    </row>
    <row r="167" spans="1:17">
      <c r="B167" t="s">
        <v>826</v>
      </c>
      <c r="C167" t="s">
        <v>827</v>
      </c>
      <c r="D167" t="s">
        <v>828</v>
      </c>
      <c r="E167" t="s">
        <v>829</v>
      </c>
      <c r="M167" t="s">
        <v>921</v>
      </c>
      <c r="N167" t="s">
        <v>922</v>
      </c>
    </row>
    <row r="168" spans="1:17">
      <c r="B168" t="s">
        <v>830</v>
      </c>
      <c r="C168" t="s">
        <v>831</v>
      </c>
      <c r="D168" t="s">
        <v>832</v>
      </c>
      <c r="E168" t="s">
        <v>833</v>
      </c>
      <c r="M168" t="s">
        <v>923</v>
      </c>
      <c r="N168" t="s">
        <v>881</v>
      </c>
    </row>
    <row r="169" spans="1:17">
      <c r="B169" t="s">
        <v>834</v>
      </c>
      <c r="C169" t="s">
        <v>835</v>
      </c>
      <c r="D169" t="s">
        <v>836</v>
      </c>
      <c r="E169" t="s">
        <v>837</v>
      </c>
      <c r="M169" t="s">
        <v>881</v>
      </c>
      <c r="N169" t="s">
        <v>881</v>
      </c>
    </row>
    <row r="170" spans="1:17">
      <c r="B170" t="s">
        <v>838</v>
      </c>
      <c r="C170" t="s">
        <v>839</v>
      </c>
      <c r="D170" t="s">
        <v>840</v>
      </c>
      <c r="E170" t="s">
        <v>841</v>
      </c>
      <c r="F170" t="s">
        <v>842</v>
      </c>
      <c r="M170" t="s">
        <v>881</v>
      </c>
      <c r="N170" t="s">
        <v>881</v>
      </c>
      <c r="P170" t="s">
        <v>881</v>
      </c>
    </row>
    <row r="171" spans="1:17">
      <c r="A171" t="s">
        <v>938</v>
      </c>
      <c r="B171" t="s">
        <v>843</v>
      </c>
      <c r="C171" t="s">
        <v>844</v>
      </c>
      <c r="D171" t="s">
        <v>845</v>
      </c>
      <c r="E171" t="s">
        <v>846</v>
      </c>
      <c r="M171" t="s">
        <v>24</v>
      </c>
      <c r="N171" t="s">
        <v>24</v>
      </c>
      <c r="P171" t="s">
        <v>64</v>
      </c>
    </row>
    <row r="172" spans="1:17">
      <c r="B172" t="s">
        <v>954</v>
      </c>
      <c r="C172" t="s">
        <v>955</v>
      </c>
      <c r="D172" t="s">
        <v>953</v>
      </c>
      <c r="E172" t="s">
        <v>953</v>
      </c>
      <c r="N172">
        <f>COUNTIFS(N$1:N$171,"p t k",M$1:M$171,"p t k")</f>
        <v>44</v>
      </c>
    </row>
    <row r="173" spans="1:17">
      <c r="B173" t="s">
        <v>956</v>
      </c>
      <c r="C173" t="s">
        <v>959</v>
      </c>
      <c r="D173" t="s">
        <v>957</v>
      </c>
      <c r="E173" t="s">
        <v>958</v>
      </c>
      <c r="N173">
        <f>COUNTIFS(N$1:N$171,"p t",M$1:M$171,"p t k")</f>
        <v>3</v>
      </c>
    </row>
    <row r="174" spans="1:17">
      <c r="B174" t="s">
        <v>967</v>
      </c>
      <c r="C174" t="s">
        <v>962</v>
      </c>
      <c r="D174" t="s">
        <v>960</v>
      </c>
      <c r="E174" t="s">
        <v>961</v>
      </c>
      <c r="N174">
        <f>COUNTIFS(N$1:N$171,"t",M$1:M$171,"p t k")</f>
        <v>0</v>
      </c>
    </row>
    <row r="175" spans="1:17">
      <c r="B175" t="s">
        <v>965</v>
      </c>
      <c r="C175" t="s">
        <v>966</v>
      </c>
      <c r="D175" t="s">
        <v>963</v>
      </c>
      <c r="E175" t="s">
        <v>964</v>
      </c>
      <c r="N175">
        <f>COUNTIFS(N$1:N$171,"",M$1:M$171,"p t k")</f>
        <v>28</v>
      </c>
    </row>
    <row r="176" spans="1:17" s="6" customFormat="1">
      <c r="B176" s="6" t="s">
        <v>977</v>
      </c>
      <c r="C176" s="6" t="s">
        <v>978</v>
      </c>
      <c r="D176" s="6" t="s">
        <v>981</v>
      </c>
      <c r="E176" s="6" t="s">
        <v>979</v>
      </c>
      <c r="F176" s="6" t="s">
        <v>980</v>
      </c>
    </row>
    <row r="177" spans="2:14">
      <c r="B177" t="s">
        <v>982</v>
      </c>
      <c r="C177" t="s">
        <v>1238</v>
      </c>
      <c r="D177" t="s">
        <v>1235</v>
      </c>
      <c r="E177" t="s">
        <v>1236</v>
      </c>
      <c r="F177" t="s">
        <v>1237</v>
      </c>
    </row>
    <row r="178" spans="2:14">
      <c r="B178" t="s">
        <v>983</v>
      </c>
      <c r="C178" t="s">
        <v>985</v>
      </c>
      <c r="D178" t="s">
        <v>984</v>
      </c>
      <c r="E178" t="s">
        <v>979</v>
      </c>
    </row>
    <row r="179" spans="2:14">
      <c r="B179" t="s">
        <v>986</v>
      </c>
      <c r="C179" t="s">
        <v>992</v>
      </c>
      <c r="D179" t="s">
        <v>987</v>
      </c>
      <c r="E179" t="s">
        <v>990</v>
      </c>
      <c r="F179" t="s">
        <v>988</v>
      </c>
      <c r="G179" t="s">
        <v>989</v>
      </c>
      <c r="H179" t="s">
        <v>991</v>
      </c>
    </row>
    <row r="180" spans="2:14">
      <c r="B180" t="s">
        <v>993</v>
      </c>
      <c r="C180" t="s">
        <v>996</v>
      </c>
      <c r="D180" t="s">
        <v>994</v>
      </c>
      <c r="E180" t="s">
        <v>995</v>
      </c>
    </row>
    <row r="181" spans="2:14">
      <c r="B181" t="s">
        <v>997</v>
      </c>
      <c r="C181" t="s">
        <v>1001</v>
      </c>
      <c r="D181" t="s">
        <v>999</v>
      </c>
      <c r="E181" t="s">
        <v>998</v>
      </c>
      <c r="F181" t="s">
        <v>1000</v>
      </c>
      <c r="G181" t="s">
        <v>1002</v>
      </c>
    </row>
    <row r="182" spans="2:14">
      <c r="B182" t="s">
        <v>1003</v>
      </c>
      <c r="C182" t="s">
        <v>1004</v>
      </c>
      <c r="D182" t="s">
        <v>1005</v>
      </c>
      <c r="E182" t="s">
        <v>1006</v>
      </c>
      <c r="F182" t="s">
        <v>1007</v>
      </c>
    </row>
    <row r="183" spans="2:14">
      <c r="B183" t="s">
        <v>1008</v>
      </c>
      <c r="C183" t="s">
        <v>1012</v>
      </c>
      <c r="D183" t="s">
        <v>1009</v>
      </c>
      <c r="E183" t="s">
        <v>1010</v>
      </c>
      <c r="F183" t="s">
        <v>1011</v>
      </c>
    </row>
    <row r="184" spans="2:14">
      <c r="B184" t="s">
        <v>1212</v>
      </c>
      <c r="C184" t="s">
        <v>1021</v>
      </c>
      <c r="D184" t="s">
        <v>1018</v>
      </c>
      <c r="E184" t="s">
        <v>1019</v>
      </c>
      <c r="F184" t="s">
        <v>1020</v>
      </c>
    </row>
    <row r="185" spans="2:14">
      <c r="B185" t="s">
        <v>1013</v>
      </c>
      <c r="C185" t="s">
        <v>1014</v>
      </c>
      <c r="D185" t="s">
        <v>1015</v>
      </c>
      <c r="E185" t="s">
        <v>1016</v>
      </c>
      <c r="F185" t="s">
        <v>1017</v>
      </c>
    </row>
    <row r="186" spans="2:14">
      <c r="B186" t="s">
        <v>1022</v>
      </c>
      <c r="C186" t="s">
        <v>1026</v>
      </c>
      <c r="D186" t="s">
        <v>1023</v>
      </c>
      <c r="E186" t="s">
        <v>1024</v>
      </c>
      <c r="F186" t="s">
        <v>1025</v>
      </c>
    </row>
    <row r="187" spans="2:14">
      <c r="B187" t="s">
        <v>1029</v>
      </c>
      <c r="C187" t="s">
        <v>1030</v>
      </c>
      <c r="D187" t="s">
        <v>1027</v>
      </c>
      <c r="E187" t="s">
        <v>1028</v>
      </c>
    </row>
    <row r="188" spans="2:14">
      <c r="B188" t="s">
        <v>1031</v>
      </c>
      <c r="C188" t="s">
        <v>1034</v>
      </c>
      <c r="D188" t="s">
        <v>1032</v>
      </c>
      <c r="E188" t="s">
        <v>1033</v>
      </c>
      <c r="F188" t="s">
        <v>1035</v>
      </c>
    </row>
    <row r="189" spans="2:14">
      <c r="B189" t="s">
        <v>1036</v>
      </c>
      <c r="C189" t="s">
        <v>1233</v>
      </c>
      <c r="D189" t="s">
        <v>1234</v>
      </c>
      <c r="E189" t="s">
        <v>1243</v>
      </c>
      <c r="F189" t="s">
        <v>1232</v>
      </c>
      <c r="G189" t="s">
        <v>1244</v>
      </c>
    </row>
    <row r="190" spans="2:14">
      <c r="B190" t="s">
        <v>1037</v>
      </c>
      <c r="C190" t="s">
        <v>1039</v>
      </c>
      <c r="D190" t="s">
        <v>1038</v>
      </c>
      <c r="E190" t="s">
        <v>881</v>
      </c>
    </row>
    <row r="191" spans="2:14">
      <c r="B191" t="s">
        <v>1043</v>
      </c>
      <c r="C191" t="s">
        <v>1042</v>
      </c>
      <c r="D191" t="s">
        <v>1040</v>
      </c>
      <c r="F191" t="s">
        <v>1041</v>
      </c>
      <c r="N191">
        <f>COUNTIFS(N$1:N$171,"k",M$1:M$171,"p t k")</f>
        <v>0</v>
      </c>
    </row>
    <row r="192" spans="2:14">
      <c r="B192" t="s">
        <v>1044</v>
      </c>
      <c r="C192" t="s">
        <v>1048</v>
      </c>
      <c r="D192" t="s">
        <v>1045</v>
      </c>
      <c r="E192" t="s">
        <v>1046</v>
      </c>
      <c r="F192" t="s">
        <v>1047</v>
      </c>
      <c r="G192" t="s">
        <v>1049</v>
      </c>
      <c r="N192">
        <f>COUNTIFS(N$1:N$171,"p",M$1:M$171,"p t k")</f>
        <v>1</v>
      </c>
    </row>
    <row r="193" spans="2:18">
      <c r="B193" t="s">
        <v>1050</v>
      </c>
      <c r="C193" t="s">
        <v>1051</v>
      </c>
      <c r="D193" t="s">
        <v>1052</v>
      </c>
      <c r="E193" t="s">
        <v>1053</v>
      </c>
      <c r="N193">
        <f>COUNTIFS(N$1:N$171,"p k",M$1:M$171,"p t k")</f>
        <v>2</v>
      </c>
    </row>
    <row r="194" spans="2:18">
      <c r="B194" t="s">
        <v>1054</v>
      </c>
      <c r="C194" t="s">
        <v>1056</v>
      </c>
      <c r="D194" t="s">
        <v>1055</v>
      </c>
      <c r="E194" t="s">
        <v>1055</v>
      </c>
      <c r="N194">
        <f>COUNTIFS(N$1:N$171,"t k",M$1:M$171,"p t k")</f>
        <v>2</v>
      </c>
    </row>
    <row r="195" spans="2:18">
      <c r="B195" t="s">
        <v>1057</v>
      </c>
      <c r="C195" t="s">
        <v>1061</v>
      </c>
      <c r="D195" t="s">
        <v>1058</v>
      </c>
      <c r="E195" t="s">
        <v>1059</v>
      </c>
      <c r="F195" t="s">
        <v>1060</v>
      </c>
      <c r="O195">
        <f>COUNTIF(N2:N171,"")</f>
        <v>60</v>
      </c>
      <c r="R195">
        <f>_xlfn.BINOM.DIST(0,8,27/30,TRUE)</f>
        <v>9.999999999999982E-9</v>
      </c>
    </row>
    <row r="196" spans="2:18">
      <c r="B196" t="s">
        <v>1063</v>
      </c>
      <c r="C196" t="s">
        <v>1064</v>
      </c>
      <c r="D196" t="s">
        <v>1062</v>
      </c>
      <c r="E196" t="s">
        <v>867</v>
      </c>
      <c r="O196">
        <f>60/171</f>
        <v>0.35087719298245612</v>
      </c>
    </row>
    <row r="197" spans="2:18">
      <c r="B197" t="s">
        <v>1065</v>
      </c>
      <c r="C197" t="s">
        <v>1068</v>
      </c>
      <c r="D197" t="s">
        <v>1066</v>
      </c>
      <c r="E197" t="s">
        <v>1067</v>
      </c>
    </row>
    <row r="198" spans="2:18">
      <c r="B198" t="s">
        <v>1069</v>
      </c>
      <c r="C198" t="s">
        <v>1072</v>
      </c>
      <c r="D198" t="s">
        <v>1071</v>
      </c>
      <c r="E198" t="s">
        <v>1070</v>
      </c>
      <c r="M198">
        <f>COUNTIFS(M2:M171,"*p*",N2:N171,"*p*")</f>
        <v>95</v>
      </c>
      <c r="N198">
        <f>COUNTIFS(M2:M171,"*p*")</f>
        <v>154</v>
      </c>
      <c r="O198">
        <f>N198-M198</f>
        <v>59</v>
      </c>
    </row>
    <row r="199" spans="2:18">
      <c r="B199" t="s">
        <v>1075</v>
      </c>
      <c r="C199" t="s">
        <v>1076</v>
      </c>
      <c r="D199" t="s">
        <v>1074</v>
      </c>
      <c r="E199" t="s">
        <v>1073</v>
      </c>
    </row>
    <row r="200" spans="2:18">
      <c r="B200" t="s">
        <v>1240</v>
      </c>
      <c r="C200" t="s">
        <v>1079</v>
      </c>
      <c r="D200" t="s">
        <v>1077</v>
      </c>
      <c r="E200" t="s">
        <v>1078</v>
      </c>
    </row>
    <row r="201" spans="2:18">
      <c r="B201" t="s">
        <v>1080</v>
      </c>
      <c r="C201" t="s">
        <v>1082</v>
      </c>
      <c r="D201" t="s">
        <v>1081</v>
      </c>
      <c r="E201" t="s">
        <v>374</v>
      </c>
    </row>
    <row r="202" spans="2:18">
      <c r="B202" t="s">
        <v>1085</v>
      </c>
      <c r="C202" t="s">
        <v>1086</v>
      </c>
      <c r="D202" t="s">
        <v>1084</v>
      </c>
      <c r="E202" t="s">
        <v>1083</v>
      </c>
      <c r="F202" t="s">
        <v>1245</v>
      </c>
    </row>
    <row r="203" spans="2:18">
      <c r="B203" t="s">
        <v>1089</v>
      </c>
      <c r="C203" t="s">
        <v>1090</v>
      </c>
      <c r="D203" t="s">
        <v>1087</v>
      </c>
      <c r="E203" t="s">
        <v>1088</v>
      </c>
    </row>
    <row r="204" spans="2:18">
      <c r="B204" t="s">
        <v>1091</v>
      </c>
      <c r="C204" t="s">
        <v>1094</v>
      </c>
      <c r="D204" t="s">
        <v>1093</v>
      </c>
      <c r="E204" t="s">
        <v>1092</v>
      </c>
    </row>
    <row r="205" spans="2:18">
      <c r="B205" t="s">
        <v>1097</v>
      </c>
      <c r="C205" t="s">
        <v>1098</v>
      </c>
      <c r="D205" t="s">
        <v>1095</v>
      </c>
      <c r="E205" t="s">
        <v>1096</v>
      </c>
    </row>
    <row r="206" spans="2:18">
      <c r="B206" t="s">
        <v>1101</v>
      </c>
      <c r="C206" t="s">
        <v>1102</v>
      </c>
      <c r="D206" t="s">
        <v>1100</v>
      </c>
      <c r="E206" t="s">
        <v>1099</v>
      </c>
    </row>
    <row r="207" spans="2:18">
      <c r="B207" t="s">
        <v>1106</v>
      </c>
      <c r="C207" t="s">
        <v>1107</v>
      </c>
      <c r="D207" t="s">
        <v>1104</v>
      </c>
      <c r="E207" t="s">
        <v>1105</v>
      </c>
      <c r="F207" t="s">
        <v>1103</v>
      </c>
    </row>
    <row r="208" spans="2:18">
      <c r="B208" t="s">
        <v>1110</v>
      </c>
      <c r="C208" t="s">
        <v>1111</v>
      </c>
      <c r="D208" t="s">
        <v>1108</v>
      </c>
      <c r="E208" t="s">
        <v>1109</v>
      </c>
    </row>
    <row r="209" spans="2:6">
      <c r="B209" t="s">
        <v>1114</v>
      </c>
      <c r="C209" t="s">
        <v>1115</v>
      </c>
      <c r="D209" t="s">
        <v>1112</v>
      </c>
      <c r="E209" t="s">
        <v>1113</v>
      </c>
    </row>
    <row r="210" spans="2:6">
      <c r="B210" t="s">
        <v>1118</v>
      </c>
      <c r="C210" t="s">
        <v>1119</v>
      </c>
      <c r="D210" t="s">
        <v>1116</v>
      </c>
      <c r="E210" t="s">
        <v>1117</v>
      </c>
      <c r="F210" t="s">
        <v>1246</v>
      </c>
    </row>
    <row r="211" spans="2:6">
      <c r="B211" t="s">
        <v>1120</v>
      </c>
      <c r="C211" t="s">
        <v>1123</v>
      </c>
      <c r="D211" t="s">
        <v>1122</v>
      </c>
      <c r="E211" t="s">
        <v>1121</v>
      </c>
    </row>
    <row r="212" spans="2:6">
      <c r="B212" t="s">
        <v>1126</v>
      </c>
      <c r="C212" t="s">
        <v>1125</v>
      </c>
      <c r="D212" t="s">
        <v>1124</v>
      </c>
      <c r="E212" t="s">
        <v>1247</v>
      </c>
    </row>
    <row r="213" spans="2:6">
      <c r="B213" t="s">
        <v>1130</v>
      </c>
      <c r="C213" t="s">
        <v>1131</v>
      </c>
      <c r="D213" t="s">
        <v>1127</v>
      </c>
      <c r="E213" t="s">
        <v>1128</v>
      </c>
      <c r="F213" t="s">
        <v>1129</v>
      </c>
    </row>
    <row r="214" spans="2:6">
      <c r="B214" t="s">
        <v>1135</v>
      </c>
      <c r="C214" t="s">
        <v>1134</v>
      </c>
      <c r="D214" t="s">
        <v>1132</v>
      </c>
      <c r="E214" t="s">
        <v>1133</v>
      </c>
      <c r="F214" t="s">
        <v>1136</v>
      </c>
    </row>
    <row r="215" spans="2:6">
      <c r="B215" t="s">
        <v>1138</v>
      </c>
      <c r="C215" t="s">
        <v>1139</v>
      </c>
      <c r="D215" t="s">
        <v>1137</v>
      </c>
      <c r="E215" t="s">
        <v>359</v>
      </c>
    </row>
    <row r="216" spans="2:6">
      <c r="B216" t="s">
        <v>1142</v>
      </c>
      <c r="C216" t="s">
        <v>1144</v>
      </c>
      <c r="D216" t="s">
        <v>1140</v>
      </c>
      <c r="E216" t="s">
        <v>1141</v>
      </c>
      <c r="F216" t="s">
        <v>1143</v>
      </c>
    </row>
    <row r="217" spans="2:6">
      <c r="B217" t="s">
        <v>1146</v>
      </c>
      <c r="C217" t="s">
        <v>1147</v>
      </c>
      <c r="D217" t="s">
        <v>1145</v>
      </c>
      <c r="E217" t="s">
        <v>1148</v>
      </c>
      <c r="F217" t="s">
        <v>1149</v>
      </c>
    </row>
    <row r="218" spans="2:6">
      <c r="B218" t="s">
        <v>1153</v>
      </c>
      <c r="C218" t="s">
        <v>1157</v>
      </c>
      <c r="D218" t="s">
        <v>1152</v>
      </c>
      <c r="E218" t="s">
        <v>1151</v>
      </c>
      <c r="F218" t="s">
        <v>1150</v>
      </c>
    </row>
    <row r="219" spans="2:6">
      <c r="B219" t="s">
        <v>1155</v>
      </c>
      <c r="C219" t="s">
        <v>1156</v>
      </c>
      <c r="D219" t="s">
        <v>1154</v>
      </c>
    </row>
    <row r="220" spans="2:6">
      <c r="B220" t="s">
        <v>1158</v>
      </c>
      <c r="C220" t="s">
        <v>1160</v>
      </c>
      <c r="D220" t="s">
        <v>1159</v>
      </c>
      <c r="E220" t="s">
        <v>979</v>
      </c>
    </row>
    <row r="221" spans="2:6">
      <c r="B221" t="s">
        <v>1162</v>
      </c>
      <c r="C221" t="s">
        <v>1163</v>
      </c>
      <c r="D221" t="s">
        <v>1161</v>
      </c>
      <c r="E221" t="s">
        <v>979</v>
      </c>
    </row>
    <row r="222" spans="2:6">
      <c r="B222" t="s">
        <v>1166</v>
      </c>
      <c r="C222" t="s">
        <v>1167</v>
      </c>
      <c r="D222" t="s">
        <v>1165</v>
      </c>
      <c r="E222" t="s">
        <v>1164</v>
      </c>
    </row>
    <row r="223" spans="2:6">
      <c r="B223" t="s">
        <v>1171</v>
      </c>
      <c r="C223" t="s">
        <v>1170</v>
      </c>
      <c r="D223" t="s">
        <v>1169</v>
      </c>
      <c r="E223" t="s">
        <v>1168</v>
      </c>
    </row>
    <row r="224" spans="2:6">
      <c r="B224" t="s">
        <v>1172</v>
      </c>
      <c r="C224" t="s">
        <v>1174</v>
      </c>
      <c r="D224" t="s">
        <v>1173</v>
      </c>
      <c r="E224" t="s">
        <v>979</v>
      </c>
    </row>
    <row r="225" spans="2:5">
      <c r="B225" t="s">
        <v>1177</v>
      </c>
      <c r="C225" t="s">
        <v>1176</v>
      </c>
      <c r="D225" t="s">
        <v>1175</v>
      </c>
      <c r="E225" t="s">
        <v>979</v>
      </c>
    </row>
    <row r="226" spans="2:5">
      <c r="B226" t="s">
        <v>1179</v>
      </c>
      <c r="C226" t="s">
        <v>1180</v>
      </c>
      <c r="D226" t="s">
        <v>1178</v>
      </c>
      <c r="E226" t="s">
        <v>979</v>
      </c>
    </row>
    <row r="227" spans="2:5">
      <c r="B227" t="s">
        <v>1182</v>
      </c>
      <c r="C227" t="s">
        <v>1183</v>
      </c>
      <c r="D227" t="s">
        <v>1181</v>
      </c>
      <c r="E227" t="s">
        <v>979</v>
      </c>
    </row>
    <row r="228" spans="2:5">
      <c r="B228" t="s">
        <v>1186</v>
      </c>
      <c r="C228" t="s">
        <v>1187</v>
      </c>
      <c r="D228" t="s">
        <v>1184</v>
      </c>
      <c r="E228" t="s">
        <v>1185</v>
      </c>
    </row>
    <row r="229" spans="2:5">
      <c r="B229" t="s">
        <v>1188</v>
      </c>
      <c r="C229" t="s">
        <v>1190</v>
      </c>
      <c r="D229" t="s">
        <v>1189</v>
      </c>
      <c r="E229" t="s">
        <v>979</v>
      </c>
    </row>
    <row r="230" spans="2:5">
      <c r="B230" t="s">
        <v>1193</v>
      </c>
      <c r="C230" t="s">
        <v>1194</v>
      </c>
      <c r="D230" t="s">
        <v>1192</v>
      </c>
      <c r="E230" t="s">
        <v>1191</v>
      </c>
    </row>
    <row r="231" spans="2:5">
      <c r="B231" t="s">
        <v>1197</v>
      </c>
      <c r="C231" t="s">
        <v>1198</v>
      </c>
      <c r="D231" t="s">
        <v>1195</v>
      </c>
      <c r="E231" t="s">
        <v>1196</v>
      </c>
    </row>
    <row r="232" spans="2:5">
      <c r="B232" t="s">
        <v>1200</v>
      </c>
      <c r="C232" t="s">
        <v>1201</v>
      </c>
      <c r="D232" t="s">
        <v>1199</v>
      </c>
      <c r="E232" t="s">
        <v>1199</v>
      </c>
    </row>
    <row r="233" spans="2:5">
      <c r="B233" t="s">
        <v>1204</v>
      </c>
      <c r="C233" t="s">
        <v>1205</v>
      </c>
      <c r="D233" t="s">
        <v>1202</v>
      </c>
      <c r="E233" t="s">
        <v>1203</v>
      </c>
    </row>
    <row r="234" spans="2:5">
      <c r="B234" t="s">
        <v>1207</v>
      </c>
      <c r="C234" t="s">
        <v>1208</v>
      </c>
      <c r="D234" t="s">
        <v>1206</v>
      </c>
      <c r="E234" t="s">
        <v>979</v>
      </c>
    </row>
    <row r="235" spans="2:5">
      <c r="B235" t="s">
        <v>1210</v>
      </c>
      <c r="C235" t="s">
        <v>1211</v>
      </c>
      <c r="D235" t="s">
        <v>1209</v>
      </c>
      <c r="E235" t="s">
        <v>979</v>
      </c>
    </row>
    <row r="236" spans="2:5">
      <c r="B236" t="s">
        <v>1213</v>
      </c>
      <c r="C236" t="s">
        <v>1051</v>
      </c>
      <c r="D236" t="s">
        <v>1214</v>
      </c>
      <c r="E236" t="s">
        <v>1215</v>
      </c>
    </row>
    <row r="237" spans="2:5">
      <c r="B237" t="s">
        <v>1216</v>
      </c>
      <c r="C237" t="s">
        <v>1051</v>
      </c>
      <c r="D237" t="s">
        <v>1217</v>
      </c>
      <c r="E237" t="s">
        <v>979</v>
      </c>
    </row>
    <row r="238" spans="2:5">
      <c r="B238" t="s">
        <v>1218</v>
      </c>
      <c r="C238" t="s">
        <v>1051</v>
      </c>
      <c r="D238" t="s">
        <v>1219</v>
      </c>
      <c r="E238" t="s">
        <v>979</v>
      </c>
    </row>
    <row r="239" spans="2:5">
      <c r="B239" t="s">
        <v>1220</v>
      </c>
      <c r="C239" t="s">
        <v>1231</v>
      </c>
      <c r="D239" t="s">
        <v>1230</v>
      </c>
      <c r="E239" t="s">
        <v>1222</v>
      </c>
    </row>
    <row r="240" spans="2:5">
      <c r="B240" t="s">
        <v>1223</v>
      </c>
      <c r="C240" t="s">
        <v>1221</v>
      </c>
      <c r="D240" t="s">
        <v>1225</v>
      </c>
      <c r="E240" t="s">
        <v>1224</v>
      </c>
    </row>
    <row r="241" spans="2:6">
      <c r="B241" t="s">
        <v>1226</v>
      </c>
      <c r="C241" t="s">
        <v>1229</v>
      </c>
      <c r="D241" t="s">
        <v>1227</v>
      </c>
      <c r="E241" t="s">
        <v>1228</v>
      </c>
    </row>
    <row r="242" spans="2:6">
      <c r="B242" t="s">
        <v>1248</v>
      </c>
      <c r="C242" t="s">
        <v>1249</v>
      </c>
      <c r="E242" t="s">
        <v>1250</v>
      </c>
    </row>
    <row r="243" spans="2:6">
      <c r="B243" t="s">
        <v>1251</v>
      </c>
      <c r="C243" t="s">
        <v>1252</v>
      </c>
      <c r="D243" t="s">
        <v>1253</v>
      </c>
      <c r="E243" t="s">
        <v>979</v>
      </c>
    </row>
    <row r="244" spans="2:6">
      <c r="B244" t="s">
        <v>1254</v>
      </c>
      <c r="C244" t="s">
        <v>1257</v>
      </c>
      <c r="D244" t="s">
        <v>1256</v>
      </c>
      <c r="E244" t="s">
        <v>1255</v>
      </c>
    </row>
    <row r="245" spans="2:6">
      <c r="B245" t="s">
        <v>1258</v>
      </c>
      <c r="C245" t="s">
        <v>1262</v>
      </c>
      <c r="D245" t="s">
        <v>1259</v>
      </c>
      <c r="E245" t="s">
        <v>1260</v>
      </c>
      <c r="F245" t="s">
        <v>1261</v>
      </c>
    </row>
    <row r="265" spans="7:36">
      <c r="H265" t="s">
        <v>95</v>
      </c>
      <c r="I265" t="s">
        <v>945</v>
      </c>
      <c r="M265">
        <f>COUNTIFS(M2:M171,"*k*",N2:N171,"*k*")</f>
        <v>97</v>
      </c>
      <c r="N265">
        <f>COUNTIFS(M2:M171,"*k*")</f>
        <v>170</v>
      </c>
      <c r="O265">
        <f>N265-M265</f>
        <v>73</v>
      </c>
    </row>
    <row r="266" spans="7:36">
      <c r="G266" t="s">
        <v>890</v>
      </c>
      <c r="H266">
        <f>COUNTIFS($M$2:$M$171,"*p*",$N$2:$N$171,"*p*",$M$2:$M$171,"*k*",$N$2:$N$171,"*k*",$M$2:$M$171,"*t*",$N$2:$N$171,"*t*")</f>
        <v>83</v>
      </c>
      <c r="I266">
        <f>COUNTIFS($M$2:$M$171,"*p*",$N$2:$N$171,"*p*",$M$2:$M$171,"*k*",$N$2:$N$171,"&lt;&gt;*k*",$M$2:$M$171,"*t*",$N$2:$N$171,"*t*")</f>
        <v>9</v>
      </c>
      <c r="M266">
        <f>COUNTIF(M1:M171,"p t k")</f>
        <v>80</v>
      </c>
    </row>
    <row r="267" spans="7:36">
      <c r="G267" t="s">
        <v>398</v>
      </c>
      <c r="H267">
        <f>COUNTIFS($M$2:$M$171,"*p*",$N$2:$N$171,"&lt;&gt;*p*",$M$2:$M$171,"*k*",$N$2:$N$171,"*k*",$M$2:$M$171,"*t*",$N$2:$N$171,"*t*")</f>
        <v>3</v>
      </c>
      <c r="I267">
        <f>COUNTIFS($M$2:$M$171,"*p*",$N$2:$N$171,"&lt;&gt;*p*",$M$2:$M$171,"*k*",$N$2:$N$171,"&lt;&gt;*k*",$M$2:$M$171,"*t*",$N$2:$N$171,"*t*")</f>
        <v>3</v>
      </c>
    </row>
    <row r="268" spans="7:36">
      <c r="G268">
        <v>0</v>
      </c>
      <c r="H268">
        <f>COUNTIFS($M$2:$M$171,"*p*",$N$2:$N$171,"&lt;&gt;*p*",$M$2:$M$171,"*k*",$N$2:$N$171,"*k*",$M$2:$M$171,"*t*",$N$2:$N$171,"&lt;&gt;*t*")</f>
        <v>0</v>
      </c>
      <c r="I268">
        <f>COUNTIFS($M$2:$M$171,"*p*",$N$2:$N$171,"&lt;&gt;*p*",$M$2:$M$171,"*k*",$N$2:$N$171,"&lt;&gt;*k*",$M$2:$M$171,"*t*",$N$2:$N$171,"&lt;&gt;*t*")</f>
        <v>53</v>
      </c>
      <c r="W268">
        <f>_xlfn.BINOM.DIST(40,3200,0.037,TRUE)</f>
        <v>2.2189503576500246E-17</v>
      </c>
    </row>
    <row r="269" spans="7:36">
      <c r="G269" t="s">
        <v>454</v>
      </c>
      <c r="H269">
        <f>COUNTIFS($M$2:$M$171,"*p*",$N$2:$N$171,"*p*",$M$2:$M$171,"*k*",$N$2:$N$171,"*k*",$M$2:$M$171,"*t*",$N$2:$N$171,"&lt;&gt;*t*")</f>
        <v>2</v>
      </c>
      <c r="I269">
        <f>COUNTIFS($M$2:$M$171,"*p*",$N$2:$N$171,"*p*",$M$2:$M$171,"*k*",$N$2:$N$171,"&lt;&gt;*k*",$M$2:$M$171,"*t*",$N$2:$N$171,"&lt;&gt;*t*")</f>
        <v>1</v>
      </c>
      <c r="M269" t="s">
        <v>941</v>
      </c>
      <c r="N269" t="s">
        <v>944</v>
      </c>
      <c r="Q269">
        <f>SUM(M270:M271)/SUM(M270:N271)</f>
        <v>0.5714285714285714</v>
      </c>
      <c r="R269">
        <f>SUM(N270:N271)/SUM(M270:N271)</f>
        <v>0.42857142857142855</v>
      </c>
      <c r="AF269" t="s">
        <v>970</v>
      </c>
      <c r="AG269" t="s">
        <v>971</v>
      </c>
      <c r="AH269" t="s">
        <v>972</v>
      </c>
      <c r="AI269" t="s">
        <v>974</v>
      </c>
      <c r="AJ269" t="s">
        <v>975</v>
      </c>
    </row>
    <row r="270" spans="7:36">
      <c r="L270" t="s">
        <v>942</v>
      </c>
      <c r="M270">
        <f>COUNTIFS($M$2:$M$171,"*p*",$N$2:$N$171,"&lt;&gt;*p*",$M$2:$M$171,"*k*",$N$2:$N$171,"*k*")</f>
        <v>3</v>
      </c>
      <c r="N270">
        <f>COUNTIFS($M$2:$M$171,"*p*",$N$2:$N$171,"&lt;&gt;*p*",$M$2:$M$171,"*k*",$N$2:$N$171,"&lt;&gt;*k*")</f>
        <v>56</v>
      </c>
      <c r="O270">
        <f>SUM(M270:N270)</f>
        <v>59</v>
      </c>
      <c r="P270">
        <f>O270/SUM(O270:O271)</f>
        <v>0.38311688311688313</v>
      </c>
      <c r="Q270">
        <f>Q269*P270</f>
        <v>0.21892393320964748</v>
      </c>
      <c r="R270">
        <f>R269*P270</f>
        <v>0.16419294990723562</v>
      </c>
      <c r="T270">
        <f>M270/Q270/SUM(M270:N271)</f>
        <v>8.898305084745764E-2</v>
      </c>
      <c r="U270">
        <f>N270/R270/SUM(M270:N271)</f>
        <v>2.2146892655367227</v>
      </c>
      <c r="W270">
        <v>8.9999999999999993E-3</v>
      </c>
      <c r="X270">
        <v>0.01</v>
      </c>
      <c r="Y270">
        <v>1.0999999999999999E-2</v>
      </c>
      <c r="Z270">
        <v>1.2E-2</v>
      </c>
      <c r="AA270">
        <v>1.2999999999999999E-2</v>
      </c>
      <c r="AB270">
        <v>1.4E-2</v>
      </c>
      <c r="AC270">
        <v>1.4999999999999999E-2</v>
      </c>
      <c r="AD270">
        <v>1.6E-2</v>
      </c>
      <c r="AE270">
        <v>1.7000000000000001E-2</v>
      </c>
      <c r="AF270">
        <v>3.6999999999999998E-2</v>
      </c>
      <c r="AG270">
        <v>4.3499999999999997E-2</v>
      </c>
      <c r="AH270">
        <v>4.0000000000000001E-3</v>
      </c>
      <c r="AI270">
        <v>7.5999999999999998E-2</v>
      </c>
      <c r="AJ270">
        <f>1/6</f>
        <v>0.16666666666666666</v>
      </c>
    </row>
    <row r="271" spans="7:36">
      <c r="J271">
        <v>6</v>
      </c>
      <c r="L271" t="s">
        <v>943</v>
      </c>
      <c r="M271">
        <f>COUNTIFS($M$2:$M$171,"*p*",$N$2:$N$171,"*p*",$M$2:$M$171,"*k*",$N$2:$N$171,"*k*")</f>
        <v>85</v>
      </c>
      <c r="N271">
        <f>COUNTIFS($M$2:$M$171,"*p*",$N$2:$N$171,"*p*",$M$2:$M$171,"*k*",$N$2:$N$171,"&lt;&gt;*k*")</f>
        <v>10</v>
      </c>
      <c r="O271">
        <f>SUM(M271:N271)</f>
        <v>95</v>
      </c>
      <c r="P271">
        <f>O271/SUM(O270:O271)</f>
        <v>0.61688311688311692</v>
      </c>
      <c r="Q271">
        <f>Q269*P271</f>
        <v>0.35250463821892392</v>
      </c>
      <c r="R271">
        <f>R269*P271</f>
        <v>0.26437847866419295</v>
      </c>
      <c r="T271">
        <f>M271/Q271/SUM(M270:N271)</f>
        <v>1.5657894736842106</v>
      </c>
      <c r="U271">
        <f>N271/R271/SUM(M270:N271)</f>
        <v>0.24561403508771931</v>
      </c>
      <c r="V271" t="s">
        <v>973</v>
      </c>
      <c r="W271">
        <f>_xlfn.BINOM.DIST($U$274,$U$275,W270,TRUE)</f>
        <v>1</v>
      </c>
      <c r="X271">
        <f t="shared" ref="X271:AE271" si="0">_xlfn.BINOM.DIST($U$274,$U$275,X270,TRUE)</f>
        <v>1</v>
      </c>
      <c r="Y271">
        <f t="shared" si="0"/>
        <v>0.99999999999998579</v>
      </c>
      <c r="Z271">
        <f t="shared" si="0"/>
        <v>0.99999999999850653</v>
      </c>
      <c r="AA271">
        <f t="shared" si="0"/>
        <v>0.99999999991558575</v>
      </c>
      <c r="AB271">
        <f t="shared" si="0"/>
        <v>0.99999999718467025</v>
      </c>
      <c r="AC271">
        <f t="shared" si="0"/>
        <v>0.99999994037669815</v>
      </c>
      <c r="AD271">
        <f t="shared" si="0"/>
        <v>0.99999914915065213</v>
      </c>
      <c r="AE271">
        <f t="shared" si="0"/>
        <v>0.99999140965408517</v>
      </c>
      <c r="AF271">
        <f>_xlfn.BINOM.DIST($U$274,$U$275,AF270,TRUE)</f>
        <v>1.79378205992463E-3</v>
      </c>
      <c r="AG271">
        <f>_xlfn.BINOM.DIST($U$274,$U$275,AG270,TRUE)</f>
        <v>1.4091290897471069E-6</v>
      </c>
      <c r="AH271">
        <f>_xlfn.BINOM.DIST($U$274,$U$275,AH270,TRUE)</f>
        <v>1</v>
      </c>
      <c r="AI271">
        <f>_xlfn.BINOM.DIST($U$274,$U$275,AI270,TRUE)</f>
        <v>3.3486088868092955E-32</v>
      </c>
      <c r="AJ271">
        <f>_xlfn.BINOM.DIST($U$274,$U$275,AJ270,TRUE)</f>
        <v>6.8748715424413784E-142</v>
      </c>
    </row>
    <row r="272" spans="7:36">
      <c r="I272">
        <f>_xlfn.BINOM.DIST(J271,J272,0.5,TRUE)</f>
        <v>0.11894226074218753</v>
      </c>
      <c r="J272">
        <v>18</v>
      </c>
      <c r="L272">
        <f>_xlfn.BINOM.DIST(M270,SUM(N271,M270),0.5,TRUE)</f>
        <v>4.6142578125000014E-2</v>
      </c>
      <c r="V272" t="s">
        <v>968</v>
      </c>
      <c r="W272">
        <f t="shared" ref="W272:AE272" si="1">1-_xlfn.BINOM.DIST(25,25,1-W271,FALSE)</f>
        <v>1</v>
      </c>
      <c r="X272">
        <f t="shared" si="1"/>
        <v>1</v>
      </c>
      <c r="Y272">
        <f t="shared" si="1"/>
        <v>1</v>
      </c>
      <c r="Z272">
        <f t="shared" si="1"/>
        <v>1</v>
      </c>
      <c r="AA272">
        <f t="shared" si="1"/>
        <v>1</v>
      </c>
      <c r="AB272">
        <f t="shared" si="1"/>
        <v>1</v>
      </c>
      <c r="AC272">
        <f t="shared" si="1"/>
        <v>1</v>
      </c>
      <c r="AD272">
        <f t="shared" si="1"/>
        <v>1</v>
      </c>
      <c r="AE272">
        <f t="shared" si="1"/>
        <v>1</v>
      </c>
      <c r="AF272">
        <f>1-_xlfn.BINOM.DIST(25,25,1-AF271,FALSE)</f>
        <v>4.3892400357553263E-2</v>
      </c>
      <c r="AG272">
        <f>1-_xlfn.BINOM.DIST(25,25,1-AG271,FALSE)</f>
        <v>3.522763155661135E-5</v>
      </c>
      <c r="AH272">
        <f>1-_xlfn.BINOM.DIST(25,25,1-AH271,FALSE)</f>
        <v>1</v>
      </c>
      <c r="AI272">
        <f>1-_xlfn.BINOM.DIST(25,25,1-AI271,FALSE)</f>
        <v>0</v>
      </c>
      <c r="AJ272">
        <f>1-_xlfn.BINOM.DIST(25,25,1-AJ271,FALSE)</f>
        <v>0</v>
      </c>
    </row>
    <row r="273" spans="7:39">
      <c r="G273">
        <v>5</v>
      </c>
      <c r="H273">
        <f>G273/3</f>
        <v>1.6666666666666667</v>
      </c>
      <c r="M273">
        <f>COUNTIFS($M$2:$M$171,"*p*",$N$2:$N$171,"&lt;&gt;*p*",$M$2:$M$171,"*t*",$N$2:$N$171,"*t*")</f>
        <v>6</v>
      </c>
      <c r="N273">
        <f>COUNTIFS($M$2:$M$171,"*p*",$N$2:$N$171,"&lt;&gt;*p*",$M$2:$M$171,"*t*",$N$2:$N$171,"&lt;&gt;*t*")</f>
        <v>53</v>
      </c>
      <c r="T273">
        <f>64/720</f>
        <v>8.8888888888888892E-2</v>
      </c>
      <c r="V273" t="s">
        <v>976</v>
      </c>
      <c r="W273">
        <f>IFERROR(_xlfn.BINOM.INV(100,(1-W272),0.9),IF(W272&gt;0.5,0,100))</f>
        <v>0</v>
      </c>
      <c r="X273">
        <f t="shared" ref="X273:AG273" si="2">IFERROR(_xlfn.BINOM.INV(100,(1-X272),0.9),IF(X272&gt;0.5,0,100))</f>
        <v>0</v>
      </c>
      <c r="Y273">
        <f t="shared" si="2"/>
        <v>0</v>
      </c>
      <c r="Z273">
        <f t="shared" si="2"/>
        <v>0</v>
      </c>
      <c r="AA273">
        <f t="shared" si="2"/>
        <v>0</v>
      </c>
      <c r="AB273">
        <f t="shared" si="2"/>
        <v>0</v>
      </c>
      <c r="AC273">
        <f t="shared" si="2"/>
        <v>0</v>
      </c>
      <c r="AD273">
        <f t="shared" si="2"/>
        <v>0</v>
      </c>
      <c r="AE273">
        <f t="shared" si="2"/>
        <v>0</v>
      </c>
      <c r="AF273">
        <f t="shared" si="2"/>
        <v>98</v>
      </c>
      <c r="AG273">
        <f t="shared" si="2"/>
        <v>100</v>
      </c>
      <c r="AH273">
        <f>IFERROR(_xlfn.BINOM.INV(100,(1-AH272),0.9),IF(AH272&gt;0.5,0,100))</f>
        <v>0</v>
      </c>
      <c r="AI273">
        <f>IFERROR(_xlfn.BINOM.INV(100,(1-AI272),0.9),IF(AI272&gt;0.5,0,100))</f>
        <v>100</v>
      </c>
      <c r="AJ273">
        <f>IFERROR(_xlfn.BINOM.INV(100,(1-AJ272),0.9),IF(AJ272&gt;0.5,0,100))</f>
        <v>100</v>
      </c>
      <c r="AK273">
        <f ca="1">IFERROR(BinNOM.dist(100,(1-AK272),0.95),IF(AK272&gt;0.5,0,100))</f>
        <v>100</v>
      </c>
      <c r="AL273">
        <f ca="1">IFERROR(BinNOM.dist(100,(1-AL272),0.95),IF(AL272&gt;0.5,0,100))</f>
        <v>100</v>
      </c>
      <c r="AM273">
        <f ca="1">IFERROR(BinNOM.dist(100,(1-AM272),0.95),IF(AM272&gt;0.5,0,100))</f>
        <v>100</v>
      </c>
    </row>
    <row r="274" spans="7:39">
      <c r="G274">
        <v>3</v>
      </c>
      <c r="H274">
        <f>G274/3</f>
        <v>1</v>
      </c>
      <c r="M274">
        <f>COUNTIFS($M$2:$M$171,"*p*",$N$2:$N$171,"*p*",$M$2:$M$171,"*t*",$N$2:$N$171,"*t*")</f>
        <v>92</v>
      </c>
      <c r="N274">
        <f>COUNTIFS($M$2:$M$171,"*p*",$N$2:$N$171,"*p*",$M$2:$M$171,"*t*",$N$2:$N$171,"&lt;&gt;*t*")</f>
        <v>3</v>
      </c>
      <c r="T274">
        <v>50</v>
      </c>
      <c r="U274">
        <f>T274*T273/T276</f>
        <v>88.888888888888886</v>
      </c>
    </row>
    <row r="275" spans="7:39">
      <c r="G275">
        <v>1</v>
      </c>
      <c r="H275">
        <f>G275/3</f>
        <v>0.33333333333333331</v>
      </c>
      <c r="L275">
        <f>_xlfn.BINOM.DIST(N274,SUM(N274,M273),0.5,TRUE)</f>
        <v>0.25390625</v>
      </c>
      <c r="T275" s="4" t="s">
        <v>969</v>
      </c>
      <c r="U275">
        <v>3200</v>
      </c>
    </row>
    <row r="276" spans="7:39">
      <c r="M276">
        <f>COUNTIFS($M$2:$M$171,"*t*",$N$2:$N$171,"&lt;&gt;*t*",$M$2:$M$171,"*k*",$N$2:$N$171,"*k*")</f>
        <v>2</v>
      </c>
      <c r="N276">
        <f>COUNTIFS($M$2:$M$171,"*t*",$N$2:$N$171,"&lt;&gt;*t*",$M$2:$M$171,"*k*",$N$2:$N$171,"&lt;&gt;*k*")</f>
        <v>61</v>
      </c>
      <c r="T276">
        <v>0.05</v>
      </c>
    </row>
    <row r="277" spans="7:39">
      <c r="M277">
        <f>COUNTIFS($M$2:$M$171,"*t*",$N$2:$N$171,"*t*",$M$2:$M$171,"*k*",$N$2:$N$171,"*k*")</f>
        <v>95</v>
      </c>
      <c r="N277">
        <f>COUNTIFS($M$2:$M$171,"*t*",$N$2:$N$171,"*t*",$M$2:$M$171,"*k*",$N$2:$N$171,"&lt;&gt;*k*")</f>
        <v>12</v>
      </c>
      <c r="P277" t="s">
        <v>947</v>
      </c>
      <c r="Q277" t="s">
        <v>948</v>
      </c>
    </row>
    <row r="278" spans="7:39">
      <c r="L278">
        <f>_xlfn.BINOM.DIST(M276,SUM(N277,M276),0.5,TRUE)</f>
        <v>6.4697265625E-3</v>
      </c>
      <c r="O278" t="s">
        <v>946</v>
      </c>
      <c r="P278">
        <v>43</v>
      </c>
      <c r="Q278">
        <v>43</v>
      </c>
      <c r="S278">
        <f>_xlfn.CHISQ.TEST(Q278:Q281,P278:P281)</f>
        <v>8.2427941875203966E-7</v>
      </c>
      <c r="U278">
        <f t="shared" ref="U278:V281" si="3">SUM($P278:$Q278)*SUM(P$278:P$281)/SUM($P$278:$Q$281)</f>
        <v>53.985401459854018</v>
      </c>
      <c r="V278">
        <f t="shared" si="3"/>
        <v>32.014598540145982</v>
      </c>
      <c r="X278">
        <f>_xlfn.CHISQ.TEST(P278:Q281,U278:V281)</f>
        <v>5.7764068144963723E-5</v>
      </c>
    </row>
    <row r="279" spans="7:39">
      <c r="O279" t="s">
        <v>359</v>
      </c>
      <c r="P279">
        <v>27</v>
      </c>
      <c r="Q279">
        <v>0</v>
      </c>
      <c r="U279">
        <f t="shared" si="3"/>
        <v>16.948905109489051</v>
      </c>
      <c r="V279">
        <f t="shared" si="3"/>
        <v>10.051094890510949</v>
      </c>
      <c r="X279" s="3">
        <f>_xlfn.BINOM.DIST(0,3,0.8,TRUE)</f>
        <v>7.9999999999999967E-3</v>
      </c>
    </row>
    <row r="280" spans="7:39">
      <c r="O280" t="s">
        <v>949</v>
      </c>
      <c r="P280">
        <v>7</v>
      </c>
      <c r="Q280">
        <v>3</v>
      </c>
      <c r="U280">
        <f t="shared" si="3"/>
        <v>6.2773722627737225</v>
      </c>
      <c r="V280">
        <f t="shared" si="3"/>
        <v>3.7226277372262775</v>
      </c>
      <c r="X280">
        <f>_xlfn.BINOM.INV(27,0.5,0.05)</f>
        <v>9</v>
      </c>
      <c r="Y280">
        <f>_xlfn.BINOM.INV(12,0.5,0.05)</f>
        <v>3</v>
      </c>
    </row>
    <row r="281" spans="7:39">
      <c r="O281" t="s">
        <v>950</v>
      </c>
      <c r="P281">
        <v>9</v>
      </c>
      <c r="Q281">
        <v>5</v>
      </c>
      <c r="U281">
        <f t="shared" si="3"/>
        <v>8.7883211678832112</v>
      </c>
      <c r="V281">
        <f t="shared" si="3"/>
        <v>5.211678832116788</v>
      </c>
    </row>
    <row r="285" spans="7:39">
      <c r="P285" t="s">
        <v>947</v>
      </c>
      <c r="Q285" t="s">
        <v>948</v>
      </c>
      <c r="S285" t="e">
        <f>CHI</f>
        <v>#NAME?</v>
      </c>
    </row>
    <row r="286" spans="7:39">
      <c r="O286" t="s">
        <v>951</v>
      </c>
      <c r="P286">
        <v>27</v>
      </c>
      <c r="Q286">
        <v>0</v>
      </c>
      <c r="S286">
        <f>_xlfn.CHISQ.TEST(P286:Q287,P289:Q290)</f>
        <v>1.0862732469343872E-3</v>
      </c>
    </row>
    <row r="287" spans="7:39">
      <c r="O287" t="s">
        <v>952</v>
      </c>
      <c r="P287">
        <v>16</v>
      </c>
      <c r="Q287">
        <v>8</v>
      </c>
    </row>
    <row r="288" spans="7:39">
      <c r="W288">
        <f>_xlfn.BINOM.INV(8,16/SUM(27,7,9),0.99)</f>
        <v>6</v>
      </c>
      <c r="X288">
        <f>_xlfn.BINOM.DIST(0,8,27/43,TRUE)</f>
        <v>3.6746181567668507E-4</v>
      </c>
    </row>
    <row r="289" spans="16:17">
      <c r="P289">
        <f>SUM(P$286:P$287)/SUM($P$286:$Q$287)*SUM($P286:$Q286)</f>
        <v>22.764705882352942</v>
      </c>
      <c r="Q289">
        <f>SUM(Q$286:Q$287)/SUM($P$286:$Q$287)*SUM($P286:$Q286)</f>
        <v>4.2352941176470589</v>
      </c>
    </row>
    <row r="290" spans="16:17">
      <c r="P290">
        <f>SUM(P$286:P$287)/SUM($P$286:$Q$287)*SUM($P287:$Q287)</f>
        <v>20.235294117647058</v>
      </c>
      <c r="Q290">
        <f>SUM(Q$286:Q$287)/SUM($P$286:$Q$287)*SUM($P287:$Q287)</f>
        <v>3.7647058823529411</v>
      </c>
    </row>
  </sheetData>
  <conditionalFormatting sqref="S1:S17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expression" dxfId="7" priority="8">
      <formula>M1="p t k"</formula>
    </cfRule>
  </conditionalFormatting>
  <conditionalFormatting sqref="M1:M272 N270:N271 M278:M1048576 M275">
    <cfRule type="expression" dxfId="6" priority="7">
      <formula>AND(M1="p t tʃ k",TRUE)</formula>
    </cfRule>
  </conditionalFormatting>
  <conditionalFormatting sqref="B1:B1048576">
    <cfRule type="expression" dxfId="5" priority="4">
      <formula>N1="p t"</formula>
    </cfRule>
    <cfRule type="expression" dxfId="4" priority="5">
      <formula>N1=""</formula>
    </cfRule>
    <cfRule type="expression" dxfId="3" priority="6">
      <formula>N1="p t k"</formula>
    </cfRule>
  </conditionalFormatting>
  <conditionalFormatting sqref="N265">
    <cfRule type="expression" dxfId="2" priority="3">
      <formula>AND(N265="p t tʃ k",TRUE)</formula>
    </cfRule>
  </conditionalFormatting>
  <conditionalFormatting sqref="M276:N277">
    <cfRule type="expression" dxfId="1" priority="2">
      <formula>AND(M276="p t tʃ k",TRUE)</formula>
    </cfRule>
  </conditionalFormatting>
  <conditionalFormatting sqref="M273:N274">
    <cfRule type="expression" dxfId="0" priority="1">
      <formula>AND(M273="p t tʃ k",TRUE)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2017-12-06T04:19:40Z</dcterms:created>
  <dcterms:modified xsi:type="dcterms:W3CDTF">2021-01-31T21:32:07Z</dcterms:modified>
</cp:coreProperties>
</file>