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0" codeName="{52B413DB-416B-A148-0A32-6202AF4EA34E}"/>
  <workbookPr codeName="ThisWorkbook"/>
  <xr:revisionPtr revIDLastSave="0" documentId="13_ncr:1_{E36A6B86-1407-ED4B-8E26-CB6DBB51DEE5}" xr6:coauthVersionLast="47" xr6:coauthVersionMax="47" xr10:uidLastSave="{00000000-0000-0000-0000-000000000000}"/>
  <bookViews>
    <workbookView xWindow="0" yWindow="0" windowWidth="38400" windowHeight="19820" activeTab="1" xr2:uid="{00000000-000D-0000-FFFF-FFFF00000000}"/>
  </bookViews>
  <sheets>
    <sheet name="Cover" sheetId="5" r:id="rId1"/>
    <sheet name="Overview" sheetId="1" r:id="rId2"/>
    <sheet name="Invoices" sheetId="2" r:id="rId3"/>
    <sheet name="Payments" sheetId="3" r:id="rId4"/>
    <sheet name="Entry" sheetId="4" r:id="rId5"/>
  </sheets>
  <functionGroups builtInGroupCount="19"/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3" l="1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9" i="3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9" i="2"/>
  <c r="H33" i="2" l="1"/>
  <c r="H32" i="2"/>
  <c r="H31" i="2"/>
  <c r="H30" i="2"/>
  <c r="H29" i="2"/>
  <c r="H28" i="2"/>
  <c r="H25" i="2"/>
  <c r="H23" i="2"/>
  <c r="H22" i="2"/>
  <c r="H19" i="2"/>
  <c r="H15" i="2"/>
  <c r="H12" i="2"/>
  <c r="H17" i="2"/>
  <c r="H21" i="2"/>
  <c r="H20" i="2"/>
  <c r="H13" i="2"/>
  <c r="H24" i="2"/>
  <c r="H18" i="2"/>
  <c r="H14" i="2"/>
  <c r="H26" i="2"/>
  <c r="H11" i="2"/>
  <c r="H10" i="2"/>
  <c r="H16" i="2"/>
  <c r="H27" i="2"/>
  <c r="H9" i="2"/>
  <c r="B16" i="1"/>
  <c r="B15" i="1"/>
  <c r="B18" i="1"/>
  <c r="B17" i="1"/>
  <c r="B14" i="1"/>
  <c r="B13" i="1"/>
  <c r="A7" i="1"/>
  <c r="K9" i="1"/>
  <c r="I33" i="2" l="1"/>
  <c r="K33" i="2" s="1"/>
  <c r="J33" i="2"/>
  <c r="I32" i="2"/>
  <c r="K32" i="2" s="1"/>
  <c r="J32" i="2"/>
  <c r="L32" i="2" s="1"/>
  <c r="J31" i="2"/>
  <c r="I31" i="2"/>
  <c r="K31" i="2" s="1"/>
  <c r="J30" i="2"/>
  <c r="I30" i="2"/>
  <c r="I29" i="2"/>
  <c r="K29" i="2" s="1"/>
  <c r="J29" i="2"/>
  <c r="L29" i="2" s="1"/>
  <c r="I28" i="2"/>
  <c r="K28" i="2" s="1"/>
  <c r="J28" i="2"/>
  <c r="I25" i="2"/>
  <c r="K25" i="2" s="1"/>
  <c r="J25" i="2"/>
  <c r="I23" i="2"/>
  <c r="K23" i="2" s="1"/>
  <c r="J23" i="2"/>
  <c r="L23" i="2" s="1"/>
  <c r="I22" i="2"/>
  <c r="K22" i="2" s="1"/>
  <c r="J22" i="2"/>
  <c r="I19" i="2"/>
  <c r="K19" i="2" s="1"/>
  <c r="J19" i="2"/>
  <c r="L19" i="2" s="1"/>
  <c r="I15" i="2"/>
  <c r="K15" i="2" s="1"/>
  <c r="J15" i="2"/>
  <c r="L15" i="2" s="1"/>
  <c r="I12" i="2"/>
  <c r="K12" i="2" s="1"/>
  <c r="J12" i="2"/>
  <c r="L12" i="2" s="1"/>
  <c r="I17" i="2"/>
  <c r="K17" i="2" s="1"/>
  <c r="J17" i="2"/>
  <c r="L17" i="2" s="1"/>
  <c r="I21" i="2"/>
  <c r="K21" i="2" s="1"/>
  <c r="J21" i="2"/>
  <c r="J20" i="2"/>
  <c r="I20" i="2"/>
  <c r="K20" i="2" s="1"/>
  <c r="I13" i="2"/>
  <c r="K13" i="2" s="1"/>
  <c r="J13" i="2"/>
  <c r="J24" i="2"/>
  <c r="I24" i="2"/>
  <c r="K24" i="2" s="1"/>
  <c r="I18" i="2"/>
  <c r="K18" i="2" s="1"/>
  <c r="J18" i="2"/>
  <c r="I14" i="2"/>
  <c r="K14" i="2" s="1"/>
  <c r="J14" i="2"/>
  <c r="L14" i="2" s="1"/>
  <c r="I26" i="2"/>
  <c r="K26" i="2" s="1"/>
  <c r="J26" i="2"/>
  <c r="L26" i="2" s="1"/>
  <c r="I11" i="2"/>
  <c r="K11" i="2" s="1"/>
  <c r="J11" i="2"/>
  <c r="L11" i="2" s="1"/>
  <c r="I10" i="2"/>
  <c r="K10" i="2" s="1"/>
  <c r="J10" i="2"/>
  <c r="I16" i="2"/>
  <c r="K16" i="2" s="1"/>
  <c r="J16" i="2"/>
  <c r="I27" i="2"/>
  <c r="K27" i="2" s="1"/>
  <c r="J27" i="2"/>
  <c r="L27" i="2" s="1"/>
  <c r="I9" i="2"/>
  <c r="K9" i="2" s="1"/>
  <c r="J9" i="2"/>
  <c r="C18" i="1"/>
  <c r="C14" i="1"/>
  <c r="C17" i="1"/>
  <c r="C16" i="1"/>
  <c r="C15" i="1"/>
  <c r="D7" i="1"/>
  <c r="C13" i="1"/>
  <c r="B19" i="1"/>
  <c r="L33" i="2" l="1"/>
  <c r="L31" i="2"/>
  <c r="L28" i="2"/>
  <c r="L22" i="2"/>
  <c r="L25" i="2"/>
  <c r="L21" i="2"/>
  <c r="L20" i="2"/>
  <c r="L10" i="2"/>
  <c r="L24" i="2"/>
  <c r="L18" i="2"/>
  <c r="K30" i="2"/>
  <c r="L30" i="2" s="1"/>
  <c r="L9" i="2"/>
  <c r="L13" i="2"/>
  <c r="L16" i="2"/>
  <c r="D18" i="1"/>
  <c r="F18" i="1"/>
  <c r="E14" i="1"/>
  <c r="D14" i="1"/>
  <c r="F14" i="1"/>
  <c r="E17" i="1"/>
  <c r="D17" i="1"/>
  <c r="F17" i="1"/>
  <c r="D16" i="1"/>
  <c r="F16" i="1"/>
  <c r="D15" i="1"/>
  <c r="F15" i="1"/>
  <c r="B9" i="1"/>
  <c r="H7" i="1"/>
  <c r="D13" i="1"/>
  <c r="F13" i="1"/>
  <c r="E9" i="1"/>
  <c r="C19" i="1"/>
  <c r="E16" i="1" l="1"/>
  <c r="E18" i="1"/>
  <c r="B24" i="1"/>
  <c r="E13" i="1"/>
  <c r="B26" i="1"/>
  <c r="B28" i="1"/>
  <c r="K7" i="1"/>
  <c r="B25" i="1"/>
  <c r="B27" i="1"/>
  <c r="D19" i="1"/>
  <c r="F19" i="1"/>
  <c r="E15" i="1"/>
  <c r="C24" i="1"/>
  <c r="C25" i="1"/>
  <c r="C27" i="1"/>
  <c r="C26" i="1"/>
  <c r="C28" i="1"/>
  <c r="E19" i="1" l="1"/>
  <c r="B29" i="1"/>
  <c r="C29" i="1"/>
</calcChain>
</file>

<file path=xl/sharedStrings.xml><?xml version="1.0" encoding="utf-8"?>
<sst xmlns="http://schemas.openxmlformats.org/spreadsheetml/2006/main" count="321" uniqueCount="183">
  <si>
    <t>Invoice and payment overview</t>
  </si>
  <si>
    <t>Fictional sample data. Amounts in USD.</t>
  </si>
  <si>
    <t>Change the reporting date to update balances and ageing.</t>
  </si>
  <si>
    <t>As of</t>
  </si>
  <si>
    <t>Invoiced</t>
  </si>
  <si>
    <t>Received</t>
  </si>
  <si>
    <t>Outstanding</t>
  </si>
  <si>
    <t>Past due</t>
  </si>
  <si>
    <t>Open invoices</t>
  </si>
  <si>
    <t>Overpayments</t>
  </si>
  <si>
    <t>Entries to review</t>
  </si>
  <si>
    <t>Customer balances</t>
  </si>
  <si>
    <t>Customer</t>
  </si>
  <si>
    <t>Alder Office Co.</t>
  </si>
  <si>
    <t>Brookfield Services</t>
  </si>
  <si>
    <t>Cedarstone Retail</t>
  </si>
  <si>
    <t>Harborview Supply</t>
  </si>
  <si>
    <t>Juniper Studio</t>
  </si>
  <si>
    <t>Willow Works</t>
  </si>
  <si>
    <t>Total</t>
  </si>
  <si>
    <t>Receivables ageing</t>
  </si>
  <si>
    <t>Age past due</t>
  </si>
  <si>
    <t>Balance</t>
  </si>
  <si>
    <t>Invoices</t>
  </si>
  <si>
    <t>Not yet overdue</t>
  </si>
  <si>
    <t>1–30 days</t>
  </si>
  <si>
    <t>31–60 days</t>
  </si>
  <si>
    <t>61–90 days</t>
  </si>
  <si>
    <t>91+ days</t>
  </si>
  <si>
    <t>Use the buttons above to enter invoices, record payments, refresh, or view overdue items.</t>
  </si>
  <si>
    <t>VBA portfolio demonstration • Fictional data • Reporting date controls all balances.</t>
  </si>
  <si>
    <t>Invoice register</t>
  </si>
  <si>
    <t>Fictional sample data. Amounts include any applicable tax. USD.</t>
  </si>
  <si>
    <t>Blue text = editable inputs. Shaded columns calculate automatically.</t>
  </si>
  <si>
    <t>Enter each invoice once. Log each receipt in Payments using the matching invoice ID.</t>
  </si>
  <si>
    <t>Use New Invoice for validated entry and automatic IDs. Refresh restores calculated columns.</t>
  </si>
  <si>
    <t>Invoice ID</t>
  </si>
  <si>
    <t>Order / PO</t>
  </si>
  <si>
    <t>Description</t>
  </si>
  <si>
    <t>Issued</t>
  </si>
  <si>
    <t>Due</t>
  </si>
  <si>
    <t>Invoice amount</t>
  </si>
  <si>
    <t>Overpayment</t>
  </si>
  <si>
    <t>Days late</t>
  </si>
  <si>
    <t>Status</t>
  </si>
  <si>
    <t>Owner</t>
  </si>
  <si>
    <t>Follow-up</t>
  </si>
  <si>
    <t>Collection notes</t>
  </si>
  <si>
    <t>Entry check</t>
  </si>
  <si>
    <t>INV-2026-001</t>
  </si>
  <si>
    <t>PO-4101</t>
  </si>
  <si>
    <t>Quarterly office support</t>
  </si>
  <si>
    <t>Alex Morgan</t>
  </si>
  <si>
    <t>Confirm payment date</t>
  </si>
  <si>
    <t>INV-2026-002</t>
  </si>
  <si>
    <t>PO-4102</t>
  </si>
  <si>
    <t>Equipment maintenance</t>
  </si>
  <si>
    <t>Jordan Lee</t>
  </si>
  <si>
    <t>INV-2026-003</t>
  </si>
  <si>
    <t>PO-4103</t>
  </si>
  <si>
    <t>Workspace installation</t>
  </si>
  <si>
    <t>Taylor Reed</t>
  </si>
  <si>
    <t>INV-2026-004</t>
  </si>
  <si>
    <t>PO-4104</t>
  </si>
  <si>
    <t>Monthly service plan</t>
  </si>
  <si>
    <t>INV-2026-005</t>
  </si>
  <si>
    <t>PO-4105</t>
  </si>
  <si>
    <t>Staff training session</t>
  </si>
  <si>
    <t>INV-2026-006</t>
  </si>
  <si>
    <t>PO-4106</t>
  </si>
  <si>
    <t>Equipment order</t>
  </si>
  <si>
    <t>INV-2026-007</t>
  </si>
  <si>
    <t>PO-4107</t>
  </si>
  <si>
    <t>Document services</t>
  </si>
  <si>
    <t>INV-2026-008</t>
  </si>
  <si>
    <t>PO-4108</t>
  </si>
  <si>
    <t>Office relocation support</t>
  </si>
  <si>
    <t>INV-2026-009</t>
  </si>
  <si>
    <t>PO-4109</t>
  </si>
  <si>
    <t>INV-2026-010</t>
  </si>
  <si>
    <t>PO-4110</t>
  </si>
  <si>
    <t>Technology support</t>
  </si>
  <si>
    <t>INV-2026-011</t>
  </si>
  <si>
    <t>PO-4111</t>
  </si>
  <si>
    <t>Supply replenishment</t>
  </si>
  <si>
    <t>INV-2026-012</t>
  </si>
  <si>
    <t>PO-4112</t>
  </si>
  <si>
    <t>INV-2026-013</t>
  </si>
  <si>
    <t>PO-4113</t>
  </si>
  <si>
    <t>INV-2026-014</t>
  </si>
  <si>
    <t>PO-4114</t>
  </si>
  <si>
    <t>INV-2026-015</t>
  </si>
  <si>
    <t>PO-4115</t>
  </si>
  <si>
    <t>INV-2026-016</t>
  </si>
  <si>
    <t>PO-4116</t>
  </si>
  <si>
    <t>INV-2026-017</t>
  </si>
  <si>
    <t>PO-4117</t>
  </si>
  <si>
    <t>INV-2026-018</t>
  </si>
  <si>
    <t>PO-4118</t>
  </si>
  <si>
    <t>Confirm credit or refund</t>
  </si>
  <si>
    <t>INV-2026-019</t>
  </si>
  <si>
    <t>PO-4119</t>
  </si>
  <si>
    <t>INV-2026-020</t>
  </si>
  <si>
    <t>PO-4120</t>
  </si>
  <si>
    <t>INV-2026-021</t>
  </si>
  <si>
    <t>PO-4121</t>
  </si>
  <si>
    <t>INV-2026-022</t>
  </si>
  <si>
    <t>PO-4122</t>
  </si>
  <si>
    <t>INV-2026-023</t>
  </si>
  <si>
    <t>PO-4123</t>
  </si>
  <si>
    <t>INV-2026-024</t>
  </si>
  <si>
    <t>PO-4124</t>
  </si>
  <si>
    <t>Payment log</t>
  </si>
  <si>
    <t>Fictional sample data. One row per payment applied to one invoice. USD.</t>
  </si>
  <si>
    <t>Blue text = editable inputs. Customer and entry check calculate automatically.</t>
  </si>
  <si>
    <t>Split payments across invoice IDs when one receipt covers multiple invoices. Use a unique payment ID per row.</t>
  </si>
  <si>
    <t>Use Record Payment for validated entry. Receipts after the reporting date are excluded.</t>
  </si>
  <si>
    <t>Payment ID</t>
  </si>
  <si>
    <t>Received on</t>
  </si>
  <si>
    <t>Method</t>
  </si>
  <si>
    <t>Amount</t>
  </si>
  <si>
    <t>Receipt reference</t>
  </si>
  <si>
    <t>Recorded by</t>
  </si>
  <si>
    <t>Notes</t>
  </si>
  <si>
    <t>PAY-001</t>
  </si>
  <si>
    <t>ACH</t>
  </si>
  <si>
    <t>RCPT-7101</t>
  </si>
  <si>
    <t>PAY-002</t>
  </si>
  <si>
    <t>Check</t>
  </si>
  <si>
    <t>RCPT-7102</t>
  </si>
  <si>
    <t>PAY-003</t>
  </si>
  <si>
    <t>RCPT-7103</t>
  </si>
  <si>
    <t>PAY-004</t>
  </si>
  <si>
    <t>Bank transfer</t>
  </si>
  <si>
    <t>RCPT-7104</t>
  </si>
  <si>
    <t>PAY-005</t>
  </si>
  <si>
    <t>Card</t>
  </si>
  <si>
    <t>RCPT-7105</t>
  </si>
  <si>
    <t>PAY-006</t>
  </si>
  <si>
    <t>RCPT-7106</t>
  </si>
  <si>
    <t>PAY-007</t>
  </si>
  <si>
    <t>RCPT-7107</t>
  </si>
  <si>
    <t>PAY-008</t>
  </si>
  <si>
    <t>RCPT-7108</t>
  </si>
  <si>
    <t>PAY-009</t>
  </si>
  <si>
    <t>RCPT-7109</t>
  </si>
  <si>
    <t>PAY-010</t>
  </si>
  <si>
    <t>RCPT-7110</t>
  </si>
  <si>
    <t>PAY-011</t>
  </si>
  <si>
    <t>RCPT-7111</t>
  </si>
  <si>
    <t>PAY-012</t>
  </si>
  <si>
    <t>RCPT-7112</t>
  </si>
  <si>
    <t>PAY-013</t>
  </si>
  <si>
    <t>RCPT-7113</t>
  </si>
  <si>
    <t>PAY-014</t>
  </si>
  <si>
    <t>RCPT-7114</t>
  </si>
  <si>
    <t>Includes $50 overpayment</t>
  </si>
  <si>
    <t>PAY-015</t>
  </si>
  <si>
    <t>RCPT-7115</t>
  </si>
  <si>
    <t>Invoice and payment entry</t>
  </si>
  <si>
    <t>Complete one form, then click its save button. Required fields are marked *.</t>
  </si>
  <si>
    <t>The forms create unique IDs, validate inputs, and update the dashboard. Amounts in USD.</t>
  </si>
  <si>
    <t>NEW INVOICE</t>
  </si>
  <si>
    <t>RECORD PAYMENT</t>
  </si>
  <si>
    <t>Assigned automatically on save</t>
  </si>
  <si>
    <t>Customer *</t>
  </si>
  <si>
    <t>Invoice ID *</t>
  </si>
  <si>
    <t>Received date *</t>
  </si>
  <si>
    <t>Description *</t>
  </si>
  <si>
    <t>Method *</t>
  </si>
  <si>
    <t>Issued date *</t>
  </si>
  <si>
    <t>Amount *</t>
  </si>
  <si>
    <t>Due date *</t>
  </si>
  <si>
    <t>Receipt reference *</t>
  </si>
  <si>
    <t>Recorded by *</t>
  </si>
  <si>
    <t>Owner *</t>
  </si>
  <si>
    <t>Follow-up date</t>
  </si>
  <si>
    <t>Customer and owner lists use fictional demo records. Invoice and payment registers remain editable.</t>
  </si>
  <si>
    <t>Workspace Maintenance</t>
  </si>
  <si>
    <t>INV-2026-025</t>
  </si>
  <si>
    <t/>
  </si>
  <si>
    <t>Saved INV-2026-025. Invoice register and dashboard updated.</t>
  </si>
  <si>
    <t>PO-7114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</si>
</sst>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.00;\(\$#,##0.00\);&quot;—&quot;"/>
    <numFmt numFmtId="165" formatCode="mmm\ d\,\ yyyy"/>
    <numFmt numFmtId="166" formatCode="\$#,##0;\(\$#,##0\);&quot;—&quot;"/>
    <numFmt numFmtId="167" formatCode="&quot;$&quot;#,##0.00;\(&quot;$&quot;#,##0.00\);0.00"/>
  </numFmts>
  <fonts count="11">
    <font>
      <sz val="11"/>
      <name val="Carlito"/>
    </font>
    <font>
      <sz val="10"/>
      <color rgb="FF223244"/>
      <name val="Arial"/>
      <family val="2"/>
    </font>
    <font>
      <b/>
      <sz val="16"/>
      <color rgb="FF23384D"/>
      <name val="Arial"/>
      <family val="2"/>
    </font>
    <font>
      <sz val="10"/>
      <color rgb="FF647487"/>
      <name val="Arial"/>
      <family val="2"/>
    </font>
    <font>
      <sz val="10"/>
      <color rgb="FF175EA8"/>
      <name val="Arial"/>
      <family val="2"/>
    </font>
    <font>
      <sz val="10"/>
      <color rgb="FF24704A"/>
      <name val="Arial"/>
      <family val="2"/>
    </font>
    <font>
      <b/>
      <sz val="10"/>
      <color rgb="FFFFFFFF"/>
      <name val="Arial"/>
      <family val="2"/>
    </font>
    <font>
      <i/>
      <sz val="10"/>
      <color rgb="FF647487"/>
      <name val="Arial"/>
      <family val="2"/>
    </font>
    <font>
      <b/>
      <sz val="10"/>
      <color rgb="FF223244"/>
      <name val="Arial"/>
      <family val="2"/>
    </font>
    <font>
      <b/>
      <sz val="18"/>
      <color rgb="FF23384D"/>
      <name val="Arial"/>
      <family val="2"/>
    </font>
    <font>
      <b/>
      <sz val="11"/>
      <color rgb="FFFFFF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EDF3F7"/>
      </patternFill>
    </fill>
    <fill>
      <patternFill patternType="solid">
        <fgColor rgb="FF23384D"/>
      </patternFill>
    </fill>
    <fill>
      <patternFill patternType="solid">
        <fgColor rgb="FFFFF3D5"/>
      </patternFill>
    </fill>
    <fill>
      <patternFill patternType="solid">
        <fgColor rgb="FFF1F5F9"/>
      </patternFill>
    </fill>
    <fill>
      <patternFill patternType="solid">
        <fgColor rgb="FF23384D"/>
      </patternFill>
    </fill>
    <fill>
      <patternFill patternType="solid">
        <fgColor rgb="FFEDF3F7"/>
      </patternFill>
    </fill>
    <fill>
      <patternFill patternType="solid">
        <fgColor rgb="FFEFF6FC"/>
      </patternFill>
    </fill>
  </fills>
  <borders count="7">
    <border>
      <left/>
      <right/>
      <top/>
      <bottom/>
      <diagonal/>
    </border>
    <border>
      <left/>
      <right/>
      <top/>
      <bottom style="thin">
        <color rgb="FF315D8A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 style="thin">
        <color rgb="FF23384D"/>
      </top>
      <bottom/>
      <diagonal/>
    </border>
    <border>
      <left/>
      <right/>
      <top/>
      <bottom style="thin">
        <color rgb="FFB3C5D5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165" fontId="4" fillId="0" borderId="0" xfId="0" applyNumberFormat="1" applyFont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0" fontId="1" fillId="4" borderId="0" xfId="0" applyFont="1" applyFill="1" applyAlignment="1">
      <alignment vertical="center"/>
    </xf>
    <xf numFmtId="165" fontId="4" fillId="4" borderId="0" xfId="0" applyNumberFormat="1" applyFont="1" applyFill="1" applyAlignment="1">
      <alignment vertical="center"/>
    </xf>
    <xf numFmtId="166" fontId="1" fillId="0" borderId="0" xfId="0" applyNumberFormat="1" applyFont="1" applyAlignment="1">
      <alignment vertical="center"/>
    </xf>
    <xf numFmtId="166" fontId="2" fillId="0" borderId="0" xfId="0" applyNumberFormat="1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8" fillId="5" borderId="0" xfId="0" applyFont="1" applyFill="1" applyAlignment="1">
      <alignment vertical="center"/>
    </xf>
    <xf numFmtId="0" fontId="8" fillId="0" borderId="5" xfId="0" applyFont="1" applyBorder="1" applyAlignment="1">
      <alignment vertical="center"/>
    </xf>
    <xf numFmtId="166" fontId="8" fillId="0" borderId="5" xfId="0" applyNumberFormat="1" applyFont="1" applyBorder="1" applyAlignment="1">
      <alignment vertical="center"/>
    </xf>
    <xf numFmtId="0" fontId="9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167" fontId="4" fillId="0" borderId="0" xfId="0" applyNumberFormat="1" applyFont="1" applyAlignment="1">
      <alignment vertical="center"/>
    </xf>
    <xf numFmtId="167" fontId="5" fillId="2" borderId="0" xfId="0" applyNumberFormat="1" applyFont="1" applyFill="1" applyAlignment="1">
      <alignment vertical="center"/>
    </xf>
    <xf numFmtId="167" fontId="1" fillId="2" borderId="0" xfId="0" applyNumberFormat="1" applyFont="1" applyFill="1" applyAlignment="1">
      <alignment vertical="center"/>
    </xf>
    <xf numFmtId="0" fontId="1" fillId="7" borderId="0" xfId="0" applyFont="1" applyFill="1" applyAlignment="1">
      <alignment vertical="center" wrapText="1"/>
    </xf>
    <xf numFmtId="0" fontId="3" fillId="0" borderId="0" xfId="0" applyFont="1" applyAlignment="1">
      <alignment vertical="center"/>
    </xf>
    <xf numFmtId="164" fontId="4" fillId="8" borderId="6" xfId="0" applyNumberFormat="1" applyFont="1" applyFill="1" applyBorder="1" applyAlignment="1">
      <alignment vertical="center"/>
    </xf>
    <xf numFmtId="0" fontId="4" fillId="8" borderId="6" xfId="0" applyFont="1" applyFill="1" applyBorder="1" applyAlignment="1">
      <alignment vertical="center"/>
    </xf>
    <xf numFmtId="165" fontId="4" fillId="8" borderId="6" xfId="0" applyNumberFormat="1" applyFont="1" applyFill="1" applyBorder="1" applyAlignment="1">
      <alignment vertical="center"/>
    </xf>
    <xf numFmtId="0" fontId="3" fillId="7" borderId="6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</cellXfs>
  <cellStyles count="1">
    <cellStyle name="Normal" xfId="0" builtinId="0"/>
  </cellStyles>
  <dxfs count="15">
    <dxf>
      <numFmt numFmtId="167" formatCode="&quot;$&quot;#,##0.00;\(&quot;$&quot;#,##0.00\);0.00"/>
    </dxf>
    <dxf>
      <numFmt numFmtId="165" formatCode="mmm\ d\,\ yyyy"/>
    </dxf>
    <dxf>
      <font>
        <b/>
        <color rgb="FFA83131"/>
      </font>
      <fill>
        <patternFill>
          <bgColor rgb="FFFDE8E7"/>
        </patternFill>
      </fill>
    </dxf>
    <dxf>
      <numFmt numFmtId="165" formatCode="mmm\ d\,\ yyyy"/>
    </dxf>
    <dxf>
      <numFmt numFmtId="167" formatCode="&quot;$&quot;#,##0.00;\(&quot;$&quot;#,##0.00\);0.00"/>
    </dxf>
    <dxf>
      <numFmt numFmtId="167" formatCode="&quot;$&quot;#,##0.00;\(&quot;$&quot;#,##0.00\);0.00"/>
    </dxf>
    <dxf>
      <numFmt numFmtId="167" formatCode="&quot;$&quot;#,##0.00;\(&quot;$&quot;#,##0.00\);0.00"/>
    </dxf>
    <dxf>
      <numFmt numFmtId="167" formatCode="&quot;$&quot;#,##0.00;\(&quot;$&quot;#,##0.00\);0.00"/>
    </dxf>
    <dxf>
      <numFmt numFmtId="165" formatCode="mmm\ d\,\ yyyy"/>
    </dxf>
    <dxf>
      <numFmt numFmtId="165" formatCode="mmm\ d\,\ yyyy"/>
    </dxf>
    <dxf>
      <font>
        <b/>
        <color rgb="FFA83131"/>
      </font>
      <fill>
        <patternFill>
          <bgColor rgb="FFFDE8E7"/>
        </patternFill>
      </fill>
    </dxf>
    <dxf>
      <font>
        <color rgb="FF875B1B"/>
      </font>
      <fill>
        <patternFill>
          <bgColor rgb="FFFFF3D5"/>
        </patternFill>
      </fill>
    </dxf>
    <dxf>
      <font>
        <b/>
        <color rgb="FF875B1B"/>
      </font>
      <fill>
        <patternFill>
          <bgColor rgb="FFFFF3D5"/>
        </patternFill>
      </fill>
    </dxf>
    <dxf>
      <font>
        <b/>
        <color rgb="FFA83131"/>
      </font>
      <fill>
        <patternFill>
          <bgColor rgb="FFFDE8E7"/>
        </patternFill>
      </fill>
    </dxf>
    <dxf>
      <font>
        <b/>
        <color rgb="FFA83131"/>
      </font>
      <fill>
        <patternFill>
          <bgColor rgb="FFFDE8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rPr lang="en-US" sz="1050">
                <a:latin typeface="Arial"/>
                <a:ea typeface="Arial"/>
                <a:cs typeface="Arial"/>
              </a:rPr>
              <a:t>Outstanding by ageing (USD)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Balance</c:v>
          </c:tx>
          <c:spPr>
            <a:solidFill>
              <a:srgbClr val="315D8A"/>
            </a:solidFill>
          </c:spPr>
          <c:invertIfNegative val="0"/>
          <c:cat>
            <c:strRef>
              <c:f>Overview!$A$24:$A$28</c:f>
              <c:strCache>
                <c:ptCount val="5"/>
                <c:pt idx="0">
                  <c:v>Not yet overdue</c:v>
                </c:pt>
                <c:pt idx="1">
                  <c:v>1–30 days</c:v>
                </c:pt>
                <c:pt idx="2">
                  <c:v>31–60 days</c:v>
                </c:pt>
                <c:pt idx="3">
                  <c:v>61–90 days</c:v>
                </c:pt>
                <c:pt idx="4">
                  <c:v>91+ days</c:v>
                </c:pt>
              </c:strCache>
            </c:strRef>
          </c:cat>
          <c:val>
            <c:numRef>
              <c:f>Overview!$B$24:$B$28</c:f>
              <c:numCache>
                <c:formatCode>\$#,##0;\(\$#,##0\);"—"</c:formatCode>
                <c:ptCount val="5"/>
                <c:pt idx="0">
                  <c:v>20750</c:v>
                </c:pt>
                <c:pt idx="1">
                  <c:v>7200</c:v>
                </c:pt>
                <c:pt idx="2">
                  <c:v>5650</c:v>
                </c:pt>
                <c:pt idx="3">
                  <c:v>3950</c:v>
                </c:pt>
                <c:pt idx="4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11-B949-8C2D-E964BB36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txPr>
          <a:bodyPr anchorCtr="1"/>
          <a:lstStyle/>
          <a:p>
            <a:pPr>
              <a:defRPr sz="750">
                <a:latin typeface="Arial"/>
                <a:ea typeface="Arial"/>
                <a:cs typeface="Arial"/>
              </a:defRPr>
            </a:pPr>
            <a:endParaRPr lang="en-US"/>
          </a:p>
        </c:txPr>
        <c:crossAx val="48672768"/>
        <c:crosses val="autoZero"/>
        <c:auto val="1"/>
        <c:lblAlgn val="ctr"/>
        <c:lblOffset val="100"/>
        <c:noMultiLvlLbl val="1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\$#,##0" sourceLinked="0"/>
        <c:majorTickMark val="none"/>
        <c:minorTickMark val="none"/>
        <c:tickLblPos val="nextTo"/>
        <c:txPr>
          <a:bodyPr anchorCtr="1"/>
          <a:lstStyle/>
          <a:p>
            <a:pPr>
              <a:defRPr sz="750">
                <a:latin typeface="Arial"/>
                <a:ea typeface="Arial"/>
                <a:cs typeface="Arial"/>
              </a:defRPr>
            </a:pPr>
            <a:endParaRPr lang="en-US"/>
          </a:p>
        </c:txPr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527222" cy="12398375"/>
    <xdr:pic macro="[0]!GoOverview">
      <xdr:nvPicPr>
        <xdr:cNvPr id="2" name="Tracker cover - click to open dashboar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527222" cy="12398375"/>
        </a:xfrm>
        <a:prstGeom prst="rect">
          <a:avLst/>
        </a:prstGeom>
      </xdr:spPr>
    </xdr:pic>
    <xdr:clientData/>
  </xdr:oneCellAnchor>
  <xdr:oneCellAnchor>
    <xdr:from>
      <xdr:col>9</xdr:col>
      <xdr:colOff>19050</xdr:colOff>
      <xdr:row>1</xdr:row>
      <xdr:rowOff>0</xdr:rowOff>
    </xdr:from>
    <xdr:ext cx="1524000" cy="342900"/>
    <xdr:sp macro="[0]!GoOverview" textlink="">
      <xdr:nvSpPr>
        <xdr:cNvPr id="3" name="btnOpenTracker" descr="Open the invoice and payment dashboar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05450" y="190500"/>
          <a:ext cx="1524000" cy="3429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rial"/>
            </a:rPr>
            <a:t>Open tracker</a:t>
          </a:r>
        </a:p>
      </xdr:txBody>
    </xdr:sp>
    <xdr:clientData fPrint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10</xdr:row>
      <xdr:rowOff>0</xdr:rowOff>
    </xdr:from>
    <xdr:to>
      <xdr:col>14</xdr:col>
      <xdr:colOff>0</xdr:colOff>
      <xdr:row>30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19050</xdr:colOff>
      <xdr:row>4</xdr:row>
      <xdr:rowOff>57150</xdr:rowOff>
    </xdr:from>
    <xdr:ext cx="1390650" cy="304800"/>
    <xdr:sp macro="[0]!NewInvoice" textlink="">
      <xdr:nvSpPr>
        <xdr:cNvPr id="3" name="btnNewInvoice" descr="New invoic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0"/>
          <a:ext cx="1390650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New invoice</a:t>
          </a:r>
          <a:endParaRPr lang="en-US" sz="1100"/>
        </a:p>
      </xdr:txBody>
    </xdr:sp>
    <xdr:clientData/>
  </xdr:oneCellAnchor>
  <xdr:oneCellAnchor>
    <xdr:from>
      <xdr:col>2</xdr:col>
      <xdr:colOff>19050</xdr:colOff>
      <xdr:row>4</xdr:row>
      <xdr:rowOff>57150</xdr:rowOff>
    </xdr:from>
    <xdr:ext cx="1457325" cy="304800"/>
    <xdr:sp macro="[0]!RecordPayment" textlink="">
      <xdr:nvSpPr>
        <xdr:cNvPr id="4" name="btnRecordPayment" descr="Record paymen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0"/>
          <a:ext cx="1457325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Record payment</a:t>
          </a:r>
          <a:endParaRPr lang="en-US" sz="1100"/>
        </a:p>
      </xdr:txBody>
    </xdr:sp>
    <xdr:clientData/>
  </xdr:oneCellAnchor>
  <xdr:oneCellAnchor>
    <xdr:from>
      <xdr:col>4</xdr:col>
      <xdr:colOff>19050</xdr:colOff>
      <xdr:row>4</xdr:row>
      <xdr:rowOff>57150</xdr:rowOff>
    </xdr:from>
    <xdr:ext cx="1428750" cy="304800"/>
    <xdr:sp macro="[0]!RefreshTracker" textlink="">
      <xdr:nvSpPr>
        <xdr:cNvPr id="5" name="btnRefreshTracker" descr="Refresh tracker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0" y="0"/>
          <a:ext cx="1428750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Refresh tracker</a:t>
          </a:r>
          <a:endParaRPr lang="en-US" sz="1100"/>
        </a:p>
      </xdr:txBody>
    </xdr:sp>
    <xdr:clientData/>
  </xdr:oneCellAnchor>
  <xdr:oneCellAnchor>
    <xdr:from>
      <xdr:col>8</xdr:col>
      <xdr:colOff>19050</xdr:colOff>
      <xdr:row>4</xdr:row>
      <xdr:rowOff>57150</xdr:rowOff>
    </xdr:from>
    <xdr:ext cx="1428750" cy="304800"/>
    <xdr:sp macro="[0]!ShowOverdue" textlink="">
      <xdr:nvSpPr>
        <xdr:cNvPr id="6" name="btnShowOverdue" descr="Show overdu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428750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Show overdue</a:t>
          </a:r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6</xdr:row>
      <xdr:rowOff>57150</xdr:rowOff>
    </xdr:from>
    <xdr:ext cx="1333500" cy="304800"/>
    <xdr:sp macro="[0]!NewInvoice" textlink="">
      <xdr:nvSpPr>
        <xdr:cNvPr id="2" name="btnNewInvoice" descr="New invoic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1333500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New invoice</a:t>
          </a:r>
          <a:endParaRPr lang="en-US" sz="1100"/>
        </a:p>
      </xdr:txBody>
    </xdr:sp>
    <xdr:clientData/>
  </xdr:oneCellAnchor>
  <xdr:oneCellAnchor>
    <xdr:from>
      <xdr:col>1</xdr:col>
      <xdr:colOff>19050</xdr:colOff>
      <xdr:row>6</xdr:row>
      <xdr:rowOff>57150</xdr:rowOff>
    </xdr:from>
    <xdr:ext cx="1524000" cy="304800"/>
    <xdr:sp macro="[0]!ShowAllInvoices" textlink="">
      <xdr:nvSpPr>
        <xdr:cNvPr id="3" name="btnShowAllInvoices" descr="Show all invoice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1524000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Show all invoices</a:t>
          </a:r>
          <a:endParaRPr lang="en-US" sz="1100"/>
        </a:p>
      </xdr:txBody>
    </xdr:sp>
    <xdr:clientData/>
  </xdr:oneCellAnchor>
  <xdr:oneCellAnchor>
    <xdr:from>
      <xdr:col>3</xdr:col>
      <xdr:colOff>19050</xdr:colOff>
      <xdr:row>6</xdr:row>
      <xdr:rowOff>57150</xdr:rowOff>
    </xdr:from>
    <xdr:ext cx="1190625" cy="304800"/>
    <xdr:sp macro="[0]!GoOverview" textlink="">
      <xdr:nvSpPr>
        <xdr:cNvPr id="4" name="btnGoOverview" descr="Overview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0"/>
          <a:ext cx="1190625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Overview</a:t>
          </a: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6</xdr:row>
      <xdr:rowOff>57150</xdr:rowOff>
    </xdr:from>
    <xdr:ext cx="1476375" cy="304800"/>
    <xdr:sp macro="[0]!RecordPayment" textlink="">
      <xdr:nvSpPr>
        <xdr:cNvPr id="2" name="btnRecordPayment" descr="Record paymen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1476375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Record payment</a:t>
          </a:r>
          <a:endParaRPr lang="en-US" sz="1100"/>
        </a:p>
      </xdr:txBody>
    </xdr:sp>
    <xdr:clientData/>
  </xdr:oneCellAnchor>
  <xdr:oneCellAnchor>
    <xdr:from>
      <xdr:col>2</xdr:col>
      <xdr:colOff>19050</xdr:colOff>
      <xdr:row>6</xdr:row>
      <xdr:rowOff>57150</xdr:rowOff>
    </xdr:from>
    <xdr:ext cx="1190625" cy="304800"/>
    <xdr:sp macro="[0]!GoOverview" textlink="">
      <xdr:nvSpPr>
        <xdr:cNvPr id="3" name="btnGoOverview" descr="Overview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1190625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Overview</a:t>
          </a:r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27</xdr:row>
      <xdr:rowOff>57150</xdr:rowOff>
    </xdr:from>
    <xdr:ext cx="1476375" cy="304800"/>
    <xdr:sp macro="[0]!SaveInvoice" textlink="">
      <xdr:nvSpPr>
        <xdr:cNvPr id="2" name="btnSaveInvoice" descr="Save invoic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1476375" cy="304800"/>
        </a:xfrm>
        <a:prstGeom prst="roundRect">
          <a:avLst/>
        </a:prstGeom>
        <a:solidFill>
          <a:srgbClr val="24704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Save invoice</a:t>
          </a:r>
          <a:endParaRPr lang="en-US" sz="1100"/>
        </a:p>
      </xdr:txBody>
    </xdr:sp>
    <xdr:clientData/>
  </xdr:oneCellAnchor>
  <xdr:oneCellAnchor>
    <xdr:from>
      <xdr:col>3</xdr:col>
      <xdr:colOff>19050</xdr:colOff>
      <xdr:row>27</xdr:row>
      <xdr:rowOff>57150</xdr:rowOff>
    </xdr:from>
    <xdr:ext cx="1333500" cy="304800"/>
    <xdr:sp macro="[0]!ClearInvoice" textlink="">
      <xdr:nvSpPr>
        <xdr:cNvPr id="3" name="btnClearInvoice" descr="Clear invoic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1333500" cy="304800"/>
        </a:xfrm>
        <a:prstGeom prst="roundRect">
          <a:avLst/>
        </a:prstGeom>
        <a:solidFill>
          <a:srgbClr val="647487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Clear invoice</a:t>
          </a:r>
          <a:endParaRPr lang="en-US" sz="1100"/>
        </a:p>
      </xdr:txBody>
    </xdr:sp>
    <xdr:clientData/>
  </xdr:oneCellAnchor>
  <xdr:oneCellAnchor>
    <xdr:from>
      <xdr:col>7</xdr:col>
      <xdr:colOff>19050</xdr:colOff>
      <xdr:row>27</xdr:row>
      <xdr:rowOff>57150</xdr:rowOff>
    </xdr:from>
    <xdr:ext cx="1476375" cy="304800"/>
    <xdr:sp macro="[0]!SavePayment" textlink="">
      <xdr:nvSpPr>
        <xdr:cNvPr id="4" name="btnSavePayment" descr="Save paymen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0" y="0"/>
          <a:ext cx="1476375" cy="304800"/>
        </a:xfrm>
        <a:prstGeom prst="roundRect">
          <a:avLst/>
        </a:prstGeom>
        <a:solidFill>
          <a:srgbClr val="24704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Save payment</a:t>
          </a:r>
          <a:endParaRPr lang="en-US" sz="1100"/>
        </a:p>
      </xdr:txBody>
    </xdr:sp>
    <xdr:clientData/>
  </xdr:oneCellAnchor>
  <xdr:oneCellAnchor>
    <xdr:from>
      <xdr:col>9</xdr:col>
      <xdr:colOff>19050</xdr:colOff>
      <xdr:row>27</xdr:row>
      <xdr:rowOff>57150</xdr:rowOff>
    </xdr:from>
    <xdr:ext cx="1333500" cy="304800"/>
    <xdr:sp macro="[0]!ClearPayment" textlink="">
      <xdr:nvSpPr>
        <xdr:cNvPr id="5" name="btnClearPayment" descr="Clear paymen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0" y="0"/>
          <a:ext cx="1333500" cy="304800"/>
        </a:xfrm>
        <a:prstGeom prst="roundRect">
          <a:avLst/>
        </a:prstGeom>
        <a:solidFill>
          <a:srgbClr val="647487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Clear payment</a:t>
          </a:r>
          <a:endParaRPr lang="en-US" sz="1100"/>
        </a:p>
      </xdr:txBody>
    </xdr:sp>
    <xdr:clientData/>
  </xdr:oneCellAnchor>
  <xdr:oneCellAnchor>
    <xdr:from>
      <xdr:col>10</xdr:col>
      <xdr:colOff>19050</xdr:colOff>
      <xdr:row>1</xdr:row>
      <xdr:rowOff>57150</xdr:rowOff>
    </xdr:from>
    <xdr:ext cx="1190625" cy="304800"/>
    <xdr:sp macro="[0]!GoOverview" textlink="">
      <xdr:nvSpPr>
        <xdr:cNvPr id="6" name="btnGoOverview" descr="Overview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0" y="0"/>
          <a:ext cx="1190625" cy="304800"/>
        </a:xfrm>
        <a:prstGeom prst="roundRect">
          <a:avLst/>
        </a:prstGeom>
        <a:solidFill>
          <a:srgbClr val="315D8A"/>
        </a:solidFill>
        <a:ln>
          <a:noFill/>
        </a:ln>
      </xdr:spPr>
      <xdr:txBody>
        <a:bodyPr wrap="none" lIns="38100" tIns="0" rIns="38100" bIns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Arial"/>
            </a:rPr>
            <a:t>Overview</a:t>
          </a:r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sTable" displayName="InvoicesTable" ref="A8:P33" totalsRowShown="0">
  <autoFilter ref="A8:P33" xr:uid="{00000000-0009-0000-0100-000001000000}">
    <filterColumn colId="4">
      <filters>
        <dateGroupItem year="2026" month="10" dateTimeGrouping="month"/>
      </filters>
    </filterColumn>
    <filterColumn colId="10">
      <customFilters>
        <customFilter operator="greaterThan" val="0"/>
      </customFilters>
    </filterColumn>
  </autoFilter>
  <tableColumns count="16">
    <tableColumn id="1" xr3:uid="{00000000-0010-0000-0000-000001000000}" name="Invoice ID"/>
    <tableColumn id="2" xr3:uid="{00000000-0010-0000-0000-000002000000}" name="Customer"/>
    <tableColumn id="3" xr3:uid="{00000000-0010-0000-0000-000003000000}" name="Order / PO"/>
    <tableColumn id="4" xr3:uid="{00000000-0010-0000-0000-000004000000}" name="Description"/>
    <tableColumn id="5" xr3:uid="{00000000-0010-0000-0000-000005000000}" name="Issued" dataDxfId="9"/>
    <tableColumn id="6" xr3:uid="{00000000-0010-0000-0000-000006000000}" name="Due" dataDxfId="8"/>
    <tableColumn id="7" xr3:uid="{00000000-0010-0000-0000-000007000000}" name="Invoice amount" dataDxfId="7"/>
    <tableColumn id="8" xr3:uid="{00000000-0010-0000-0000-000008000000}" name="Received" dataDxfId="6">
      <calculatedColumnFormula>IF(OR(A9="",P9&lt;&gt;"OK",E9&gt;Overview!$K$4),"",SUMIFS(PaymentsTable[Amount],PaymentsTable[Invoice ID],A9,PaymentsTable[Received on],"&lt;="&amp;Overview!$K$4,PaymentsTable[Entry check],"OK"))</calculatedColumnFormula>
    </tableColumn>
    <tableColumn id="9" xr3:uid="{00000000-0010-0000-0000-000009000000}" name="Outstanding" dataDxfId="5">
      <calculatedColumnFormula>IF(ISNUMBER(H9),MAX(G9-H9,0),"")</calculatedColumnFormula>
    </tableColumn>
    <tableColumn id="10" xr3:uid="{00000000-0010-0000-0000-00000A000000}" name="Overpayment" dataDxfId="4">
      <calculatedColumnFormula>IF(ISNUMBER(H9),MAX(H9-G9,0),"")</calculatedColumnFormula>
    </tableColumn>
    <tableColumn id="11" xr3:uid="{00000000-0010-0000-0000-00000B000000}" name="Days late">
      <calculatedColumnFormula>IF(ISNUMBER(I9),IF(I9&gt;0,MAX(Overview!$K$4-F9,0),0),"")</calculatedColumnFormula>
    </tableColumn>
    <tableColumn id="12" xr3:uid="{00000000-0010-0000-0000-00000C000000}" name="Status">
      <calculatedColumnFormula>IF(A9="","",IF(P9&lt;&gt;"OK","Review entry",IF(E9&gt;Overview!$K$4,"Not issued",IF(COUNTIFS(PaymentsTable[Invoice ID],A9,PaymentsTable[Entry check],"&lt;&gt;OK",PaymentsTable[Entry check],"?*")&gt;0,"Review payments",IF(J9&gt;0,"Overpaid",IF(I9=0,"Paid",IF(K9&gt;0,"Overdue",IF(F9=Overview!$K$4,"Due today",IF(H9&gt;0,"Part paid","Open")))))))))</calculatedColumnFormula>
    </tableColumn>
    <tableColumn id="13" xr3:uid="{00000000-0010-0000-0000-00000D000000}" name="Owner"/>
    <tableColumn id="14" xr3:uid="{00000000-0010-0000-0000-00000E000000}" name="Follow-up" dataDxfId="3"/>
    <tableColumn id="15" xr3:uid="{00000000-0010-0000-0000-00000F000000}" name="Collection notes"/>
    <tableColumn id="16" xr3:uid="{00000000-0010-0000-0000-000010000000}" name="Entry check">
      <calculatedColumnFormula>IF(A9="",IF(COUNTA(B9:G9)=0,"","Missing invoice ID"),IF(COUNTIFS(InvoicesTable[Invoice ID],A9)&gt;1,"Duplicate invoice ID",IF(OR(B9="",D9="",ISBLANK(E9),ISBLANK(F9),ISBLANK(G9)),"Missing required input",IF(OR(NOT(ISNUMBER(E9)),NOT(ISNUMBER(F9)),NOT(ISNUMBER(G9))),"Check date or amount",IF(OR(F9&lt;E9,G9&lt;=0),"Check due date / amount","OK")))))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aymentsTable" displayName="PaymentsTable" ref="A8:J24" totalsRowShown="0">
  <autoFilter ref="A8:J24" xr:uid="{00000000-0009-0000-0100-000002000000}"/>
  <tableColumns count="10">
    <tableColumn id="1" xr3:uid="{00000000-0010-0000-0100-000001000000}" name="Payment ID"/>
    <tableColumn id="2" xr3:uid="{00000000-0010-0000-0100-000002000000}" name="Invoice ID"/>
    <tableColumn id="3" xr3:uid="{00000000-0010-0000-0100-000003000000}" name="Customer">
      <calculatedColumnFormula>IF(B9="","",IF(COUNTIFS(InvoicesTable[Invoice ID],B9)&lt;&gt;1,"Check invoice ID",INDEX(InvoicesTable[Customer],MATCH(B9,InvoicesTable[Invoice ID],0))))</calculatedColumnFormula>
    </tableColumn>
    <tableColumn id="4" xr3:uid="{00000000-0010-0000-0100-000004000000}" name="Received on" dataDxfId="1"/>
    <tableColumn id="5" xr3:uid="{00000000-0010-0000-0100-000005000000}" name="Method"/>
    <tableColumn id="6" xr3:uid="{00000000-0010-0000-0100-000006000000}" name="Amount" dataDxfId="0"/>
    <tableColumn id="7" xr3:uid="{00000000-0010-0000-0100-000007000000}" name="Receipt reference"/>
    <tableColumn id="8" xr3:uid="{00000000-0010-0000-0100-000008000000}" name="Recorded by"/>
    <tableColumn id="9" xr3:uid="{00000000-0010-0000-0100-000009000000}" name="Notes"/>
    <tableColumn id="10" xr3:uid="{00000000-0010-0000-0100-00000A000000}" name="Entry check">
      <calculatedColumnFormula>IF(A9="",IF(COUNTA(B9,D9:I9)=0,"","Missing payment ID"),IF(COUNTIFS(PaymentsTable[Payment ID],A9)&gt;1,"Duplicate payment ID",IF(OR(B9="",ISBLANK(D9),E9="",ISBLANK(F9),G9="",H9=""),"Missing required input",IF(COUNTIFS(InvoicesTable[Invoice ID],B9)&lt;&gt;1,"Check invoice ID",IF(OR(NOT(ISNUMBER(D9)),NOT(ISNUMBER(F9))),"Check date or amount",IF(OR(F9&lt;=0,D9&lt;INDEX(InvoicesTable[Issued],MATCH(B9,InvoicesTable[Invoice ID],0))),"Check date / amount","OK"))))))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E2DFC-7EC0-A747-B085-078DFB4293DC}">
  <sheetPr codeName="Sheet5"/>
  <dimension ref="A1:A38"/>
  <sheetViews>
    <sheetView showGridLines="0" showRowColHeaders="0" zoomScale="80" zoomScaleNormal="80" workbookViewId="0">
      <selection activeCell="W40" sqref="W40"/>
    </sheetView>
  </sheetViews>
  <sheetFormatPr baseColWidth="10" defaultColWidth="8.83203125" defaultRowHeight="14"/>
  <cols>
    <col min="1" max="12" width="8.5" customWidth="1"/>
  </cols>
  <sheetData>
    <row r="1" ht="15" customHeight="1"/>
    <row r="2" ht="15" customHeight="1"/>
    <row r="3" ht="15" customHeight="1"/>
    <row r="4" ht="15" customHeight="1"/>
    <row r="5" ht="15" customHeight="1"/>
    <row r="6" ht="15" customHeight="1"/>
    <row r="7" ht="15" customHeight="1"/>
    <row r="8" ht="15" customHeight="1"/>
    <row r="9" ht="15" customHeight="1"/>
    <row r="10" ht="15" customHeight="1"/>
    <row r="11" ht="15" customHeight="1"/>
    <row r="12" ht="15" customHeight="1"/>
    <row r="13" ht="15" customHeight="1"/>
    <row r="14" ht="15" customHeight="1"/>
    <row r="15" ht="15" customHeight="1"/>
    <row r="16" ht="15" customHeight="1"/>
    <row r="17" ht="15" customHeight="1"/>
    <row r="18" ht="15" customHeight="1"/>
    <row r="19" ht="15" customHeight="1"/>
    <row r="20" ht="15" customHeight="1"/>
    <row r="21" ht="15" customHeight="1"/>
    <row r="22" ht="15" customHeight="1"/>
    <row r="23" ht="15" customHeight="1"/>
    <row r="24" ht="15" customHeight="1"/>
    <row r="25" ht="15" customHeight="1"/>
    <row r="26" ht="15" customHeight="1"/>
    <row r="27" ht="15" customHeight="1"/>
    <row r="28" ht="15" customHeight="1"/>
    <row r="29" ht="15" customHeight="1"/>
    <row r="30" ht="15" customHeight="1"/>
    <row r="31" ht="15" customHeight="1"/>
    <row r="3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66DBC-71F8-D04D-AE24-BD94AC7EABBE}">
  <sheetPr codeName="Sheet1">
    <tabColor rgb="FF23384D"/>
  </sheetPr>
  <dimension ref="A1:M33"/>
  <sheetViews>
    <sheetView showGridLines="0" tabSelected="1" workbookViewId="0"/>
  </sheetViews>
  <sheetFormatPr baseColWidth="10" defaultColWidth="8.83203125" defaultRowHeight="14"/>
  <cols>
    <col min="1" max="1" width="25" customWidth="1"/>
    <col min="2" max="5" width="11" customWidth="1"/>
    <col min="6" max="6" width="14.6640625" customWidth="1"/>
    <col min="7" max="7" width="3" customWidth="1"/>
    <col min="8" max="10" width="11" customWidth="1"/>
    <col min="11" max="11" width="16" customWidth="1"/>
    <col min="12" max="13" width="11" customWidth="1"/>
  </cols>
  <sheetData>
    <row r="1" spans="1:13" ht="1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0" customHeight="1">
      <c r="A2" s="2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24" customHeight="1">
      <c r="A3" s="15" t="s">
        <v>1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 ht="24" customHeight="1">
      <c r="A4" s="5" t="s">
        <v>2</v>
      </c>
      <c r="B4" s="1"/>
      <c r="C4" s="1"/>
      <c r="D4" s="1"/>
      <c r="E4" s="1"/>
      <c r="F4" s="1"/>
      <c r="G4" s="1"/>
      <c r="H4" s="1"/>
      <c r="I4" s="1"/>
      <c r="J4" s="1" t="s">
        <v>3</v>
      </c>
      <c r="K4" s="17">
        <v>46320</v>
      </c>
      <c r="L4" s="16"/>
      <c r="M4" s="1"/>
    </row>
    <row r="5" spans="1:13" ht="38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24" customHeight="1">
      <c r="A6" s="5" t="s">
        <v>4</v>
      </c>
      <c r="B6" s="1"/>
      <c r="C6" s="1"/>
      <c r="D6" s="5" t="s">
        <v>5</v>
      </c>
      <c r="E6" s="1"/>
      <c r="F6" s="1"/>
      <c r="G6" s="1"/>
      <c r="H6" s="5" t="s">
        <v>6</v>
      </c>
      <c r="I6" s="1"/>
      <c r="J6" s="1"/>
      <c r="K6" s="5" t="s">
        <v>7</v>
      </c>
      <c r="L6" s="1"/>
      <c r="M6" s="1"/>
    </row>
    <row r="7" spans="1:13" ht="30" customHeight="1">
      <c r="A7" s="19">
        <f>SUMIFS(InvoicesTable[Invoice amount],InvoicesTable[Issued],"&lt;="&amp;$K$4,InvoicesTable[Entry check],"OK")</f>
        <v>64900</v>
      </c>
      <c r="B7" s="1"/>
      <c r="C7" s="1"/>
      <c r="D7" s="19">
        <f>SUM(InvoicesTable[Received])</f>
        <v>25500</v>
      </c>
      <c r="E7" s="1"/>
      <c r="F7" s="1"/>
      <c r="G7" s="1"/>
      <c r="H7" s="19">
        <f>SUM(InvoicesTable[Outstanding])</f>
        <v>39450</v>
      </c>
      <c r="I7" s="1"/>
      <c r="J7" s="1"/>
      <c r="K7" s="19">
        <f>SUMIFS(InvoicesTable[Outstanding],InvoicesTable[Days late],"&gt;0")</f>
        <v>18700</v>
      </c>
      <c r="L7" s="1"/>
      <c r="M7" s="1"/>
    </row>
    <row r="8" spans="1:13" ht="24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 ht="24" customHeight="1">
      <c r="A9" s="1" t="s">
        <v>8</v>
      </c>
      <c r="B9" s="1">
        <f>COUNTIFS(InvoicesTable[Outstanding],"&gt;0")</f>
        <v>19</v>
      </c>
      <c r="C9" s="1"/>
      <c r="D9" s="1" t="s">
        <v>9</v>
      </c>
      <c r="E9" s="20">
        <f>SUM(InvoicesTable[Overpayment])</f>
        <v>50</v>
      </c>
      <c r="F9" s="1"/>
      <c r="G9" s="1"/>
      <c r="H9" s="1" t="s">
        <v>10</v>
      </c>
      <c r="I9" s="1"/>
      <c r="J9" s="1"/>
      <c r="K9" s="1">
        <f>COUNTIFS(InvoicesTable[Entry check],"&lt;&gt;OK",InvoicesTable[Entry check],"?*")+COUNTIFS(PaymentsTable[Entry check],"&lt;&gt;OK",PaymentsTable[Entry check],"?*")</f>
        <v>0</v>
      </c>
      <c r="L9" s="1"/>
      <c r="M9" s="1"/>
    </row>
    <row r="10" spans="1:13" ht="24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 ht="24" customHeight="1">
      <c r="A11" s="21" t="s">
        <v>11</v>
      </c>
      <c r="B11" s="21"/>
      <c r="C11" s="21"/>
      <c r="D11" s="21"/>
      <c r="E11" s="21"/>
      <c r="F11" s="21"/>
      <c r="G11" s="1"/>
      <c r="H11" s="1"/>
      <c r="I11" s="1"/>
      <c r="J11" s="1"/>
      <c r="K11" s="1"/>
      <c r="L11" s="1"/>
      <c r="M11" s="1"/>
    </row>
    <row r="12" spans="1:13" ht="34" customHeight="1">
      <c r="A12" s="12" t="s">
        <v>12</v>
      </c>
      <c r="B12" s="13" t="s">
        <v>4</v>
      </c>
      <c r="C12" s="13" t="s">
        <v>5</v>
      </c>
      <c r="D12" s="13" t="s">
        <v>6</v>
      </c>
      <c r="E12" s="13" t="s">
        <v>7</v>
      </c>
      <c r="F12" s="14" t="s">
        <v>9</v>
      </c>
      <c r="G12" s="1"/>
      <c r="H12" s="1"/>
      <c r="I12" s="1"/>
      <c r="J12" s="1"/>
      <c r="K12" s="1"/>
      <c r="L12" s="1"/>
      <c r="M12" s="1"/>
    </row>
    <row r="13" spans="1:13" ht="24" customHeight="1">
      <c r="A13" s="1" t="s">
        <v>13</v>
      </c>
      <c r="B13" s="18">
        <f>SUMIFS(InvoicesTable[Invoice amount],InvoicesTable[Customer],$A13,InvoicesTable[Issued],"&lt;="&amp;$K$4,InvoicesTable[Entry check],"OK")</f>
        <v>11050</v>
      </c>
      <c r="C13" s="18">
        <f>SUMIFS(InvoicesTable[Received],InvoicesTable[Customer],$A13)</f>
        <v>4700</v>
      </c>
      <c r="D13" s="18">
        <f>SUMIFS(InvoicesTable[Outstanding],InvoicesTable[Customer],$A13)</f>
        <v>6350</v>
      </c>
      <c r="E13" s="18">
        <f>SUMIFS(InvoicesTable[Outstanding],InvoicesTable[Customer],$A13,InvoicesTable[Days late],"&gt;0")</f>
        <v>6350</v>
      </c>
      <c r="F13" s="18">
        <f>SUMIFS(InvoicesTable[Overpayment],InvoicesTable[Customer],$A13)</f>
        <v>0</v>
      </c>
      <c r="G13" s="1"/>
      <c r="H13" s="1"/>
      <c r="I13" s="1"/>
      <c r="J13" s="1"/>
      <c r="K13" s="1"/>
      <c r="L13" s="1"/>
      <c r="M13" s="1"/>
    </row>
    <row r="14" spans="1:13" ht="24" customHeight="1">
      <c r="A14" s="1" t="s">
        <v>14</v>
      </c>
      <c r="B14" s="18">
        <f>SUMIFS(InvoicesTable[Invoice amount],InvoicesTable[Customer],$A14,InvoicesTable[Issued],"&lt;="&amp;$K$4,InvoicesTable[Entry check],"OK")</f>
        <v>12050</v>
      </c>
      <c r="C14" s="18">
        <f>SUMIFS(InvoicesTable[Received],InvoicesTable[Customer],$A14)</f>
        <v>6000</v>
      </c>
      <c r="D14" s="18">
        <f>SUMIFS(InvoicesTable[Outstanding],InvoicesTable[Customer],$A14)</f>
        <v>6050</v>
      </c>
      <c r="E14" s="18">
        <f>SUMIFS(InvoicesTable[Outstanding],InvoicesTable[Customer],$A14,InvoicesTable[Days late],"&gt;0")</f>
        <v>1450</v>
      </c>
      <c r="F14" s="18">
        <f>SUMIFS(InvoicesTable[Overpayment],InvoicesTable[Customer],$A14)</f>
        <v>0</v>
      </c>
      <c r="G14" s="1"/>
      <c r="H14" s="1"/>
      <c r="I14" s="1"/>
      <c r="J14" s="1"/>
      <c r="K14" s="1"/>
      <c r="L14" s="1"/>
      <c r="M14" s="1"/>
    </row>
    <row r="15" spans="1:13" ht="24" customHeight="1">
      <c r="A15" s="1" t="s">
        <v>15</v>
      </c>
      <c r="B15" s="18">
        <f>SUMIFS(InvoicesTable[Invoice amount],InvoicesTable[Customer],$A15,InvoicesTable[Issued],"&lt;="&amp;$K$4,InvoicesTable[Entry check],"OK")</f>
        <v>8700</v>
      </c>
      <c r="C15" s="18">
        <f>SUMIFS(InvoicesTable[Received],InvoicesTable[Customer],$A15)</f>
        <v>2000</v>
      </c>
      <c r="D15" s="18">
        <f>SUMIFS(InvoicesTable[Outstanding],InvoicesTable[Customer],$A15)</f>
        <v>6700</v>
      </c>
      <c r="E15" s="18">
        <f>SUMIFS(InvoicesTable[Outstanding],InvoicesTable[Customer],$A15,InvoicesTable[Days late],"&gt;0")</f>
        <v>3700</v>
      </c>
      <c r="F15" s="18">
        <f>SUMIFS(InvoicesTable[Overpayment],InvoicesTable[Customer],$A15)</f>
        <v>0</v>
      </c>
      <c r="G15" s="1"/>
      <c r="H15" s="1"/>
      <c r="I15" s="1"/>
      <c r="J15" s="1"/>
      <c r="K15" s="1"/>
      <c r="L15" s="1"/>
      <c r="M15" s="1"/>
    </row>
    <row r="16" spans="1:13" ht="24" customHeight="1">
      <c r="A16" s="1" t="s">
        <v>16</v>
      </c>
      <c r="B16" s="18">
        <f>SUMIFS(InvoicesTable[Invoice amount],InvoicesTable[Customer],$A16,InvoicesTable[Issued],"&lt;="&amp;$K$4,InvoicesTable[Entry check],"OK")</f>
        <v>11450</v>
      </c>
      <c r="C16" s="18">
        <f>SUMIFS(InvoicesTable[Received],InvoicesTable[Customer],$A16)</f>
        <v>2200</v>
      </c>
      <c r="D16" s="18">
        <f>SUMIFS(InvoicesTable[Outstanding],InvoicesTable[Customer],$A16)</f>
        <v>9250</v>
      </c>
      <c r="E16" s="18">
        <f>SUMIFS(InvoicesTable[Outstanding],InvoicesTable[Customer],$A16,InvoicesTable[Days late],"&gt;0")</f>
        <v>3250</v>
      </c>
      <c r="F16" s="18">
        <f>SUMIFS(InvoicesTable[Overpayment],InvoicesTable[Customer],$A16)</f>
        <v>0</v>
      </c>
      <c r="G16" s="1"/>
      <c r="H16" s="1"/>
      <c r="I16" s="1"/>
      <c r="J16" s="1"/>
      <c r="K16" s="1"/>
      <c r="L16" s="1"/>
      <c r="M16" s="1"/>
    </row>
    <row r="17" spans="1:13" ht="24" customHeight="1">
      <c r="A17" s="1" t="s">
        <v>17</v>
      </c>
      <c r="B17" s="18">
        <f>SUMIFS(InvoicesTable[Invoice amount],InvoicesTable[Customer],$A17,InvoicesTable[Issued],"&lt;="&amp;$K$4,InvoicesTable[Entry check],"OK")</f>
        <v>9050</v>
      </c>
      <c r="C17" s="18">
        <f>SUMIFS(InvoicesTable[Received],InvoicesTable[Customer],$A17)</f>
        <v>2900</v>
      </c>
      <c r="D17" s="18">
        <f>SUMIFS(InvoicesTable[Outstanding],InvoicesTable[Customer],$A17)</f>
        <v>6150</v>
      </c>
      <c r="E17" s="18">
        <f>SUMIFS(InvoicesTable[Outstanding],InvoicesTable[Customer],$A17,InvoicesTable[Days late],"&gt;0")</f>
        <v>950</v>
      </c>
      <c r="F17" s="18">
        <f>SUMIFS(InvoicesTable[Overpayment],InvoicesTable[Customer],$A17)</f>
        <v>0</v>
      </c>
      <c r="G17" s="1"/>
      <c r="H17" s="1"/>
      <c r="I17" s="1"/>
      <c r="J17" s="1"/>
      <c r="K17" s="1"/>
      <c r="L17" s="1"/>
      <c r="M17" s="1"/>
    </row>
    <row r="18" spans="1:13" ht="24" customHeight="1">
      <c r="A18" s="1" t="s">
        <v>18</v>
      </c>
      <c r="B18" s="18">
        <f>SUMIFS(InvoicesTable[Invoice amount],InvoicesTable[Customer],$A18,InvoicesTable[Issued],"&lt;="&amp;$K$4,InvoicesTable[Entry check],"OK")</f>
        <v>12600</v>
      </c>
      <c r="C18" s="18">
        <f>SUMIFS(InvoicesTable[Received],InvoicesTable[Customer],$A18)</f>
        <v>7700</v>
      </c>
      <c r="D18" s="18">
        <f>SUMIFS(InvoicesTable[Outstanding],InvoicesTable[Customer],$A18)</f>
        <v>4950</v>
      </c>
      <c r="E18" s="18">
        <f>SUMIFS(InvoicesTable[Outstanding],InvoicesTable[Customer],$A18,InvoicesTable[Days late],"&gt;0")</f>
        <v>3000</v>
      </c>
      <c r="F18" s="18">
        <f>SUMIFS(InvoicesTable[Overpayment],InvoicesTable[Customer],$A18)</f>
        <v>50</v>
      </c>
      <c r="G18" s="1"/>
      <c r="H18" s="1"/>
      <c r="I18" s="1"/>
      <c r="J18" s="1"/>
      <c r="K18" s="1"/>
      <c r="L18" s="1"/>
      <c r="M18" s="1"/>
    </row>
    <row r="19" spans="1:13" ht="24" customHeight="1">
      <c r="A19" s="22" t="s">
        <v>19</v>
      </c>
      <c r="B19" s="23">
        <f>SUM(B13:B18)</f>
        <v>64900</v>
      </c>
      <c r="C19" s="23">
        <f>SUM(C13:C18)</f>
        <v>25500</v>
      </c>
      <c r="D19" s="23">
        <f>SUM(D13:D18)</f>
        <v>39450</v>
      </c>
      <c r="E19" s="23">
        <f>SUM(E13:E18)</f>
        <v>18700</v>
      </c>
      <c r="F19" s="23">
        <f>SUM(F13:F18)</f>
        <v>50</v>
      </c>
      <c r="G19" s="1"/>
      <c r="H19" s="1"/>
      <c r="I19" s="1"/>
      <c r="J19" s="1"/>
      <c r="K19" s="1"/>
      <c r="L19" s="1"/>
      <c r="M19" s="1"/>
    </row>
    <row r="20" spans="1:13" ht="24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24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24" customHeight="1">
      <c r="A22" s="21" t="s">
        <v>20</v>
      </c>
      <c r="B22" s="21"/>
      <c r="C22" s="21"/>
      <c r="D22" s="21"/>
      <c r="E22" s="1"/>
      <c r="F22" s="1"/>
      <c r="G22" s="1"/>
      <c r="H22" s="1"/>
      <c r="I22" s="1"/>
      <c r="J22" s="1"/>
      <c r="K22" s="1"/>
      <c r="L22" s="1"/>
      <c r="M22" s="1"/>
    </row>
    <row r="23" spans="1:13" ht="34" customHeight="1">
      <c r="A23" s="12" t="s">
        <v>21</v>
      </c>
      <c r="B23" s="13" t="s">
        <v>22</v>
      </c>
      <c r="C23" s="14" t="s">
        <v>23</v>
      </c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24" customHeight="1">
      <c r="A24" s="1" t="s">
        <v>24</v>
      </c>
      <c r="B24" s="18">
        <f>SUMIFS(InvoicesTable[Outstanding],InvoicesTable[Days late],"&gt;=0",InvoicesTable[Days late],"&lt;=0")</f>
        <v>20750</v>
      </c>
      <c r="C24" s="1">
        <f>COUNTIFS(InvoicesTable[Outstanding],"&gt;0",InvoicesTable[Days late],"&gt;=0",InvoicesTable[Days late],"&lt;=0")</f>
        <v>9</v>
      </c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ht="24" customHeight="1">
      <c r="A25" s="1" t="s">
        <v>25</v>
      </c>
      <c r="B25" s="18">
        <f>SUMIFS(InvoicesTable[Outstanding],InvoicesTable[Days late],"&gt;=1",InvoicesTable[Days late],"&lt;=30")</f>
        <v>7200</v>
      </c>
      <c r="C25" s="1">
        <f>COUNTIFS(InvoicesTable[Outstanding],"&gt;0",InvoicesTable[Days late],"&gt;=1",InvoicesTable[Days late],"&lt;=30")</f>
        <v>4</v>
      </c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4" customHeight="1">
      <c r="A26" s="1" t="s">
        <v>26</v>
      </c>
      <c r="B26" s="18">
        <f>SUMIFS(InvoicesTable[Outstanding],InvoicesTable[Days late],"&gt;=31",InvoicesTable[Days late],"&lt;=60")</f>
        <v>5650</v>
      </c>
      <c r="C26" s="1">
        <f>COUNTIFS(InvoicesTable[Outstanding],"&gt;0",InvoicesTable[Days late],"&gt;=31",InvoicesTable[Days late],"&lt;=60")</f>
        <v>3</v>
      </c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ht="24" customHeight="1">
      <c r="A27" s="1" t="s">
        <v>27</v>
      </c>
      <c r="B27" s="18">
        <f>SUMIFS(InvoicesTable[Outstanding],InvoicesTable[Days late],"&gt;=61",InvoicesTable[Days late],"&lt;=90")</f>
        <v>3950</v>
      </c>
      <c r="C27" s="1">
        <f>COUNTIFS(InvoicesTable[Outstanding],"&gt;0",InvoicesTable[Days late],"&gt;=61",InvoicesTable[Days late],"&lt;=90")</f>
        <v>2</v>
      </c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24" customHeight="1">
      <c r="A28" s="1" t="s">
        <v>28</v>
      </c>
      <c r="B28" s="18">
        <f>SUMIFS(InvoicesTable[Outstanding],InvoicesTable[Days late],"&gt;=91",InvoicesTable[Days late],"&lt;=999999")</f>
        <v>1900</v>
      </c>
      <c r="C28" s="1">
        <f>COUNTIFS(InvoicesTable[Outstanding],"&gt;0",InvoicesTable[Days late],"&gt;=91",InvoicesTable[Days late],"&lt;=999999")</f>
        <v>1</v>
      </c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4" customHeight="1">
      <c r="A29" s="22" t="s">
        <v>19</v>
      </c>
      <c r="B29" s="23">
        <f>SUM(B24:B28)</f>
        <v>39450</v>
      </c>
      <c r="C29" s="22">
        <f>SUM(C24:C28)</f>
        <v>19</v>
      </c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4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13" ht="24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13" ht="24" customHeight="1">
      <c r="A32" s="5" t="s">
        <v>29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</row>
    <row r="33" spans="1:13" ht="24" customHeight="1">
      <c r="A33" s="5" t="s">
        <v>30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</row>
  </sheetData>
  <conditionalFormatting sqref="K9">
    <cfRule type="cellIs" dxfId="14" priority="1" operator="greaterThan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74436-1CFB-A74A-A607-21E5FC07D591}">
  <sheetPr codeName="Sheet2">
    <tabColor rgb="FF315D8A"/>
  </sheetPr>
  <dimension ref="A1:P33"/>
  <sheetViews>
    <sheetView showGridLines="0" workbookViewId="0">
      <pane xSplit="2" ySplit="8" topLeftCell="C34" activePane="bottomRight" state="frozen"/>
      <selection pane="topRight"/>
      <selection pane="bottomLeft"/>
      <selection pane="bottomRight" activeCell="D43" sqref="D43"/>
    </sheetView>
  </sheetViews>
  <sheetFormatPr baseColWidth="10" defaultColWidth="8.83203125" defaultRowHeight="14"/>
  <cols>
    <col min="1" max="1" width="20" customWidth="1"/>
    <col min="2" max="2" width="25" customWidth="1"/>
    <col min="3" max="3" width="15" customWidth="1"/>
    <col min="4" max="4" width="30" customWidth="1"/>
    <col min="5" max="6" width="13" customWidth="1"/>
    <col min="7" max="9" width="17" customWidth="1"/>
    <col min="10" max="10" width="16" customWidth="1"/>
    <col min="11" max="11" width="11" customWidth="1"/>
    <col min="12" max="12" width="17" customWidth="1"/>
    <col min="13" max="13" width="18" customWidth="1"/>
    <col min="14" max="14" width="13" customWidth="1"/>
    <col min="15" max="15" width="28" customWidth="1"/>
    <col min="16" max="16" width="27" customWidth="1"/>
  </cols>
  <sheetData>
    <row r="1" spans="1:16" ht="1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30" customHeight="1">
      <c r="A2" s="2" t="s">
        <v>31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4" customHeight="1">
      <c r="A3" s="4" t="s">
        <v>32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</row>
    <row r="4" spans="1:16" ht="24" customHeight="1">
      <c r="A4" s="5" t="s">
        <v>33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24" customHeight="1">
      <c r="A5" s="5" t="s">
        <v>34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16" ht="24" customHeight="1">
      <c r="A6" s="5" t="s">
        <v>35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spans="1:16" ht="38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ht="34" customHeight="1">
      <c r="A8" s="12" t="s">
        <v>36</v>
      </c>
      <c r="B8" s="13" t="s">
        <v>12</v>
      </c>
      <c r="C8" s="13" t="s">
        <v>37</v>
      </c>
      <c r="D8" s="13" t="s">
        <v>38</v>
      </c>
      <c r="E8" s="13" t="s">
        <v>39</v>
      </c>
      <c r="F8" s="13" t="s">
        <v>40</v>
      </c>
      <c r="G8" s="13" t="s">
        <v>41</v>
      </c>
      <c r="H8" s="13" t="s">
        <v>5</v>
      </c>
      <c r="I8" s="13" t="s">
        <v>6</v>
      </c>
      <c r="J8" s="13" t="s">
        <v>42</v>
      </c>
      <c r="K8" s="13" t="s">
        <v>43</v>
      </c>
      <c r="L8" s="13" t="s">
        <v>44</v>
      </c>
      <c r="M8" s="13" t="s">
        <v>45</v>
      </c>
      <c r="N8" s="13" t="s">
        <v>46</v>
      </c>
      <c r="O8" s="13" t="s">
        <v>47</v>
      </c>
      <c r="P8" s="14" t="s">
        <v>48</v>
      </c>
    </row>
    <row r="9" spans="1:16" ht="24" hidden="1" customHeight="1">
      <c r="A9" s="6" t="s">
        <v>49</v>
      </c>
      <c r="B9" s="6" t="s">
        <v>13</v>
      </c>
      <c r="C9" s="6" t="s">
        <v>50</v>
      </c>
      <c r="D9" s="6" t="s">
        <v>51</v>
      </c>
      <c r="E9" s="9">
        <v>46174</v>
      </c>
      <c r="F9" s="9">
        <v>46204</v>
      </c>
      <c r="G9" s="26">
        <v>2400</v>
      </c>
      <c r="H9" s="27">
        <f>IF(OR(A9="",P9&lt;&gt;"OK",E9&gt;Overview!$K$4),"",SUMIFS(PaymentsTable[Amount],PaymentsTable[Invoice ID],A9,PaymentsTable[Received on],"&lt;="&amp;Overview!$K$4,PaymentsTable[Entry check],"OK"))</f>
        <v>500</v>
      </c>
      <c r="I9" s="28">
        <f>IF(ISNUMBER(H9),MAX(G9-H9,0),"")</f>
        <v>1900</v>
      </c>
      <c r="J9" s="28">
        <f>IF(ISNUMBER(H9),MAX(H9-G9,0),"")</f>
        <v>0</v>
      </c>
      <c r="K9" s="10">
        <f>IF(ISNUMBER(I9),IF(I9&gt;0,MAX(Overview!$K$4-F9,0),0),"")</f>
        <v>116</v>
      </c>
      <c r="L9" s="7" t="str">
        <f>IF(A9="","",IF(P9&lt;&gt;"OK","Review entry",IF(E9&gt;Overview!$K$4,"Not issued",IF(COUNTIFS(PaymentsTable[Invoice ID],A9,PaymentsTable[Entry check],"&lt;&gt;OK",PaymentsTable[Entry check],"?*")&gt;0,"Review payments",IF(J9&gt;0,"Overpaid",IF(I9=0,"Paid",IF(K9&gt;0,"Overdue",IF(F9=Overview!$K$4,"Due today",IF(H9&gt;0,"Part paid","Open")))))))))</f>
        <v>Overdue</v>
      </c>
      <c r="M9" s="6" t="s">
        <v>52</v>
      </c>
      <c r="N9" s="9">
        <v>46321</v>
      </c>
      <c r="O9" s="6" t="s">
        <v>53</v>
      </c>
      <c r="P9" s="7" t="str">
        <f>IF(A9="",IF(COUNTA(B9:G9)=0,"","Missing invoice ID"),IF(COUNTIFS(InvoicesTable[Invoice ID],A9)&gt;1,"Duplicate invoice ID",IF(OR(B9="",D9="",ISBLANK(E9),ISBLANK(F9),ISBLANK(G9)),"Missing required input",IF(OR(NOT(ISNUMBER(E9)),NOT(ISNUMBER(F9)),NOT(ISNUMBER(G9))),"Check date or amount",IF(OR(F9&lt;E9,G9&lt;=0),"Check due date / amount","OK")))))</f>
        <v>OK</v>
      </c>
    </row>
    <row r="10" spans="1:16" ht="24" hidden="1" customHeight="1">
      <c r="A10" s="6" t="s">
        <v>54</v>
      </c>
      <c r="B10" s="6" t="s">
        <v>14</v>
      </c>
      <c r="C10" s="6" t="s">
        <v>55</v>
      </c>
      <c r="D10" s="6" t="s">
        <v>56</v>
      </c>
      <c r="E10" s="9">
        <v>46188</v>
      </c>
      <c r="F10" s="9">
        <v>46218</v>
      </c>
      <c r="G10" s="26">
        <v>1800</v>
      </c>
      <c r="H10" s="27">
        <f>IF(OR(A10="",P10&lt;&gt;"OK",E10&gt;Overview!$K$4),"",SUMIFS(PaymentsTable[Amount],PaymentsTable[Invoice ID],A10,PaymentsTable[Received on],"&lt;="&amp;Overview!$K$4,PaymentsTable[Entry check],"OK"))</f>
        <v>1800</v>
      </c>
      <c r="I10" s="28">
        <f t="shared" ref="I10:I33" si="0">IF(ISNUMBER(H10),MAX(G10-H10,0),"")</f>
        <v>0</v>
      </c>
      <c r="J10" s="28">
        <f t="shared" ref="J10:J33" si="1">IF(ISNUMBER(H10),MAX(H10-G10,0),"")</f>
        <v>0</v>
      </c>
      <c r="K10" s="10">
        <f>IF(ISNUMBER(I10),IF(I10&gt;0,MAX(Overview!$K$4-F10,0),0),"")</f>
        <v>0</v>
      </c>
      <c r="L10" s="7" t="str">
        <f>IF(A10="","",IF(P10&lt;&gt;"OK","Review entry",IF(E10&gt;Overview!$K$4,"Not issued",IF(COUNTIFS(PaymentsTable[Invoice ID],A10,PaymentsTable[Entry check],"&lt;&gt;OK",PaymentsTable[Entry check],"?*")&gt;0,"Review payments",IF(J10&gt;0,"Overpaid",IF(I10=0,"Paid",IF(K10&gt;0,"Overdue",IF(F10=Overview!$K$4,"Due today",IF(H10&gt;0,"Part paid","Open")))))))))</f>
        <v>Paid</v>
      </c>
      <c r="M10" s="6" t="s">
        <v>57</v>
      </c>
      <c r="N10" s="9"/>
      <c r="O10" s="6"/>
      <c r="P10" s="7" t="str">
        <f>IF(A10="",IF(COUNTA(B10:G10)=0,"","Missing invoice ID"),IF(COUNTIFS(InvoicesTable[Invoice ID],A10)&gt;1,"Duplicate invoice ID",IF(OR(B10="",D10="",ISBLANK(E10),ISBLANK(F10),ISBLANK(G10)),"Missing required input",IF(OR(NOT(ISNUMBER(E10)),NOT(ISNUMBER(F10)),NOT(ISNUMBER(G10))),"Check date or amount",IF(OR(F10&lt;E10,G10&lt;=0),"Check due date / amount","OK")))))</f>
        <v>OK</v>
      </c>
    </row>
    <row r="11" spans="1:16" ht="24" hidden="1" customHeight="1">
      <c r="A11" s="6" t="s">
        <v>58</v>
      </c>
      <c r="B11" s="6" t="s">
        <v>15</v>
      </c>
      <c r="C11" s="6" t="s">
        <v>59</v>
      </c>
      <c r="D11" s="6" t="s">
        <v>60</v>
      </c>
      <c r="E11" s="9">
        <v>46204</v>
      </c>
      <c r="F11" s="9">
        <v>46234</v>
      </c>
      <c r="G11" s="26">
        <v>3600</v>
      </c>
      <c r="H11" s="27">
        <f>IF(OR(A11="",P11&lt;&gt;"OK",E11&gt;Overview!$K$4),"",SUMIFS(PaymentsTable[Amount],PaymentsTable[Invoice ID],A11,PaymentsTable[Received on],"&lt;="&amp;Overview!$K$4,PaymentsTable[Entry check],"OK"))</f>
        <v>900</v>
      </c>
      <c r="I11" s="28">
        <f t="shared" si="0"/>
        <v>2700</v>
      </c>
      <c r="J11" s="28">
        <f t="shared" si="1"/>
        <v>0</v>
      </c>
      <c r="K11" s="10">
        <f>IF(ISNUMBER(I11),IF(I11&gt;0,MAX(Overview!$K$4-F11,0),0),"")</f>
        <v>86</v>
      </c>
      <c r="L11" s="7" t="str">
        <f>IF(A11="","",IF(P11&lt;&gt;"OK","Review entry",IF(E11&gt;Overview!$K$4,"Not issued",IF(COUNTIFS(PaymentsTable[Invoice ID],A11,PaymentsTable[Entry check],"&lt;&gt;OK",PaymentsTable[Entry check],"?*")&gt;0,"Review payments",IF(J11&gt;0,"Overpaid",IF(I11=0,"Paid",IF(K11&gt;0,"Overdue",IF(F11=Overview!$K$4,"Due today",IF(H11&gt;0,"Part paid","Open")))))))))</f>
        <v>Overdue</v>
      </c>
      <c r="M11" s="6" t="s">
        <v>61</v>
      </c>
      <c r="N11" s="9">
        <v>46323</v>
      </c>
      <c r="O11" s="6" t="s">
        <v>53</v>
      </c>
      <c r="P11" s="7" t="str">
        <f>IF(A11="",IF(COUNTA(B11:G11)=0,"","Missing invoice ID"),IF(COUNTIFS(InvoicesTable[Invoice ID],A11)&gt;1,"Duplicate invoice ID",IF(OR(B11="",D11="",ISBLANK(E11),ISBLANK(F11),ISBLANK(G11)),"Missing required input",IF(OR(NOT(ISNUMBER(E11)),NOT(ISNUMBER(F11)),NOT(ISNUMBER(G11))),"Check date or amount",IF(OR(F11&lt;E11,G11&lt;=0),"Check due date / amount","OK")))))</f>
        <v>OK</v>
      </c>
    </row>
    <row r="12" spans="1:16" ht="24" hidden="1" customHeight="1">
      <c r="A12" s="6" t="s">
        <v>62</v>
      </c>
      <c r="B12" s="6" t="s">
        <v>16</v>
      </c>
      <c r="C12" s="6" t="s">
        <v>63</v>
      </c>
      <c r="D12" s="6" t="s">
        <v>64</v>
      </c>
      <c r="E12" s="9">
        <v>46213</v>
      </c>
      <c r="F12" s="9">
        <v>46243</v>
      </c>
      <c r="G12" s="26">
        <v>1250</v>
      </c>
      <c r="H12" s="27">
        <f>IF(OR(A12="",P12&lt;&gt;"OK",E12&gt;Overview!$K$4),"",SUMIFS(PaymentsTable[Amount],PaymentsTable[Invoice ID],A12,PaymentsTable[Received on],"&lt;="&amp;Overview!$K$4,PaymentsTable[Entry check],"OK"))</f>
        <v>0</v>
      </c>
      <c r="I12" s="28">
        <f t="shared" si="0"/>
        <v>1250</v>
      </c>
      <c r="J12" s="28">
        <f t="shared" si="1"/>
        <v>0</v>
      </c>
      <c r="K12" s="10">
        <f>IF(ISNUMBER(I12),IF(I12&gt;0,MAX(Overview!$K$4-F12,0),0),"")</f>
        <v>77</v>
      </c>
      <c r="L12" s="7" t="str">
        <f>IF(A12="","",IF(P12&lt;&gt;"OK","Review entry",IF(E12&gt;Overview!$K$4,"Not issued",IF(COUNTIFS(PaymentsTable[Invoice ID],A12,PaymentsTable[Entry check],"&lt;&gt;OK",PaymentsTable[Entry check],"?*")&gt;0,"Review payments",IF(J12&gt;0,"Overpaid",IF(I12=0,"Paid",IF(K12&gt;0,"Overdue",IF(F12=Overview!$K$4,"Due today",IF(H12&gt;0,"Part paid","Open")))))))))</f>
        <v>Overdue</v>
      </c>
      <c r="M12" s="6" t="s">
        <v>52</v>
      </c>
      <c r="N12" s="9">
        <v>46321</v>
      </c>
      <c r="O12" s="6" t="s">
        <v>53</v>
      </c>
      <c r="P12" s="7" t="str">
        <f>IF(A12="",IF(COUNTA(B12:G12)=0,"","Missing invoice ID"),IF(COUNTIFS(InvoicesTable[Invoice ID],A12)&gt;1,"Duplicate invoice ID",IF(OR(B12="",D12="",ISBLANK(E12),ISBLANK(F12),ISBLANK(G12)),"Missing required input",IF(OR(NOT(ISNUMBER(E12)),NOT(ISNUMBER(F12)),NOT(ISNUMBER(G12))),"Check date or amount",IF(OR(F12&lt;E12,G12&lt;=0),"Check due date / amount","OK")))))</f>
        <v>OK</v>
      </c>
    </row>
    <row r="13" spans="1:16" ht="24" hidden="1" customHeight="1">
      <c r="A13" s="6" t="s">
        <v>65</v>
      </c>
      <c r="B13" s="6" t="s">
        <v>17</v>
      </c>
      <c r="C13" s="6" t="s">
        <v>66</v>
      </c>
      <c r="D13" s="6" t="s">
        <v>67</v>
      </c>
      <c r="E13" s="9">
        <v>46223</v>
      </c>
      <c r="F13" s="9">
        <v>46253</v>
      </c>
      <c r="G13" s="26">
        <v>2900</v>
      </c>
      <c r="H13" s="27">
        <f>IF(OR(A13="",P13&lt;&gt;"OK",E13&gt;Overview!$K$4),"",SUMIFS(PaymentsTable[Amount],PaymentsTable[Invoice ID],A13,PaymentsTable[Received on],"&lt;="&amp;Overview!$K$4,PaymentsTable[Entry check],"OK"))</f>
        <v>2900</v>
      </c>
      <c r="I13" s="28">
        <f t="shared" si="0"/>
        <v>0</v>
      </c>
      <c r="J13" s="28">
        <f t="shared" si="1"/>
        <v>0</v>
      </c>
      <c r="K13" s="10">
        <f>IF(ISNUMBER(I13),IF(I13&gt;0,MAX(Overview!$K$4-F13,0),0),"")</f>
        <v>0</v>
      </c>
      <c r="L13" s="7" t="str">
        <f>IF(A13="","",IF(P13&lt;&gt;"OK","Review entry",IF(E13&gt;Overview!$K$4,"Not issued",IF(COUNTIFS(PaymentsTable[Invoice ID],A13,PaymentsTable[Entry check],"&lt;&gt;OK",PaymentsTable[Entry check],"?*")&gt;0,"Review payments",IF(J13&gt;0,"Overpaid",IF(I13=0,"Paid",IF(K13&gt;0,"Overdue",IF(F13=Overview!$K$4,"Due today",IF(H13&gt;0,"Part paid","Open")))))))))</f>
        <v>Paid</v>
      </c>
      <c r="M13" s="6" t="s">
        <v>57</v>
      </c>
      <c r="N13" s="9"/>
      <c r="O13" s="6"/>
      <c r="P13" s="7" t="str">
        <f>IF(A13="",IF(COUNTA(B13:G13)=0,"","Missing invoice ID"),IF(COUNTIFS(InvoicesTable[Invoice ID],A13)&gt;1,"Duplicate invoice ID",IF(OR(B13="",D13="",ISBLANK(E13),ISBLANK(F13),ISBLANK(G13)),"Missing required input",IF(OR(NOT(ISNUMBER(E13)),NOT(ISNUMBER(F13)),NOT(ISNUMBER(G13))),"Check date or amount",IF(OR(F13&lt;E13,G13&lt;=0),"Check due date / amount","OK")))))</f>
        <v>OK</v>
      </c>
    </row>
    <row r="14" spans="1:16" ht="24" hidden="1" customHeight="1">
      <c r="A14" s="6" t="s">
        <v>68</v>
      </c>
      <c r="B14" s="6" t="s">
        <v>18</v>
      </c>
      <c r="C14" s="6" t="s">
        <v>69</v>
      </c>
      <c r="D14" s="6" t="s">
        <v>70</v>
      </c>
      <c r="E14" s="9">
        <v>46235</v>
      </c>
      <c r="F14" s="9">
        <v>46265</v>
      </c>
      <c r="G14" s="26">
        <v>4800</v>
      </c>
      <c r="H14" s="27">
        <f>IF(OR(A14="",P14&lt;&gt;"OK",E14&gt;Overview!$K$4),"",SUMIFS(PaymentsTable[Amount],PaymentsTable[Invoice ID],A14,PaymentsTable[Received on],"&lt;="&amp;Overview!$K$4,PaymentsTable[Entry check],"OK"))</f>
        <v>1800</v>
      </c>
      <c r="I14" s="28">
        <f t="shared" si="0"/>
        <v>3000</v>
      </c>
      <c r="J14" s="28">
        <f t="shared" si="1"/>
        <v>0</v>
      </c>
      <c r="K14" s="10">
        <f>IF(ISNUMBER(I14),IF(I14&gt;0,MAX(Overview!$K$4-F14,0),0),"")</f>
        <v>55</v>
      </c>
      <c r="L14" s="7" t="str">
        <f>IF(A14="","",IF(P14&lt;&gt;"OK","Review entry",IF(E14&gt;Overview!$K$4,"Not issued",IF(COUNTIFS(PaymentsTable[Invoice ID],A14,PaymentsTable[Entry check],"&lt;&gt;OK",PaymentsTable[Entry check],"?*")&gt;0,"Review payments",IF(J14&gt;0,"Overpaid",IF(I14=0,"Paid",IF(K14&gt;0,"Overdue",IF(F14=Overview!$K$4,"Due today",IF(H14&gt;0,"Part paid","Open")))))))))</f>
        <v>Overdue</v>
      </c>
      <c r="M14" s="6" t="s">
        <v>61</v>
      </c>
      <c r="N14" s="9">
        <v>46323</v>
      </c>
      <c r="O14" s="6" t="s">
        <v>53</v>
      </c>
      <c r="P14" s="7" t="str">
        <f>IF(A14="",IF(COUNTA(B14:G14)=0,"","Missing invoice ID"),IF(COUNTIFS(InvoicesTable[Invoice ID],A14)&gt;1,"Duplicate invoice ID",IF(OR(B14="",D14="",ISBLANK(E14),ISBLANK(F14),ISBLANK(G14)),"Missing required input",IF(OR(NOT(ISNUMBER(E14)),NOT(ISNUMBER(F14)),NOT(ISNUMBER(G14))),"Check date or amount",IF(OR(F14&lt;E14,G14&lt;=0),"Check due date / amount","OK")))))</f>
        <v>OK</v>
      </c>
    </row>
    <row r="15" spans="1:16" ht="24" hidden="1" customHeight="1">
      <c r="A15" s="6" t="s">
        <v>71</v>
      </c>
      <c r="B15" s="6" t="s">
        <v>13</v>
      </c>
      <c r="C15" s="6" t="s">
        <v>72</v>
      </c>
      <c r="D15" s="6" t="s">
        <v>73</v>
      </c>
      <c r="E15" s="9">
        <v>46241</v>
      </c>
      <c r="F15" s="9">
        <v>46271</v>
      </c>
      <c r="G15" s="26">
        <v>1650</v>
      </c>
      <c r="H15" s="27">
        <f>IF(OR(A15="",P15&lt;&gt;"OK",E15&gt;Overview!$K$4),"",SUMIFS(PaymentsTable[Amount],PaymentsTable[Invoice ID],A15,PaymentsTable[Received on],"&lt;="&amp;Overview!$K$4,PaymentsTable[Entry check],"OK"))</f>
        <v>0</v>
      </c>
      <c r="I15" s="28">
        <f t="shared" si="0"/>
        <v>1650</v>
      </c>
      <c r="J15" s="28">
        <f t="shared" si="1"/>
        <v>0</v>
      </c>
      <c r="K15" s="10">
        <f>IF(ISNUMBER(I15),IF(I15&gt;0,MAX(Overview!$K$4-F15,0),0),"")</f>
        <v>49</v>
      </c>
      <c r="L15" s="7" t="str">
        <f>IF(A15="","",IF(P15&lt;&gt;"OK","Review entry",IF(E15&gt;Overview!$K$4,"Not issued",IF(COUNTIFS(PaymentsTable[Invoice ID],A15,PaymentsTable[Entry check],"&lt;&gt;OK",PaymentsTable[Entry check],"?*")&gt;0,"Review payments",IF(J15&gt;0,"Overpaid",IF(I15=0,"Paid",IF(K15&gt;0,"Overdue",IF(F15=Overview!$K$4,"Due today",IF(H15&gt;0,"Part paid","Open")))))))))</f>
        <v>Overdue</v>
      </c>
      <c r="M15" s="6" t="s">
        <v>52</v>
      </c>
      <c r="N15" s="9">
        <v>46321</v>
      </c>
      <c r="O15" s="6" t="s">
        <v>53</v>
      </c>
      <c r="P15" s="7" t="str">
        <f>IF(A15="",IF(COUNTA(B15:G15)=0,"","Missing invoice ID"),IF(COUNTIFS(InvoicesTable[Invoice ID],A15)&gt;1,"Duplicate invoice ID",IF(OR(B15="",D15="",ISBLANK(E15),ISBLANK(F15),ISBLANK(G15)),"Missing required input",IF(OR(NOT(ISNUMBER(E15)),NOT(ISNUMBER(F15)),NOT(ISNUMBER(G15))),"Check date or amount",IF(OR(F15&lt;E15,G15&lt;=0),"Check due date / amount","OK")))))</f>
        <v>OK</v>
      </c>
    </row>
    <row r="16" spans="1:16" ht="24" hidden="1" customHeight="1">
      <c r="A16" s="6" t="s">
        <v>74</v>
      </c>
      <c r="B16" s="6" t="s">
        <v>14</v>
      </c>
      <c r="C16" s="6" t="s">
        <v>75</v>
      </c>
      <c r="D16" s="6" t="s">
        <v>76</v>
      </c>
      <c r="E16" s="9">
        <v>46249</v>
      </c>
      <c r="F16" s="9">
        <v>46279</v>
      </c>
      <c r="G16" s="26">
        <v>4200</v>
      </c>
      <c r="H16" s="27">
        <f>IF(OR(A16="",P16&lt;&gt;"OK",E16&gt;Overview!$K$4),"",SUMIFS(PaymentsTable[Amount],PaymentsTable[Invoice ID],A16,PaymentsTable[Received on],"&lt;="&amp;Overview!$K$4,PaymentsTable[Entry check],"OK"))</f>
        <v>4200</v>
      </c>
      <c r="I16" s="28">
        <f t="shared" si="0"/>
        <v>0</v>
      </c>
      <c r="J16" s="28">
        <f t="shared" si="1"/>
        <v>0</v>
      </c>
      <c r="K16" s="10">
        <f>IF(ISNUMBER(I16),IF(I16&gt;0,MAX(Overview!$K$4-F16,0),0),"")</f>
        <v>0</v>
      </c>
      <c r="L16" s="7" t="str">
        <f>IF(A16="","",IF(P16&lt;&gt;"OK","Review entry",IF(E16&gt;Overview!$K$4,"Not issued",IF(COUNTIFS(PaymentsTable[Invoice ID],A16,PaymentsTable[Entry check],"&lt;&gt;OK",PaymentsTable[Entry check],"?*")&gt;0,"Review payments",IF(J16&gt;0,"Overpaid",IF(I16=0,"Paid",IF(K16&gt;0,"Overdue",IF(F16=Overview!$K$4,"Due today",IF(H16&gt;0,"Part paid","Open")))))))))</f>
        <v>Paid</v>
      </c>
      <c r="M16" s="6" t="s">
        <v>57</v>
      </c>
      <c r="N16" s="9"/>
      <c r="O16" s="6"/>
      <c r="P16" s="7" t="str">
        <f>IF(A16="",IF(COUNTA(B16:G16)=0,"","Missing invoice ID"),IF(COUNTIFS(InvoicesTable[Invoice ID],A16)&gt;1,"Duplicate invoice ID",IF(OR(B16="",D16="",ISBLANK(E16),ISBLANK(F16),ISBLANK(G16)),"Missing required input",IF(OR(NOT(ISNUMBER(E16)),NOT(ISNUMBER(F16)),NOT(ISNUMBER(G16))),"Check date or amount",IF(OR(F16&lt;E16,G16&lt;=0),"Check due date / amount","OK")))))</f>
        <v>OK</v>
      </c>
    </row>
    <row r="17" spans="1:16" ht="24" hidden="1" customHeight="1">
      <c r="A17" s="6" t="s">
        <v>77</v>
      </c>
      <c r="B17" s="6" t="s">
        <v>15</v>
      </c>
      <c r="C17" s="6" t="s">
        <v>78</v>
      </c>
      <c r="D17" s="6" t="s">
        <v>64</v>
      </c>
      <c r="E17" s="9">
        <v>46258</v>
      </c>
      <c r="F17" s="9">
        <v>46288</v>
      </c>
      <c r="G17" s="26">
        <v>2100</v>
      </c>
      <c r="H17" s="27">
        <f>IF(OR(A17="",P17&lt;&gt;"OK",E17&gt;Overview!$K$4),"",SUMIFS(PaymentsTable[Amount],PaymentsTable[Invoice ID],A17,PaymentsTable[Received on],"&lt;="&amp;Overview!$K$4,PaymentsTable[Entry check],"OK"))</f>
        <v>1100</v>
      </c>
      <c r="I17" s="28">
        <f t="shared" si="0"/>
        <v>1000</v>
      </c>
      <c r="J17" s="28">
        <f t="shared" si="1"/>
        <v>0</v>
      </c>
      <c r="K17" s="10">
        <f>IF(ISNUMBER(I17),IF(I17&gt;0,MAX(Overview!$K$4-F17,0),0),"")</f>
        <v>32</v>
      </c>
      <c r="L17" s="7" t="str">
        <f>IF(A17="","",IF(P17&lt;&gt;"OK","Review entry",IF(E17&gt;Overview!$K$4,"Not issued",IF(COUNTIFS(PaymentsTable[Invoice ID],A17,PaymentsTable[Entry check],"&lt;&gt;OK",PaymentsTable[Entry check],"?*")&gt;0,"Review payments",IF(J17&gt;0,"Overpaid",IF(I17=0,"Paid",IF(K17&gt;0,"Overdue",IF(F17=Overview!$K$4,"Due today",IF(H17&gt;0,"Part paid","Open")))))))))</f>
        <v>Overdue</v>
      </c>
      <c r="M17" s="6" t="s">
        <v>61</v>
      </c>
      <c r="N17" s="9">
        <v>46323</v>
      </c>
      <c r="O17" s="6" t="s">
        <v>53</v>
      </c>
      <c r="P17" s="7" t="str">
        <f>IF(A17="",IF(COUNTA(B17:G17)=0,"","Missing invoice ID"),IF(COUNTIFS(InvoicesTable[Invoice ID],A17)&gt;1,"Duplicate invoice ID",IF(OR(B17="",D17="",ISBLANK(E17),ISBLANK(F17),ISBLANK(G17)),"Missing required input",IF(OR(NOT(ISNUMBER(E17)),NOT(ISNUMBER(F17)),NOT(ISNUMBER(G17))),"Check date or amount",IF(OR(F17&lt;E17,G17&lt;=0),"Check due date / amount","OK")))))</f>
        <v>OK</v>
      </c>
    </row>
    <row r="18" spans="1:16" ht="24" hidden="1" customHeight="1">
      <c r="A18" s="6" t="s">
        <v>79</v>
      </c>
      <c r="B18" s="6" t="s">
        <v>16</v>
      </c>
      <c r="C18" s="6" t="s">
        <v>80</v>
      </c>
      <c r="D18" s="6" t="s">
        <v>81</v>
      </c>
      <c r="E18" s="9">
        <v>46266</v>
      </c>
      <c r="F18" s="9">
        <v>46296</v>
      </c>
      <c r="G18" s="26">
        <v>3200</v>
      </c>
      <c r="H18" s="27">
        <f>IF(OR(A18="",P18&lt;&gt;"OK",E18&gt;Overview!$K$4),"",SUMIFS(PaymentsTable[Amount],PaymentsTable[Invoice ID],A18,PaymentsTable[Received on],"&lt;="&amp;Overview!$K$4,PaymentsTable[Entry check],"OK"))</f>
        <v>1200</v>
      </c>
      <c r="I18" s="28">
        <f t="shared" si="0"/>
        <v>2000</v>
      </c>
      <c r="J18" s="28">
        <f t="shared" si="1"/>
        <v>0</v>
      </c>
      <c r="K18" s="10">
        <f>IF(ISNUMBER(I18),IF(I18&gt;0,MAX(Overview!$K$4-F18,0),0),"")</f>
        <v>24</v>
      </c>
      <c r="L18" s="7" t="str">
        <f>IF(A18="","",IF(P18&lt;&gt;"OK","Review entry",IF(E18&gt;Overview!$K$4,"Not issued",IF(COUNTIFS(PaymentsTable[Invoice ID],A18,PaymentsTable[Entry check],"&lt;&gt;OK",PaymentsTable[Entry check],"?*")&gt;0,"Review payments",IF(J18&gt;0,"Overpaid",IF(I18=0,"Paid",IF(K18&gt;0,"Overdue",IF(F18=Overview!$K$4,"Due today",IF(H18&gt;0,"Part paid","Open")))))))))</f>
        <v>Overdue</v>
      </c>
      <c r="M18" s="6" t="s">
        <v>52</v>
      </c>
      <c r="N18" s="9">
        <v>46321</v>
      </c>
      <c r="O18" s="6" t="s">
        <v>53</v>
      </c>
      <c r="P18" s="7" t="str">
        <f>IF(A18="",IF(COUNTA(B18:G18)=0,"","Missing invoice ID"),IF(COUNTIFS(InvoicesTable[Invoice ID],A18)&gt;1,"Duplicate invoice ID",IF(OR(B18="",D18="",ISBLANK(E18),ISBLANK(F18),ISBLANK(G18)),"Missing required input",IF(OR(NOT(ISNUMBER(E18)),NOT(ISNUMBER(F18)),NOT(ISNUMBER(G18))),"Check date or amount",IF(OR(F18&lt;E18,G18&lt;=0),"Check due date / amount","OK")))))</f>
        <v>OK</v>
      </c>
    </row>
    <row r="19" spans="1:16" ht="24" hidden="1" customHeight="1">
      <c r="A19" s="6" t="s">
        <v>82</v>
      </c>
      <c r="B19" s="6" t="s">
        <v>17</v>
      </c>
      <c r="C19" s="6" t="s">
        <v>83</v>
      </c>
      <c r="D19" s="6" t="s">
        <v>84</v>
      </c>
      <c r="E19" s="9">
        <v>46270</v>
      </c>
      <c r="F19" s="9">
        <v>46300</v>
      </c>
      <c r="G19" s="26">
        <v>950</v>
      </c>
      <c r="H19" s="27">
        <f>IF(OR(A19="",P19&lt;&gt;"OK",E19&gt;Overview!$K$4),"",SUMIFS(PaymentsTable[Amount],PaymentsTable[Invoice ID],A19,PaymentsTable[Received on],"&lt;="&amp;Overview!$K$4,PaymentsTable[Entry check],"OK"))</f>
        <v>0</v>
      </c>
      <c r="I19" s="28">
        <f t="shared" si="0"/>
        <v>950</v>
      </c>
      <c r="J19" s="28">
        <f t="shared" si="1"/>
        <v>0</v>
      </c>
      <c r="K19" s="10">
        <f>IF(ISNUMBER(I19),IF(I19&gt;0,MAX(Overview!$K$4-F19,0),0),"")</f>
        <v>20</v>
      </c>
      <c r="L19" s="7" t="str">
        <f>IF(A19="","",IF(P19&lt;&gt;"OK","Review entry",IF(E19&gt;Overview!$K$4,"Not issued",IF(COUNTIFS(PaymentsTable[Invoice ID],A19,PaymentsTable[Entry check],"&lt;&gt;OK",PaymentsTable[Entry check],"?*")&gt;0,"Review payments",IF(J19&gt;0,"Overpaid",IF(I19=0,"Paid",IF(K19&gt;0,"Overdue",IF(F19=Overview!$K$4,"Due today",IF(H19&gt;0,"Part paid","Open")))))))))</f>
        <v>Overdue</v>
      </c>
      <c r="M19" s="6" t="s">
        <v>57</v>
      </c>
      <c r="N19" s="9">
        <v>46322</v>
      </c>
      <c r="O19" s="6" t="s">
        <v>53</v>
      </c>
      <c r="P19" s="7" t="str">
        <f>IF(A19="",IF(COUNTA(B19:G19)=0,"","Missing invoice ID"),IF(COUNTIFS(InvoicesTable[Invoice ID],A19)&gt;1,"Duplicate invoice ID",IF(OR(B19="",D19="",ISBLANK(E19),ISBLANK(F19),ISBLANK(G19)),"Missing required input",IF(OR(NOT(ISNUMBER(E19)),NOT(ISNUMBER(F19)),NOT(ISNUMBER(G19))),"Check date or amount",IF(OR(F19&lt;E19,G19&lt;=0),"Check due date / amount","OK")))))</f>
        <v>OK</v>
      </c>
    </row>
    <row r="20" spans="1:16" ht="24" hidden="1" customHeight="1">
      <c r="A20" s="6" t="s">
        <v>85</v>
      </c>
      <c r="B20" s="6" t="s">
        <v>18</v>
      </c>
      <c r="C20" s="6" t="s">
        <v>86</v>
      </c>
      <c r="D20" s="6" t="s">
        <v>60</v>
      </c>
      <c r="E20" s="9">
        <v>46275</v>
      </c>
      <c r="F20" s="9">
        <v>46305</v>
      </c>
      <c r="G20" s="26">
        <v>2750</v>
      </c>
      <c r="H20" s="27">
        <f>IF(OR(A20="",P20&lt;&gt;"OK",E20&gt;Overview!$K$4),"",SUMIFS(PaymentsTable[Amount],PaymentsTable[Invoice ID],A20,PaymentsTable[Received on],"&lt;="&amp;Overview!$K$4,PaymentsTable[Entry check],"OK"))</f>
        <v>2750</v>
      </c>
      <c r="I20" s="28">
        <f t="shared" si="0"/>
        <v>0</v>
      </c>
      <c r="J20" s="28">
        <f t="shared" si="1"/>
        <v>0</v>
      </c>
      <c r="K20" s="10">
        <f>IF(ISNUMBER(I20),IF(I20&gt;0,MAX(Overview!$K$4-F20,0),0),"")</f>
        <v>0</v>
      </c>
      <c r="L20" s="7" t="str">
        <f>IF(A20="","",IF(P20&lt;&gt;"OK","Review entry",IF(E20&gt;Overview!$K$4,"Not issued",IF(COUNTIFS(PaymentsTable[Invoice ID],A20,PaymentsTable[Entry check],"&lt;&gt;OK",PaymentsTable[Entry check],"?*")&gt;0,"Review payments",IF(J20&gt;0,"Overpaid",IF(I20=0,"Paid",IF(K20&gt;0,"Overdue",IF(F20=Overview!$K$4,"Due today",IF(H20&gt;0,"Part paid","Open")))))))))</f>
        <v>Paid</v>
      </c>
      <c r="M20" s="6" t="s">
        <v>61</v>
      </c>
      <c r="N20" s="9"/>
      <c r="O20" s="6"/>
      <c r="P20" s="7" t="str">
        <f>IF(A20="",IF(COUNTA(B20:G20)=0,"","Missing invoice ID"),IF(COUNTIFS(InvoicesTable[Invoice ID],A20)&gt;1,"Duplicate invoice ID",IF(OR(B20="",D20="",ISBLANK(E20),ISBLANK(F20),ISBLANK(G20)),"Missing required input",IF(OR(NOT(ISNUMBER(E20)),NOT(ISNUMBER(F20)),NOT(ISNUMBER(G20))),"Check date or amount",IF(OR(F20&lt;E20,G20&lt;=0),"Check due date / amount","OK")))))</f>
        <v>OK</v>
      </c>
    </row>
    <row r="21" spans="1:16" ht="24" hidden="1" customHeight="1">
      <c r="A21" s="6" t="s">
        <v>87</v>
      </c>
      <c r="B21" s="6" t="s">
        <v>13</v>
      </c>
      <c r="C21" s="6" t="s">
        <v>88</v>
      </c>
      <c r="D21" s="6" t="s">
        <v>70</v>
      </c>
      <c r="E21" s="9">
        <v>46280</v>
      </c>
      <c r="F21" s="9">
        <v>46310</v>
      </c>
      <c r="G21" s="26">
        <v>5800</v>
      </c>
      <c r="H21" s="27">
        <f>IF(OR(A21="",P21&lt;&gt;"OK",E21&gt;Overview!$K$4),"",SUMIFS(PaymentsTable[Amount],PaymentsTable[Invoice ID],A21,PaymentsTable[Received on],"&lt;="&amp;Overview!$K$4,PaymentsTable[Entry check],"OK"))</f>
        <v>3000</v>
      </c>
      <c r="I21" s="28">
        <f t="shared" si="0"/>
        <v>2800</v>
      </c>
      <c r="J21" s="28">
        <f t="shared" si="1"/>
        <v>0</v>
      </c>
      <c r="K21" s="10">
        <f>IF(ISNUMBER(I21),IF(I21&gt;0,MAX(Overview!$K$4-F21,0),0),"")</f>
        <v>10</v>
      </c>
      <c r="L21" s="7" t="str">
        <f>IF(A21="","",IF(P21&lt;&gt;"OK","Review entry",IF(E21&gt;Overview!$K$4,"Not issued",IF(COUNTIFS(PaymentsTable[Invoice ID],A21,PaymentsTable[Entry check],"&lt;&gt;OK",PaymentsTable[Entry check],"?*")&gt;0,"Review payments",IF(J21&gt;0,"Overpaid",IF(I21=0,"Paid",IF(K21&gt;0,"Overdue",IF(F21=Overview!$K$4,"Due today",IF(H21&gt;0,"Part paid","Open")))))))))</f>
        <v>Overdue</v>
      </c>
      <c r="M21" s="6" t="s">
        <v>52</v>
      </c>
      <c r="N21" s="9">
        <v>46321</v>
      </c>
      <c r="O21" s="6" t="s">
        <v>53</v>
      </c>
      <c r="P21" s="7" t="str">
        <f>IF(A21="",IF(COUNTA(B21:G21)=0,"","Missing invoice ID"),IF(COUNTIFS(InvoicesTable[Invoice ID],A21)&gt;1,"Duplicate invoice ID",IF(OR(B21="",D21="",ISBLANK(E21),ISBLANK(F21),ISBLANK(G21)),"Missing required input",IF(OR(NOT(ISNUMBER(E21)),NOT(ISNUMBER(F21)),NOT(ISNUMBER(G21))),"Check date or amount",IF(OR(F21&lt;E21,G21&lt;=0),"Check due date / amount","OK")))))</f>
        <v>OK</v>
      </c>
    </row>
    <row r="22" spans="1:16" ht="24" hidden="1" customHeight="1">
      <c r="A22" s="6" t="s">
        <v>89</v>
      </c>
      <c r="B22" s="6" t="s">
        <v>14</v>
      </c>
      <c r="C22" s="6" t="s">
        <v>90</v>
      </c>
      <c r="D22" s="6" t="s">
        <v>51</v>
      </c>
      <c r="E22" s="9">
        <v>46285</v>
      </c>
      <c r="F22" s="9">
        <v>46315</v>
      </c>
      <c r="G22" s="26">
        <v>1450</v>
      </c>
      <c r="H22" s="27">
        <f>IF(OR(A22="",P22&lt;&gt;"OK",E22&gt;Overview!$K$4),"",SUMIFS(PaymentsTable[Amount],PaymentsTable[Invoice ID],A22,PaymentsTable[Received on],"&lt;="&amp;Overview!$K$4,PaymentsTable[Entry check],"OK"))</f>
        <v>0</v>
      </c>
      <c r="I22" s="28">
        <f t="shared" si="0"/>
        <v>1450</v>
      </c>
      <c r="J22" s="28">
        <f t="shared" si="1"/>
        <v>0</v>
      </c>
      <c r="K22" s="10">
        <f>IF(ISNUMBER(I22),IF(I22&gt;0,MAX(Overview!$K$4-F22,0),0),"")</f>
        <v>5</v>
      </c>
      <c r="L22" s="7" t="str">
        <f>IF(A22="","",IF(P22&lt;&gt;"OK","Review entry",IF(E22&gt;Overview!$K$4,"Not issued",IF(COUNTIFS(PaymentsTable[Invoice ID],A22,PaymentsTable[Entry check],"&lt;&gt;OK",PaymentsTable[Entry check],"?*")&gt;0,"Review payments",IF(J22&gt;0,"Overpaid",IF(I22=0,"Paid",IF(K22&gt;0,"Overdue",IF(F22=Overview!$K$4,"Due today",IF(H22&gt;0,"Part paid","Open")))))))))</f>
        <v>Overdue</v>
      </c>
      <c r="M22" s="6" t="s">
        <v>57</v>
      </c>
      <c r="N22" s="9">
        <v>46322</v>
      </c>
      <c r="O22" s="6" t="s">
        <v>53</v>
      </c>
      <c r="P22" s="7" t="str">
        <f>IF(A22="",IF(COUNTA(B22:G22)=0,"","Missing invoice ID"),IF(COUNTIFS(InvoicesTable[Invoice ID],A22)&gt;1,"Duplicate invoice ID",IF(OR(B22="",D22="",ISBLANK(E22),ISBLANK(F22),ISBLANK(G22)),"Missing required input",IF(OR(NOT(ISNUMBER(E22)),NOT(ISNUMBER(F22)),NOT(ISNUMBER(G22))),"Check date or amount",IF(OR(F22&lt;E22,G22&lt;=0),"Check due date / amount","OK")))))</f>
        <v>OK</v>
      </c>
    </row>
    <row r="23" spans="1:16" ht="24" hidden="1" customHeight="1">
      <c r="A23" s="6" t="s">
        <v>91</v>
      </c>
      <c r="B23" s="6" t="s">
        <v>15</v>
      </c>
      <c r="C23" s="6" t="s">
        <v>92</v>
      </c>
      <c r="D23" s="6" t="s">
        <v>67</v>
      </c>
      <c r="E23" s="9">
        <v>46290</v>
      </c>
      <c r="F23" s="9">
        <v>46320</v>
      </c>
      <c r="G23" s="26">
        <v>2250</v>
      </c>
      <c r="H23" s="27">
        <f>IF(OR(A23="",P23&lt;&gt;"OK",E23&gt;Overview!$K$4),"",SUMIFS(PaymentsTable[Amount],PaymentsTable[Invoice ID],A23,PaymentsTable[Received on],"&lt;="&amp;Overview!$K$4,PaymentsTable[Entry check],"OK"))</f>
        <v>0</v>
      </c>
      <c r="I23" s="28">
        <f t="shared" si="0"/>
        <v>2250</v>
      </c>
      <c r="J23" s="28">
        <f t="shared" si="1"/>
        <v>0</v>
      </c>
      <c r="K23" s="10">
        <f>IF(ISNUMBER(I23),IF(I23&gt;0,MAX(Overview!$K$4-F23,0),0),"")</f>
        <v>0</v>
      </c>
      <c r="L23" s="7" t="str">
        <f>IF(A23="","",IF(P23&lt;&gt;"OK","Review entry",IF(E23&gt;Overview!$K$4,"Not issued",IF(COUNTIFS(PaymentsTable[Invoice ID],A23,PaymentsTable[Entry check],"&lt;&gt;OK",PaymentsTable[Entry check],"?*")&gt;0,"Review payments",IF(J23&gt;0,"Overpaid",IF(I23=0,"Paid",IF(K23&gt;0,"Overdue",IF(F23=Overview!$K$4,"Due today",IF(H23&gt;0,"Part paid","Open")))))))))</f>
        <v>Due today</v>
      </c>
      <c r="M23" s="6" t="s">
        <v>61</v>
      </c>
      <c r="N23" s="9">
        <v>46323</v>
      </c>
      <c r="O23" s="6"/>
      <c r="P23" s="7" t="str">
        <f>IF(A23="",IF(COUNTA(B23:G23)=0,"","Missing invoice ID"),IF(COUNTIFS(InvoicesTable[Invoice ID],A23)&gt;1,"Duplicate invoice ID",IF(OR(B23="",D23="",ISBLANK(E23),ISBLANK(F23),ISBLANK(G23)),"Missing required input",IF(OR(NOT(ISNUMBER(E23)),NOT(ISNUMBER(F23)),NOT(ISNUMBER(G23))),"Check date or amount",IF(OR(F23&lt;E23,G23&lt;=0),"Check due date / amount","OK")))))</f>
        <v>OK</v>
      </c>
    </row>
    <row r="24" spans="1:16" ht="24" hidden="1" customHeight="1">
      <c r="A24" s="6" t="s">
        <v>93</v>
      </c>
      <c r="B24" s="6" t="s">
        <v>16</v>
      </c>
      <c r="C24" s="6" t="s">
        <v>94</v>
      </c>
      <c r="D24" s="6" t="s">
        <v>81</v>
      </c>
      <c r="E24" s="9">
        <v>46296</v>
      </c>
      <c r="F24" s="9">
        <v>46326</v>
      </c>
      <c r="G24" s="26">
        <v>3900</v>
      </c>
      <c r="H24" s="27">
        <f>IF(OR(A24="",P24&lt;&gt;"OK",E24&gt;Overview!$K$4),"",SUMIFS(PaymentsTable[Amount],PaymentsTable[Invoice ID],A24,PaymentsTable[Received on],"&lt;="&amp;Overview!$K$4,PaymentsTable[Entry check],"OK"))</f>
        <v>1000</v>
      </c>
      <c r="I24" s="28">
        <f t="shared" si="0"/>
        <v>2900</v>
      </c>
      <c r="J24" s="28">
        <f t="shared" si="1"/>
        <v>0</v>
      </c>
      <c r="K24" s="10">
        <f>IF(ISNUMBER(I24),IF(I24&gt;0,MAX(Overview!$K$4-F24,0),0),"")</f>
        <v>0</v>
      </c>
      <c r="L24" s="7" t="str">
        <f>IF(A24="","",IF(P24&lt;&gt;"OK","Review entry",IF(E24&gt;Overview!$K$4,"Not issued",IF(COUNTIFS(PaymentsTable[Invoice ID],A24,PaymentsTable[Entry check],"&lt;&gt;OK",PaymentsTable[Entry check],"?*")&gt;0,"Review payments",IF(J24&gt;0,"Overpaid",IF(I24=0,"Paid",IF(K24&gt;0,"Overdue",IF(F24=Overview!$K$4,"Due today",IF(H24&gt;0,"Part paid","Open")))))))))</f>
        <v>Part paid</v>
      </c>
      <c r="M24" s="6" t="s">
        <v>52</v>
      </c>
      <c r="N24" s="9"/>
      <c r="O24" s="6"/>
      <c r="P24" s="7" t="str">
        <f>IF(A24="",IF(COUNTA(B24:G24)=0,"","Missing invoice ID"),IF(COUNTIFS(InvoicesTable[Invoice ID],A24)&gt;1,"Duplicate invoice ID",IF(OR(B24="",D24="",ISBLANK(E24),ISBLANK(F24),ISBLANK(G24)),"Missing required input",IF(OR(NOT(ISNUMBER(E24)),NOT(ISNUMBER(F24)),NOT(ISNUMBER(G24))),"Check date or amount",IF(OR(F24&lt;E24,G24&lt;=0),"Check due date / amount","OK")))))</f>
        <v>OK</v>
      </c>
    </row>
    <row r="25" spans="1:16" ht="24" hidden="1" customHeight="1">
      <c r="A25" s="6" t="s">
        <v>95</v>
      </c>
      <c r="B25" s="6" t="s">
        <v>17</v>
      </c>
      <c r="C25" s="6" t="s">
        <v>96</v>
      </c>
      <c r="D25" s="6" t="s">
        <v>73</v>
      </c>
      <c r="E25" s="9">
        <v>46298</v>
      </c>
      <c r="F25" s="9">
        <v>46328</v>
      </c>
      <c r="G25" s="26">
        <v>1850</v>
      </c>
      <c r="H25" s="27">
        <f>IF(OR(A25="",P25&lt;&gt;"OK",E25&gt;Overview!$K$4),"",SUMIFS(PaymentsTable[Amount],PaymentsTable[Invoice ID],A25,PaymentsTable[Received on],"&lt;="&amp;Overview!$K$4,PaymentsTable[Entry check],"OK"))</f>
        <v>0</v>
      </c>
      <c r="I25" s="28">
        <f t="shared" si="0"/>
        <v>1850</v>
      </c>
      <c r="J25" s="28">
        <f t="shared" si="1"/>
        <v>0</v>
      </c>
      <c r="K25" s="10">
        <f>IF(ISNUMBER(I25),IF(I25&gt;0,MAX(Overview!$K$4-F25,0),0),"")</f>
        <v>0</v>
      </c>
      <c r="L25" s="7" t="str">
        <f>IF(A25="","",IF(P25&lt;&gt;"OK","Review entry",IF(E25&gt;Overview!$K$4,"Not issued",IF(COUNTIFS(PaymentsTable[Invoice ID],A25,PaymentsTable[Entry check],"&lt;&gt;OK",PaymentsTable[Entry check],"?*")&gt;0,"Review payments",IF(J25&gt;0,"Overpaid",IF(I25=0,"Paid",IF(K25&gt;0,"Overdue",IF(F25=Overview!$K$4,"Due today",IF(H25&gt;0,"Part paid","Open")))))))))</f>
        <v>Open</v>
      </c>
      <c r="M25" s="6" t="s">
        <v>57</v>
      </c>
      <c r="N25" s="9"/>
      <c r="O25" s="6"/>
      <c r="P25" s="7" t="str">
        <f>IF(A25="",IF(COUNTA(B25:G25)=0,"","Missing invoice ID"),IF(COUNTIFS(InvoicesTable[Invoice ID],A25)&gt;1,"Duplicate invoice ID",IF(OR(B25="",D25="",ISBLANK(E25),ISBLANK(F25),ISBLANK(G25)),"Missing required input",IF(OR(NOT(ISNUMBER(E25)),NOT(ISNUMBER(F25)),NOT(ISNUMBER(G25))),"Check date or amount",IF(OR(F25&lt;E25,G25&lt;=0),"Check due date / amount","OK")))))</f>
        <v>OK</v>
      </c>
    </row>
    <row r="26" spans="1:16" ht="24" hidden="1" customHeight="1">
      <c r="A26" s="6" t="s">
        <v>97</v>
      </c>
      <c r="B26" s="6" t="s">
        <v>18</v>
      </c>
      <c r="C26" s="6" t="s">
        <v>98</v>
      </c>
      <c r="D26" s="6" t="s">
        <v>64</v>
      </c>
      <c r="E26" s="9">
        <v>46300</v>
      </c>
      <c r="F26" s="9">
        <v>46330</v>
      </c>
      <c r="G26" s="26">
        <v>3100</v>
      </c>
      <c r="H26" s="27">
        <f>IF(OR(A26="",P26&lt;&gt;"OK",E26&gt;Overview!$K$4),"",SUMIFS(PaymentsTable[Amount],PaymentsTable[Invoice ID],A26,PaymentsTable[Received on],"&lt;="&amp;Overview!$K$4,PaymentsTable[Entry check],"OK"))</f>
        <v>3150</v>
      </c>
      <c r="I26" s="28">
        <f t="shared" si="0"/>
        <v>0</v>
      </c>
      <c r="J26" s="28">
        <f t="shared" si="1"/>
        <v>50</v>
      </c>
      <c r="K26" s="10">
        <f>IF(ISNUMBER(I26),IF(I26&gt;0,MAX(Overview!$K$4-F26,0),0),"")</f>
        <v>0</v>
      </c>
      <c r="L26" s="7" t="str">
        <f>IF(A26="","",IF(P26&lt;&gt;"OK","Review entry",IF(E26&gt;Overview!$K$4,"Not issued",IF(COUNTIFS(PaymentsTable[Invoice ID],A26,PaymentsTable[Entry check],"&lt;&gt;OK",PaymentsTable[Entry check],"?*")&gt;0,"Review payments",IF(J26&gt;0,"Overpaid",IF(I26=0,"Paid",IF(K26&gt;0,"Overdue",IF(F26=Overview!$K$4,"Due today",IF(H26&gt;0,"Part paid","Open")))))))))</f>
        <v>Overpaid</v>
      </c>
      <c r="M26" s="6" t="s">
        <v>61</v>
      </c>
      <c r="N26" s="9"/>
      <c r="O26" s="6" t="s">
        <v>99</v>
      </c>
      <c r="P26" s="7" t="str">
        <f>IF(A26="",IF(COUNTA(B26:G26)=0,"","Missing invoice ID"),IF(COUNTIFS(InvoicesTable[Invoice ID],A26)&gt;1,"Duplicate invoice ID",IF(OR(B26="",D26="",ISBLANK(E26),ISBLANK(F26),ISBLANK(G26)),"Missing required input",IF(OR(NOT(ISNUMBER(E26)),NOT(ISNUMBER(F26)),NOT(ISNUMBER(G26))),"Check date or amount",IF(OR(F26&lt;E26,G26&lt;=0),"Check due date / amount","OK")))))</f>
        <v>OK</v>
      </c>
    </row>
    <row r="27" spans="1:16" ht="24" hidden="1" customHeight="1">
      <c r="A27" s="6" t="s">
        <v>100</v>
      </c>
      <c r="B27" s="6" t="s">
        <v>13</v>
      </c>
      <c r="C27" s="6" t="s">
        <v>101</v>
      </c>
      <c r="D27" s="6" t="s">
        <v>84</v>
      </c>
      <c r="E27" s="9">
        <v>46303</v>
      </c>
      <c r="F27" s="9">
        <v>46333</v>
      </c>
      <c r="G27" s="26">
        <v>1200</v>
      </c>
      <c r="H27" s="27">
        <f>IF(OR(A27="",P27&lt;&gt;"OK",E27&gt;Overview!$K$4),"",SUMIFS(PaymentsTable[Amount],PaymentsTable[Invoice ID],A27,PaymentsTable[Received on],"&lt;="&amp;Overview!$K$4,PaymentsTable[Entry check],"OK"))</f>
        <v>1200</v>
      </c>
      <c r="I27" s="28">
        <f t="shared" si="0"/>
        <v>0</v>
      </c>
      <c r="J27" s="28">
        <f t="shared" si="1"/>
        <v>0</v>
      </c>
      <c r="K27" s="10">
        <f>IF(ISNUMBER(I27),IF(I27&gt;0,MAX(Overview!$K$4-F27,0),0),"")</f>
        <v>0</v>
      </c>
      <c r="L27" s="7" t="str">
        <f>IF(A27="","",IF(P27&lt;&gt;"OK","Review entry",IF(E27&gt;Overview!$K$4,"Not issued",IF(COUNTIFS(PaymentsTable[Invoice ID],A27,PaymentsTable[Entry check],"&lt;&gt;OK",PaymentsTable[Entry check],"?*")&gt;0,"Review payments",IF(J27&gt;0,"Overpaid",IF(I27=0,"Paid",IF(K27&gt;0,"Overdue",IF(F27=Overview!$K$4,"Due today",IF(H27&gt;0,"Part paid","Open")))))))))</f>
        <v>Paid</v>
      </c>
      <c r="M27" s="6" t="s">
        <v>52</v>
      </c>
      <c r="N27" s="9"/>
      <c r="O27" s="6"/>
      <c r="P27" s="7" t="str">
        <f>IF(A27="",IF(COUNTA(B27:G27)=0,"","Missing invoice ID"),IF(COUNTIFS(InvoicesTable[Invoice ID],A27)&gt;1,"Duplicate invoice ID",IF(OR(B27="",D27="",ISBLANK(E27),ISBLANK(F27),ISBLANK(G27)),"Missing required input",IF(OR(NOT(ISNUMBER(E27)),NOT(ISNUMBER(F27)),NOT(ISNUMBER(G27))),"Check date or amount",IF(OR(F27&lt;E27,G27&lt;=0),"Check due date / amount","OK")))))</f>
        <v>OK</v>
      </c>
    </row>
    <row r="28" spans="1:16" ht="24" hidden="1" customHeight="1">
      <c r="A28" s="6" t="s">
        <v>102</v>
      </c>
      <c r="B28" s="6" t="s">
        <v>14</v>
      </c>
      <c r="C28" s="6" t="s">
        <v>103</v>
      </c>
      <c r="D28" s="6" t="s">
        <v>56</v>
      </c>
      <c r="E28" s="9">
        <v>46307</v>
      </c>
      <c r="F28" s="9">
        <v>46337</v>
      </c>
      <c r="G28" s="26">
        <v>4600</v>
      </c>
      <c r="H28" s="27">
        <f>IF(OR(A28="",P28&lt;&gt;"OK",E28&gt;Overview!$K$4),"",SUMIFS(PaymentsTable[Amount],PaymentsTable[Invoice ID],A28,PaymentsTable[Received on],"&lt;="&amp;Overview!$K$4,PaymentsTable[Entry check],"OK"))</f>
        <v>0</v>
      </c>
      <c r="I28" s="28">
        <f t="shared" si="0"/>
        <v>4600</v>
      </c>
      <c r="J28" s="28">
        <f t="shared" si="1"/>
        <v>0</v>
      </c>
      <c r="K28" s="10">
        <f>IF(ISNUMBER(I28),IF(I28&gt;0,MAX(Overview!$K$4-F28,0),0),"")</f>
        <v>0</v>
      </c>
      <c r="L28" s="7" t="str">
        <f>IF(A28="","",IF(P28&lt;&gt;"OK","Review entry",IF(E28&gt;Overview!$K$4,"Not issued",IF(COUNTIFS(PaymentsTable[Invoice ID],A28,PaymentsTable[Entry check],"&lt;&gt;OK",PaymentsTable[Entry check],"?*")&gt;0,"Review payments",IF(J28&gt;0,"Overpaid",IF(I28=0,"Paid",IF(K28&gt;0,"Overdue",IF(F28=Overview!$K$4,"Due today",IF(H28&gt;0,"Part paid","Open")))))))))</f>
        <v>Open</v>
      </c>
      <c r="M28" s="6" t="s">
        <v>57</v>
      </c>
      <c r="N28" s="9"/>
      <c r="O28" s="6"/>
      <c r="P28" s="7" t="str">
        <f>IF(A28="",IF(COUNTA(B28:G28)=0,"","Missing invoice ID"),IF(COUNTIFS(InvoicesTable[Invoice ID],A28)&gt;1,"Duplicate invoice ID",IF(OR(B28="",D28="",ISBLANK(E28),ISBLANK(F28),ISBLANK(G28)),"Missing required input",IF(OR(NOT(ISNUMBER(E28)),NOT(ISNUMBER(F28)),NOT(ISNUMBER(G28))),"Check date or amount",IF(OR(F28&lt;E28,G28&lt;=0),"Check due date / amount","OK")))))</f>
        <v>OK</v>
      </c>
    </row>
    <row r="29" spans="1:16" ht="24" hidden="1" customHeight="1">
      <c r="A29" s="6" t="s">
        <v>104</v>
      </c>
      <c r="B29" s="6" t="s">
        <v>15</v>
      </c>
      <c r="C29" s="6" t="s">
        <v>105</v>
      </c>
      <c r="D29" s="6" t="s">
        <v>73</v>
      </c>
      <c r="E29" s="9">
        <v>46310</v>
      </c>
      <c r="F29" s="9">
        <v>46340</v>
      </c>
      <c r="G29" s="26">
        <v>750</v>
      </c>
      <c r="H29" s="27">
        <f>IF(OR(A29="",P29&lt;&gt;"OK",E29&gt;Overview!$K$4),"",SUMIFS(PaymentsTable[Amount],PaymentsTable[Invoice ID],A29,PaymentsTable[Received on],"&lt;="&amp;Overview!$K$4,PaymentsTable[Entry check],"OK"))</f>
        <v>0</v>
      </c>
      <c r="I29" s="28">
        <f t="shared" si="0"/>
        <v>750</v>
      </c>
      <c r="J29" s="28">
        <f t="shared" si="1"/>
        <v>0</v>
      </c>
      <c r="K29" s="10">
        <f>IF(ISNUMBER(I29),IF(I29&gt;0,MAX(Overview!$K$4-F29,0),0),"")</f>
        <v>0</v>
      </c>
      <c r="L29" s="7" t="str">
        <f>IF(A29="","",IF(P29&lt;&gt;"OK","Review entry",IF(E29&gt;Overview!$K$4,"Not issued",IF(COUNTIFS(PaymentsTable[Invoice ID],A29,PaymentsTable[Entry check],"&lt;&gt;OK",PaymentsTable[Entry check],"?*")&gt;0,"Review payments",IF(J29&gt;0,"Overpaid",IF(I29=0,"Paid",IF(K29&gt;0,"Overdue",IF(F29=Overview!$K$4,"Due today",IF(H29&gt;0,"Part paid","Open")))))))))</f>
        <v>Open</v>
      </c>
      <c r="M29" s="6" t="s">
        <v>61</v>
      </c>
      <c r="N29" s="9"/>
      <c r="O29" s="6"/>
      <c r="P29" s="7" t="str">
        <f>IF(A29="",IF(COUNTA(B29:G29)=0,"","Missing invoice ID"),IF(COUNTIFS(InvoicesTable[Invoice ID],A29)&gt;1,"Duplicate invoice ID",IF(OR(B29="",D29="",ISBLANK(E29),ISBLANK(F29),ISBLANK(G29)),"Missing required input",IF(OR(NOT(ISNUMBER(E29)),NOT(ISNUMBER(F29)),NOT(ISNUMBER(G29))),"Check date or amount",IF(OR(F29&lt;E29,G29&lt;=0),"Check due date / amount","OK")))))</f>
        <v>OK</v>
      </c>
    </row>
    <row r="30" spans="1:16" ht="24" hidden="1" customHeight="1">
      <c r="A30" s="6" t="s">
        <v>106</v>
      </c>
      <c r="B30" s="6" t="s">
        <v>16</v>
      </c>
      <c r="C30" s="6" t="s">
        <v>107</v>
      </c>
      <c r="D30" s="6" t="s">
        <v>60</v>
      </c>
      <c r="E30" s="9">
        <v>46313</v>
      </c>
      <c r="F30" s="9">
        <v>46343</v>
      </c>
      <c r="G30" s="26">
        <v>2600</v>
      </c>
      <c r="H30" s="27">
        <f>IF(OR(A30="",P30&lt;&gt;"OK",E30&gt;Overview!$K$4),"",SUMIFS(PaymentsTable[Amount],PaymentsTable[Invoice ID],A30,PaymentsTable[Received on],"&lt;="&amp;Overview!$K$4,PaymentsTable[Entry check],"OK"))</f>
        <v>0</v>
      </c>
      <c r="I30" s="28">
        <f t="shared" si="0"/>
        <v>2600</v>
      </c>
      <c r="J30" s="28">
        <f t="shared" si="1"/>
        <v>0</v>
      </c>
      <c r="K30" s="10">
        <f>IF(ISNUMBER(I30),IF(I30&gt;0,MAX(Overview!$K$4-F30,0),0),"")</f>
        <v>0</v>
      </c>
      <c r="L30" s="7" t="str">
        <f>IF(A30="","",IF(P30&lt;&gt;"OK","Review entry",IF(E30&gt;Overview!$K$4,"Not issued",IF(COUNTIFS(PaymentsTable[Invoice ID],A30,PaymentsTable[Entry check],"&lt;&gt;OK",PaymentsTable[Entry check],"?*")&gt;0,"Review payments",IF(J30&gt;0,"Overpaid",IF(I30=0,"Paid",IF(K30&gt;0,"Overdue",IF(F30=Overview!$K$4,"Due today",IF(H30&gt;0,"Part paid","Open")))))))))</f>
        <v>Open</v>
      </c>
      <c r="M30" s="6" t="s">
        <v>52</v>
      </c>
      <c r="N30" s="9"/>
      <c r="O30" s="6"/>
      <c r="P30" s="7" t="str">
        <f>IF(A30="",IF(COUNTA(B30:G30)=0,"","Missing invoice ID"),IF(COUNTIFS(InvoicesTable[Invoice ID],A30)&gt;1,"Duplicate invoice ID",IF(OR(B30="",D30="",ISBLANK(E30),ISBLANK(F30),ISBLANK(G30)),"Missing required input",IF(OR(NOT(ISNUMBER(E30)),NOT(ISNUMBER(F30)),NOT(ISNUMBER(G30))),"Check date or amount",IF(OR(F30&lt;E30,G30&lt;=0),"Check due date / amount","OK")))))</f>
        <v>OK</v>
      </c>
    </row>
    <row r="31" spans="1:16" ht="24" hidden="1" customHeight="1">
      <c r="A31" s="6" t="s">
        <v>108</v>
      </c>
      <c r="B31" s="6" t="s">
        <v>17</v>
      </c>
      <c r="C31" s="6" t="s">
        <v>109</v>
      </c>
      <c r="D31" s="6" t="s">
        <v>67</v>
      </c>
      <c r="E31" s="9">
        <v>46316</v>
      </c>
      <c r="F31" s="9">
        <v>46346</v>
      </c>
      <c r="G31" s="26">
        <v>3350</v>
      </c>
      <c r="H31" s="27">
        <f>IF(OR(A31="",P31&lt;&gt;"OK",E31&gt;Overview!$K$4),"",SUMIFS(PaymentsTable[Amount],PaymentsTable[Invoice ID],A31,PaymentsTable[Received on],"&lt;="&amp;Overview!$K$4,PaymentsTable[Entry check],"OK"))</f>
        <v>0</v>
      </c>
      <c r="I31" s="28">
        <f t="shared" si="0"/>
        <v>3350</v>
      </c>
      <c r="J31" s="28">
        <f t="shared" si="1"/>
        <v>0</v>
      </c>
      <c r="K31" s="10">
        <f>IF(ISNUMBER(I31),IF(I31&gt;0,MAX(Overview!$K$4-F31,0),0),"")</f>
        <v>0</v>
      </c>
      <c r="L31" s="7" t="str">
        <f>IF(A31="","",IF(P31&lt;&gt;"OK","Review entry",IF(E31&gt;Overview!$K$4,"Not issued",IF(COUNTIFS(PaymentsTable[Invoice ID],A31,PaymentsTable[Entry check],"&lt;&gt;OK",PaymentsTable[Entry check],"?*")&gt;0,"Review payments",IF(J31&gt;0,"Overpaid",IF(I31=0,"Paid",IF(K31&gt;0,"Overdue",IF(F31=Overview!$K$4,"Due today",IF(H31&gt;0,"Part paid","Open")))))))))</f>
        <v>Open</v>
      </c>
      <c r="M31" s="6" t="s">
        <v>57</v>
      </c>
      <c r="N31" s="9"/>
      <c r="O31" s="6"/>
      <c r="P31" s="7" t="str">
        <f>IF(A31="",IF(COUNTA(B31:G31)=0,"","Missing invoice ID"),IF(COUNTIFS(InvoicesTable[Invoice ID],A31)&gt;1,"Duplicate invoice ID",IF(OR(B31="",D31="",ISBLANK(E31),ISBLANK(F31),ISBLANK(G31)),"Missing required input",IF(OR(NOT(ISNUMBER(E31)),NOT(ISNUMBER(F31)),NOT(ISNUMBER(G31))),"Check date or amount",IF(OR(F31&lt;E31,G31&lt;=0),"Check due date / amount","OK")))))</f>
        <v>OK</v>
      </c>
    </row>
    <row r="32" spans="1:16" ht="24" hidden="1" customHeight="1">
      <c r="A32" s="6" t="s">
        <v>110</v>
      </c>
      <c r="B32" s="6" t="s">
        <v>18</v>
      </c>
      <c r="C32" s="6" t="s">
        <v>111</v>
      </c>
      <c r="D32" s="6" t="s">
        <v>64</v>
      </c>
      <c r="E32" s="9">
        <v>46319</v>
      </c>
      <c r="F32" s="9">
        <v>46349</v>
      </c>
      <c r="G32" s="26">
        <v>1950</v>
      </c>
      <c r="H32" s="27">
        <f>IF(OR(A32="",P32&lt;&gt;"OK",E32&gt;Overview!$K$4),"",SUMIFS(PaymentsTable[Amount],PaymentsTable[Invoice ID],A32,PaymentsTable[Received on],"&lt;="&amp;Overview!$K$4,PaymentsTable[Entry check],"OK"))</f>
        <v>0</v>
      </c>
      <c r="I32" s="28">
        <f t="shared" si="0"/>
        <v>1950</v>
      </c>
      <c r="J32" s="28">
        <f t="shared" si="1"/>
        <v>0</v>
      </c>
      <c r="K32" s="10">
        <f>IF(ISNUMBER(I32),IF(I32&gt;0,MAX(Overview!$K$4-F32,0),0),"")</f>
        <v>0</v>
      </c>
      <c r="L32" s="7" t="str">
        <f>IF(A32="","",IF(P32&lt;&gt;"OK","Review entry",IF(E32&gt;Overview!$K$4,"Not issued",IF(COUNTIFS(PaymentsTable[Invoice ID],A32,PaymentsTable[Entry check],"&lt;&gt;OK",PaymentsTable[Entry check],"?*")&gt;0,"Review payments",IF(J32&gt;0,"Overpaid",IF(I32=0,"Paid",IF(K32&gt;0,"Overdue",IF(F32=Overview!$K$4,"Due today",IF(H32&gt;0,"Part paid","Open")))))))))</f>
        <v>Open</v>
      </c>
      <c r="M32" s="6" t="s">
        <v>61</v>
      </c>
      <c r="N32" s="9"/>
      <c r="O32" s="6"/>
      <c r="P32" s="7" t="str">
        <f>IF(A32="",IF(COUNTA(B32:G32)=0,"","Missing invoice ID"),IF(COUNTIFS(InvoicesTable[Invoice ID],A32)&gt;1,"Duplicate invoice ID",IF(OR(B32="",D32="",ISBLANK(E32),ISBLANK(F32),ISBLANK(G32)),"Missing required input",IF(OR(NOT(ISNUMBER(E32)),NOT(ISNUMBER(F32)),NOT(ISNUMBER(G32))),"Check date or amount",IF(OR(F32&lt;E32,G32&lt;=0),"Check due date / amount","OK")))))</f>
        <v>OK</v>
      </c>
    </row>
    <row r="33" spans="1:16" ht="24" hidden="1" customHeight="1">
      <c r="A33" s="25" t="s">
        <v>179</v>
      </c>
      <c r="B33" s="25" t="s">
        <v>16</v>
      </c>
      <c r="C33" s="25" t="s">
        <v>182</v>
      </c>
      <c r="D33" s="25" t="s">
        <v>178</v>
      </c>
      <c r="E33" s="9">
        <v>46320</v>
      </c>
      <c r="F33" s="9">
        <v>46327</v>
      </c>
      <c r="G33" s="26">
        <v>500</v>
      </c>
      <c r="H33" s="27">
        <f>IF(OR(A33="",P33&lt;&gt;"OK",E33&gt;Overview!$K$4),"",SUMIFS(PaymentsTable[Amount],PaymentsTable[Invoice ID],A33,PaymentsTable[Received on],"&lt;="&amp;Overview!$K$4,PaymentsTable[Entry check],"OK"))</f>
        <v>0</v>
      </c>
      <c r="I33" s="28">
        <f t="shared" si="0"/>
        <v>500</v>
      </c>
      <c r="J33" s="28">
        <f t="shared" si="1"/>
        <v>0</v>
      </c>
      <c r="K33" s="10">
        <f>IF(ISNUMBER(I33),IF(I33&gt;0,MAX(Overview!$K$4-F33,0),0),"")</f>
        <v>0</v>
      </c>
      <c r="L33" s="7" t="str">
        <f>IF(A33="","",IF(P33&lt;&gt;"OK","Review entry",IF(E33&gt;Overview!$K$4,"Not issued",IF(COUNTIFS(PaymentsTable[Invoice ID],A33,PaymentsTable[Entry check],"&lt;&gt;OK",PaymentsTable[Entry check],"?*")&gt;0,"Review payments",IF(J33&gt;0,"Overpaid",IF(I33=0,"Paid",IF(K33&gt;0,"Overdue",IF(F33=Overview!$K$4,"Due today",IF(H33&gt;0,"Part paid","Open")))))))))</f>
        <v>Open</v>
      </c>
      <c r="M33" s="25" t="s">
        <v>57</v>
      </c>
      <c r="N33" s="9">
        <v>46330</v>
      </c>
      <c r="O33" s="25" t="s">
        <v>180</v>
      </c>
      <c r="P33" s="7" t="str">
        <f>IF(A33="",IF(COUNTA(B33:G33)=0,"","Missing invoice ID"),IF(COUNTIFS(InvoicesTable[Invoice ID],A33)&gt;1,"Duplicate invoice ID",IF(OR(B33="",D33="",ISBLANK(E33),ISBLANK(F33),ISBLANK(G33)),"Missing required input",IF(OR(NOT(ISNUMBER(E33)),NOT(ISNUMBER(F33)),NOT(ISNUMBER(G33))),"Check date or amount",IF(OR(F33&lt;E33,G33&lt;=0),"Check due date / amount","OK")))))</f>
        <v>OK</v>
      </c>
    </row>
  </sheetData>
  <conditionalFormatting sqref="L9:L33">
    <cfRule type="containsText" dxfId="13" priority="1" operator="containsText" text="Overdue"/>
    <cfRule type="containsText" dxfId="12" priority="2" operator="containsText" text="Due today"/>
  </conditionalFormatting>
  <conditionalFormatting sqref="J9:J33">
    <cfRule type="cellIs" dxfId="11" priority="3" operator="greaterThan">
      <formula>0</formula>
    </cfRule>
  </conditionalFormatting>
  <conditionalFormatting sqref="P9:P33">
    <cfRule type="expression" dxfId="10" priority="4">
      <formula>AND($P9&lt;&gt;"",$P9&lt;&gt;"OK")</formula>
    </cfRule>
  </conditionalFormatting>
  <dataValidations count="3">
    <dataValidation type="list" sqref="B9:B33" xr:uid="{00000000-0002-0000-0100-000000000000}">
      <formula1>"Alder Office Co.,Brookfield Services,Cedarstone Retail,Harborview Supply,Juniper Studio,Willow Works"</formula1>
    </dataValidation>
    <dataValidation type="list" sqref="M9:M33" xr:uid="{00000000-0002-0000-0100-000001000000}">
      <formula1>"Alex Morgan,Jordan Lee,Taylor Reed"</formula1>
    </dataValidation>
    <dataValidation type="decimal" operator="greaterThan" sqref="G9:G33" xr:uid="{00000000-0002-0000-0100-000002000000}">
      <formula1>0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F673-2FF7-284A-8972-70E77D6D2482}">
  <sheetPr codeName="Sheet3">
    <tabColor rgb="FF8097AC"/>
  </sheetPr>
  <dimension ref="A1:J24"/>
  <sheetViews>
    <sheetView showGridLines="0" workbookViewId="0">
      <pane xSplit="2" ySplit="8" topLeftCell="C9" activePane="bottomRight" state="frozen"/>
      <selection pane="topRight"/>
      <selection pane="bottomLeft"/>
      <selection pane="bottomRight" activeCell="C9" sqref="C9"/>
    </sheetView>
  </sheetViews>
  <sheetFormatPr baseColWidth="10" defaultColWidth="8.83203125" defaultRowHeight="14"/>
  <cols>
    <col min="1" max="1" width="17" customWidth="1"/>
    <col min="2" max="2" width="20" customWidth="1"/>
    <col min="3" max="3" width="25" customWidth="1"/>
    <col min="4" max="4" width="15" customWidth="1"/>
    <col min="5" max="5" width="19" customWidth="1"/>
    <col min="6" max="6" width="17" customWidth="1"/>
    <col min="7" max="7" width="22" customWidth="1"/>
    <col min="8" max="8" width="18" customWidth="1"/>
    <col min="9" max="9" width="30" customWidth="1"/>
    <col min="10" max="10" width="27" customWidth="1"/>
  </cols>
  <sheetData>
    <row r="1" spans="1:10" ht="13" customHeight="1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30" customHeight="1">
      <c r="A2" s="2" t="s">
        <v>112</v>
      </c>
      <c r="B2" s="1"/>
      <c r="C2" s="1"/>
      <c r="D2" s="1"/>
      <c r="E2" s="1"/>
      <c r="F2" s="1"/>
      <c r="G2" s="1"/>
      <c r="H2" s="1"/>
      <c r="I2" s="1"/>
      <c r="J2" s="1"/>
    </row>
    <row r="3" spans="1:10" ht="24" customHeight="1">
      <c r="A3" s="4" t="s">
        <v>113</v>
      </c>
      <c r="B3" s="4"/>
      <c r="C3" s="4"/>
      <c r="D3" s="4"/>
      <c r="E3" s="4"/>
      <c r="F3" s="4"/>
      <c r="G3" s="4"/>
      <c r="H3" s="4"/>
      <c r="I3" s="4"/>
      <c r="J3" s="4"/>
    </row>
    <row r="4" spans="1:10" ht="24" customHeight="1">
      <c r="A4" s="5" t="s">
        <v>114</v>
      </c>
      <c r="B4" s="5"/>
      <c r="C4" s="5"/>
      <c r="D4" s="5"/>
      <c r="E4" s="5"/>
      <c r="F4" s="5"/>
      <c r="G4" s="5"/>
      <c r="H4" s="5"/>
      <c r="I4" s="5"/>
      <c r="J4" s="5"/>
    </row>
    <row r="5" spans="1:10" ht="24" customHeight="1">
      <c r="A5" s="5" t="s">
        <v>115</v>
      </c>
      <c r="B5" s="5"/>
      <c r="C5" s="5"/>
      <c r="D5" s="5"/>
      <c r="E5" s="5"/>
      <c r="F5" s="5"/>
      <c r="G5" s="5"/>
      <c r="H5" s="5"/>
      <c r="I5" s="5"/>
      <c r="J5" s="5"/>
    </row>
    <row r="6" spans="1:10" ht="24" customHeight="1">
      <c r="A6" s="5" t="s">
        <v>116</v>
      </c>
      <c r="B6" s="5"/>
      <c r="C6" s="5"/>
      <c r="D6" s="5"/>
      <c r="E6" s="5"/>
      <c r="F6" s="5"/>
      <c r="G6" s="5"/>
      <c r="H6" s="5"/>
      <c r="I6" s="5"/>
      <c r="J6" s="5"/>
    </row>
    <row r="7" spans="1:10" ht="38" customHeight="1">
      <c r="A7" s="1"/>
      <c r="B7" s="1"/>
      <c r="C7" s="1"/>
      <c r="D7" s="1"/>
      <c r="E7" s="1"/>
      <c r="F7" s="1"/>
      <c r="G7" s="1"/>
      <c r="H7" s="1"/>
      <c r="I7" s="1"/>
      <c r="J7" s="1"/>
    </row>
    <row r="8" spans="1:10" ht="34" customHeight="1">
      <c r="A8" s="12" t="s">
        <v>117</v>
      </c>
      <c r="B8" s="13" t="s">
        <v>36</v>
      </c>
      <c r="C8" s="13" t="s">
        <v>12</v>
      </c>
      <c r="D8" s="13" t="s">
        <v>118</v>
      </c>
      <c r="E8" s="13" t="s">
        <v>119</v>
      </c>
      <c r="F8" s="13" t="s">
        <v>120</v>
      </c>
      <c r="G8" s="13" t="s">
        <v>121</v>
      </c>
      <c r="H8" s="13" t="s">
        <v>122</v>
      </c>
      <c r="I8" s="13" t="s">
        <v>123</v>
      </c>
      <c r="J8" s="14" t="s">
        <v>48</v>
      </c>
    </row>
    <row r="9" spans="1:10" ht="24" customHeight="1">
      <c r="A9" s="6" t="s">
        <v>124</v>
      </c>
      <c r="B9" s="6" t="s">
        <v>49</v>
      </c>
      <c r="C9" s="8" t="str">
        <f>IF(B9="","",IF(COUNTIFS(InvoicesTable[Invoice ID],B9)&lt;&gt;1,"Check invoice ID",INDEX(InvoicesTable[Customer],MATCH(B9,InvoicesTable[Invoice ID],0))))</f>
        <v>Alder Office Co.</v>
      </c>
      <c r="D9" s="9">
        <v>46193</v>
      </c>
      <c r="E9" s="11" t="s">
        <v>125</v>
      </c>
      <c r="F9" s="26">
        <v>500</v>
      </c>
      <c r="G9" s="11" t="s">
        <v>126</v>
      </c>
      <c r="H9" s="6" t="s">
        <v>52</v>
      </c>
      <c r="I9" s="6"/>
      <c r="J9" s="7" t="str">
        <f>IF(A9="",IF(COUNTA(B9,D9:I9)=0,"","Missing payment ID"),IF(COUNTIFS(PaymentsTable[Payment ID],A9)&gt;1,"Duplicate payment ID",IF(OR(B9="",ISBLANK(D9),E9="",ISBLANK(F9),G9="",H9=""),"Missing required input",IF(COUNTIFS(InvoicesTable[Invoice ID],B9)&lt;&gt;1,"Check invoice ID",IF(OR(NOT(ISNUMBER(D9)),NOT(ISNUMBER(F9))),"Check date or amount",IF(OR(F9&lt;=0,D9&lt;INDEX(InvoicesTable[Issued],MATCH(B9,InvoicesTable[Invoice ID],0))),"Check date / amount","OK"))))))</f>
        <v>OK</v>
      </c>
    </row>
    <row r="10" spans="1:10" ht="24" customHeight="1">
      <c r="A10" s="6" t="s">
        <v>127</v>
      </c>
      <c r="B10" s="6" t="s">
        <v>54</v>
      </c>
      <c r="C10" s="8" t="str">
        <f>IF(B10="","",IF(COUNTIFS(InvoicesTable[Invoice ID],B10)&lt;&gt;1,"Check invoice ID",INDEX(InvoicesTable[Customer],MATCH(B10,InvoicesTable[Invoice ID],0))))</f>
        <v>Brookfield Services</v>
      </c>
      <c r="D10" s="9">
        <v>46213</v>
      </c>
      <c r="E10" s="11" t="s">
        <v>128</v>
      </c>
      <c r="F10" s="26">
        <v>1800</v>
      </c>
      <c r="G10" s="11" t="s">
        <v>129</v>
      </c>
      <c r="H10" s="6" t="s">
        <v>57</v>
      </c>
      <c r="I10" s="6"/>
      <c r="J10" s="7" t="str">
        <f>IF(A10="",IF(COUNTA(B10,D10:I10)=0,"","Missing payment ID"),IF(COUNTIFS(PaymentsTable[Payment ID],A10)&gt;1,"Duplicate payment ID",IF(OR(B10="",ISBLANK(D10),E10="",ISBLANK(F10),G10="",H10=""),"Missing required input",IF(COUNTIFS(InvoicesTable[Invoice ID],B10)&lt;&gt;1,"Check invoice ID",IF(OR(NOT(ISNUMBER(D10)),NOT(ISNUMBER(F10))),"Check date or amount",IF(OR(F10&lt;=0,D10&lt;INDEX(InvoicesTable[Issued],MATCH(B10,InvoicesTable[Invoice ID],0))),"Check date / amount","OK"))))))</f>
        <v>OK</v>
      </c>
    </row>
    <row r="11" spans="1:10" ht="24" customHeight="1">
      <c r="A11" s="6" t="s">
        <v>130</v>
      </c>
      <c r="B11" s="6" t="s">
        <v>58</v>
      </c>
      <c r="C11" s="8" t="str">
        <f>IF(B11="","",IF(COUNTIFS(InvoicesTable[Invoice ID],B11)&lt;&gt;1,"Check invoice ID",INDEX(InvoicesTable[Customer],MATCH(B11,InvoicesTable[Invoice ID],0))))</f>
        <v>Cedarstone Retail</v>
      </c>
      <c r="D11" s="9">
        <v>46241</v>
      </c>
      <c r="E11" s="11" t="s">
        <v>125</v>
      </c>
      <c r="F11" s="26">
        <v>900</v>
      </c>
      <c r="G11" s="11" t="s">
        <v>131</v>
      </c>
      <c r="H11" s="6" t="s">
        <v>61</v>
      </c>
      <c r="I11" s="6"/>
      <c r="J11" s="7" t="str">
        <f>IF(A11="",IF(COUNTA(B11,D11:I11)=0,"","Missing payment ID"),IF(COUNTIFS(PaymentsTable[Payment ID],A11)&gt;1,"Duplicate payment ID",IF(OR(B11="",ISBLANK(D11),E11="",ISBLANK(F11),G11="",H11=""),"Missing required input",IF(COUNTIFS(InvoicesTable[Invoice ID],B11)&lt;&gt;1,"Check invoice ID",IF(OR(NOT(ISNUMBER(D11)),NOT(ISNUMBER(F11))),"Check date or amount",IF(OR(F11&lt;=0,D11&lt;INDEX(InvoicesTable[Issued],MATCH(B11,InvoicesTable[Invoice ID],0))),"Check date / amount","OK"))))))</f>
        <v>OK</v>
      </c>
    </row>
    <row r="12" spans="1:10" ht="24" customHeight="1">
      <c r="A12" s="6" t="s">
        <v>132</v>
      </c>
      <c r="B12" s="6" t="s">
        <v>65</v>
      </c>
      <c r="C12" s="8" t="str">
        <f>IF(B12="","",IF(COUNTIFS(InvoicesTable[Invoice ID],B12)&lt;&gt;1,"Check invoice ID",INDEX(InvoicesTable[Customer],MATCH(B12,InvoicesTable[Invoice ID],0))))</f>
        <v>Juniper Studio</v>
      </c>
      <c r="D12" s="9">
        <v>46249</v>
      </c>
      <c r="E12" s="11" t="s">
        <v>133</v>
      </c>
      <c r="F12" s="26">
        <v>2900</v>
      </c>
      <c r="G12" s="11" t="s">
        <v>134</v>
      </c>
      <c r="H12" s="6" t="s">
        <v>52</v>
      </c>
      <c r="I12" s="6"/>
      <c r="J12" s="7" t="str">
        <f>IF(A12="",IF(COUNTA(B12,D12:I12)=0,"","Missing payment ID"),IF(COUNTIFS(PaymentsTable[Payment ID],A12)&gt;1,"Duplicate payment ID",IF(OR(B12="",ISBLANK(D12),E12="",ISBLANK(F12),G12="",H12=""),"Missing required input",IF(COUNTIFS(InvoicesTable[Invoice ID],B12)&lt;&gt;1,"Check invoice ID",IF(OR(NOT(ISNUMBER(D12)),NOT(ISNUMBER(F12))),"Check date or amount",IF(OR(F12&lt;=0,D12&lt;INDEX(InvoicesTable[Issued],MATCH(B12,InvoicesTable[Invoice ID],0))),"Check date / amount","OK"))))))</f>
        <v>OK</v>
      </c>
    </row>
    <row r="13" spans="1:10" ht="24" customHeight="1">
      <c r="A13" s="6" t="s">
        <v>135</v>
      </c>
      <c r="B13" s="6" t="s">
        <v>68</v>
      </c>
      <c r="C13" s="8" t="str">
        <f>IF(B13="","",IF(COUNTIFS(InvoicesTable[Invoice ID],B13)&lt;&gt;1,"Check invoice ID",INDEX(InvoicesTable[Customer],MATCH(B13,InvoicesTable[Invoice ID],0))))</f>
        <v>Willow Works</v>
      </c>
      <c r="D13" s="9">
        <v>46259</v>
      </c>
      <c r="E13" s="11" t="s">
        <v>136</v>
      </c>
      <c r="F13" s="26">
        <v>1000</v>
      </c>
      <c r="G13" s="11" t="s">
        <v>137</v>
      </c>
      <c r="H13" s="6" t="s">
        <v>57</v>
      </c>
      <c r="I13" s="6"/>
      <c r="J13" s="7" t="str">
        <f>IF(A13="",IF(COUNTA(B13,D13:I13)=0,"","Missing payment ID"),IF(COUNTIFS(PaymentsTable[Payment ID],A13)&gt;1,"Duplicate payment ID",IF(OR(B13="",ISBLANK(D13),E13="",ISBLANK(F13),G13="",H13=""),"Missing required input",IF(COUNTIFS(InvoicesTable[Invoice ID],B13)&lt;&gt;1,"Check invoice ID",IF(OR(NOT(ISNUMBER(D13)),NOT(ISNUMBER(F13))),"Check date or amount",IF(OR(F13&lt;=0,D13&lt;INDEX(InvoicesTable[Issued],MATCH(B13,InvoicesTable[Invoice ID],0))),"Check date / amount","OK"))))))</f>
        <v>OK</v>
      </c>
    </row>
    <row r="14" spans="1:10" ht="24" customHeight="1">
      <c r="A14" s="6" t="s">
        <v>138</v>
      </c>
      <c r="B14" s="6" t="s">
        <v>68</v>
      </c>
      <c r="C14" s="8" t="str">
        <f>IF(B14="","",IF(COUNTIFS(InvoicesTable[Invoice ID],B14)&lt;&gt;1,"Check invoice ID",INDEX(InvoicesTable[Customer],MATCH(B14,InvoicesTable[Invoice ID],0))))</f>
        <v>Willow Works</v>
      </c>
      <c r="D14" s="9">
        <v>46280</v>
      </c>
      <c r="E14" s="11" t="s">
        <v>136</v>
      </c>
      <c r="F14" s="26">
        <v>800</v>
      </c>
      <c r="G14" s="11" t="s">
        <v>139</v>
      </c>
      <c r="H14" s="6" t="s">
        <v>61</v>
      </c>
      <c r="I14" s="6"/>
      <c r="J14" s="7" t="str">
        <f>IF(A14="",IF(COUNTA(B14,D14:I14)=0,"","Missing payment ID"),IF(COUNTIFS(PaymentsTable[Payment ID],A14)&gt;1,"Duplicate payment ID",IF(OR(B14="",ISBLANK(D14),E14="",ISBLANK(F14),G14="",H14=""),"Missing required input",IF(COUNTIFS(InvoicesTable[Invoice ID],B14)&lt;&gt;1,"Check invoice ID",IF(OR(NOT(ISNUMBER(D14)),NOT(ISNUMBER(F14))),"Check date or amount",IF(OR(F14&lt;=0,D14&lt;INDEX(InvoicesTable[Issued],MATCH(B14,InvoicesTable[Invoice ID],0))),"Check date / amount","OK"))))))</f>
        <v>OK</v>
      </c>
    </row>
    <row r="15" spans="1:10" ht="24" customHeight="1">
      <c r="A15" s="6" t="s">
        <v>140</v>
      </c>
      <c r="B15" s="6" t="s">
        <v>74</v>
      </c>
      <c r="C15" s="8" t="str">
        <f>IF(B15="","",IF(COUNTIFS(InvoicesTable[Invoice ID],B15)&lt;&gt;1,"Check invoice ID",INDEX(InvoicesTable[Customer],MATCH(B15,InvoicesTable[Invoice ID],0))))</f>
        <v>Brookfield Services</v>
      </c>
      <c r="D15" s="9">
        <v>46266</v>
      </c>
      <c r="E15" s="11" t="s">
        <v>125</v>
      </c>
      <c r="F15" s="26">
        <v>4200</v>
      </c>
      <c r="G15" s="11" t="s">
        <v>141</v>
      </c>
      <c r="H15" s="6" t="s">
        <v>52</v>
      </c>
      <c r="I15" s="6"/>
      <c r="J15" s="7" t="str">
        <f>IF(A15="",IF(COUNTA(B15,D15:I15)=0,"","Missing payment ID"),IF(COUNTIFS(PaymentsTable[Payment ID],A15)&gt;1,"Duplicate payment ID",IF(OR(B15="",ISBLANK(D15),E15="",ISBLANK(F15),G15="",H15=""),"Missing required input",IF(COUNTIFS(InvoicesTable[Invoice ID],B15)&lt;&gt;1,"Check invoice ID",IF(OR(NOT(ISNUMBER(D15)),NOT(ISNUMBER(F15))),"Check date or amount",IF(OR(F15&lt;=0,D15&lt;INDEX(InvoicesTable[Issued],MATCH(B15,InvoicesTable[Invoice ID],0))),"Check date / amount","OK"))))))</f>
        <v>OK</v>
      </c>
    </row>
    <row r="16" spans="1:10" ht="24" customHeight="1">
      <c r="A16" s="6" t="s">
        <v>142</v>
      </c>
      <c r="B16" s="6" t="s">
        <v>77</v>
      </c>
      <c r="C16" s="8" t="str">
        <f>IF(B16="","",IF(COUNTIFS(InvoicesTable[Invoice ID],B16)&lt;&gt;1,"Check invoice ID",INDEX(InvoicesTable[Customer],MATCH(B16,InvoicesTable[Invoice ID],0))))</f>
        <v>Cedarstone Retail</v>
      </c>
      <c r="D16" s="9">
        <v>46293</v>
      </c>
      <c r="E16" s="11" t="s">
        <v>128</v>
      </c>
      <c r="F16" s="26">
        <v>1100</v>
      </c>
      <c r="G16" s="11" t="s">
        <v>143</v>
      </c>
      <c r="H16" s="6" t="s">
        <v>57</v>
      </c>
      <c r="I16" s="6"/>
      <c r="J16" s="7" t="str">
        <f>IF(A16="",IF(COUNTA(B16,D16:I16)=0,"","Missing payment ID"),IF(COUNTIFS(PaymentsTable[Payment ID],A16)&gt;1,"Duplicate payment ID",IF(OR(B16="",ISBLANK(D16),E16="",ISBLANK(F16),G16="",H16=""),"Missing required input",IF(COUNTIFS(InvoicesTable[Invoice ID],B16)&lt;&gt;1,"Check invoice ID",IF(OR(NOT(ISNUMBER(D16)),NOT(ISNUMBER(F16))),"Check date or amount",IF(OR(F16&lt;=0,D16&lt;INDEX(InvoicesTable[Issued],MATCH(B16,InvoicesTable[Invoice ID],0))),"Check date / amount","OK"))))))</f>
        <v>OK</v>
      </c>
    </row>
    <row r="17" spans="1:10" ht="24" customHeight="1">
      <c r="A17" s="6" t="s">
        <v>144</v>
      </c>
      <c r="B17" s="6" t="s">
        <v>79</v>
      </c>
      <c r="C17" s="8" t="str">
        <f>IF(B17="","",IF(COUNTIFS(InvoicesTable[Invoice ID],B17)&lt;&gt;1,"Check invoice ID",INDEX(InvoicesTable[Customer],MATCH(B17,InvoicesTable[Invoice ID],0))))</f>
        <v>Harborview Supply</v>
      </c>
      <c r="D17" s="9">
        <v>46303</v>
      </c>
      <c r="E17" s="11" t="s">
        <v>125</v>
      </c>
      <c r="F17" s="26">
        <v>1200</v>
      </c>
      <c r="G17" s="11" t="s">
        <v>145</v>
      </c>
      <c r="H17" s="6" t="s">
        <v>61</v>
      </c>
      <c r="I17" s="6"/>
      <c r="J17" s="7" t="str">
        <f>IF(A17="",IF(COUNTA(B17,D17:I17)=0,"","Missing payment ID"),IF(COUNTIFS(PaymentsTable[Payment ID],A17)&gt;1,"Duplicate payment ID",IF(OR(B17="",ISBLANK(D17),E17="",ISBLANK(F17),G17="",H17=""),"Missing required input",IF(COUNTIFS(InvoicesTable[Invoice ID],B17)&lt;&gt;1,"Check invoice ID",IF(OR(NOT(ISNUMBER(D17)),NOT(ISNUMBER(F17))),"Check date or amount",IF(OR(F17&lt;=0,D17&lt;INDEX(InvoicesTable[Issued],MATCH(B17,InvoicesTable[Invoice ID],0))),"Check date / amount","OK"))))))</f>
        <v>OK</v>
      </c>
    </row>
    <row r="18" spans="1:10" ht="24" customHeight="1">
      <c r="A18" s="6" t="s">
        <v>146</v>
      </c>
      <c r="B18" s="6" t="s">
        <v>85</v>
      </c>
      <c r="C18" s="8" t="str">
        <f>IF(B18="","",IF(COUNTIFS(InvoicesTable[Invoice ID],B18)&lt;&gt;1,"Check invoice ID",INDEX(InvoicesTable[Customer],MATCH(B18,InvoicesTable[Invoice ID],0))))</f>
        <v>Willow Works</v>
      </c>
      <c r="D18" s="9">
        <v>46303</v>
      </c>
      <c r="E18" s="11" t="s">
        <v>133</v>
      </c>
      <c r="F18" s="26">
        <v>2750</v>
      </c>
      <c r="G18" s="11" t="s">
        <v>147</v>
      </c>
      <c r="H18" s="6" t="s">
        <v>52</v>
      </c>
      <c r="I18" s="6"/>
      <c r="J18" s="7" t="str">
        <f>IF(A18="",IF(COUNTA(B18,D18:I18)=0,"","Missing payment ID"),IF(COUNTIFS(PaymentsTable[Payment ID],A18)&gt;1,"Duplicate payment ID",IF(OR(B18="",ISBLANK(D18),E18="",ISBLANK(F18),G18="",H18=""),"Missing required input",IF(COUNTIFS(InvoicesTable[Invoice ID],B18)&lt;&gt;1,"Check invoice ID",IF(OR(NOT(ISNUMBER(D18)),NOT(ISNUMBER(F18))),"Check date or amount",IF(OR(F18&lt;=0,D18&lt;INDEX(InvoicesTable[Issued],MATCH(B18,InvoicesTable[Invoice ID],0))),"Check date / amount","OK"))))))</f>
        <v>OK</v>
      </c>
    </row>
    <row r="19" spans="1:10" ht="24" customHeight="1">
      <c r="A19" s="6" t="s">
        <v>148</v>
      </c>
      <c r="B19" s="6" t="s">
        <v>87</v>
      </c>
      <c r="C19" s="8" t="str">
        <f>IF(B19="","",IF(COUNTIFS(InvoicesTable[Invoice ID],B19)&lt;&gt;1,"Check invoice ID",INDEX(InvoicesTable[Customer],MATCH(B19,InvoicesTable[Invoice ID],0))))</f>
        <v>Alder Office Co.</v>
      </c>
      <c r="D19" s="9">
        <v>46310</v>
      </c>
      <c r="E19" s="11" t="s">
        <v>125</v>
      </c>
      <c r="F19" s="26">
        <v>1500</v>
      </c>
      <c r="G19" s="11" t="s">
        <v>149</v>
      </c>
      <c r="H19" s="6" t="s">
        <v>57</v>
      </c>
      <c r="I19" s="6"/>
      <c r="J19" s="7" t="str">
        <f>IF(A19="",IF(COUNTA(B19,D19:I19)=0,"","Missing payment ID"),IF(COUNTIFS(PaymentsTable[Payment ID],A19)&gt;1,"Duplicate payment ID",IF(OR(B19="",ISBLANK(D19),E19="",ISBLANK(F19),G19="",H19=""),"Missing required input",IF(COUNTIFS(InvoicesTable[Invoice ID],B19)&lt;&gt;1,"Check invoice ID",IF(OR(NOT(ISNUMBER(D19)),NOT(ISNUMBER(F19))),"Check date or amount",IF(OR(F19&lt;=0,D19&lt;INDEX(InvoicesTable[Issued],MATCH(B19,InvoicesTable[Invoice ID],0))),"Check date / amount","OK"))))))</f>
        <v>OK</v>
      </c>
    </row>
    <row r="20" spans="1:10" ht="24" customHeight="1">
      <c r="A20" s="6" t="s">
        <v>150</v>
      </c>
      <c r="B20" s="6" t="s">
        <v>87</v>
      </c>
      <c r="C20" s="8" t="str">
        <f>IF(B20="","",IF(COUNTIFS(InvoicesTable[Invoice ID],B20)&lt;&gt;1,"Check invoice ID",INDEX(InvoicesTable[Customer],MATCH(B20,InvoicesTable[Invoice ID],0))))</f>
        <v>Alder Office Co.</v>
      </c>
      <c r="D20" s="9">
        <v>46317</v>
      </c>
      <c r="E20" s="11" t="s">
        <v>125</v>
      </c>
      <c r="F20" s="26">
        <v>1500</v>
      </c>
      <c r="G20" s="11" t="s">
        <v>151</v>
      </c>
      <c r="H20" s="6" t="s">
        <v>61</v>
      </c>
      <c r="I20" s="6"/>
      <c r="J20" s="7" t="str">
        <f>IF(A20="",IF(COUNTA(B20,D20:I20)=0,"","Missing payment ID"),IF(COUNTIFS(PaymentsTable[Payment ID],A20)&gt;1,"Duplicate payment ID",IF(OR(B20="",ISBLANK(D20),E20="",ISBLANK(F20),G20="",H20=""),"Missing required input",IF(COUNTIFS(InvoicesTable[Invoice ID],B20)&lt;&gt;1,"Check invoice ID",IF(OR(NOT(ISNUMBER(D20)),NOT(ISNUMBER(F20))),"Check date or amount",IF(OR(F20&lt;=0,D20&lt;INDEX(InvoicesTable[Issued],MATCH(B20,InvoicesTable[Invoice ID],0))),"Check date / amount","OK"))))))</f>
        <v>OK</v>
      </c>
    </row>
    <row r="21" spans="1:10" ht="24" customHeight="1">
      <c r="A21" s="6" t="s">
        <v>152</v>
      </c>
      <c r="B21" s="6" t="s">
        <v>93</v>
      </c>
      <c r="C21" s="8" t="str">
        <f>IF(B21="","",IF(COUNTIFS(InvoicesTable[Invoice ID],B21)&lt;&gt;1,"Check invoice ID",INDEX(InvoicesTable[Customer],MATCH(B21,InvoicesTable[Invoice ID],0))))</f>
        <v>Harborview Supply</v>
      </c>
      <c r="D21" s="9">
        <v>46315</v>
      </c>
      <c r="E21" s="11" t="s">
        <v>136</v>
      </c>
      <c r="F21" s="26">
        <v>1000</v>
      </c>
      <c r="G21" s="11" t="s">
        <v>153</v>
      </c>
      <c r="H21" s="6" t="s">
        <v>52</v>
      </c>
      <c r="I21" s="6"/>
      <c r="J21" s="7" t="str">
        <f>IF(A21="",IF(COUNTA(B21,D21:I21)=0,"","Missing payment ID"),IF(COUNTIFS(PaymentsTable[Payment ID],A21)&gt;1,"Duplicate payment ID",IF(OR(B21="",ISBLANK(D21),E21="",ISBLANK(F21),G21="",H21=""),"Missing required input",IF(COUNTIFS(InvoicesTable[Invoice ID],B21)&lt;&gt;1,"Check invoice ID",IF(OR(NOT(ISNUMBER(D21)),NOT(ISNUMBER(F21))),"Check date or amount",IF(OR(F21&lt;=0,D21&lt;INDEX(InvoicesTable[Issued],MATCH(B21,InvoicesTable[Invoice ID],0))),"Check date / amount","OK"))))))</f>
        <v>OK</v>
      </c>
    </row>
    <row r="22" spans="1:10" ht="24" customHeight="1">
      <c r="A22" s="6" t="s">
        <v>154</v>
      </c>
      <c r="B22" s="6" t="s">
        <v>97</v>
      </c>
      <c r="C22" s="8" t="str">
        <f>IF(B22="","",IF(COUNTIFS(InvoicesTable[Invoice ID],B22)&lt;&gt;1,"Check invoice ID",INDEX(InvoicesTable[Customer],MATCH(B22,InvoicesTable[Invoice ID],0))))</f>
        <v>Willow Works</v>
      </c>
      <c r="D22" s="9">
        <v>46317</v>
      </c>
      <c r="E22" s="11" t="s">
        <v>133</v>
      </c>
      <c r="F22" s="26">
        <v>3150</v>
      </c>
      <c r="G22" s="11" t="s">
        <v>155</v>
      </c>
      <c r="H22" s="6" t="s">
        <v>57</v>
      </c>
      <c r="I22" s="6" t="s">
        <v>156</v>
      </c>
      <c r="J22" s="7" t="str">
        <f>IF(A22="",IF(COUNTA(B22,D22:I22)=0,"","Missing payment ID"),IF(COUNTIFS(PaymentsTable[Payment ID],A22)&gt;1,"Duplicate payment ID",IF(OR(B22="",ISBLANK(D22),E22="",ISBLANK(F22),G22="",H22=""),"Missing required input",IF(COUNTIFS(InvoicesTable[Invoice ID],B22)&lt;&gt;1,"Check invoice ID",IF(OR(NOT(ISNUMBER(D22)),NOT(ISNUMBER(F22))),"Check date or amount",IF(OR(F22&lt;=0,D22&lt;INDEX(InvoicesTable[Issued],MATCH(B22,InvoicesTable[Invoice ID],0))),"Check date / amount","OK"))))))</f>
        <v>OK</v>
      </c>
    </row>
    <row r="23" spans="1:10" ht="24" customHeight="1">
      <c r="A23" s="6" t="s">
        <v>157</v>
      </c>
      <c r="B23" s="6" t="s">
        <v>100</v>
      </c>
      <c r="C23" s="8" t="str">
        <f>IF(B23="","",IF(COUNTIFS(InvoicesTable[Invoice ID],B23)&lt;&gt;1,"Check invoice ID",INDEX(InvoicesTable[Customer],MATCH(B23,InvoicesTable[Invoice ID],0))))</f>
        <v>Alder Office Co.</v>
      </c>
      <c r="D23" s="9">
        <v>46318</v>
      </c>
      <c r="E23" s="11" t="s">
        <v>125</v>
      </c>
      <c r="F23" s="26">
        <v>1200</v>
      </c>
      <c r="G23" s="11" t="s">
        <v>158</v>
      </c>
      <c r="H23" s="6" t="s">
        <v>61</v>
      </c>
      <c r="I23" s="6"/>
      <c r="J23" s="7" t="str">
        <f>IF(A23="",IF(COUNTA(B23,D23:I23)=0,"","Missing payment ID"),IF(COUNTIFS(PaymentsTable[Payment ID],A23)&gt;1,"Duplicate payment ID",IF(OR(B23="",ISBLANK(D23),E23="",ISBLANK(F23),G23="",H23=""),"Missing required input",IF(COUNTIFS(InvoicesTable[Invoice ID],B23)&lt;&gt;1,"Check invoice ID",IF(OR(NOT(ISNUMBER(D23)),NOT(ISNUMBER(F23))),"Check date or amount",IF(OR(F23&lt;=0,D23&lt;INDEX(InvoicesTable[Issued],MATCH(B23,InvoicesTable[Invoice ID],0))),"Check date / amount","OK"))))))</f>
        <v>OK</v>
      </c>
    </row>
    <row r="24" spans="1:10" ht="24" customHeight="1">
      <c r="A24" s="6"/>
      <c r="B24" s="6"/>
      <c r="C24" s="8" t="str">
        <f>IF(B24="","",IF(COUNTIFS(InvoicesTable[Invoice ID],B24)&lt;&gt;1,"Check invoice ID",INDEX(InvoicesTable[Customer],MATCH(B24,InvoicesTable[Invoice ID],0))))</f>
        <v/>
      </c>
      <c r="D24" s="9"/>
      <c r="E24" s="11"/>
      <c r="F24" s="26"/>
      <c r="G24" s="11"/>
      <c r="H24" s="6"/>
      <c r="I24" s="6"/>
      <c r="J24" s="7" t="str">
        <f>IF(A24="",IF(COUNTA(B24,D24:I24)=0,"","Missing payment ID"),IF(COUNTIFS(PaymentsTable[Payment ID],A24)&gt;1,"Duplicate payment ID",IF(OR(B24="",ISBLANK(D24),E24="",ISBLANK(F24),G24="",H24=""),"Missing required input",IF(COUNTIFS(InvoicesTable[Invoice ID],B24)&lt;&gt;1,"Check invoice ID",IF(OR(NOT(ISNUMBER(D24)),NOT(ISNUMBER(F24))),"Check date or amount",IF(OR(F24&lt;=0,D24&lt;INDEX(InvoicesTable[Issued],MATCH(B24,InvoicesTable[Invoice ID],0))),"Check date / amount","OK"))))))</f>
        <v/>
      </c>
    </row>
  </sheetData>
  <conditionalFormatting sqref="J9:J24">
    <cfRule type="expression" dxfId="2" priority="1">
      <formula>AND($J9&lt;&gt;"",$J9&lt;&gt;"OK")</formula>
    </cfRule>
  </conditionalFormatting>
  <dataValidations count="3">
    <dataValidation type="list" sqref="E9:E24" xr:uid="{00000000-0002-0000-0200-000000000000}">
      <formula1>"ACH,Bank transfer,Card,Check,Cash"</formula1>
    </dataValidation>
    <dataValidation type="list" sqref="H9:H24" xr:uid="{00000000-0002-0000-0200-000001000000}">
      <formula1>"Alex Morgan,Jordan Lee,Taylor Reed"</formula1>
    </dataValidation>
    <dataValidation type="decimal" operator="greaterThan" sqref="F9:F24" xr:uid="{00000000-0002-0000-0200-000002000000}">
      <formula1>0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73913-B742-264A-9818-DF850A313DF2}">
  <sheetPr codeName="Sheet4">
    <tabColor rgb="FF24704A"/>
  </sheetPr>
  <dimension ref="A1:M34"/>
  <sheetViews>
    <sheetView showGridLines="0" workbookViewId="0">
      <pane ySplit="6" topLeftCell="A7" activePane="bottomLeft" state="frozen"/>
      <selection pane="bottomLeft" activeCell="H21" sqref="H21"/>
    </sheetView>
  </sheetViews>
  <sheetFormatPr baseColWidth="10" defaultColWidth="8.83203125" defaultRowHeight="14"/>
  <cols>
    <col min="1" max="1" width="3" customWidth="1"/>
    <col min="2" max="2" width="22" customWidth="1"/>
    <col min="3" max="6" width="11" customWidth="1"/>
    <col min="7" max="7" width="3" customWidth="1"/>
    <col min="8" max="8" width="22" customWidth="1"/>
    <col min="9" max="12" width="11" customWidth="1"/>
    <col min="13" max="13" width="3" customWidth="1"/>
  </cols>
  <sheetData>
    <row r="1" spans="1:13" ht="24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2" customHeight="1">
      <c r="A2" s="1"/>
      <c r="B2" s="24" t="s">
        <v>159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24" customHeight="1">
      <c r="A3" s="1"/>
      <c r="B3" s="30" t="s">
        <v>160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1"/>
    </row>
    <row r="4" spans="1:13" ht="24" customHeight="1">
      <c r="A4" s="1"/>
      <c r="B4" s="30" t="s">
        <v>161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1"/>
    </row>
    <row r="5" spans="1:13" ht="24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ht="30" customHeight="1">
      <c r="A6" s="1"/>
      <c r="B6" s="35" t="s">
        <v>162</v>
      </c>
      <c r="C6" s="35" t="s">
        <v>162</v>
      </c>
      <c r="D6" s="35" t="s">
        <v>162</v>
      </c>
      <c r="E6" s="35" t="s">
        <v>162</v>
      </c>
      <c r="F6" s="35" t="s">
        <v>162</v>
      </c>
      <c r="G6" s="1"/>
      <c r="H6" s="35" t="s">
        <v>163</v>
      </c>
      <c r="I6" s="35" t="s">
        <v>163</v>
      </c>
      <c r="J6" s="35" t="s">
        <v>163</v>
      </c>
      <c r="K6" s="35" t="s">
        <v>163</v>
      </c>
      <c r="L6" s="35" t="s">
        <v>163</v>
      </c>
      <c r="M6" s="1"/>
    </row>
    <row r="7" spans="1:13" ht="24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ht="24" customHeight="1">
      <c r="A8" s="1"/>
      <c r="B8" s="1" t="s">
        <v>36</v>
      </c>
      <c r="C8" s="34" t="s">
        <v>164</v>
      </c>
      <c r="D8" s="34"/>
      <c r="E8" s="34"/>
      <c r="F8" s="34"/>
      <c r="G8" s="1"/>
      <c r="H8" s="1" t="s">
        <v>117</v>
      </c>
      <c r="I8" s="34" t="s">
        <v>164</v>
      </c>
      <c r="J8" s="34"/>
      <c r="K8" s="34"/>
      <c r="L8" s="34"/>
      <c r="M8" s="1"/>
    </row>
    <row r="9" spans="1:13" ht="24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ht="24" customHeight="1">
      <c r="A10" s="1"/>
      <c r="B10" s="1" t="s">
        <v>165</v>
      </c>
      <c r="C10" s="32"/>
      <c r="D10" s="32"/>
      <c r="E10" s="32"/>
      <c r="F10" s="32"/>
      <c r="G10" s="1"/>
      <c r="H10" s="1" t="s">
        <v>166</v>
      </c>
      <c r="I10" s="32"/>
      <c r="J10" s="32"/>
      <c r="K10" s="32"/>
      <c r="L10" s="32"/>
      <c r="M10" s="1"/>
    </row>
    <row r="11" spans="1:13" ht="24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ht="24" customHeight="1">
      <c r="A12" s="1"/>
      <c r="B12" s="1" t="s">
        <v>37</v>
      </c>
      <c r="C12" s="32"/>
      <c r="D12" s="32"/>
      <c r="E12" s="32"/>
      <c r="F12" s="32"/>
      <c r="G12" s="1"/>
      <c r="H12" s="1" t="s">
        <v>167</v>
      </c>
      <c r="I12" s="33"/>
      <c r="J12" s="32"/>
      <c r="K12" s="32"/>
      <c r="L12" s="32"/>
      <c r="M12" s="1"/>
    </row>
    <row r="13" spans="1:13" ht="24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24" customHeight="1">
      <c r="A14" s="1"/>
      <c r="B14" s="1" t="s">
        <v>168</v>
      </c>
      <c r="C14" s="32"/>
      <c r="D14" s="32"/>
      <c r="E14" s="32"/>
      <c r="F14" s="32"/>
      <c r="G14" s="1"/>
      <c r="H14" s="1" t="s">
        <v>169</v>
      </c>
      <c r="I14" s="32"/>
      <c r="J14" s="32"/>
      <c r="K14" s="32"/>
      <c r="L14" s="32"/>
      <c r="M14" s="1"/>
    </row>
    <row r="15" spans="1:13" ht="24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24" customHeight="1">
      <c r="A16" s="1"/>
      <c r="B16" s="1" t="s">
        <v>170</v>
      </c>
      <c r="C16" s="33"/>
      <c r="D16" s="32"/>
      <c r="E16" s="32"/>
      <c r="F16" s="32"/>
      <c r="G16" s="1"/>
      <c r="H16" s="1" t="s">
        <v>171</v>
      </c>
      <c r="I16" s="31"/>
      <c r="J16" s="32"/>
      <c r="K16" s="32"/>
      <c r="L16" s="32"/>
      <c r="M16" s="1"/>
    </row>
    <row r="17" spans="1:13" ht="24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24" customHeight="1">
      <c r="A18" s="1"/>
      <c r="B18" s="1" t="s">
        <v>172</v>
      </c>
      <c r="C18" s="33"/>
      <c r="D18" s="32"/>
      <c r="E18" s="32"/>
      <c r="F18" s="32"/>
      <c r="G18" s="1"/>
      <c r="H18" s="1" t="s">
        <v>173</v>
      </c>
      <c r="I18" s="32"/>
      <c r="J18" s="32"/>
      <c r="K18" s="32"/>
      <c r="L18" s="32"/>
      <c r="M18" s="1"/>
    </row>
    <row r="19" spans="1:13" ht="24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24" customHeight="1">
      <c r="A20" s="1"/>
      <c r="B20" s="1" t="s">
        <v>171</v>
      </c>
      <c r="C20" s="31"/>
      <c r="D20" s="32"/>
      <c r="E20" s="32"/>
      <c r="F20" s="32"/>
      <c r="G20" s="1"/>
      <c r="H20" s="1" t="s">
        <v>174</v>
      </c>
      <c r="I20" s="32"/>
      <c r="J20" s="32"/>
      <c r="K20" s="32"/>
      <c r="L20" s="32"/>
      <c r="M20" s="1"/>
    </row>
    <row r="21" spans="1:13" ht="24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24" customHeight="1">
      <c r="A22" s="1"/>
      <c r="B22" s="1" t="s">
        <v>175</v>
      </c>
      <c r="C22" s="32"/>
      <c r="D22" s="32"/>
      <c r="E22" s="32"/>
      <c r="F22" s="32"/>
      <c r="G22" s="1"/>
      <c r="H22" s="1" t="s">
        <v>123</v>
      </c>
      <c r="I22" s="32"/>
      <c r="J22" s="32"/>
      <c r="K22" s="32"/>
      <c r="L22" s="32"/>
      <c r="M22" s="1"/>
    </row>
    <row r="23" spans="1:13" ht="24" customHeight="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24" customHeight="1">
      <c r="A24" s="1"/>
      <c r="B24" s="1" t="s">
        <v>176</v>
      </c>
      <c r="C24" s="33"/>
      <c r="D24" s="32"/>
      <c r="E24" s="32"/>
      <c r="F24" s="32"/>
      <c r="G24" s="1"/>
      <c r="H24" s="1"/>
      <c r="I24" s="1"/>
      <c r="J24" s="1"/>
      <c r="K24" s="1"/>
      <c r="L24" s="1"/>
      <c r="M24" s="1"/>
    </row>
    <row r="25" spans="1:13" ht="24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4" customHeight="1">
      <c r="A26" s="1"/>
      <c r="B26" s="1" t="s">
        <v>47</v>
      </c>
      <c r="C26" s="32"/>
      <c r="D26" s="32"/>
      <c r="E26" s="32"/>
      <c r="F26" s="32"/>
      <c r="G26" s="1"/>
      <c r="H26" s="1"/>
      <c r="I26" s="1"/>
      <c r="J26" s="1"/>
      <c r="K26" s="1"/>
      <c r="L26" s="1"/>
      <c r="M26" s="1"/>
    </row>
    <row r="27" spans="1:13" ht="24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ht="40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ht="24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13" ht="24" customHeight="1">
      <c r="A30" s="1"/>
      <c r="B30" s="29" t="s">
        <v>181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1"/>
    </row>
    <row r="31" spans="1:13" ht="24" customHeight="1">
      <c r="A31" s="1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1"/>
    </row>
    <row r="32" spans="1:13" ht="24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 ht="24" customHeight="1">
      <c r="A33" s="1"/>
      <c r="B33" s="30" t="s">
        <v>177</v>
      </c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1"/>
    </row>
    <row r="34" spans="1:13" ht="24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24">
    <mergeCell ref="B3:L3"/>
    <mergeCell ref="B4:L4"/>
    <mergeCell ref="B6:F6"/>
    <mergeCell ref="H6:L6"/>
    <mergeCell ref="C8:F8"/>
    <mergeCell ref="I18:L18"/>
    <mergeCell ref="I20:L20"/>
    <mergeCell ref="I22:L22"/>
    <mergeCell ref="C10:F10"/>
    <mergeCell ref="C12:F12"/>
    <mergeCell ref="C14:F14"/>
    <mergeCell ref="C16:F16"/>
    <mergeCell ref="C18:F18"/>
    <mergeCell ref="I8:L8"/>
    <mergeCell ref="I10:L10"/>
    <mergeCell ref="I12:L12"/>
    <mergeCell ref="I14:L14"/>
    <mergeCell ref="I16:L16"/>
    <mergeCell ref="B30:L31"/>
    <mergeCell ref="B33:L33"/>
    <mergeCell ref="C20:F20"/>
    <mergeCell ref="C22:F22"/>
    <mergeCell ref="C24:F24"/>
    <mergeCell ref="C26:F26"/>
  </mergeCells>
  <dataValidations count="3">
    <dataValidation type="list" sqref="C10" xr:uid="{00000000-0002-0000-0300-000000000000}">
      <formula1>"Alder Office Co.,Brookfield Services,Cedarstone Retail,Harborview Supply,Juniper Studio,Willow Works"</formula1>
    </dataValidation>
    <dataValidation type="list" sqref="C22 I20" xr:uid="{00000000-0002-0000-0300-000001000000}">
      <formula1>"Alex Morgan,Jordan Lee,Taylor Reed"</formula1>
    </dataValidation>
    <dataValidation type="list" sqref="I14" xr:uid="{00000000-0002-0000-0300-000003000000}">
      <formula1>"ACH,Bank transfer,Card,Check,Cash"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</vt:lpstr>
      <vt:lpstr>Overview</vt:lpstr>
      <vt:lpstr>Invoices</vt:lpstr>
      <vt:lpstr>Payments</vt:lpstr>
      <vt:lpstr>Entry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Hummel</cp:lastModifiedBy>
  <dcterms:modified xsi:type="dcterms:W3CDTF">2026-10-25T17:19:55Z</dcterms:modified>
</cp:coreProperties>
</file>