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metadata" ContentType="application/binary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e1b74184f378be8/Documents/Working files/Arbec/Charm/LCA estimates sent to Charm/LCA estimate - Q1 and Q2 2026/"/>
    </mc:Choice>
  </mc:AlternateContent>
  <bookViews>
    <workbookView xWindow="-98" yWindow="-98" windowWidth="21795" windowHeight="13875" activeTab="0"/>
  </bookViews>
  <sheets>
    <sheet name="Summary" sheetId="9" r:id="rId3"/>
    <sheet name="Inputs" sheetId="2" r:id="rId4"/>
    <sheet name="Analysis" sheetId="3" r:id="rId5"/>
    <sheet name="Distance sawmill-plant" sheetId="6" r:id="rId6"/>
    <sheet name="GHG emissions factors" sheetId="4" r:id="rId7"/>
  </sheets>
  <definedNames/>
  <calcPr calcId="191029" iterate="1" iterateCount="25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9" l="1"/>
</calcChain>
</file>

<file path=xl/sharedStrings.xml><?xml version="1.0" encoding="utf-8"?>
<sst xmlns="http://schemas.openxmlformats.org/spreadsheetml/2006/main" count="149" uniqueCount="91">
  <si>
    <t>Variable</t>
  </si>
  <si>
    <t>MJ/L</t>
  </si>
  <si>
    <t>tkm</t>
  </si>
  <si>
    <t>Conversion</t>
  </si>
  <si>
    <t>kWh/L</t>
  </si>
  <si>
    <t>gCO2-eq/GJ</t>
  </si>
  <si>
    <t>Litres</t>
  </si>
  <si>
    <t>MJ/kg</t>
  </si>
  <si>
    <t>Distance</t>
  </si>
  <si>
    <t>kg/L</t>
  </si>
  <si>
    <t>tkm / L</t>
  </si>
  <si>
    <t>Source</t>
  </si>
  <si>
    <t>Item</t>
  </si>
  <si>
    <t>Value</t>
  </si>
  <si>
    <t>Unit</t>
  </si>
  <si>
    <t>kgCO2-eq / L</t>
  </si>
  <si>
    <t xml:space="preserve">Conversion (Electricity) </t>
  </si>
  <si>
    <t xml:space="preserve">Conversion (Propane) </t>
  </si>
  <si>
    <t>Total</t>
  </si>
  <si>
    <t>Period start</t>
  </si>
  <si>
    <t>Period end (inclusive of)</t>
  </si>
  <si>
    <t>dry metric tonnes</t>
  </si>
  <si>
    <t>Filter cake co-product produced (co-product from the facility sold to third-party customer)</t>
  </si>
  <si>
    <t>metric tonnes ("as is")</t>
  </si>
  <si>
    <t>Comment</t>
  </si>
  <si>
    <t>Heavy Duty Vehicle transport of sawmill residues (Sawmill to bioenergy plant)</t>
  </si>
  <si>
    <t>km (one-way)</t>
  </si>
  <si>
    <t>See the worksheet titled "Distance sawmill-plant"</t>
  </si>
  <si>
    <t>Average moisture content</t>
  </si>
  <si>
    <t>% weight</t>
  </si>
  <si>
    <t>tonne-kilometre (dry basis)</t>
  </si>
  <si>
    <t>Diesel fuel for biomass handling and loading</t>
  </si>
  <si>
    <t>Litres consumed for handling biomass and loading trucks (front wheel loaders)</t>
  </si>
  <si>
    <t>MJ</t>
  </si>
  <si>
    <t>Electricity (QC)</t>
  </si>
  <si>
    <t>Liquid Propane Gas (LPG)</t>
  </si>
  <si>
    <t>kWh</t>
  </si>
  <si>
    <t>Final transport to customer</t>
  </si>
  <si>
    <t>km</t>
  </si>
  <si>
    <t>Allocation on an energy basis</t>
  </si>
  <si>
    <t>Filter cake co-product High Heating Value</t>
  </si>
  <si>
    <t>Electricity</t>
  </si>
  <si>
    <t>LPG</t>
  </si>
  <si>
    <t>tkm for biomass transport between sawmill and plant</t>
  </si>
  <si>
    <t>Diesel for feedstock handling and loading (front wheel loaders)</t>
  </si>
  <si>
    <t>gCO2e/tkm</t>
  </si>
  <si>
    <t>Quebec electricity consumption carbon intensity</t>
  </si>
  <si>
    <t>gCO2e/kWh-delivered</t>
  </si>
  <si>
    <t>https://publications.gc.ca/collections/collection_2022/eccc/En81-4-2020-3-eng.pdf</t>
  </si>
  <si>
    <t>Industrial boiler emissions with LPG (Propane)</t>
  </si>
  <si>
    <t>Cradle to gate</t>
  </si>
  <si>
    <t>Results Summary - Cradle to gate</t>
  </si>
  <si>
    <t>Total pyrolysis oil produced</t>
  </si>
  <si>
    <t>Biomass input</t>
  </si>
  <si>
    <t>Pyrolysis oil production</t>
  </si>
  <si>
    <t>MJ of pyrolysis oil</t>
  </si>
  <si>
    <t>MJ of filter cake co-product</t>
  </si>
  <si>
    <t>Average measured value during the time period based on laboratory analysis</t>
  </si>
  <si>
    <t>% MJ pyrolysis oil produced over total MJ produced (pyrolysis oil and filter cake co-product)</t>
  </si>
  <si>
    <t>Based on recent third-party Certficate of Analysis</t>
  </si>
  <si>
    <t>Average measured value for the whole period</t>
  </si>
  <si>
    <t>Diesel High Heating Value</t>
  </si>
  <si>
    <t>MJ during the period</t>
  </si>
  <si>
    <t>LPG High Heating Value</t>
  </si>
  <si>
    <t>GHGenius 5.02b</t>
  </si>
  <si>
    <t>Diesel fuel consumption</t>
  </si>
  <si>
    <t>diesel fuel MJ / L</t>
  </si>
  <si>
    <t>Allocation factors (per litre, no energy allocation)</t>
  </si>
  <si>
    <t>Quebec, 2024 target year, 2021 (100 years) GWP, GHGenius 502b</t>
  </si>
  <si>
    <t>Heavy duty truck (petrol diesel 0.0015% sulfur, QC)</t>
  </si>
  <si>
    <t>Wheel Loader, Diesel, QC</t>
  </si>
  <si>
    <t>Industrial boiler (bark boiler), wood waste</t>
  </si>
  <si>
    <t>Rail (0.002% sulphur, QC)</t>
  </si>
  <si>
    <t>gCO2-eq/tkm</t>
  </si>
  <si>
    <t>Wood residue Heavy Duty Vehicle Transportation (Diesel)</t>
  </si>
  <si>
    <t>Wood Residue Front-wheel Loading (Diesel)</t>
  </si>
  <si>
    <t>Carbon intensity of pyrolysis oil based on energy allocation between py-oil and filter cake co-product</t>
  </si>
  <si>
    <t>Carbon intensity of pyrolysis oil (no energy allocation to filter cake co-product)</t>
  </si>
  <si>
    <t>Last value</t>
  </si>
  <si>
    <t>Change</t>
  </si>
  <si>
    <t>Pyrolysis oil density</t>
  </si>
  <si>
    <t>Pyrolysis oil High Heating Value</t>
  </si>
  <si>
    <t>Filter cake production</t>
  </si>
  <si>
    <t>Allocation factors between pyrolysis oil and filter cake co-product (per litre)</t>
  </si>
  <si>
    <t>Carbon intensity of pyrolysis oil based on emissions displacement through the filter cake co-product combustion</t>
  </si>
  <si>
    <t>Less: Co-product displacement (bark boiler emissions in the sawmill facility)</t>
  </si>
  <si>
    <t>Net total</t>
  </si>
  <si>
    <t>metric tonne CO2eq / metric tonne of liquid</t>
  </si>
  <si>
    <t>See document "Supporting GHG data 30Jun2026S"</t>
  </si>
  <si>
    <t>Quebec, 2026 target year, 2021 (100 years) GWP, GHGenius 502b</t>
  </si>
  <si>
    <t>Note to Charm: the numbers in column E use 2026 target year values from the GHGenius LCA tool see the GHG emissions factors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</si>
</sst>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0.00000"/>
    <numFmt numFmtId="166" formatCode="0.000"/>
    <numFmt numFmtId="167" formatCode="#,##0.00000000"/>
    <numFmt numFmtId="168" formatCode="0.0000"/>
    <numFmt numFmtId="169" formatCode="0.000000"/>
    <numFmt numFmtId="170" formatCode="0.0%"/>
    <numFmt numFmtId="171" formatCode="0.0000_ ;[Green]\(0.0000\)"/>
  </numFmts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 val="single"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u val="single"/>
      <sz val="11"/>
      <color theme="1"/>
      <name val="Calibri"/>
      <family val="2"/>
      <scheme val="minor"/>
    </font>
    <font>
      <b/>
      <u val="single"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sz val="11"/>
      <name val="Calibri"/>
      <family val="2"/>
    </font>
    <font>
      <sz val="11"/>
      <color theme="9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/>
      <bottom style="thin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4" fillId="0" borderId="0" xfId="0" applyFont="1" applyAlignment="1">
      <alignment horizontal="left"/>
    </xf>
    <xf numFmtId="0" fontId="4" fillId="0" borderId="0" xfId="0" applyFont="1"/>
    <xf numFmtId="3" fontId="4" fillId="2" borderId="0" xfId="0" applyNumberFormat="1" applyFont="1" applyFill="1" applyBorder="1" applyAlignment="1">
      <alignment horizontal="left"/>
    </xf>
    <xf numFmtId="11" fontId="4" fillId="0" borderId="0" xfId="0" applyNumberFormat="1" applyFont="1"/>
    <xf numFmtId="0" fontId="5" fillId="0" borderId="0" xfId="0" applyFont="1"/>
    <xf numFmtId="0" fontId="4" fillId="2" borderId="0" xfId="0" applyFont="1" applyFill="1" applyBorder="1" applyAlignment="1">
      <alignment horizontal="left"/>
    </xf>
    <xf numFmtId="164" fontId="4" fillId="0" borderId="0" xfId="0" applyNumberFormat="1" applyFont="1"/>
    <xf numFmtId="0" fontId="5" fillId="0" borderId="0" xfId="0" applyFont="1" applyAlignment="1">
      <alignment horizontal="right"/>
    </xf>
    <xf numFmtId="4" fontId="4" fillId="0" borderId="0" xfId="0" applyNumberFormat="1" applyFont="1" applyAlignment="1">
      <alignment horizontal="left"/>
    </xf>
    <xf numFmtId="11" fontId="4" fillId="0" borderId="0" xfId="0" applyNumberFormat="1" applyFont="1" applyAlignment="1">
      <alignment horizontal="left"/>
    </xf>
    <xf numFmtId="0" fontId="0" fillId="0" borderId="2" xfId="0" applyBorder="1"/>
    <xf numFmtId="0" fontId="0" fillId="0" borderId="0" xfId="0" applyFont="1"/>
    <xf numFmtId="15" fontId="0" fillId="0" borderId="0" xfId="0" applyNumberFormat="1"/>
    <xf numFmtId="9" fontId="0" fillId="0" borderId="0" xfId="15" applyFont="1"/>
    <xf numFmtId="0" fontId="0" fillId="0" borderId="0" xfId="0" applyFont="1"/>
    <xf numFmtId="15" fontId="3" fillId="2" borderId="0" xfId="0" applyNumberFormat="1" applyFont="1" applyFill="1" applyBorder="1" applyAlignment="1">
      <alignment horizontal="left"/>
    </xf>
    <xf numFmtId="3" fontId="3" fillId="2" borderId="0" xfId="0" applyNumberFormat="1" applyFont="1" applyFill="1" applyBorder="1" applyAlignment="1">
      <alignment horizontal="left"/>
    </xf>
    <xf numFmtId="0" fontId="6" fillId="0" borderId="0" xfId="0" applyFont="1"/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0" fillId="0" borderId="0" xfId="0" applyFont="1" applyAlignment="1">
      <alignment horizontal="left" indent="1"/>
    </xf>
    <xf numFmtId="3" fontId="4" fillId="0" borderId="0" xfId="0" applyNumberFormat="1" applyFont="1" applyBorder="1" applyAlignment="1">
      <alignment horizontal="left"/>
    </xf>
    <xf numFmtId="9" fontId="4" fillId="0" borderId="0" xfId="15" applyFont="1" applyAlignment="1">
      <alignment horizontal="left"/>
    </xf>
    <xf numFmtId="4" fontId="3" fillId="2" borderId="0" xfId="0" applyNumberFormat="1" applyFont="1" applyFill="1" applyBorder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0" fontId="6" fillId="0" borderId="2" xfId="0" applyFont="1" applyBorder="1"/>
    <xf numFmtId="9" fontId="4" fillId="0" borderId="0" xfId="15" applyFont="1" applyAlignment="1">
      <alignment horizontal="center"/>
    </xf>
    <xf numFmtId="0" fontId="0" fillId="0" borderId="0" xfId="0" applyBorder="1"/>
    <xf numFmtId="0" fontId="8" fillId="0" borderId="0" xfId="0" applyFont="1"/>
    <xf numFmtId="0" fontId="7" fillId="0" borderId="0" xfId="0" applyFont="1"/>
    <xf numFmtId="0" fontId="6" fillId="0" borderId="2" xfId="0" applyFont="1" applyBorder="1" applyAlignment="1">
      <alignment horizontal="left"/>
    </xf>
    <xf numFmtId="165" fontId="0" fillId="0" borderId="0" xfId="18" applyNumberFormat="1" applyFont="1" applyAlignment="1">
      <alignment horizontal="left" vertical="top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165" fontId="0" fillId="0" borderId="2" xfId="18" applyNumberFormat="1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165" fontId="9" fillId="0" borderId="0" xfId="18" applyNumberFormat="1" applyFont="1" applyAlignment="1">
      <alignment horizontal="left" vertical="top"/>
    </xf>
    <xf numFmtId="2" fontId="0" fillId="0" borderId="0" xfId="0" applyNumberFormat="1" applyAlignment="1">
      <alignment horizontal="left"/>
    </xf>
    <xf numFmtId="2" fontId="6" fillId="0" borderId="2" xfId="0" applyNumberFormat="1" applyFont="1" applyBorder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2" xfId="0" applyNumberFormat="1" applyBorder="1" applyAlignment="1">
      <alignment horizontal="left"/>
    </xf>
    <xf numFmtId="165" fontId="6" fillId="0" borderId="0" xfId="0" applyNumberFormat="1" applyFont="1" applyAlignment="1">
      <alignment horizontal="left"/>
    </xf>
    <xf numFmtId="0" fontId="0" fillId="0" borderId="0" xfId="0" applyFont="1"/>
    <xf numFmtId="0" fontId="0" fillId="0" borderId="0" xfId="0" applyFont="1"/>
    <xf numFmtId="0" fontId="3" fillId="0" borderId="2" xfId="0" applyFont="1" applyBorder="1"/>
    <xf numFmtId="0" fontId="7" fillId="0" borderId="2" xfId="0" applyFont="1" applyBorder="1"/>
    <xf numFmtId="0" fontId="0" fillId="0" borderId="0" xfId="0" applyFont="1" applyAlignment="1">
      <alignment horizontal="left" indent="1"/>
    </xf>
    <xf numFmtId="0" fontId="10" fillId="0" borderId="0" xfId="0" applyFont="1"/>
    <xf numFmtId="0" fontId="11" fillId="0" borderId="0" xfId="0" applyFont="1"/>
    <xf numFmtId="3" fontId="4" fillId="0" borderId="0" xfId="0" applyNumberFormat="1" applyFont="1" applyAlignment="1">
      <alignment horizontal="left"/>
    </xf>
    <xf numFmtId="0" fontId="11" fillId="3" borderId="0" xfId="0" applyFont="1" applyFill="1" applyAlignment="1">
      <alignment horizontal="left"/>
    </xf>
    <xf numFmtId="3" fontId="9" fillId="3" borderId="0" xfId="18" applyNumberFormat="1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1" fillId="3" borderId="0" xfId="0" applyFont="1" applyFill="1"/>
    <xf numFmtId="0" fontId="11" fillId="0" borderId="0" xfId="0" applyFont="1" applyAlignment="1">
      <alignment horizontal="center"/>
    </xf>
    <xf numFmtId="3" fontId="11" fillId="4" borderId="0" xfId="18" applyNumberFormat="1" applyFont="1" applyFill="1" applyBorder="1" applyAlignment="1">
      <alignment horizontal="center"/>
    </xf>
    <xf numFmtId="2" fontId="11" fillId="4" borderId="0" xfId="18" applyNumberFormat="1" applyFont="1" applyFill="1" applyBorder="1" applyAlignment="1">
      <alignment horizontal="center" vertical="center"/>
    </xf>
    <xf numFmtId="10" fontId="6" fillId="0" borderId="0" xfId="15" applyNumberFormat="1" applyFont="1"/>
    <xf numFmtId="10" fontId="6" fillId="0" borderId="2" xfId="15" applyNumberFormat="1" applyFont="1" applyBorder="1"/>
    <xf numFmtId="0" fontId="12" fillId="0" borderId="0" xfId="20"/>
    <xf numFmtId="2" fontId="3" fillId="2" borderId="0" xfId="0" applyNumberFormat="1" applyFont="1" applyFill="1" applyBorder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 indent="1"/>
    </xf>
    <xf numFmtId="4" fontId="4" fillId="2" borderId="0" xfId="0" applyNumberFormat="1" applyFont="1" applyFill="1" applyBorder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13" fillId="2" borderId="0" xfId="0" applyNumberFormat="1" applyFont="1" applyFill="1" applyBorder="1" applyAlignment="1">
      <alignment horizontal="center"/>
    </xf>
    <xf numFmtId="3" fontId="4" fillId="2" borderId="0" xfId="0" applyNumberFormat="1" applyFont="1" applyFill="1" applyBorder="1" applyAlignment="1">
      <alignment horizontal="center"/>
    </xf>
    <xf numFmtId="0" fontId="0" fillId="0" borderId="0" xfId="0" applyFont="1" applyAlignment="1">
      <alignment horizontal="left"/>
    </xf>
    <xf numFmtId="3" fontId="0" fillId="0" borderId="2" xfId="0" applyNumberFormat="1" applyBorder="1"/>
    <xf numFmtId="0" fontId="0" fillId="0" borderId="2" xfId="0" applyFont="1" applyBorder="1"/>
    <xf numFmtId="10" fontId="6" fillId="0" borderId="0" xfId="15" applyNumberFormat="1" applyFont="1" applyFill="1" applyBorder="1" applyAlignment="1">
      <alignment horizontal="left"/>
    </xf>
    <xf numFmtId="10" fontId="0" fillId="0" borderId="0" xfId="15" applyNumberFormat="1" applyFont="1" applyAlignment="1">
      <alignment horizontal="left"/>
    </xf>
    <xf numFmtId="10" fontId="0" fillId="0" borderId="2" xfId="15" applyNumberFormat="1" applyFont="1" applyBorder="1" applyAlignment="1">
      <alignment horizontal="left"/>
    </xf>
    <xf numFmtId="166" fontId="10" fillId="0" borderId="2" xfId="0" applyNumberFormat="1" applyFont="1" applyBorder="1" applyAlignment="1">
      <alignment horizontal="left"/>
    </xf>
    <xf numFmtId="0" fontId="6" fillId="0" borderId="0" xfId="0" applyFont="1" applyBorder="1"/>
    <xf numFmtId="168" fontId="6" fillId="0" borderId="0" xfId="0" applyNumberFormat="1" applyFont="1" applyAlignment="1">
      <alignment horizontal="left"/>
    </xf>
    <xf numFmtId="169" fontId="6" fillId="0" borderId="0" xfId="0" applyNumberFormat="1" applyFont="1" applyAlignment="1">
      <alignment horizontal="left"/>
    </xf>
    <xf numFmtId="0" fontId="0" fillId="0" borderId="2" xfId="0" applyFont="1" applyBorder="1" applyAlignment="1">
      <alignment horizontal="left"/>
    </xf>
    <xf numFmtId="167" fontId="13" fillId="2" borderId="0" xfId="0" applyNumberFormat="1" applyFont="1" applyFill="1" applyBorder="1" applyAlignment="1">
      <alignment horizontal="center"/>
    </xf>
    <xf numFmtId="0" fontId="0" fillId="0" borderId="0" xfId="0" applyFont="1"/>
    <xf numFmtId="0" fontId="0" fillId="0" borderId="0" xfId="0" applyFont="1"/>
    <xf numFmtId="170" fontId="4" fillId="2" borderId="0" xfId="15" applyNumberFormat="1" applyFont="1" applyFill="1" applyBorder="1" applyAlignment="1">
      <alignment horizontal="left"/>
    </xf>
    <xf numFmtId="171" fontId="14" fillId="0" borderId="2" xfId="0" applyNumberFormat="1" applyFont="1" applyBorder="1" applyAlignment="1">
      <alignment horizontal="left"/>
    </xf>
    <xf numFmtId="0" fontId="15" fillId="0" borderId="0" xfId="0" applyFont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calcChain" Target="calcChain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125016</xdr:colOff>
      <xdr:row>0</xdr:row>
      <xdr:rowOff>95251</xdr:rowOff>
    </xdr:from>
    <xdr:to>
      <xdr:col>20</xdr:col>
      <xdr:colOff>541734</xdr:colOff>
      <xdr:row>48</xdr:row>
      <xdr:rowOff>62716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c59086-fda7-04db-08e9-1af9dcd23f5f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825" y="95250"/>
          <a:ext cx="12611100" cy="8658225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4</xdr:col>
      <xdr:colOff>609600</xdr:colOff>
      <xdr:row>11</xdr:row>
      <xdr:rowOff>114300</xdr:rowOff>
    </xdr:from>
    <xdr:ext cx="180975" cy="266700"/>
    <xdr:sp>
      <xdr:nvSpPr>
        <xdr:cNvPr id="2" name="TextBox 1">
          <a:extLst>
            <a:ext uri="{FF2B5EF4-FFF2-40B4-BE49-F238E27FC236}">
              <a16:creationId xmlns:a16="http://schemas.microsoft.com/office/drawing/2014/main" id="{786d50ba-6cdc-437e-212e-d02bc454a093}"/>
            </a:ext>
          </a:extLst>
        </xdr:cNvPr>
        <xdr:cNvSpPr txBox="1"/>
      </xdr:nvSpPr>
      <xdr:spPr>
        <a:xfrm>
          <a:off x="3667125" y="2686050"/>
          <a:ext cx="180975" cy="266700"/>
        </a:xfrm>
        <a:prstGeom prst="rect"/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4</xdr:col>
      <xdr:colOff>609600</xdr:colOff>
      <xdr:row>12</xdr:row>
      <xdr:rowOff>114300</xdr:rowOff>
    </xdr:from>
    <xdr:ext cx="180975" cy="266700"/>
    <xdr:sp>
      <xdr:nvSpPr>
        <xdr:cNvPr id="3" name="TextBox 2">
          <a:extLst>
            <a:ext uri="{FF2B5EF4-FFF2-40B4-BE49-F238E27FC236}">
              <a16:creationId xmlns:a16="http://schemas.microsoft.com/office/drawing/2014/main" id="{5c66f3c1-9b40-434f-a6fe-fb4b02192d7f}"/>
            </a:ext>
          </a:extLst>
        </xdr:cNvPr>
        <xdr:cNvSpPr txBox="1"/>
      </xdr:nvSpPr>
      <xdr:spPr>
        <a:xfrm>
          <a:off x="3667125" y="2867025"/>
          <a:ext cx="180975" cy="266700"/>
        </a:xfrm>
        <a:prstGeom prst="rect"/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protect.checkpoint.com/v2/r01/___https://publications.gc.ca/collections/collection_2022/eccc/En81-4-2020-3-eng.pdf___.YXAzOmNoYXJtaW5kdXN0cmlhbDpjOmdvb2dsZV9tYWlsX2F0dGFjaG1lbnQ6YWNmYjBhZjExNDc3ZGJmZDIwZTZkYzMwZGIxMDc3ZTI6Nzo2ZDI4OmYzNzIwNzUwMWVhMzU0YWI4NmJjMDAxMjU2Mzg1ZTIxNzUxZDNlNzZlNDEwYzllZjNmOTM4NDM2MzcyZTliZDE6cDpUOkY" TargetMode="External" /><Relationship Id="rId2" Type="http://schemas.openxmlformats.org/officeDocument/2006/relationships/drawing" Target="../drawings/drawing2.xml" /><Relationship Id="rId3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F04D699-D64E-451B-A99A-452C6A286EB5}">
  <dimension ref="A1:P31"/>
  <sheetViews>
    <sheetView tabSelected="1" zoomScale="130" zoomScaleNormal="130" workbookViewId="0" topLeftCell="C1">
      <selection pane="topLeft" activeCell="M9" sqref="M9"/>
    </sheetView>
  </sheetViews>
  <sheetFormatPr defaultColWidth="8.86428571428571" defaultRowHeight="14.25"/>
  <cols>
    <col min="2" max="3" width="23.8571428571429" customWidth="1"/>
    <col min="4" max="4" width="16.2857142857143" customWidth="1"/>
    <col min="5" max="5" width="13.2857142857143" customWidth="1"/>
    <col min="6" max="6" width="14.8571428571429" customWidth="1"/>
    <col min="10" max="10" width="4.71428571428571" customWidth="1"/>
  </cols>
  <sheetData>
    <row r="1" spans="1:4" ht="18">
      <c r="A1" s="36" t="s">
        <v>51</v>
      </c>
      <c r="D1" s="93" t="s">
        <v>90</v>
      </c>
    </row>
    <row r="3" spans="2:4" ht="14.25">
      <c r="B3" s="37" t="s">
        <v>76</v>
      </c>
      <c r="C3" s="21"/>
      <c r="D3" s="21"/>
    </row>
    <row r="4" spans="2:4" ht="14.25">
      <c r="B4" s="21"/>
      <c r="C4" s="21"/>
      <c r="D4" s="21"/>
    </row>
    <row r="5" spans="2:14" ht="14.25">
      <c r="B5" s="33" t="s">
        <v>12</v>
      </c>
      <c r="C5" s="33"/>
      <c r="D5" s="33"/>
      <c r="E5" s="38" t="s">
        <v>13</v>
      </c>
      <c r="F5" s="38" t="s">
        <v>14</v>
      </c>
      <c r="G5" s="14"/>
      <c r="H5" s="14"/>
      <c r="I5" s="14"/>
      <c r="J5" s="14"/>
      <c r="K5" s="33" t="s">
        <v>78</v>
      </c>
      <c r="L5" s="33"/>
      <c r="M5" s="33" t="s">
        <v>79</v>
      </c>
      <c r="N5" s="14"/>
    </row>
    <row r="6" spans="2:13" ht="14.25">
      <c r="B6" s="69" t="s">
        <v>74</v>
      </c>
      <c r="C6" s="21"/>
      <c r="D6" s="65"/>
      <c r="E6" s="39">
        <f>Analysis!E27/Inputs!H7*1000*'GHG emissions factors'!H4/1000000</f>
        <v>2.0419604490026061E-4</v>
      </c>
      <c r="F6" s="77" t="s">
        <v>87</v>
      </c>
      <c r="J6" s="41"/>
      <c r="K6" s="40">
        <v>2.2811480114052723E-4</v>
      </c>
      <c r="M6" s="81">
        <f>E6/K6-1</f>
        <v>-0.10485403016673067</v>
      </c>
    </row>
    <row r="7" spans="2:13" ht="14.25">
      <c r="B7" s="69" t="s">
        <v>75</v>
      </c>
      <c r="D7" s="65"/>
      <c r="E7" s="39">
        <f>Analysis!E28*'GHG emissions factors'!H8/1000/Inputs!H7*1000/1000000</f>
        <v>0.021195367872150078</v>
      </c>
      <c r="F7" s="77" t="s">
        <v>87</v>
      </c>
      <c r="K7" s="40">
        <v>0.01844379821999706</v>
      </c>
      <c r="M7" s="81">
        <f>E7/K7-1</f>
        <v>0.14918671411020545</v>
      </c>
    </row>
    <row r="8" spans="2:13" ht="14.25">
      <c r="B8" t="s">
        <v>16</v>
      </c>
      <c r="D8" s="65"/>
      <c r="E8" s="39">
        <f>Analysis!E25/Inputs!H7*1000*'GHG emissions factors'!H6/1000000</f>
        <v>8.404151610450552E-4</v>
      </c>
      <c r="F8" s="77" t="s">
        <v>87</v>
      </c>
      <c r="K8" s="40">
        <v>9.911966538192593E-4</v>
      </c>
      <c r="M8" s="81">
        <f>E8/K8-1</f>
        <v>-0.15212066363744858</v>
      </c>
    </row>
    <row r="9" spans="2:14" ht="14.25">
      <c r="B9" s="14" t="s">
        <v>17</v>
      </c>
      <c r="C9" s="14"/>
      <c r="D9" s="66"/>
      <c r="E9" s="42">
        <f>Analysis!E26/Inputs!H7*1000*'GHG emissions factors'!H10/1000/1000000</f>
        <v>0.09098772036855131</v>
      </c>
      <c r="F9" s="87" t="s">
        <v>87</v>
      </c>
      <c r="G9" s="78"/>
      <c r="H9" s="14"/>
      <c r="I9" s="14"/>
      <c r="J9" s="14"/>
      <c r="K9" s="43">
        <v>0.06774634344690052</v>
      </c>
      <c r="L9" s="14"/>
      <c r="M9" s="82">
        <f t="shared" si="0" ref="M9">E9/K9-1</f>
        <v>0.34306466945876335</v>
      </c>
      <c r="N9" s="14"/>
    </row>
    <row r="10" spans="2:16" ht="14.25">
      <c r="B10" s="21" t="s">
        <v>18</v>
      </c>
      <c r="C10" s="21"/>
      <c r="D10" s="21"/>
      <c r="E10" s="44">
        <f>SUM(E6:E9)</f>
        <v>0.1132276994466467</v>
      </c>
      <c r="F10" s="41" t="s">
        <v>87</v>
      </c>
      <c r="K10" s="41">
        <f>SUM(K6:K9)</f>
        <v>0.08740945312185736</v>
      </c>
      <c r="M10" s="80">
        <f>E10/K10-1</f>
        <v>0.2953713288744202</v>
      </c>
      <c r="P10" s="21" t="s">
        <v>50</v>
      </c>
    </row>
    <row r="11" spans="5:6" ht="14.25">
      <c r="E11" s="45"/>
      <c r="F11" s="40"/>
    </row>
    <row r="12" spans="2:6" ht="14.25">
      <c r="B12" s="37" t="s">
        <v>77</v>
      </c>
      <c r="C12" s="21"/>
      <c r="D12" s="21"/>
      <c r="E12" s="45"/>
      <c r="F12" s="40"/>
    </row>
    <row r="13" spans="2:6" ht="14.25">
      <c r="B13" s="21"/>
      <c r="C13" s="21"/>
      <c r="D13" s="21"/>
      <c r="E13" s="45"/>
      <c r="F13" s="40"/>
    </row>
    <row r="14" spans="2:14" ht="14.25">
      <c r="B14" s="33" t="s">
        <v>12</v>
      </c>
      <c r="C14" s="33"/>
      <c r="D14" s="33"/>
      <c r="E14" s="46" t="s">
        <v>13</v>
      </c>
      <c r="F14" s="38" t="s">
        <v>14</v>
      </c>
      <c r="G14" s="14"/>
      <c r="H14" s="14"/>
      <c r="I14" s="14"/>
      <c r="J14" s="14"/>
      <c r="K14" s="33" t="s">
        <v>78</v>
      </c>
      <c r="L14" s="33"/>
      <c r="M14" s="33" t="s">
        <v>79</v>
      </c>
      <c r="N14" s="14"/>
    </row>
    <row r="15" spans="2:13" ht="14.25">
      <c r="B15" t="str">
        <f>B6</f>
        <v>Wood residue Heavy Duty Vehicle Transportation (Diesel)</v>
      </c>
      <c r="C15" s="21"/>
      <c r="D15" s="65"/>
      <c r="E15" s="47">
        <f>Analysis!E33/Inputs!H7*1000*'GHG emissions factors'!H4/1000000</f>
        <v>2.399474508061776E-4</v>
      </c>
      <c r="F15" s="77" t="s">
        <v>87</v>
      </c>
      <c r="K15" s="40">
        <v>2.6026351444319816E-4</v>
      </c>
      <c r="M15" s="81">
        <f>E15/K15-1</f>
        <v>-0.07805959156620268</v>
      </c>
    </row>
    <row r="16" spans="2:13" ht="14.25">
      <c r="B16" t="str">
        <f>B7</f>
        <v>Wood Residue Front-wheel Loading (Diesel)</v>
      </c>
      <c r="D16" s="65"/>
      <c r="E16" s="47">
        <f>Analysis!E34*'GHG emissions factors'!H8/1000/Inputs!H7*1000/1000000</f>
        <v>0.024906332011992247</v>
      </c>
      <c r="F16" s="77" t="s">
        <v>87</v>
      </c>
      <c r="K16" s="40">
        <v>0.021043122675150336</v>
      </c>
      <c r="M16" s="81">
        <f>E16/K16-1</f>
        <v>0.18358536403933745</v>
      </c>
    </row>
    <row r="17" spans="2:13" ht="14.25">
      <c r="B17" t="s">
        <v>16</v>
      </c>
      <c r="D17" s="65"/>
      <c r="E17" s="47">
        <f>Analysis!E31/Inputs!H7*1000*'GHG emissions factors'!H6/1000000</f>
        <v>9.875581851260765E-4</v>
      </c>
      <c r="F17" s="77" t="s">
        <v>87</v>
      </c>
      <c r="K17" s="40">
        <v>0.0011308881463961559</v>
      </c>
      <c r="M17" s="81">
        <f>E17/K17-1</f>
        <v>-0.12674105898698684</v>
      </c>
    </row>
    <row r="18" spans="2:14" ht="14.25">
      <c r="B18" s="14" t="s">
        <v>17</v>
      </c>
      <c r="C18" s="14"/>
      <c r="D18" s="66"/>
      <c r="E18" s="48">
        <f>Analysis!E32/Inputs!H7*1000*'GHG emissions factors'!H10/1000/1000000</f>
        <v>0.10691819015281694</v>
      </c>
      <c r="F18" s="87" t="s">
        <v>87</v>
      </c>
      <c r="G18" s="14"/>
      <c r="H18" s="14"/>
      <c r="I18" s="14"/>
      <c r="J18" s="14"/>
      <c r="K18" s="43">
        <v>0.07729398245098683</v>
      </c>
      <c r="L18" s="14"/>
      <c r="M18" s="82">
        <f t="shared" si="1" ref="M18">E18/K18-1</f>
        <v>0.38326667565117667</v>
      </c>
      <c r="N18" s="14"/>
    </row>
    <row r="19" spans="2:16" ht="14.25">
      <c r="B19" s="21" t="s">
        <v>18</v>
      </c>
      <c r="C19" s="21"/>
      <c r="D19" s="21"/>
      <c r="E19" s="49">
        <f>SUM(E15:E18)</f>
        <v>0.13305202780074143</v>
      </c>
      <c r="F19" s="41" t="s">
        <v>87</v>
      </c>
      <c r="K19" s="86">
        <f>SUM(K15:K18)</f>
        <v>0.09972825678697651</v>
      </c>
      <c r="M19" s="80">
        <f>E19/K19-1</f>
        <v>0.3341457284763918</v>
      </c>
      <c r="P19" s="21" t="s">
        <v>50</v>
      </c>
    </row>
    <row r="20" spans="5:5" ht="14.25">
      <c r="E20" s="40"/>
    </row>
    <row r="21" spans="2:6" ht="14.25">
      <c r="B21" s="37" t="s">
        <v>84</v>
      </c>
      <c r="C21" s="21"/>
      <c r="D21" s="21"/>
      <c r="E21" s="45"/>
      <c r="F21" s="40"/>
    </row>
    <row r="22" spans="2:6" ht="14.25">
      <c r="B22" s="21"/>
      <c r="C22" s="21"/>
      <c r="D22" s="21"/>
      <c r="E22" s="45"/>
      <c r="F22" s="40"/>
    </row>
    <row r="23" spans="2:14" ht="14.25">
      <c r="B23" s="33" t="s">
        <v>12</v>
      </c>
      <c r="C23" s="33"/>
      <c r="D23" s="33"/>
      <c r="E23" s="46" t="s">
        <v>13</v>
      </c>
      <c r="F23" s="38" t="s">
        <v>14</v>
      </c>
      <c r="G23" s="14"/>
      <c r="H23" s="14"/>
      <c r="I23" s="14"/>
      <c r="J23" s="14"/>
      <c r="K23" s="33" t="s">
        <v>78</v>
      </c>
      <c r="L23" s="33"/>
      <c r="M23" s="33" t="s">
        <v>79</v>
      </c>
      <c r="N23" s="14"/>
    </row>
    <row r="24" spans="2:13" ht="14.25">
      <c r="B24" t="str">
        <f>B15</f>
        <v>Wood residue Heavy Duty Vehicle Transportation (Diesel)</v>
      </c>
      <c r="C24" s="21"/>
      <c r="D24" s="65"/>
      <c r="E24" s="47">
        <f>E15</f>
        <v>2.399474508061776E-4</v>
      </c>
      <c r="F24" s="77" t="s">
        <v>87</v>
      </c>
      <c r="K24" s="40">
        <v>2.6026351444319816E-4</v>
      </c>
      <c r="M24" s="81">
        <f>E24/K24-1</f>
        <v>-0.07805959156620268</v>
      </c>
    </row>
    <row r="25" spans="2:13" ht="14.25">
      <c r="B25" t="str">
        <f>B16</f>
        <v>Wood Residue Front-wheel Loading (Diesel)</v>
      </c>
      <c r="D25" s="65"/>
      <c r="E25" s="47">
        <f t="shared" si="2" ref="E25:E27">E16</f>
        <v>0.024906332011992247</v>
      </c>
      <c r="F25" s="77" t="s">
        <v>87</v>
      </c>
      <c r="K25" s="40">
        <v>0.021043122675150336</v>
      </c>
      <c r="M25" s="81">
        <f>E25/K25-1</f>
        <v>0.18358536403933745</v>
      </c>
    </row>
    <row r="26" spans="2:13" ht="14.25">
      <c r="B26" t="s">
        <v>16</v>
      </c>
      <c r="D26" s="65"/>
      <c r="E26" s="47">
        <f t="shared" si="2"/>
        <v>9.875581851260765E-4</v>
      </c>
      <c r="F26" s="77" t="s">
        <v>87</v>
      </c>
      <c r="K26" s="40">
        <v>0.0011308881463961559</v>
      </c>
      <c r="M26" s="81">
        <f>E26/K26-1</f>
        <v>-0.12674105898698684</v>
      </c>
    </row>
    <row r="27" spans="2:14" ht="14.25">
      <c r="B27" s="14" t="s">
        <v>17</v>
      </c>
      <c r="C27" s="14"/>
      <c r="D27" s="66"/>
      <c r="E27" s="48">
        <f t="shared" si="2"/>
        <v>0.10691819015281694</v>
      </c>
      <c r="F27" s="87" t="s">
        <v>87</v>
      </c>
      <c r="G27" s="14"/>
      <c r="H27" s="14"/>
      <c r="I27" s="14"/>
      <c r="J27" s="14"/>
      <c r="K27" s="43">
        <v>0.07729398245098683</v>
      </c>
      <c r="L27" s="14"/>
      <c r="M27" s="82">
        <f t="shared" si="3" ref="M27:M30">E27/K27-1</f>
        <v>0.38326667565117667</v>
      </c>
      <c r="N27" s="14"/>
    </row>
    <row r="28" spans="2:16" ht="14.25">
      <c r="B28" s="21" t="s">
        <v>18</v>
      </c>
      <c r="C28" s="21"/>
      <c r="D28" s="21"/>
      <c r="E28" s="49">
        <f>SUM(E24:E27)</f>
        <v>0.13305202780074143</v>
      </c>
      <c r="F28" s="41" t="s">
        <v>87</v>
      </c>
      <c r="K28" s="41">
        <f>SUM(K24:K27)</f>
        <v>0.09972825678697651</v>
      </c>
      <c r="M28" s="80">
        <f>E28/K28-1</f>
        <v>0.3341457284763918</v>
      </c>
      <c r="P28" s="21" t="s">
        <v>50</v>
      </c>
    </row>
    <row r="30" spans="2:14" ht="14.25">
      <c r="B30" s="79" t="s">
        <v>85</v>
      </c>
      <c r="C30" s="14"/>
      <c r="D30" s="14"/>
      <c r="E30" s="92">
        <f>-Inputs!H13/(Inputs!H6*Inputs!H7/1000)/1000*'GHG emissions factors'!H12/1000000</f>
        <v>-0.007110025721100084</v>
      </c>
      <c r="F30" s="43" t="s">
        <v>15</v>
      </c>
      <c r="G30" s="14"/>
      <c r="H30" s="83"/>
      <c r="I30" s="43"/>
      <c r="J30" s="14"/>
      <c r="K30" s="92">
        <v>-0.005819720681681394</v>
      </c>
      <c r="L30" s="14"/>
      <c r="M30" s="82">
        <f t="shared" si="3"/>
        <v>0.22171253742128116</v>
      </c>
      <c r="N30" s="14"/>
    </row>
    <row r="31" spans="2:16" ht="14.25">
      <c r="B31" s="84" t="s">
        <v>86</v>
      </c>
      <c r="C31" s="21"/>
      <c r="D31" s="21"/>
      <c r="E31" s="49">
        <f>E30+E28</f>
        <v>0.12594200207964135</v>
      </c>
      <c r="F31" s="41" t="s">
        <v>87</v>
      </c>
      <c r="G31" s="21"/>
      <c r="H31" s="85"/>
      <c r="I31" s="41"/>
      <c r="J31" s="21"/>
      <c r="K31" s="41">
        <f>SUM(K28:K30)</f>
        <v>0.09390853610529512</v>
      </c>
      <c r="L31" s="21"/>
      <c r="M31" s="80">
        <f>E31/K31-1</f>
        <v>0.3411134631938959</v>
      </c>
      <c r="P31" s="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29"/>
  <sheetViews>
    <sheetView showGridLines="0" zoomScale="130" zoomScaleNormal="130" workbookViewId="0" topLeftCell="A1">
      <selection pane="topLeft" activeCell="F8" sqref="F8"/>
    </sheetView>
  </sheetViews>
  <sheetFormatPr defaultColWidth="14.3942857142857" defaultRowHeight="15" customHeight="1"/>
  <cols>
    <col min="1" max="1" width="3.28571428571429" customWidth="1"/>
    <col min="2" max="5" width="9.42857142857143" customWidth="1"/>
    <col min="6" max="6" width="25.8571428571429" customWidth="1"/>
    <col min="7" max="7" width="15.7142857142857" customWidth="1"/>
    <col min="8" max="8" width="14.5714285714286" customWidth="1"/>
    <col min="9" max="9" width="8.85714285714286" customWidth="1"/>
    <col min="10" max="10" width="10.4285714285714" customWidth="1"/>
    <col min="11" max="23" width="8.85714285714286" customWidth="1"/>
  </cols>
  <sheetData>
    <row r="1" spans="3:7" ht="14.25" customHeight="1">
      <c r="C1" s="35"/>
      <c r="D1" s="35"/>
      <c r="E1" s="35"/>
      <c r="F1" s="35"/>
      <c r="G1" s="35"/>
    </row>
    <row r="2" spans="2:18" ht="14.25" customHeight="1">
      <c r="B2" s="3" t="s">
        <v>0</v>
      </c>
      <c r="C2" s="14"/>
      <c r="D2" s="14"/>
      <c r="E2" s="14"/>
      <c r="F2" s="14"/>
      <c r="G2" s="14"/>
      <c r="H2" s="3" t="s">
        <v>13</v>
      </c>
      <c r="I2" s="3"/>
      <c r="J2" s="3" t="s">
        <v>14</v>
      </c>
      <c r="K2" s="3"/>
      <c r="L2" s="3"/>
      <c r="M2" s="33" t="s">
        <v>11</v>
      </c>
      <c r="N2" s="14"/>
      <c r="O2" s="14"/>
      <c r="P2" s="14"/>
      <c r="Q2" s="14"/>
      <c r="R2" s="14"/>
    </row>
    <row r="3" spans="2:12" ht="14.25" customHeight="1">
      <c r="B3" s="5" t="s">
        <v>19</v>
      </c>
      <c r="C3" s="2"/>
      <c r="D3" s="2"/>
      <c r="E3" s="2"/>
      <c r="F3" s="2"/>
      <c r="G3" s="2"/>
      <c r="H3" s="19">
        <v>46023</v>
      </c>
      <c r="I3" s="2"/>
      <c r="J3" s="2"/>
      <c r="K3" s="2"/>
      <c r="L3" s="2"/>
    </row>
    <row r="4" spans="2:12" ht="14.25" customHeight="1">
      <c r="B4" s="5" t="s">
        <v>20</v>
      </c>
      <c r="C4" s="2"/>
      <c r="D4" s="2"/>
      <c r="E4" s="2"/>
      <c r="F4" s="2"/>
      <c r="G4" s="2"/>
      <c r="H4" s="19">
        <v>46203</v>
      </c>
      <c r="I4" s="2"/>
      <c r="J4" s="2"/>
      <c r="K4" s="2"/>
      <c r="L4" s="2"/>
    </row>
    <row r="5" spans="2:13" ht="14.25" customHeight="1">
      <c r="B5" s="5" t="s">
        <v>53</v>
      </c>
      <c r="C5" s="2"/>
      <c r="D5" s="2"/>
      <c r="E5" s="2"/>
      <c r="F5" s="2"/>
      <c r="G5" s="2"/>
      <c r="H5" s="20">
        <v>19110.59090478579</v>
      </c>
      <c r="I5" s="2"/>
      <c r="J5" s="5" t="s">
        <v>21</v>
      </c>
      <c r="K5" s="2"/>
      <c r="L5" s="2"/>
      <c r="M5" s="90" t="s">
        <v>88</v>
      </c>
    </row>
    <row r="6" spans="2:13" ht="14.25" customHeight="1">
      <c r="B6" s="69" t="s">
        <v>52</v>
      </c>
      <c r="H6" s="20">
        <v>1.033488434111328E7</v>
      </c>
      <c r="I6" s="7"/>
      <c r="J6" s="18" t="s">
        <v>6</v>
      </c>
      <c r="M6" s="90" t="str">
        <f>M5</f>
        <v>See document "Supporting GHG data 30Jun2026S"</v>
      </c>
    </row>
    <row r="7" spans="2:13" ht="14.25" customHeight="1">
      <c r="B7" s="69" t="s">
        <v>80</v>
      </c>
      <c r="H7" s="29">
        <v>1.1997110462962968</v>
      </c>
      <c r="J7" s="18" t="s">
        <v>9</v>
      </c>
      <c r="M7" s="69" t="s">
        <v>57</v>
      </c>
    </row>
    <row r="8" spans="2:13" ht="14.25" customHeight="1">
      <c r="B8" s="69" t="s">
        <v>81</v>
      </c>
      <c r="H8" s="68">
        <v>17.406969284648653</v>
      </c>
      <c r="J8" s="18" t="s">
        <v>7</v>
      </c>
      <c r="M8" s="69" t="s">
        <v>57</v>
      </c>
    </row>
    <row r="9" spans="2:13" ht="14.25" customHeight="1">
      <c r="B9" s="50" t="s">
        <v>22</v>
      </c>
      <c r="H9" s="20">
        <v>1746.20</v>
      </c>
      <c r="I9" s="7"/>
      <c r="J9" s="5" t="s">
        <v>23</v>
      </c>
      <c r="M9" s="89" t="str">
        <f>M6</f>
        <v>See document "Supporting GHG data 30Jun2026S"</v>
      </c>
    </row>
    <row r="10" spans="2:13" ht="14.25" customHeight="1">
      <c r="B10" s="51" t="s">
        <v>40</v>
      </c>
      <c r="H10" s="29">
        <v>21.64</v>
      </c>
      <c r="J10" s="5" t="s">
        <v>7</v>
      </c>
      <c r="M10" s="69" t="s">
        <v>59</v>
      </c>
    </row>
    <row r="11" spans="8:8" ht="14.25" customHeight="1">
      <c r="H11" s="4"/>
    </row>
    <row r="12" spans="2:14" ht="14.25" customHeight="1">
      <c r="B12" s="69" t="s">
        <v>54</v>
      </c>
      <c r="H12" s="27">
        <f>H6*H7*H8</f>
        <v>2.158268346569157E8</v>
      </c>
      <c r="J12" s="5" t="s">
        <v>55</v>
      </c>
      <c r="N12" s="34"/>
    </row>
    <row r="13" spans="2:14" ht="14.25" customHeight="1">
      <c r="B13" s="69" t="s">
        <v>82</v>
      </c>
      <c r="H13" s="27">
        <f>H9*1000*H10</f>
        <v>37787768</v>
      </c>
      <c r="J13" s="5" t="s">
        <v>56</v>
      </c>
      <c r="N13" s="34"/>
    </row>
    <row r="14" spans="9:9" ht="14.25" customHeight="1">
      <c r="I14" s="15"/>
    </row>
    <row r="15" ht="14.25" customHeight="1"/>
    <row r="16" ht="14.25" customHeight="1"/>
    <row r="17" spans="2:3" ht="14.25" customHeight="1">
      <c r="B17" s="16"/>
      <c r="C17" s="15"/>
    </row>
    <row r="18" spans="3:3" ht="14.25" customHeight="1">
      <c r="C18" s="15"/>
    </row>
    <row r="19" spans="2:3" ht="14.25" customHeight="1">
      <c r="B19" s="15"/>
      <c r="C19" s="15"/>
    </row>
    <row r="20" spans="3:10" ht="14.25" customHeight="1">
      <c r="C20" s="15"/>
      <c r="J20" s="15"/>
    </row>
    <row r="21" ht="14.25" customHeight="1"/>
    <row r="22" ht="14.25" customHeight="1"/>
    <row r="23" spans="2:3" ht="14.25" customHeight="1">
      <c r="B23" s="16"/>
      <c r="C23" s="15"/>
    </row>
    <row r="24" spans="2:3" ht="14.25" customHeight="1">
      <c r="B24" s="16"/>
      <c r="C24" s="15"/>
    </row>
    <row r="25" spans="2:3" ht="14.25" customHeight="1">
      <c r="B25" s="15"/>
      <c r="C25" s="15"/>
    </row>
    <row r="26" spans="2:2" ht="14.25" customHeight="1">
      <c r="B26" s="15"/>
    </row>
    <row r="27" spans="2:10" ht="14.25" customHeight="1">
      <c r="B27" s="15"/>
      <c r="J27" s="15"/>
    </row>
    <row r="28" ht="14.25" customHeight="1"/>
    <row r="29" spans="2:9" ht="14.25" customHeight="1">
      <c r="B29" s="15"/>
      <c r="I29" s="17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portrait" paperSiz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34"/>
  <sheetViews>
    <sheetView showGridLines="0" zoomScale="110" zoomScaleNormal="110" workbookViewId="0" topLeftCell="A1">
      <selection pane="topLeft" activeCell="F10" sqref="F10"/>
    </sheetView>
  </sheetViews>
  <sheetFormatPr defaultColWidth="14.3942857142857" defaultRowHeight="15" customHeight="1"/>
  <cols>
    <col min="1" max="1" width="3.85714285714286" customWidth="1"/>
    <col min="2" max="2" width="18.8571428571429" style="22" customWidth="1"/>
    <col min="3" max="3" width="16.1428571428571" customWidth="1"/>
    <col min="4" max="4" width="52.4285714285714" customWidth="1"/>
    <col min="5" max="8" width="16.1428571428571" customWidth="1"/>
    <col min="9" max="12" width="8.85714285714286" customWidth="1"/>
    <col min="13" max="13" width="14.2857142857143" customWidth="1"/>
    <col min="14" max="15" width="8.85714285714286" customWidth="1"/>
    <col min="16" max="16" width="14.5714285714286" customWidth="1"/>
    <col min="17" max="26" width="8.85714285714286" customWidth="1"/>
  </cols>
  <sheetData>
    <row r="1" ht="14.25" customHeight="1"/>
    <row r="2" spans="1:26" ht="14.25" customHeight="1">
      <c r="A2" s="2"/>
      <c r="B2" s="23" t="s">
        <v>0</v>
      </c>
      <c r="C2" s="53"/>
      <c r="D2" s="3"/>
      <c r="E2" s="3" t="s">
        <v>13</v>
      </c>
      <c r="F2" s="3" t="s">
        <v>14</v>
      </c>
      <c r="G2" s="3"/>
      <c r="H2" s="3" t="s">
        <v>24</v>
      </c>
      <c r="I2" s="3"/>
      <c r="J2" s="3"/>
      <c r="K2" s="52"/>
      <c r="L2" s="52"/>
      <c r="M2" s="5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2"/>
      <c r="B3" s="2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2:2" ht="14.25" customHeight="1">
      <c r="B4" s="25" t="s">
        <v>25</v>
      </c>
    </row>
    <row r="5" spans="2:8" ht="14.25" customHeight="1">
      <c r="B5" s="26" t="s">
        <v>8</v>
      </c>
      <c r="E5" s="9">
        <v>0.48</v>
      </c>
      <c r="F5" s="51" t="s">
        <v>26</v>
      </c>
      <c r="H5" s="51" t="s">
        <v>27</v>
      </c>
    </row>
    <row r="6" spans="2:8" ht="14.25" customHeight="1">
      <c r="B6" s="54" t="s">
        <v>28</v>
      </c>
      <c r="E6" s="91">
        <f>46.6107296137339/100</f>
        <v>0.46610729613733903</v>
      </c>
      <c r="F6" s="51" t="s">
        <v>29</v>
      </c>
      <c r="H6" s="4" t="s">
        <v>60</v>
      </c>
    </row>
    <row r="7" spans="2:6" ht="14.25" customHeight="1">
      <c r="B7" s="54" t="s">
        <v>2</v>
      </c>
      <c r="E7" s="4">
        <f>E5/(1-E6)</f>
        <v>0.8990570512150614</v>
      </c>
      <c r="F7" s="51" t="s">
        <v>30</v>
      </c>
    </row>
    <row r="8" spans="5:5" ht="14.25" customHeight="1">
      <c r="E8" s="4"/>
    </row>
    <row r="9" spans="2:5" ht="14.25" customHeight="1">
      <c r="B9" s="32" t="s">
        <v>31</v>
      </c>
      <c r="E9" s="4"/>
    </row>
    <row r="10" spans="2:8" ht="14.25" customHeight="1">
      <c r="B10" s="54" t="s">
        <v>32</v>
      </c>
      <c r="E10" s="6">
        <v>60395</v>
      </c>
      <c r="F10" s="30" t="s">
        <v>6</v>
      </c>
      <c r="H10" s="89" t="str">
        <f>Inputs!M5</f>
        <v>See document "Supporting GHG data 30Jun2026S"</v>
      </c>
    </row>
    <row r="11" spans="2:8" ht="14.25" customHeight="1">
      <c r="B11" s="70" t="s">
        <v>61</v>
      </c>
      <c r="E11" s="71">
        <v>38.6534</v>
      </c>
      <c r="F11" s="69" t="s">
        <v>1</v>
      </c>
      <c r="H11" s="69" t="s">
        <v>64</v>
      </c>
    </row>
    <row r="12" spans="2:8" ht="14.25" customHeight="1">
      <c r="B12" s="70" t="s">
        <v>65</v>
      </c>
      <c r="E12" s="27">
        <f>E11*E10</f>
        <v>2334472.093</v>
      </c>
      <c r="F12" s="69" t="s">
        <v>33</v>
      </c>
      <c r="H12" s="69"/>
    </row>
    <row r="13" spans="5:5" ht="14.25" customHeight="1">
      <c r="E13" s="4"/>
    </row>
    <row r="14" spans="2:6" ht="14.25" customHeight="1">
      <c r="B14" s="25" t="s">
        <v>3</v>
      </c>
      <c r="C14" s="1"/>
      <c r="D14" s="1"/>
      <c r="E14" s="1"/>
      <c r="F14" s="1"/>
    </row>
    <row r="15" spans="2:8" ht="14.25" customHeight="1">
      <c r="B15" s="54" t="s">
        <v>34</v>
      </c>
      <c r="D15" s="11"/>
      <c r="E15" s="6">
        <v>7202712</v>
      </c>
      <c r="F15" s="51" t="s">
        <v>36</v>
      </c>
      <c r="H15" s="89" t="str">
        <f>H10</f>
        <v>See document "Supporting GHG data 30Jun2026S"</v>
      </c>
    </row>
    <row r="16" spans="2:8" ht="14.25" customHeight="1">
      <c r="B16" s="54" t="s">
        <v>35</v>
      </c>
      <c r="D16" s="11"/>
      <c r="E16" s="6">
        <v>749983</v>
      </c>
      <c r="F16" s="51" t="s">
        <v>6</v>
      </c>
      <c r="H16" s="89" t="str">
        <f>H15</f>
        <v>See document "Supporting GHG data 30Jun2026S"</v>
      </c>
    </row>
    <row r="17" spans="2:8" ht="14.25" customHeight="1">
      <c r="B17" s="70" t="s">
        <v>63</v>
      </c>
      <c r="E17" s="71">
        <v>25.621052167538444</v>
      </c>
      <c r="F17" s="69" t="s">
        <v>1</v>
      </c>
      <c r="H17" s="69" t="s">
        <v>64</v>
      </c>
    </row>
    <row r="18" spans="2:6" ht="14.25" customHeight="1">
      <c r="B18" s="70" t="s">
        <v>35</v>
      </c>
      <c r="E18" s="57">
        <f>E16*E17</f>
        <v>1.9215353567766987E7</v>
      </c>
      <c r="F18" s="69" t="s">
        <v>62</v>
      </c>
    </row>
    <row r="19" spans="5:5" ht="14.25" customHeight="1">
      <c r="E19" s="13"/>
    </row>
    <row r="20" spans="2:5" ht="14.25" customHeight="1">
      <c r="B20" s="25" t="s">
        <v>37</v>
      </c>
      <c r="C20" s="1"/>
      <c r="D20" s="1"/>
      <c r="E20" s="4"/>
    </row>
    <row r="21" spans="2:16" ht="14.25" customHeight="1">
      <c r="B21" s="31" t="s">
        <v>8</v>
      </c>
      <c r="D21" s="8"/>
      <c r="E21" s="9">
        <v>0</v>
      </c>
      <c r="F21" s="51" t="s">
        <v>38</v>
      </c>
      <c r="H21" s="30"/>
      <c r="M21" s="10"/>
      <c r="P21" s="10"/>
    </row>
    <row r="22" spans="5:5" ht="14.25" customHeight="1">
      <c r="E22" s="4"/>
    </row>
    <row r="23" spans="2:5" ht="14.25" customHeight="1">
      <c r="B23" s="25" t="s">
        <v>83</v>
      </c>
      <c r="C23" s="1"/>
      <c r="D23" s="1"/>
      <c r="E23" s="4"/>
    </row>
    <row r="24" spans="2:6" ht="14.25" customHeight="1">
      <c r="B24" s="54" t="s">
        <v>39</v>
      </c>
      <c r="E24" s="28">
        <f>Inputs!H12/SUM(Inputs!H12:H13)</f>
        <v>0.8510031851315815</v>
      </c>
      <c r="F24" s="69" t="s">
        <v>58</v>
      </c>
    </row>
    <row r="25" spans="2:6" ht="14.25" customHeight="1">
      <c r="B25" s="54" t="s">
        <v>41</v>
      </c>
      <c r="E25" s="12">
        <f>E15*E24/Inputs!H6</f>
        <v>0.5930913836356669</v>
      </c>
      <c r="F25" s="18" t="s">
        <v>4</v>
      </c>
    </row>
    <row r="26" spans="2:6" ht="14.25" customHeight="1">
      <c r="B26" s="54" t="s">
        <v>42</v>
      </c>
      <c r="E26" s="12">
        <f>E18*E24/Inputs!H6</f>
        <v>1.5822457755572443</v>
      </c>
      <c r="F26" s="18" t="s">
        <v>1</v>
      </c>
    </row>
    <row r="27" spans="2:6" ht="14.25" customHeight="1">
      <c r="B27" s="54" t="s">
        <v>43</v>
      </c>
      <c r="E27" s="4">
        <f>E7*E24*Inputs!H5/Inputs!H6</f>
        <v>0.0014147735508440804</v>
      </c>
      <c r="F27" s="18" t="s">
        <v>10</v>
      </c>
    </row>
    <row r="28" spans="2:6" ht="14.25" customHeight="1">
      <c r="B28" s="54" t="s">
        <v>44</v>
      </c>
      <c r="E28" s="12">
        <f>E12*E24/Inputs!H6</f>
        <v>0.19222693947727207</v>
      </c>
      <c r="F28" s="69" t="s">
        <v>66</v>
      </c>
    </row>
    <row r="29" ht="14.25" customHeight="1"/>
    <row r="30" spans="2:2" ht="14.25" customHeight="1">
      <c r="B30" s="25" t="s">
        <v>67</v>
      </c>
    </row>
    <row r="31" spans="2:6" ht="14.25" customHeight="1">
      <c r="B31" s="70" t="s">
        <v>41</v>
      </c>
      <c r="E31" s="12">
        <f>E15/Inputs!H6</f>
        <v>0.6969320373859278</v>
      </c>
      <c r="F31" s="69" t="s">
        <v>4</v>
      </c>
    </row>
    <row r="32" spans="2:6" ht="14.25" customHeight="1">
      <c r="B32" s="70" t="s">
        <v>42</v>
      </c>
      <c r="E32" s="12">
        <f>E18/Inputs!H6</f>
        <v>1.8592712732474659</v>
      </c>
      <c r="F32" s="69" t="s">
        <v>1</v>
      </c>
    </row>
    <row r="33" spans="2:6" ht="14.25" customHeight="1">
      <c r="B33" s="54" t="s">
        <v>43</v>
      </c>
      <c r="E33" s="4">
        <f>E7*Inputs!H5/Inputs!H6</f>
        <v>0.001662477386174917</v>
      </c>
      <c r="F33" s="69" t="s">
        <v>10</v>
      </c>
    </row>
    <row r="34" spans="2:6" ht="14.25" customHeight="1">
      <c r="B34" s="54" t="s">
        <v>44</v>
      </c>
      <c r="E34" s="12">
        <f>E12/Inputs!H6</f>
        <v>0.2258827497191448</v>
      </c>
      <c r="F34" s="69" t="s">
        <v>66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</sheetData>
  <pageMargins left="0.7" right="0.7" top="0.75" bottom="0.75" header="0" footer="0"/>
  <pageSetup orientation="portrait" paperSize="1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509981-CDA4-49F9-B0A9-D381A89D629A}">
  <dimension ref="A1"/>
  <sheetViews>
    <sheetView zoomScale="80" zoomScaleNormal="80" workbookViewId="0" topLeftCell="A13">
      <selection pane="topLeft" activeCell="V16" sqref="V16"/>
    </sheetView>
  </sheetViews>
  <sheetFormatPr defaultRowHeight="14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4"/>
  <sheetViews>
    <sheetView showGridLines="0" zoomScale="120" zoomScaleNormal="120" workbookViewId="0" topLeftCell="A1">
      <selection pane="topLeft" activeCell="D18" sqref="D18"/>
    </sheetView>
  </sheetViews>
  <sheetFormatPr defaultColWidth="14.3942857142857" defaultRowHeight="15" customHeight="1"/>
  <cols>
    <col min="1" max="3" width="8.85714285714286" customWidth="1"/>
    <col min="4" max="4" width="19.2857142857143" customWidth="1"/>
    <col min="5" max="7" width="13.7142857142857" customWidth="1"/>
    <col min="8" max="8" width="23.4285714285714" customWidth="1"/>
    <col min="9" max="9" width="13.7142857142857" customWidth="1"/>
    <col min="10" max="10" width="23.4285714285714" customWidth="1"/>
    <col min="11" max="11" width="5" customWidth="1"/>
    <col min="12" max="22" width="13.7142857142857" customWidth="1"/>
    <col min="23" max="27" width="8.85714285714286" customWidth="1"/>
  </cols>
  <sheetData>
    <row r="1" spans="2:2" ht="14.25" customHeight="1">
      <c r="B1" s="69"/>
    </row>
    <row r="2" spans="2:10" s="73" customFormat="1" ht="60" customHeight="1">
      <c r="B2" s="72"/>
      <c r="H2" s="74" t="s">
        <v>89</v>
      </c>
      <c r="J2" s="74" t="s">
        <v>68</v>
      </c>
    </row>
    <row r="3" spans="2:2" ht="14.25" customHeight="1">
      <c r="B3" s="69"/>
    </row>
    <row r="4" spans="2:10" s="56" customFormat="1" ht="14.25">
      <c r="B4" s="56" t="s">
        <v>69</v>
      </c>
      <c r="F4" s="58" t="s">
        <v>45</v>
      </c>
      <c r="G4" s="58"/>
      <c r="H4" s="60">
        <v>173.1558032949512</v>
      </c>
      <c r="J4" s="60">
        <v>174.76877957106547</v>
      </c>
    </row>
    <row r="5" spans="5:5" s="56" customFormat="1" ht="14.25">
      <c r="E5" s="58"/>
    </row>
    <row r="6" spans="2:12" s="56" customFormat="1" ht="14.25">
      <c r="B6" s="61" t="s">
        <v>46</v>
      </c>
      <c r="F6" s="58" t="s">
        <v>47</v>
      </c>
      <c r="G6" s="58"/>
      <c r="H6" s="64">
        <f>J6</f>
        <v>1.70</v>
      </c>
      <c r="J6" s="64">
        <v>1.70</v>
      </c>
      <c r="L6" s="67" t="s">
        <v>48</v>
      </c>
    </row>
    <row r="7" spans="4:13" s="56" customFormat="1" ht="14.25">
      <c r="D7" s="58"/>
      <c r="I7" s="62"/>
      <c r="K7" s="62"/>
      <c r="M7" s="59"/>
    </row>
    <row r="8" spans="2:13" s="56" customFormat="1" ht="14.25">
      <c r="B8" s="56" t="s">
        <v>70</v>
      </c>
      <c r="D8" s="58"/>
      <c r="F8" s="58" t="s">
        <v>5</v>
      </c>
      <c r="G8" s="58"/>
      <c r="H8" s="75">
        <v>132282.79571885185</v>
      </c>
      <c r="I8" s="62"/>
      <c r="J8" s="75">
        <v>131959.0059329851</v>
      </c>
      <c r="K8" s="62"/>
      <c r="M8" s="59"/>
    </row>
    <row r="9" spans="4:13" s="56" customFormat="1" ht="14.25">
      <c r="D9" s="58"/>
      <c r="I9" s="62"/>
      <c r="K9" s="62"/>
      <c r="M9" s="59"/>
    </row>
    <row r="10" spans="2:10" s="56" customFormat="1" ht="14.25">
      <c r="B10" s="56" t="s">
        <v>49</v>
      </c>
      <c r="F10" s="58" t="s">
        <v>5</v>
      </c>
      <c r="G10" s="58"/>
      <c r="H10" s="63">
        <v>68989.89707526653</v>
      </c>
      <c r="J10" s="63">
        <v>69040.62047609863</v>
      </c>
    </row>
    <row r="11" s="56" customFormat="1" ht="14.25"/>
    <row r="12" spans="2:12" ht="14.25">
      <c r="B12" s="56" t="s">
        <v>71</v>
      </c>
      <c r="F12" s="58" t="s">
        <v>5</v>
      </c>
      <c r="G12" s="58"/>
      <c r="H12" s="76">
        <v>2332.9326965272226</v>
      </c>
      <c r="J12" s="76">
        <v>2332.9326965272226</v>
      </c>
      <c r="L12" s="56"/>
    </row>
    <row r="13" spans="2:2" ht="14.25" customHeight="1">
      <c r="B13" s="56"/>
    </row>
    <row r="14" spans="2:10" s="55" customFormat="1" ht="14.25">
      <c r="B14" s="56" t="s">
        <v>72</v>
      </c>
      <c r="C14" s="56"/>
      <c r="D14" s="56"/>
      <c r="E14" s="56"/>
      <c r="F14" s="58" t="s">
        <v>73</v>
      </c>
      <c r="G14" s="58"/>
      <c r="H14" s="88">
        <v>17.11848683156491</v>
      </c>
      <c r="I14" s="56"/>
      <c r="J14" s="88">
        <v>17.680265247558015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</sheetData>
  <hyperlinks>
    <hyperlink ref="L6" r:id="rId1" display="https://publications.gc.ca/collections/collection_2022/eccc/En81-4-2020-3-eng.pdf"/>
  </hyperlinks>
  <pageMargins left="0.7" right="0.7" top="0.75" bottom="0.75" header="0" footer="0"/>
  <pageSetup orientation="landscape" paperSize="1" r:id="rId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Inputs</vt:lpstr>
      <vt:lpstr>Analysis</vt:lpstr>
      <vt:lpstr>Distance sawmill-plant</vt:lpstr>
      <vt:lpstr>GHG emissions factors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Haoqi</dc:creator>
  <cp:keywords/>
  <dc:description/>
  <cp:lastModifiedBy>J-C Amado - Viridi Global</cp:lastModifiedBy>
  <dcterms:created xsi:type="dcterms:W3CDTF">2019-11-26T20:22:23Z</dcterms:created>
  <dcterms:modified xsi:type="dcterms:W3CDTF">2026-08-10T20:46:08Z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0x010100AA874689B370A942A37AE1A70D9270E6</vt:lpwstr>
  </property>
  <property fmtid="{D5CDD505-2E9C-101B-9397-08002B2CF9AE}" pid="3" name="Order">
    <vt:r8>822200</vt:r8>
  </property>
</Properties>
</file>